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png" ContentType="image/png"/>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embeddings/oleObject3.bin" ContentType="application/vnd.openxmlformats-officedocument.oleObject"/>
  <Override PartName="/xl/embeddings/oleObject4.bin" ContentType="application/vnd.openxmlformats-officedocument.oleObject"/>
  <Override PartName="/xl/comments1.xml" ContentType="application/vnd.openxmlformats-officedocument.spreadsheetml.comments+xml"/>
  <Override PartName="/xl/drawings/drawing2.xml" ContentType="application/vnd.openxmlformats-officedocument.drawing+xml"/>
  <Override PartName="/xl/embeddings/oleObject5.bin" ContentType="application/vnd.openxmlformats-officedocument.oleObject"/>
  <Override PartName="/xl/embeddings/oleObject6.bin" ContentType="application/vnd.openxmlformats-officedocument.oleObject"/>
  <Override PartName="/xl/embeddings/oleObject7.bin" ContentType="application/vnd.openxmlformats-officedocument.oleObject"/>
  <Override PartName="/xl/embeddings/oleObject8.bin" ContentType="application/vnd.openxmlformats-officedocument.oleObject"/>
  <Override PartName="/xl/embeddings/oleObject9.bin" ContentType="application/vnd.openxmlformats-officedocument.oleObject"/>
  <Override PartName="/xl/embeddings/oleObject10.bin" ContentType="application/vnd.openxmlformats-officedocument.oleObject"/>
  <Override PartName="/xl/embeddings/oleObject11.bin" ContentType="application/vnd.openxmlformats-officedocument.oleObject"/>
  <Override PartName="/xl/tables/table1.xml" ContentType="application/vnd.openxmlformats-officedocument.spreadsheetml.table+xml"/>
  <Override PartName="/xl/comments2.xml" ContentType="application/vnd.openxmlformats-officedocument.spreadsheetml.comments+xml"/>
  <Override PartName="/xl/drawings/drawing3.xml" ContentType="application/vnd.openxmlformats-officedocument.drawing+xml"/>
  <Override PartName="/xl/embeddings/oleObject12.bin" ContentType="application/vnd.openxmlformats-officedocument.oleObject"/>
  <Override PartName="/xl/embeddings/oleObject13.bin" ContentType="application/vnd.openxmlformats-officedocument.oleObject"/>
  <Override PartName="/xl/embeddings/oleObject14.bin" ContentType="application/vnd.openxmlformats-officedocument.oleObject"/>
  <Override PartName="/xl/comments3.xml" ContentType="application/vnd.openxmlformats-officedocument.spreadsheetml.comments+xml"/>
  <Override PartName="/xl/comments4.xml" ContentType="application/vnd.openxmlformats-officedocument.spreadsheetml.comments+xml"/>
  <Override PartName="/xl/drawings/drawing4.xml" ContentType="application/vnd.openxmlformats-officedocument.drawing+xml"/>
  <Override PartName="/xl/comments5.xml" ContentType="application/vnd.openxmlformats-officedocument.spreadsheetml.comments+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embeddings/oleObject15.bin" ContentType="application/vnd.openxmlformats-officedocument.oleObject"/>
  <Override PartName="/xl/embeddings/oleObject16.bin" ContentType="application/vnd.openxmlformats-officedocument.oleObject"/>
  <Override PartName="/xl/embeddings/oleObject17.bin" ContentType="application/vnd.openxmlformats-officedocument.oleObject"/>
  <Override PartName="/xl/embeddings/oleObject18.bin" ContentType="application/vnd.openxmlformats-officedocument.oleObject"/>
  <Override PartName="/xl/embeddings/oleObject19.bin" ContentType="application/vnd.openxmlformats-officedocument.oleObject"/>
  <Override PartName="/xl/comments6.xml" ContentType="application/vnd.openxmlformats-officedocument.spreadsheetml.comments+xml"/>
  <Override PartName="/xl/drawings/drawing9.xml" ContentType="application/vnd.openxmlformats-officedocument.drawing+xml"/>
  <Override PartName="/xl/charts/chart1.xml" ContentType="application/vnd.openxmlformats-officedocument.drawingml.chart+xml"/>
  <Override PartName="/xl/drawings/drawing10.xml" ContentType="application/vnd.openxmlformats-officedocument.drawing+xml"/>
  <Override PartName="/xl/embeddings/oleObject20.bin" ContentType="application/vnd.openxmlformats-officedocument.oleObject"/>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26"/>
  <workbookPr codeName="ThisWorkbook" defaultThemeVersion="124226"/>
  <mc:AlternateContent xmlns:mc="http://schemas.openxmlformats.org/markup-compatibility/2006">
    <mc:Choice Requires="x15">
      <x15ac:absPath xmlns:x15ac="http://schemas.microsoft.com/office/spreadsheetml/2010/11/ac" url="C:\Users\Javier\Desktop\TFG\"/>
    </mc:Choice>
  </mc:AlternateContent>
  <xr:revisionPtr revIDLastSave="0" documentId="13_ncr:1_{C90E06F9-F48E-4B15-AE00-B4A3C55F4188}" xr6:coauthVersionLast="47" xr6:coauthVersionMax="47" xr10:uidLastSave="{00000000-0000-0000-0000-000000000000}"/>
  <workbookProtection workbookPassword="CE2A" lockStructure="1"/>
  <bookViews>
    <workbookView xWindow="-120" yWindow="-120" windowWidth="29040" windowHeight="15840" tabRatio="872" xr2:uid="{00000000-000D-0000-FFFF-FFFF00000000}"/>
  </bookViews>
  <sheets>
    <sheet name="General" sheetId="9" r:id="rId1"/>
    <sheet name="Pandeo" sheetId="3" r:id="rId2"/>
    <sheet name="PL" sheetId="1" r:id="rId3"/>
    <sheet name="Auxiliar Gi" sheetId="5" r:id="rId4"/>
    <sheet name="D G" sheetId="10" r:id="rId5"/>
    <sheet name="IPE" sheetId="14" r:id="rId6"/>
    <sheet name="Coef. X" sheetId="7" r:id="rId7"/>
    <sheet name="Rig.Beta" sheetId="4" r:id="rId8"/>
    <sheet name="Tab. Betas" sheetId="8" r:id="rId9"/>
    <sheet name="HUECOS" sheetId="17" r:id="rId10"/>
    <sheet name="HEB" sheetId="13" r:id="rId11"/>
    <sheet name="HEA" sheetId="12" r:id="rId12"/>
    <sheet name="HEM" sheetId="16" r:id="rId13"/>
    <sheet name="OTROS" sheetId="15" r:id="rId14"/>
    <sheet name="Hoja3" sheetId="11" r:id="rId15"/>
    <sheet name="Hoja9" sheetId="18" r:id="rId16"/>
    <sheet name="flexión" sheetId="2" r:id="rId17"/>
  </sheets>
  <definedNames>
    <definedName name="_xlnm._FilterDatabase" localSheetId="0" hidden="1">General!$F$14:$I$16</definedName>
    <definedName name="_xlnm.Print_Area" localSheetId="3">'Auxiliar Gi'!$B$3:$G$44</definedName>
    <definedName name="_xlnm.Print_Area" localSheetId="6">'Coef. X'!$B$3:$G$44</definedName>
    <definedName name="_xlnm.Print_Area" localSheetId="0">General!$B$1:$K$53</definedName>
    <definedName name="_xlnm.Print_Area" localSheetId="14">Hoja3!$A$1:$J$38</definedName>
    <definedName name="_xlnm.Print_Area" localSheetId="13">OTROS!$A$1:$L$72</definedName>
    <definedName name="_xlnm.Print_Area" localSheetId="1">Pandeo!$A$1:$J$49</definedName>
    <definedName name="_xlnm.Print_Area" localSheetId="2">PL!$A$115:$J$169</definedName>
  </definedNames>
  <calcPr calcId="181029"/>
</workbook>
</file>

<file path=xl/calcChain.xml><?xml version="1.0" encoding="utf-8"?>
<calcChain xmlns="http://schemas.openxmlformats.org/spreadsheetml/2006/main">
  <c r="I96" i="2" l="1"/>
  <c r="I95" i="2"/>
  <c r="H95" i="2"/>
  <c r="I94" i="2"/>
  <c r="H94" i="2"/>
  <c r="J93" i="2"/>
  <c r="I93" i="2"/>
  <c r="J92" i="2"/>
  <c r="I92" i="2"/>
  <c r="J91" i="2"/>
  <c r="I91" i="2"/>
  <c r="J90" i="2"/>
  <c r="I90" i="2"/>
  <c r="J89" i="2"/>
  <c r="I89" i="2"/>
  <c r="J88" i="2"/>
  <c r="I88" i="2"/>
  <c r="J87" i="2"/>
  <c r="I87" i="2"/>
  <c r="J86" i="2"/>
  <c r="I86" i="2"/>
  <c r="J85" i="2"/>
  <c r="I85" i="2"/>
  <c r="J84" i="2"/>
  <c r="I84" i="2"/>
  <c r="J83" i="2"/>
  <c r="I83" i="2"/>
  <c r="J82" i="2"/>
  <c r="I82" i="2"/>
  <c r="J81" i="2"/>
  <c r="I81" i="2"/>
  <c r="J80" i="2"/>
  <c r="I80" i="2"/>
  <c r="J79" i="2"/>
  <c r="I79" i="2"/>
  <c r="J78" i="2"/>
  <c r="I78" i="2"/>
  <c r="J77" i="2"/>
  <c r="I77" i="2"/>
  <c r="J76" i="2"/>
  <c r="I76" i="2"/>
  <c r="J75" i="2"/>
  <c r="I75" i="2"/>
  <c r="J74" i="2"/>
  <c r="I74" i="2"/>
  <c r="J73" i="2"/>
  <c r="I73" i="2"/>
  <c r="J72" i="2"/>
  <c r="I72" i="2"/>
  <c r="L71" i="2"/>
  <c r="J71" i="2"/>
  <c r="I71" i="2"/>
  <c r="J70" i="2"/>
  <c r="I70" i="2"/>
  <c r="J69" i="2"/>
  <c r="I69" i="2"/>
  <c r="J68" i="2"/>
  <c r="I68" i="2"/>
  <c r="J67" i="2"/>
  <c r="I67" i="2"/>
  <c r="J66" i="2"/>
  <c r="I66" i="2"/>
  <c r="J65" i="2"/>
  <c r="I65" i="2"/>
  <c r="J64" i="2"/>
  <c r="I64" i="2"/>
  <c r="J63" i="2"/>
  <c r="I63" i="2"/>
  <c r="J62" i="2"/>
  <c r="I62" i="2"/>
  <c r="J61" i="2"/>
  <c r="I61" i="2"/>
  <c r="J60" i="2"/>
  <c r="I60" i="2"/>
  <c r="J59" i="2"/>
  <c r="I59" i="2"/>
  <c r="J58" i="2"/>
  <c r="I58" i="2"/>
  <c r="J57" i="2"/>
  <c r="I57" i="2"/>
  <c r="J56" i="2"/>
  <c r="I56" i="2"/>
  <c r="J55" i="2"/>
  <c r="I55" i="2"/>
  <c r="J54" i="2"/>
  <c r="I54" i="2"/>
  <c r="J53" i="2"/>
  <c r="I53" i="2"/>
  <c r="J52" i="2"/>
  <c r="I52" i="2"/>
  <c r="J51" i="2"/>
  <c r="I51" i="2"/>
  <c r="J50" i="2"/>
  <c r="I50" i="2"/>
  <c r="J49" i="2"/>
  <c r="I49" i="2"/>
  <c r="J48" i="2"/>
  <c r="I48" i="2"/>
  <c r="J47" i="2"/>
  <c r="I47" i="2"/>
  <c r="L46" i="2"/>
  <c r="J46" i="2"/>
  <c r="I46" i="2"/>
  <c r="J45" i="2"/>
  <c r="I45" i="2"/>
  <c r="J44" i="2"/>
  <c r="I44" i="2"/>
  <c r="J43" i="2"/>
  <c r="I43" i="2"/>
  <c r="J42" i="2"/>
  <c r="I42" i="2"/>
  <c r="J41" i="2"/>
  <c r="I41" i="2"/>
  <c r="J40" i="2"/>
  <c r="I40" i="2"/>
  <c r="J39" i="2"/>
  <c r="I39" i="2"/>
  <c r="J38" i="2"/>
  <c r="I38" i="2"/>
  <c r="J37" i="2"/>
  <c r="I37" i="2"/>
  <c r="J36" i="2"/>
  <c r="I36" i="2"/>
  <c r="J35" i="2"/>
  <c r="I35" i="2"/>
  <c r="J34" i="2"/>
  <c r="I34" i="2"/>
  <c r="J33" i="2"/>
  <c r="I33" i="2"/>
  <c r="J32" i="2"/>
  <c r="I32" i="2"/>
  <c r="J31" i="2"/>
  <c r="I31" i="2"/>
  <c r="J30" i="2"/>
  <c r="I30" i="2"/>
  <c r="J29" i="2"/>
  <c r="I29" i="2"/>
  <c r="J28" i="2"/>
  <c r="I28" i="2"/>
  <c r="J27" i="2"/>
  <c r="I27" i="2"/>
  <c r="J26" i="2"/>
  <c r="I26" i="2"/>
  <c r="J25" i="2"/>
  <c r="I25" i="2"/>
  <c r="J24" i="2"/>
  <c r="I24" i="2"/>
  <c r="J23" i="2"/>
  <c r="I23" i="2"/>
  <c r="L22" i="2"/>
  <c r="J22" i="2"/>
  <c r="I22" i="2"/>
  <c r="J21" i="2"/>
  <c r="I21" i="2"/>
  <c r="J20" i="2"/>
  <c r="I20" i="2"/>
  <c r="J19" i="2"/>
  <c r="I19" i="2"/>
  <c r="J18" i="2"/>
  <c r="I18" i="2"/>
  <c r="J17" i="2"/>
  <c r="I17" i="2"/>
  <c r="J16" i="2"/>
  <c r="I16" i="2"/>
  <c r="J15" i="2"/>
  <c r="I15" i="2"/>
  <c r="J14" i="2"/>
  <c r="I14" i="2"/>
  <c r="J13" i="2"/>
  <c r="I13" i="2"/>
  <c r="G13" i="2"/>
  <c r="F13" i="2"/>
  <c r="D13" i="2"/>
  <c r="C13" i="2"/>
  <c r="B13" i="2"/>
  <c r="A13" i="2"/>
  <c r="L12" i="2"/>
  <c r="J12" i="2"/>
  <c r="I12" i="2"/>
  <c r="G12" i="2"/>
  <c r="F12" i="2"/>
  <c r="D12" i="2"/>
  <c r="C12" i="2"/>
  <c r="B12" i="2"/>
  <c r="A12" i="2"/>
  <c r="J11" i="2"/>
  <c r="I11" i="2"/>
  <c r="G11" i="2"/>
  <c r="F11" i="2"/>
  <c r="D11" i="2"/>
  <c r="C11" i="2"/>
  <c r="B11" i="2"/>
  <c r="A11" i="2"/>
  <c r="J10" i="2"/>
  <c r="I10" i="2"/>
  <c r="J9" i="2"/>
  <c r="I9" i="2"/>
  <c r="J8" i="2"/>
  <c r="I8" i="2"/>
  <c r="J7" i="2"/>
  <c r="I7" i="2"/>
  <c r="J6" i="2"/>
  <c r="I6" i="2"/>
  <c r="J5" i="2"/>
  <c r="I5" i="2"/>
  <c r="J4" i="2"/>
  <c r="I4" i="2"/>
  <c r="C1" i="2"/>
  <c r="J96" i="18"/>
  <c r="I96" i="18"/>
  <c r="H96" i="18"/>
  <c r="G96" i="18"/>
  <c r="F96" i="18"/>
  <c r="E96" i="18"/>
  <c r="D96" i="18"/>
  <c r="C96" i="18"/>
  <c r="B96" i="18"/>
  <c r="J95" i="18"/>
  <c r="I95" i="18"/>
  <c r="H95" i="18"/>
  <c r="G95" i="18"/>
  <c r="F95" i="18"/>
  <c r="E95" i="18"/>
  <c r="D95" i="18"/>
  <c r="C95" i="18"/>
  <c r="B95" i="18"/>
  <c r="J94" i="18"/>
  <c r="I94" i="18"/>
  <c r="H94" i="18"/>
  <c r="G94" i="18"/>
  <c r="F94" i="18"/>
  <c r="E94" i="18"/>
  <c r="D94" i="18"/>
  <c r="C94" i="18"/>
  <c r="B94" i="18"/>
  <c r="J93" i="18"/>
  <c r="I93" i="18"/>
  <c r="H93" i="18"/>
  <c r="G93" i="18"/>
  <c r="F93" i="18"/>
  <c r="E93" i="18"/>
  <c r="D93" i="18"/>
  <c r="C93" i="18"/>
  <c r="B93" i="18"/>
  <c r="J92" i="18"/>
  <c r="I92" i="18"/>
  <c r="H92" i="18"/>
  <c r="G92" i="18"/>
  <c r="F92" i="18"/>
  <c r="E92" i="18"/>
  <c r="D92" i="18"/>
  <c r="C92" i="18"/>
  <c r="B92" i="18"/>
  <c r="J91" i="18"/>
  <c r="I91" i="18"/>
  <c r="H91" i="18"/>
  <c r="G91" i="18"/>
  <c r="F91" i="18"/>
  <c r="E91" i="18"/>
  <c r="D91" i="18"/>
  <c r="C91" i="18"/>
  <c r="B91" i="18"/>
  <c r="J90" i="18"/>
  <c r="I90" i="18"/>
  <c r="H90" i="18"/>
  <c r="G90" i="18"/>
  <c r="F90" i="18"/>
  <c r="E90" i="18"/>
  <c r="D90" i="18"/>
  <c r="C90" i="18"/>
  <c r="B90" i="18"/>
  <c r="J89" i="18"/>
  <c r="I89" i="18"/>
  <c r="H89" i="18"/>
  <c r="G89" i="18"/>
  <c r="F89" i="18"/>
  <c r="E89" i="18"/>
  <c r="D89" i="18"/>
  <c r="C89" i="18"/>
  <c r="B89" i="18"/>
  <c r="J88" i="18"/>
  <c r="I88" i="18"/>
  <c r="H88" i="18"/>
  <c r="G88" i="18"/>
  <c r="F88" i="18"/>
  <c r="E88" i="18"/>
  <c r="D88" i="18"/>
  <c r="C88" i="18"/>
  <c r="B88" i="18"/>
  <c r="J87" i="18"/>
  <c r="I87" i="18"/>
  <c r="H87" i="18"/>
  <c r="G87" i="18"/>
  <c r="F87" i="18"/>
  <c r="E87" i="18"/>
  <c r="D87" i="18"/>
  <c r="C87" i="18"/>
  <c r="B87" i="18"/>
  <c r="J86" i="18"/>
  <c r="I86" i="18"/>
  <c r="H86" i="18"/>
  <c r="G86" i="18"/>
  <c r="F86" i="18"/>
  <c r="E86" i="18"/>
  <c r="D86" i="18"/>
  <c r="C86" i="18"/>
  <c r="B86" i="18"/>
  <c r="J85" i="18"/>
  <c r="I85" i="18"/>
  <c r="H85" i="18"/>
  <c r="G85" i="18"/>
  <c r="F85" i="18"/>
  <c r="E85" i="18"/>
  <c r="D85" i="18"/>
  <c r="C85" i="18"/>
  <c r="B85" i="18"/>
  <c r="J84" i="18"/>
  <c r="I84" i="18"/>
  <c r="H84" i="18"/>
  <c r="G84" i="18"/>
  <c r="F84" i="18"/>
  <c r="E84" i="18"/>
  <c r="D84" i="18"/>
  <c r="C84" i="18"/>
  <c r="B84" i="18"/>
  <c r="J83" i="18"/>
  <c r="I83" i="18"/>
  <c r="H83" i="18"/>
  <c r="G83" i="18"/>
  <c r="F83" i="18"/>
  <c r="E83" i="18"/>
  <c r="D83" i="18"/>
  <c r="C83" i="18"/>
  <c r="B83" i="18"/>
  <c r="J82" i="18"/>
  <c r="I82" i="18"/>
  <c r="H82" i="18"/>
  <c r="G82" i="18"/>
  <c r="F82" i="18"/>
  <c r="E82" i="18"/>
  <c r="D82" i="18"/>
  <c r="C82" i="18"/>
  <c r="B82" i="18"/>
  <c r="J81" i="18"/>
  <c r="I81" i="18"/>
  <c r="H81" i="18"/>
  <c r="G81" i="18"/>
  <c r="F81" i="18"/>
  <c r="E81" i="18"/>
  <c r="D81" i="18"/>
  <c r="C81" i="18"/>
  <c r="B81" i="18"/>
  <c r="J80" i="18"/>
  <c r="I80" i="18"/>
  <c r="H80" i="18"/>
  <c r="G80" i="18"/>
  <c r="F80" i="18"/>
  <c r="E80" i="18"/>
  <c r="D80" i="18"/>
  <c r="C80" i="18"/>
  <c r="B80" i="18"/>
  <c r="J79" i="18"/>
  <c r="I79" i="18"/>
  <c r="H79" i="18"/>
  <c r="G79" i="18"/>
  <c r="F79" i="18"/>
  <c r="E79" i="18"/>
  <c r="D79" i="18"/>
  <c r="C79" i="18"/>
  <c r="B79" i="18"/>
  <c r="J78" i="18"/>
  <c r="I78" i="18"/>
  <c r="H78" i="18"/>
  <c r="G78" i="18"/>
  <c r="F78" i="18"/>
  <c r="E78" i="18"/>
  <c r="D78" i="18"/>
  <c r="C78" i="18"/>
  <c r="B78" i="18"/>
  <c r="J77" i="18"/>
  <c r="I77" i="18"/>
  <c r="H77" i="18"/>
  <c r="G77" i="18"/>
  <c r="F77" i="18"/>
  <c r="E77" i="18"/>
  <c r="D77" i="18"/>
  <c r="C77" i="18"/>
  <c r="B77" i="18"/>
  <c r="J76" i="18"/>
  <c r="I76" i="18"/>
  <c r="H76" i="18"/>
  <c r="G76" i="18"/>
  <c r="F76" i="18"/>
  <c r="E76" i="18"/>
  <c r="D76" i="18"/>
  <c r="C76" i="18"/>
  <c r="B76" i="18"/>
  <c r="J75" i="18"/>
  <c r="I75" i="18"/>
  <c r="H75" i="18"/>
  <c r="G75" i="18"/>
  <c r="F75" i="18"/>
  <c r="E75" i="18"/>
  <c r="D75" i="18"/>
  <c r="C75" i="18"/>
  <c r="B75" i="18"/>
  <c r="J74" i="18"/>
  <c r="I74" i="18"/>
  <c r="H74" i="18"/>
  <c r="G74" i="18"/>
  <c r="F74" i="18"/>
  <c r="E74" i="18"/>
  <c r="D74" i="18"/>
  <c r="C74" i="18"/>
  <c r="B74" i="18"/>
  <c r="J73" i="18"/>
  <c r="I73" i="18"/>
  <c r="H73" i="18"/>
  <c r="G73" i="18"/>
  <c r="F73" i="18"/>
  <c r="E73" i="18"/>
  <c r="D73" i="18"/>
  <c r="C73" i="18"/>
  <c r="B73" i="18"/>
  <c r="J72" i="18"/>
  <c r="I72" i="18"/>
  <c r="H72" i="18"/>
  <c r="G72" i="18"/>
  <c r="F72" i="18"/>
  <c r="E72" i="18"/>
  <c r="D72" i="18"/>
  <c r="C72" i="18"/>
  <c r="B72" i="18"/>
  <c r="J71" i="18"/>
  <c r="I71" i="18"/>
  <c r="H71" i="18"/>
  <c r="G71" i="18"/>
  <c r="F71" i="18"/>
  <c r="E71" i="18"/>
  <c r="D71" i="18"/>
  <c r="C71" i="18"/>
  <c r="B71" i="18"/>
  <c r="J70" i="18"/>
  <c r="I70" i="18"/>
  <c r="H70" i="18"/>
  <c r="G70" i="18"/>
  <c r="F70" i="18"/>
  <c r="E70" i="18"/>
  <c r="D70" i="18"/>
  <c r="C70" i="18"/>
  <c r="B70" i="18"/>
  <c r="J69" i="18"/>
  <c r="I69" i="18"/>
  <c r="H69" i="18"/>
  <c r="G69" i="18"/>
  <c r="F69" i="18"/>
  <c r="E69" i="18"/>
  <c r="D69" i="18"/>
  <c r="C69" i="18"/>
  <c r="B69" i="18"/>
  <c r="J68" i="18"/>
  <c r="I68" i="18"/>
  <c r="H68" i="18"/>
  <c r="G68" i="18"/>
  <c r="F68" i="18"/>
  <c r="E68" i="18"/>
  <c r="D68" i="18"/>
  <c r="C68" i="18"/>
  <c r="B68" i="18"/>
  <c r="J67" i="18"/>
  <c r="I67" i="18"/>
  <c r="H67" i="18"/>
  <c r="G67" i="18"/>
  <c r="F67" i="18"/>
  <c r="E67" i="18"/>
  <c r="D67" i="18"/>
  <c r="C67" i="18"/>
  <c r="B67" i="18"/>
  <c r="J66" i="18"/>
  <c r="I66" i="18"/>
  <c r="H66" i="18"/>
  <c r="G66" i="18"/>
  <c r="F66" i="18"/>
  <c r="E66" i="18"/>
  <c r="D66" i="18"/>
  <c r="C66" i="18"/>
  <c r="B66" i="18"/>
  <c r="J65" i="18"/>
  <c r="I65" i="18"/>
  <c r="H65" i="18"/>
  <c r="G65" i="18"/>
  <c r="F65" i="18"/>
  <c r="E65" i="18"/>
  <c r="D65" i="18"/>
  <c r="C65" i="18"/>
  <c r="B65" i="18"/>
  <c r="J64" i="18"/>
  <c r="I64" i="18"/>
  <c r="H64" i="18"/>
  <c r="G64" i="18"/>
  <c r="F64" i="18"/>
  <c r="E64" i="18"/>
  <c r="D64" i="18"/>
  <c r="C64" i="18"/>
  <c r="B64" i="18"/>
  <c r="J63" i="18"/>
  <c r="I63" i="18"/>
  <c r="H63" i="18"/>
  <c r="G63" i="18"/>
  <c r="F63" i="18"/>
  <c r="E63" i="18"/>
  <c r="D63" i="18"/>
  <c r="C63" i="18"/>
  <c r="B63" i="18"/>
  <c r="J62" i="18"/>
  <c r="I62" i="18"/>
  <c r="H62" i="18"/>
  <c r="G62" i="18"/>
  <c r="F62" i="18"/>
  <c r="E62" i="18"/>
  <c r="D62" i="18"/>
  <c r="C62" i="18"/>
  <c r="B62" i="18"/>
  <c r="J61" i="18"/>
  <c r="I61" i="18"/>
  <c r="H61" i="18"/>
  <c r="G61" i="18"/>
  <c r="F61" i="18"/>
  <c r="E61" i="18"/>
  <c r="D61" i="18"/>
  <c r="C61" i="18"/>
  <c r="B61" i="18"/>
  <c r="J60" i="18"/>
  <c r="I60" i="18"/>
  <c r="H60" i="18"/>
  <c r="G60" i="18"/>
  <c r="F60" i="18"/>
  <c r="E60" i="18"/>
  <c r="D60" i="18"/>
  <c r="C60" i="18"/>
  <c r="B60" i="18"/>
  <c r="J59" i="18"/>
  <c r="I59" i="18"/>
  <c r="H59" i="18"/>
  <c r="G59" i="18"/>
  <c r="F59" i="18"/>
  <c r="E59" i="18"/>
  <c r="D59" i="18"/>
  <c r="C59" i="18"/>
  <c r="B59" i="18"/>
  <c r="J58" i="18"/>
  <c r="I58" i="18"/>
  <c r="H58" i="18"/>
  <c r="G58" i="18"/>
  <c r="F58" i="18"/>
  <c r="E58" i="18"/>
  <c r="D58" i="18"/>
  <c r="C58" i="18"/>
  <c r="B58" i="18"/>
  <c r="J57" i="18"/>
  <c r="I57" i="18"/>
  <c r="H57" i="18"/>
  <c r="G57" i="18"/>
  <c r="F57" i="18"/>
  <c r="E57" i="18"/>
  <c r="D57" i="18"/>
  <c r="C57" i="18"/>
  <c r="B57" i="18"/>
  <c r="J56" i="18"/>
  <c r="I56" i="18"/>
  <c r="H56" i="18"/>
  <c r="G56" i="18"/>
  <c r="F56" i="18"/>
  <c r="E56" i="18"/>
  <c r="D56" i="18"/>
  <c r="C56" i="18"/>
  <c r="B56" i="18"/>
  <c r="J55" i="18"/>
  <c r="I55" i="18"/>
  <c r="H55" i="18"/>
  <c r="G55" i="18"/>
  <c r="F55" i="18"/>
  <c r="E55" i="18"/>
  <c r="D55" i="18"/>
  <c r="C55" i="18"/>
  <c r="B55" i="18"/>
  <c r="J54" i="18"/>
  <c r="I54" i="18"/>
  <c r="H54" i="18"/>
  <c r="G54" i="18"/>
  <c r="F54" i="18"/>
  <c r="E54" i="18"/>
  <c r="D54" i="18"/>
  <c r="C54" i="18"/>
  <c r="B54" i="18"/>
  <c r="J53" i="18"/>
  <c r="I53" i="18"/>
  <c r="H53" i="18"/>
  <c r="G53" i="18"/>
  <c r="F53" i="18"/>
  <c r="E53" i="18"/>
  <c r="D53" i="18"/>
  <c r="C53" i="18"/>
  <c r="B53" i="18"/>
  <c r="J52" i="18"/>
  <c r="I52" i="18"/>
  <c r="H52" i="18"/>
  <c r="G52" i="18"/>
  <c r="F52" i="18"/>
  <c r="E52" i="18"/>
  <c r="D52" i="18"/>
  <c r="C52" i="18"/>
  <c r="B52" i="18"/>
  <c r="J51" i="18"/>
  <c r="I51" i="18"/>
  <c r="H51" i="18"/>
  <c r="G51" i="18"/>
  <c r="F51" i="18"/>
  <c r="E51" i="18"/>
  <c r="D51" i="18"/>
  <c r="C51" i="18"/>
  <c r="B51" i="18"/>
  <c r="J50" i="18"/>
  <c r="I50" i="18"/>
  <c r="H50" i="18"/>
  <c r="G50" i="18"/>
  <c r="F50" i="18"/>
  <c r="E50" i="18"/>
  <c r="D50" i="18"/>
  <c r="C50" i="18"/>
  <c r="B50" i="18"/>
  <c r="J49" i="18"/>
  <c r="I49" i="18"/>
  <c r="H49" i="18"/>
  <c r="G49" i="18"/>
  <c r="F49" i="18"/>
  <c r="E49" i="18"/>
  <c r="D49" i="18"/>
  <c r="C49" i="18"/>
  <c r="B49" i="18"/>
  <c r="J48" i="18"/>
  <c r="I48" i="18"/>
  <c r="H48" i="18"/>
  <c r="G48" i="18"/>
  <c r="F48" i="18"/>
  <c r="E48" i="18"/>
  <c r="D48" i="18"/>
  <c r="C48" i="18"/>
  <c r="B48" i="18"/>
  <c r="J47" i="18"/>
  <c r="I47" i="18"/>
  <c r="H47" i="18"/>
  <c r="G47" i="18"/>
  <c r="F47" i="18"/>
  <c r="E47" i="18"/>
  <c r="D47" i="18"/>
  <c r="C47" i="18"/>
  <c r="B47" i="18"/>
  <c r="J46" i="18"/>
  <c r="I46" i="18"/>
  <c r="H46" i="18"/>
  <c r="G46" i="18"/>
  <c r="F46" i="18"/>
  <c r="E46" i="18"/>
  <c r="D46" i="18"/>
  <c r="C46" i="18"/>
  <c r="B46" i="18"/>
  <c r="J45" i="18"/>
  <c r="I45" i="18"/>
  <c r="H45" i="18"/>
  <c r="G45" i="18"/>
  <c r="F45" i="18"/>
  <c r="E45" i="18"/>
  <c r="D45" i="18"/>
  <c r="C45" i="18"/>
  <c r="B45" i="18"/>
  <c r="J44" i="18"/>
  <c r="I44" i="18"/>
  <c r="H44" i="18"/>
  <c r="G44" i="18"/>
  <c r="F44" i="18"/>
  <c r="E44" i="18"/>
  <c r="D44" i="18"/>
  <c r="C44" i="18"/>
  <c r="B44" i="18"/>
  <c r="J43" i="18"/>
  <c r="I43" i="18"/>
  <c r="H43" i="18"/>
  <c r="G43" i="18"/>
  <c r="F43" i="18"/>
  <c r="E43" i="18"/>
  <c r="D43" i="18"/>
  <c r="C43" i="18"/>
  <c r="B43" i="18"/>
  <c r="J42" i="18"/>
  <c r="I42" i="18"/>
  <c r="H42" i="18"/>
  <c r="G42" i="18"/>
  <c r="F42" i="18"/>
  <c r="E42" i="18"/>
  <c r="D42" i="18"/>
  <c r="C42" i="18"/>
  <c r="B42" i="18"/>
  <c r="J41" i="18"/>
  <c r="I41" i="18"/>
  <c r="H41" i="18"/>
  <c r="G41" i="18"/>
  <c r="F41" i="18"/>
  <c r="E41" i="18"/>
  <c r="D41" i="18"/>
  <c r="C41" i="18"/>
  <c r="B41" i="18"/>
  <c r="J40" i="18"/>
  <c r="I40" i="18"/>
  <c r="H40" i="18"/>
  <c r="G40" i="18"/>
  <c r="F40" i="18"/>
  <c r="E40" i="18"/>
  <c r="D40" i="18"/>
  <c r="C40" i="18"/>
  <c r="B40" i="18"/>
  <c r="J39" i="18"/>
  <c r="I39" i="18"/>
  <c r="H39" i="18"/>
  <c r="G39" i="18"/>
  <c r="F39" i="18"/>
  <c r="E39" i="18"/>
  <c r="D39" i="18"/>
  <c r="C39" i="18"/>
  <c r="B39" i="18"/>
  <c r="J38" i="18"/>
  <c r="I38" i="18"/>
  <c r="H38" i="18"/>
  <c r="G38" i="18"/>
  <c r="F38" i="18"/>
  <c r="E38" i="18"/>
  <c r="D38" i="18"/>
  <c r="C38" i="18"/>
  <c r="B38" i="18"/>
  <c r="J37" i="18"/>
  <c r="I37" i="18"/>
  <c r="H37" i="18"/>
  <c r="G37" i="18"/>
  <c r="F37" i="18"/>
  <c r="E37" i="18"/>
  <c r="D37" i="18"/>
  <c r="C37" i="18"/>
  <c r="B37" i="18"/>
  <c r="J36" i="18"/>
  <c r="I36" i="18"/>
  <c r="H36" i="18"/>
  <c r="G36" i="18"/>
  <c r="F36" i="18"/>
  <c r="E36" i="18"/>
  <c r="D36" i="18"/>
  <c r="C36" i="18"/>
  <c r="B36" i="18"/>
  <c r="J35" i="18"/>
  <c r="I35" i="18"/>
  <c r="H35" i="18"/>
  <c r="G35" i="18"/>
  <c r="F35" i="18"/>
  <c r="E35" i="18"/>
  <c r="D35" i="18"/>
  <c r="C35" i="18"/>
  <c r="B35" i="18"/>
  <c r="J34" i="18"/>
  <c r="I34" i="18"/>
  <c r="H34" i="18"/>
  <c r="G34" i="18"/>
  <c r="F34" i="18"/>
  <c r="E34" i="18"/>
  <c r="D34" i="18"/>
  <c r="C34" i="18"/>
  <c r="B34" i="18"/>
  <c r="J33" i="18"/>
  <c r="I33" i="18"/>
  <c r="H33" i="18"/>
  <c r="G33" i="18"/>
  <c r="F33" i="18"/>
  <c r="E33" i="18"/>
  <c r="D33" i="18"/>
  <c r="C33" i="18"/>
  <c r="B33" i="18"/>
  <c r="J32" i="18"/>
  <c r="I32" i="18"/>
  <c r="H32" i="18"/>
  <c r="G32" i="18"/>
  <c r="F32" i="18"/>
  <c r="E32" i="18"/>
  <c r="D32" i="18"/>
  <c r="C32" i="18"/>
  <c r="B32" i="18"/>
  <c r="J31" i="18"/>
  <c r="I31" i="18"/>
  <c r="H31" i="18"/>
  <c r="G31" i="18"/>
  <c r="F31" i="18"/>
  <c r="E31" i="18"/>
  <c r="D31" i="18"/>
  <c r="C31" i="18"/>
  <c r="B31" i="18"/>
  <c r="J30" i="18"/>
  <c r="I30" i="18"/>
  <c r="H30" i="18"/>
  <c r="G30" i="18"/>
  <c r="F30" i="18"/>
  <c r="E30" i="18"/>
  <c r="D30" i="18"/>
  <c r="C30" i="18"/>
  <c r="B30" i="18"/>
  <c r="J29" i="18"/>
  <c r="I29" i="18"/>
  <c r="H29" i="18"/>
  <c r="G29" i="18"/>
  <c r="F29" i="18"/>
  <c r="E29" i="18"/>
  <c r="D29" i="18"/>
  <c r="C29" i="18"/>
  <c r="B29" i="18"/>
  <c r="J28" i="18"/>
  <c r="I28" i="18"/>
  <c r="H28" i="18"/>
  <c r="G28" i="18"/>
  <c r="F28" i="18"/>
  <c r="E28" i="18"/>
  <c r="D28" i="18"/>
  <c r="C28" i="18"/>
  <c r="B28" i="18"/>
  <c r="J27" i="18"/>
  <c r="I27" i="18"/>
  <c r="H27" i="18"/>
  <c r="G27" i="18"/>
  <c r="F27" i="18"/>
  <c r="E27" i="18"/>
  <c r="D27" i="18"/>
  <c r="C27" i="18"/>
  <c r="B27" i="18"/>
  <c r="J26" i="18"/>
  <c r="I26" i="18"/>
  <c r="H26" i="18"/>
  <c r="G26" i="18"/>
  <c r="F26" i="18"/>
  <c r="E26" i="18"/>
  <c r="D26" i="18"/>
  <c r="C26" i="18"/>
  <c r="B26" i="18"/>
  <c r="J25" i="18"/>
  <c r="I25" i="18"/>
  <c r="H25" i="18"/>
  <c r="G25" i="18"/>
  <c r="F25" i="18"/>
  <c r="E25" i="18"/>
  <c r="D25" i="18"/>
  <c r="C25" i="18"/>
  <c r="B25" i="18"/>
  <c r="J24" i="18"/>
  <c r="I24" i="18"/>
  <c r="H24" i="18"/>
  <c r="G24" i="18"/>
  <c r="F24" i="18"/>
  <c r="E24" i="18"/>
  <c r="D24" i="18"/>
  <c r="C24" i="18"/>
  <c r="B24" i="18"/>
  <c r="J23" i="18"/>
  <c r="I23" i="18"/>
  <c r="H23" i="18"/>
  <c r="G23" i="18"/>
  <c r="F23" i="18"/>
  <c r="E23" i="18"/>
  <c r="D23" i="18"/>
  <c r="C23" i="18"/>
  <c r="B23" i="18"/>
  <c r="J22" i="18"/>
  <c r="I22" i="18"/>
  <c r="H22" i="18"/>
  <c r="G22" i="18"/>
  <c r="F22" i="18"/>
  <c r="E22" i="18"/>
  <c r="D22" i="18"/>
  <c r="C22" i="18"/>
  <c r="B22" i="18"/>
  <c r="J21" i="18"/>
  <c r="I21" i="18"/>
  <c r="H21" i="18"/>
  <c r="G21" i="18"/>
  <c r="F21" i="18"/>
  <c r="E21" i="18"/>
  <c r="D21" i="18"/>
  <c r="C21" i="18"/>
  <c r="B21" i="18"/>
  <c r="J20" i="18"/>
  <c r="I20" i="18"/>
  <c r="H20" i="18"/>
  <c r="G20" i="18"/>
  <c r="F20" i="18"/>
  <c r="E20" i="18"/>
  <c r="D20" i="18"/>
  <c r="C20" i="18"/>
  <c r="B20" i="18"/>
  <c r="J19" i="18"/>
  <c r="I19" i="18"/>
  <c r="H19" i="18"/>
  <c r="G19" i="18"/>
  <c r="F19" i="18"/>
  <c r="E19" i="18"/>
  <c r="D19" i="18"/>
  <c r="C19" i="18"/>
  <c r="B19" i="18"/>
  <c r="J18" i="18"/>
  <c r="I18" i="18"/>
  <c r="H18" i="18"/>
  <c r="G18" i="18"/>
  <c r="F18" i="18"/>
  <c r="E18" i="18"/>
  <c r="D18" i="18"/>
  <c r="C18" i="18"/>
  <c r="B18" i="18"/>
  <c r="J17" i="18"/>
  <c r="I17" i="18"/>
  <c r="H17" i="18"/>
  <c r="G17" i="18"/>
  <c r="F17" i="18"/>
  <c r="E17" i="18"/>
  <c r="D17" i="18"/>
  <c r="C17" i="18"/>
  <c r="B17" i="18"/>
  <c r="J16" i="18"/>
  <c r="I16" i="18"/>
  <c r="H16" i="18"/>
  <c r="G16" i="18"/>
  <c r="F16" i="18"/>
  <c r="E16" i="18"/>
  <c r="D16" i="18"/>
  <c r="C16" i="18"/>
  <c r="B16" i="18"/>
  <c r="J15" i="18"/>
  <c r="I15" i="18"/>
  <c r="H15" i="18"/>
  <c r="G15" i="18"/>
  <c r="F15" i="18"/>
  <c r="E15" i="18"/>
  <c r="D15" i="18"/>
  <c r="C15" i="18"/>
  <c r="B15" i="18"/>
  <c r="J14" i="18"/>
  <c r="I14" i="18"/>
  <c r="H14" i="18"/>
  <c r="G14" i="18"/>
  <c r="F14" i="18"/>
  <c r="E14" i="18"/>
  <c r="D14" i="18"/>
  <c r="C14" i="18"/>
  <c r="B14" i="18"/>
  <c r="J13" i="18"/>
  <c r="I13" i="18"/>
  <c r="H13" i="18"/>
  <c r="G13" i="18"/>
  <c r="F13" i="18"/>
  <c r="E13" i="18"/>
  <c r="D13" i="18"/>
  <c r="C13" i="18"/>
  <c r="B13" i="18"/>
  <c r="J12" i="18"/>
  <c r="I12" i="18"/>
  <c r="H12" i="18"/>
  <c r="G12" i="18"/>
  <c r="F12" i="18"/>
  <c r="E12" i="18"/>
  <c r="D12" i="18"/>
  <c r="C12" i="18"/>
  <c r="B12" i="18"/>
  <c r="J11" i="18"/>
  <c r="I11" i="18"/>
  <c r="H11" i="18"/>
  <c r="G11" i="18"/>
  <c r="F11" i="18"/>
  <c r="E11" i="18"/>
  <c r="D11" i="18"/>
  <c r="C11" i="18"/>
  <c r="B11" i="18"/>
  <c r="J10" i="18"/>
  <c r="I10" i="18"/>
  <c r="H10" i="18"/>
  <c r="G10" i="18"/>
  <c r="F10" i="18"/>
  <c r="E10" i="18"/>
  <c r="D10" i="18"/>
  <c r="C10" i="18"/>
  <c r="B10" i="18"/>
  <c r="J9" i="18"/>
  <c r="I9" i="18"/>
  <c r="H9" i="18"/>
  <c r="G9" i="18"/>
  <c r="F9" i="18"/>
  <c r="E9" i="18"/>
  <c r="D9" i="18"/>
  <c r="C9" i="18"/>
  <c r="B9" i="18"/>
  <c r="J8" i="18"/>
  <c r="I8" i="18"/>
  <c r="H8" i="18"/>
  <c r="G8" i="18"/>
  <c r="F8" i="18"/>
  <c r="E8" i="18"/>
  <c r="D8" i="18"/>
  <c r="C8" i="18"/>
  <c r="B8" i="18"/>
  <c r="J7" i="18"/>
  <c r="I7" i="18"/>
  <c r="H7" i="18"/>
  <c r="G7" i="18"/>
  <c r="F7" i="18"/>
  <c r="E7" i="18"/>
  <c r="D7" i="18"/>
  <c r="C7" i="18"/>
  <c r="B7" i="18"/>
  <c r="B6" i="18"/>
  <c r="B5" i="18"/>
  <c r="B4" i="18"/>
  <c r="B3" i="18"/>
  <c r="B2" i="18"/>
  <c r="H72" i="15"/>
  <c r="F72" i="15"/>
  <c r="D72" i="15"/>
  <c r="J69" i="15"/>
  <c r="H69" i="15"/>
  <c r="F69" i="15"/>
  <c r="D69" i="15"/>
  <c r="T58" i="15"/>
  <c r="S58" i="15"/>
  <c r="R58" i="15"/>
  <c r="Q58" i="15"/>
  <c r="D57" i="15"/>
  <c r="D56" i="15"/>
  <c r="G54" i="15"/>
  <c r="R53" i="15"/>
  <c r="T52" i="15"/>
  <c r="R52" i="15"/>
  <c r="K52" i="15"/>
  <c r="J52" i="15"/>
  <c r="H52" i="15"/>
  <c r="F52" i="15"/>
  <c r="E52" i="15"/>
  <c r="J51" i="15"/>
  <c r="H51" i="15"/>
  <c r="F51" i="15"/>
  <c r="Q49" i="15"/>
  <c r="Q48" i="15"/>
  <c r="W47" i="15"/>
  <c r="V47" i="15"/>
  <c r="T47" i="15"/>
  <c r="D47" i="15"/>
  <c r="W46" i="15"/>
  <c r="V46" i="15"/>
  <c r="T46" i="15"/>
  <c r="W45" i="15"/>
  <c r="V45" i="15"/>
  <c r="U45" i="15"/>
  <c r="T45" i="15"/>
  <c r="S45" i="15"/>
  <c r="R45" i="15"/>
  <c r="Q45" i="15"/>
  <c r="E45" i="15"/>
  <c r="W44" i="15"/>
  <c r="V44" i="15"/>
  <c r="U44" i="15"/>
  <c r="T44" i="15"/>
  <c r="R44" i="15"/>
  <c r="Q44" i="15"/>
  <c r="W43" i="15"/>
  <c r="V43" i="15"/>
  <c r="U43" i="15"/>
  <c r="T43" i="15"/>
  <c r="S43" i="15"/>
  <c r="R43" i="15"/>
  <c r="W42" i="15"/>
  <c r="V42" i="15"/>
  <c r="U42" i="15"/>
  <c r="T42" i="15"/>
  <c r="S42" i="15"/>
  <c r="R42" i="15"/>
  <c r="K42" i="15"/>
  <c r="J42" i="15"/>
  <c r="F42" i="15"/>
  <c r="D42" i="15"/>
  <c r="K40" i="15"/>
  <c r="J40" i="15"/>
  <c r="I40" i="15"/>
  <c r="H40" i="15"/>
  <c r="G40" i="15"/>
  <c r="F40" i="15"/>
  <c r="E40" i="15"/>
  <c r="K39" i="15"/>
  <c r="J39" i="15"/>
  <c r="I39" i="15"/>
  <c r="H39" i="15"/>
  <c r="G39" i="15"/>
  <c r="F39" i="15"/>
  <c r="E39" i="15"/>
  <c r="K38" i="15"/>
  <c r="J38" i="15"/>
  <c r="I38" i="15"/>
  <c r="H38" i="15"/>
  <c r="G38" i="15"/>
  <c r="F38" i="15"/>
  <c r="E38" i="15"/>
  <c r="K37" i="15"/>
  <c r="J37" i="15"/>
  <c r="I37" i="15"/>
  <c r="H37" i="15"/>
  <c r="G37" i="15"/>
  <c r="F37" i="15"/>
  <c r="E37" i="15"/>
  <c r="T34" i="15"/>
  <c r="R34" i="15"/>
  <c r="W31" i="15"/>
  <c r="V31" i="15"/>
  <c r="U31" i="15"/>
  <c r="T31" i="15"/>
  <c r="S31" i="15"/>
  <c r="R31" i="15"/>
  <c r="F30" i="15"/>
  <c r="F29" i="15"/>
  <c r="I28" i="15"/>
  <c r="F28" i="15"/>
  <c r="V27" i="15"/>
  <c r="U27" i="15"/>
  <c r="T27" i="15"/>
  <c r="S27" i="15"/>
  <c r="R27" i="15"/>
  <c r="Q27" i="15"/>
  <c r="P27" i="15"/>
  <c r="F24" i="15"/>
  <c r="G22" i="15"/>
  <c r="F20" i="15"/>
  <c r="D20" i="15"/>
  <c r="Q19" i="15"/>
  <c r="F19" i="15"/>
  <c r="E19" i="15"/>
  <c r="Q18" i="15"/>
  <c r="Q17" i="15"/>
  <c r="I17" i="15"/>
  <c r="S16" i="15"/>
  <c r="Q16" i="15"/>
  <c r="K16" i="15"/>
  <c r="J16" i="15"/>
  <c r="I16" i="15"/>
  <c r="E16" i="15"/>
  <c r="S15" i="15"/>
  <c r="Q15" i="15"/>
  <c r="S14" i="15"/>
  <c r="Q14" i="15"/>
  <c r="S13" i="15"/>
  <c r="Q13" i="15"/>
  <c r="G12" i="15"/>
  <c r="F12" i="15"/>
  <c r="E12" i="15"/>
  <c r="D12" i="15"/>
  <c r="C12" i="15"/>
  <c r="K11" i="15"/>
  <c r="J11" i="15"/>
  <c r="I11" i="15"/>
  <c r="H11" i="15"/>
  <c r="G11" i="15"/>
  <c r="F11" i="15"/>
  <c r="E11" i="15"/>
  <c r="D11" i="15"/>
  <c r="C11" i="15"/>
  <c r="W9" i="15"/>
  <c r="S9" i="15"/>
  <c r="R9" i="15"/>
  <c r="Q9" i="15"/>
  <c r="S7" i="15"/>
  <c r="R7" i="15"/>
  <c r="Q7" i="15"/>
  <c r="K7" i="15"/>
  <c r="G7" i="15"/>
  <c r="F7" i="15"/>
  <c r="C7" i="15"/>
  <c r="H5" i="15"/>
  <c r="E5" i="15"/>
  <c r="K3" i="15"/>
  <c r="J3" i="15"/>
  <c r="I3" i="15"/>
  <c r="H3" i="15"/>
  <c r="F3" i="15"/>
  <c r="E3" i="15"/>
  <c r="M78" i="4"/>
  <c r="L78" i="4"/>
  <c r="K78" i="4"/>
  <c r="J78" i="4"/>
  <c r="I78" i="4"/>
  <c r="H78" i="4"/>
  <c r="G78" i="4"/>
  <c r="F78" i="4"/>
  <c r="E78" i="4"/>
  <c r="D78" i="4"/>
  <c r="C78" i="4"/>
  <c r="M77" i="4"/>
  <c r="L77" i="4"/>
  <c r="K77" i="4"/>
  <c r="J77" i="4"/>
  <c r="I77" i="4"/>
  <c r="H77" i="4"/>
  <c r="G77" i="4"/>
  <c r="F77" i="4"/>
  <c r="E77" i="4"/>
  <c r="D77" i="4"/>
  <c r="C77" i="4"/>
  <c r="M76" i="4"/>
  <c r="L76" i="4"/>
  <c r="K76" i="4"/>
  <c r="J76" i="4"/>
  <c r="I76" i="4"/>
  <c r="H76" i="4"/>
  <c r="G76" i="4"/>
  <c r="F76" i="4"/>
  <c r="E76" i="4"/>
  <c r="D76" i="4"/>
  <c r="C76" i="4"/>
  <c r="M75" i="4"/>
  <c r="L75" i="4"/>
  <c r="K75" i="4"/>
  <c r="J75" i="4"/>
  <c r="I75" i="4"/>
  <c r="H75" i="4"/>
  <c r="G75" i="4"/>
  <c r="F75" i="4"/>
  <c r="E75" i="4"/>
  <c r="D75" i="4"/>
  <c r="C75" i="4"/>
  <c r="M74" i="4"/>
  <c r="L74" i="4"/>
  <c r="K74" i="4"/>
  <c r="J74" i="4"/>
  <c r="I74" i="4"/>
  <c r="H74" i="4"/>
  <c r="G74" i="4"/>
  <c r="F74" i="4"/>
  <c r="E74" i="4"/>
  <c r="D74" i="4"/>
  <c r="C74" i="4"/>
  <c r="M73" i="4"/>
  <c r="L73" i="4"/>
  <c r="K73" i="4"/>
  <c r="J73" i="4"/>
  <c r="I73" i="4"/>
  <c r="H73" i="4"/>
  <c r="G73" i="4"/>
  <c r="F73" i="4"/>
  <c r="E73" i="4"/>
  <c r="D73" i="4"/>
  <c r="C73" i="4"/>
  <c r="M72" i="4"/>
  <c r="L72" i="4"/>
  <c r="K72" i="4"/>
  <c r="J72" i="4"/>
  <c r="I72" i="4"/>
  <c r="H72" i="4"/>
  <c r="G72" i="4"/>
  <c r="F72" i="4"/>
  <c r="E72" i="4"/>
  <c r="D72" i="4"/>
  <c r="C72" i="4"/>
  <c r="M71" i="4"/>
  <c r="L71" i="4"/>
  <c r="K71" i="4"/>
  <c r="J71" i="4"/>
  <c r="I71" i="4"/>
  <c r="H71" i="4"/>
  <c r="G71" i="4"/>
  <c r="F71" i="4"/>
  <c r="E71" i="4"/>
  <c r="D71" i="4"/>
  <c r="C71" i="4"/>
  <c r="M70" i="4"/>
  <c r="L70" i="4"/>
  <c r="K70" i="4"/>
  <c r="J70" i="4"/>
  <c r="I70" i="4"/>
  <c r="H70" i="4"/>
  <c r="G70" i="4"/>
  <c r="F70" i="4"/>
  <c r="E70" i="4"/>
  <c r="D70" i="4"/>
  <c r="C70" i="4"/>
  <c r="M69" i="4"/>
  <c r="L69" i="4"/>
  <c r="K69" i="4"/>
  <c r="J69" i="4"/>
  <c r="I69" i="4"/>
  <c r="H69" i="4"/>
  <c r="G69" i="4"/>
  <c r="F69" i="4"/>
  <c r="E69" i="4"/>
  <c r="D69" i="4"/>
  <c r="C69" i="4"/>
  <c r="M68" i="4"/>
  <c r="L68" i="4"/>
  <c r="K68" i="4"/>
  <c r="J68" i="4"/>
  <c r="I68" i="4"/>
  <c r="H68" i="4"/>
  <c r="G68" i="4"/>
  <c r="F68" i="4"/>
  <c r="E68" i="4"/>
  <c r="D68" i="4"/>
  <c r="C68" i="4"/>
  <c r="M67" i="4"/>
  <c r="L67" i="4"/>
  <c r="K67" i="4"/>
  <c r="J67" i="4"/>
  <c r="I67" i="4"/>
  <c r="H67" i="4"/>
  <c r="G67" i="4"/>
  <c r="F67" i="4"/>
  <c r="E67" i="4"/>
  <c r="D67" i="4"/>
  <c r="C67" i="4"/>
  <c r="M66" i="4"/>
  <c r="L66" i="4"/>
  <c r="K66" i="4"/>
  <c r="J66" i="4"/>
  <c r="I66" i="4"/>
  <c r="H66" i="4"/>
  <c r="G66" i="4"/>
  <c r="F66" i="4"/>
  <c r="E66" i="4"/>
  <c r="D66" i="4"/>
  <c r="C66" i="4"/>
  <c r="M65" i="4"/>
  <c r="L65" i="4"/>
  <c r="K65" i="4"/>
  <c r="J65" i="4"/>
  <c r="I65" i="4"/>
  <c r="H65" i="4"/>
  <c r="G65" i="4"/>
  <c r="F65" i="4"/>
  <c r="E65" i="4"/>
  <c r="D65" i="4"/>
  <c r="C65" i="4"/>
  <c r="M64" i="4"/>
  <c r="L64" i="4"/>
  <c r="K64" i="4"/>
  <c r="J64" i="4"/>
  <c r="I64" i="4"/>
  <c r="H64" i="4"/>
  <c r="G64" i="4"/>
  <c r="F64" i="4"/>
  <c r="E64" i="4"/>
  <c r="D64" i="4"/>
  <c r="C64" i="4"/>
  <c r="M63" i="4"/>
  <c r="L63" i="4"/>
  <c r="K63" i="4"/>
  <c r="J63" i="4"/>
  <c r="I63" i="4"/>
  <c r="H63" i="4"/>
  <c r="G63" i="4"/>
  <c r="F63" i="4"/>
  <c r="E63" i="4"/>
  <c r="D63" i="4"/>
  <c r="C63" i="4"/>
  <c r="M62" i="4"/>
  <c r="L62" i="4"/>
  <c r="K62" i="4"/>
  <c r="J62" i="4"/>
  <c r="I62" i="4"/>
  <c r="H62" i="4"/>
  <c r="G62" i="4"/>
  <c r="F62" i="4"/>
  <c r="E62" i="4"/>
  <c r="D62" i="4"/>
  <c r="C62" i="4"/>
  <c r="M61" i="4"/>
  <c r="L61" i="4"/>
  <c r="K61" i="4"/>
  <c r="J61" i="4"/>
  <c r="I61" i="4"/>
  <c r="H61" i="4"/>
  <c r="G61" i="4"/>
  <c r="F61" i="4"/>
  <c r="E61" i="4"/>
  <c r="D61" i="4"/>
  <c r="C61" i="4"/>
  <c r="M60" i="4"/>
  <c r="L60" i="4"/>
  <c r="K60" i="4"/>
  <c r="J60" i="4"/>
  <c r="I60" i="4"/>
  <c r="H60" i="4"/>
  <c r="G60" i="4"/>
  <c r="F60" i="4"/>
  <c r="E60" i="4"/>
  <c r="D60" i="4"/>
  <c r="C60" i="4"/>
  <c r="M59" i="4"/>
  <c r="L59" i="4"/>
  <c r="K59" i="4"/>
  <c r="J59" i="4"/>
  <c r="I59" i="4"/>
  <c r="H59" i="4"/>
  <c r="G59" i="4"/>
  <c r="F59" i="4"/>
  <c r="E59" i="4"/>
  <c r="D59" i="4"/>
  <c r="C59" i="4"/>
  <c r="M53" i="4"/>
  <c r="L53" i="4"/>
  <c r="K53" i="4"/>
  <c r="J53" i="4"/>
  <c r="I53" i="4"/>
  <c r="H53" i="4"/>
  <c r="G53" i="4"/>
  <c r="F53" i="4"/>
  <c r="E53" i="4"/>
  <c r="D53" i="4"/>
  <c r="C53" i="4"/>
  <c r="M52" i="4"/>
  <c r="L52" i="4"/>
  <c r="K52" i="4"/>
  <c r="J52" i="4"/>
  <c r="I52" i="4"/>
  <c r="H52" i="4"/>
  <c r="G52" i="4"/>
  <c r="F52" i="4"/>
  <c r="E52" i="4"/>
  <c r="D52" i="4"/>
  <c r="C52" i="4"/>
  <c r="M51" i="4"/>
  <c r="L51" i="4"/>
  <c r="K51" i="4"/>
  <c r="J51" i="4"/>
  <c r="I51" i="4"/>
  <c r="H51" i="4"/>
  <c r="G51" i="4"/>
  <c r="F51" i="4"/>
  <c r="E51" i="4"/>
  <c r="D51" i="4"/>
  <c r="C51" i="4"/>
  <c r="M50" i="4"/>
  <c r="L50" i="4"/>
  <c r="K50" i="4"/>
  <c r="J50" i="4"/>
  <c r="I50" i="4"/>
  <c r="H50" i="4"/>
  <c r="G50" i="4"/>
  <c r="F50" i="4"/>
  <c r="E50" i="4"/>
  <c r="D50" i="4"/>
  <c r="C50" i="4"/>
  <c r="M49" i="4"/>
  <c r="L49" i="4"/>
  <c r="K49" i="4"/>
  <c r="J49" i="4"/>
  <c r="I49" i="4"/>
  <c r="H49" i="4"/>
  <c r="G49" i="4"/>
  <c r="F49" i="4"/>
  <c r="E49" i="4"/>
  <c r="D49" i="4"/>
  <c r="C49" i="4"/>
  <c r="M48" i="4"/>
  <c r="L48" i="4"/>
  <c r="K48" i="4"/>
  <c r="J48" i="4"/>
  <c r="I48" i="4"/>
  <c r="H48" i="4"/>
  <c r="G48" i="4"/>
  <c r="F48" i="4"/>
  <c r="E48" i="4"/>
  <c r="D48" i="4"/>
  <c r="C48" i="4"/>
  <c r="M47" i="4"/>
  <c r="L47" i="4"/>
  <c r="K47" i="4"/>
  <c r="J47" i="4"/>
  <c r="I47" i="4"/>
  <c r="H47" i="4"/>
  <c r="G47" i="4"/>
  <c r="F47" i="4"/>
  <c r="E47" i="4"/>
  <c r="D47" i="4"/>
  <c r="C47" i="4"/>
  <c r="M46" i="4"/>
  <c r="L46" i="4"/>
  <c r="K46" i="4"/>
  <c r="J46" i="4"/>
  <c r="I46" i="4"/>
  <c r="H46" i="4"/>
  <c r="G46" i="4"/>
  <c r="F46" i="4"/>
  <c r="E46" i="4"/>
  <c r="D46" i="4"/>
  <c r="C46" i="4"/>
  <c r="M45" i="4"/>
  <c r="L45" i="4"/>
  <c r="K45" i="4"/>
  <c r="J45" i="4"/>
  <c r="I45" i="4"/>
  <c r="H45" i="4"/>
  <c r="G45" i="4"/>
  <c r="F45" i="4"/>
  <c r="E45" i="4"/>
  <c r="D45" i="4"/>
  <c r="C45" i="4"/>
  <c r="M44" i="4"/>
  <c r="L44" i="4"/>
  <c r="K44" i="4"/>
  <c r="J44" i="4"/>
  <c r="I44" i="4"/>
  <c r="H44" i="4"/>
  <c r="G44" i="4"/>
  <c r="F44" i="4"/>
  <c r="E44" i="4"/>
  <c r="D44" i="4"/>
  <c r="C44" i="4"/>
  <c r="M43" i="4"/>
  <c r="L43" i="4"/>
  <c r="K43" i="4"/>
  <c r="J43" i="4"/>
  <c r="I43" i="4"/>
  <c r="H43" i="4"/>
  <c r="G43" i="4"/>
  <c r="F43" i="4"/>
  <c r="E43" i="4"/>
  <c r="D43" i="4"/>
  <c r="C43" i="4"/>
  <c r="M42" i="4"/>
  <c r="L42" i="4"/>
  <c r="K42" i="4"/>
  <c r="J42" i="4"/>
  <c r="I42" i="4"/>
  <c r="H42" i="4"/>
  <c r="G42" i="4"/>
  <c r="F42" i="4"/>
  <c r="E42" i="4"/>
  <c r="D42" i="4"/>
  <c r="C42" i="4"/>
  <c r="M41" i="4"/>
  <c r="L41" i="4"/>
  <c r="K41" i="4"/>
  <c r="J41" i="4"/>
  <c r="I41" i="4"/>
  <c r="H41" i="4"/>
  <c r="G41" i="4"/>
  <c r="F41" i="4"/>
  <c r="E41" i="4"/>
  <c r="D41" i="4"/>
  <c r="C41" i="4"/>
  <c r="M40" i="4"/>
  <c r="L40" i="4"/>
  <c r="K40" i="4"/>
  <c r="J40" i="4"/>
  <c r="I40" i="4"/>
  <c r="H40" i="4"/>
  <c r="G40" i="4"/>
  <c r="F40" i="4"/>
  <c r="E40" i="4"/>
  <c r="D40" i="4"/>
  <c r="C40" i="4"/>
  <c r="M39" i="4"/>
  <c r="L39" i="4"/>
  <c r="K39" i="4"/>
  <c r="J39" i="4"/>
  <c r="I39" i="4"/>
  <c r="H39" i="4"/>
  <c r="G39" i="4"/>
  <c r="F39" i="4"/>
  <c r="E39" i="4"/>
  <c r="D39" i="4"/>
  <c r="C39" i="4"/>
  <c r="M38" i="4"/>
  <c r="L38" i="4"/>
  <c r="K38" i="4"/>
  <c r="J38" i="4"/>
  <c r="I38" i="4"/>
  <c r="H38" i="4"/>
  <c r="G38" i="4"/>
  <c r="F38" i="4"/>
  <c r="E38" i="4"/>
  <c r="D38" i="4"/>
  <c r="C38" i="4"/>
  <c r="M37" i="4"/>
  <c r="L37" i="4"/>
  <c r="K37" i="4"/>
  <c r="J37" i="4"/>
  <c r="I37" i="4"/>
  <c r="H37" i="4"/>
  <c r="G37" i="4"/>
  <c r="F37" i="4"/>
  <c r="E37" i="4"/>
  <c r="D37" i="4"/>
  <c r="C37" i="4"/>
  <c r="M36" i="4"/>
  <c r="L36" i="4"/>
  <c r="K36" i="4"/>
  <c r="J36" i="4"/>
  <c r="I36" i="4"/>
  <c r="H36" i="4"/>
  <c r="G36" i="4"/>
  <c r="F36" i="4"/>
  <c r="E36" i="4"/>
  <c r="D36" i="4"/>
  <c r="C36" i="4"/>
  <c r="M35" i="4"/>
  <c r="L35" i="4"/>
  <c r="K35" i="4"/>
  <c r="J35" i="4"/>
  <c r="I35" i="4"/>
  <c r="H35" i="4"/>
  <c r="G35" i="4"/>
  <c r="F35" i="4"/>
  <c r="E35" i="4"/>
  <c r="D35" i="4"/>
  <c r="C35" i="4"/>
  <c r="T34" i="4"/>
  <c r="S34" i="4"/>
  <c r="R34" i="4"/>
  <c r="Q34" i="4"/>
  <c r="P34" i="4"/>
  <c r="O34" i="4"/>
  <c r="M34" i="4"/>
  <c r="L34" i="4"/>
  <c r="K34" i="4"/>
  <c r="J34" i="4"/>
  <c r="I34" i="4"/>
  <c r="H34" i="4"/>
  <c r="G34" i="4"/>
  <c r="F34" i="4"/>
  <c r="E34" i="4"/>
  <c r="D34" i="4"/>
  <c r="C34" i="4"/>
  <c r="T33" i="4"/>
  <c r="S33" i="4"/>
  <c r="R33" i="4"/>
  <c r="Q33" i="4"/>
  <c r="P33" i="4"/>
  <c r="O33" i="4"/>
  <c r="T32" i="4"/>
  <c r="S32" i="4"/>
  <c r="R32" i="4"/>
  <c r="Q32" i="4"/>
  <c r="P32" i="4"/>
  <c r="O32" i="4"/>
  <c r="T31" i="4"/>
  <c r="S31" i="4"/>
  <c r="R31" i="4"/>
  <c r="Q31" i="4"/>
  <c r="P31" i="4"/>
  <c r="O31" i="4"/>
  <c r="T30" i="4"/>
  <c r="S30" i="4"/>
  <c r="R30" i="4"/>
  <c r="Q30" i="4"/>
  <c r="P30" i="4"/>
  <c r="O30" i="4"/>
  <c r="T29" i="4"/>
  <c r="S29" i="4"/>
  <c r="R29" i="4"/>
  <c r="Q29" i="4"/>
  <c r="P29" i="4"/>
  <c r="O29" i="4"/>
  <c r="T28" i="4"/>
  <c r="S28" i="4"/>
  <c r="R28" i="4"/>
  <c r="Q28" i="4"/>
  <c r="P28" i="4"/>
  <c r="O28" i="4"/>
  <c r="T27" i="4"/>
  <c r="S27" i="4"/>
  <c r="R27" i="4"/>
  <c r="Q27" i="4"/>
  <c r="P27" i="4"/>
  <c r="O27" i="4"/>
  <c r="T26" i="4"/>
  <c r="S26" i="4"/>
  <c r="R26" i="4"/>
  <c r="Q26" i="4"/>
  <c r="P26" i="4"/>
  <c r="O26" i="4"/>
  <c r="T25" i="4"/>
  <c r="S25" i="4"/>
  <c r="R25" i="4"/>
  <c r="Q25" i="4"/>
  <c r="P25" i="4"/>
  <c r="O25" i="4"/>
  <c r="T24" i="4"/>
  <c r="S24" i="4"/>
  <c r="R24" i="4"/>
  <c r="Q24" i="4"/>
  <c r="P24" i="4"/>
  <c r="O24" i="4"/>
  <c r="T23" i="4"/>
  <c r="S23" i="4"/>
  <c r="R23" i="4"/>
  <c r="Q23" i="4"/>
  <c r="P23" i="4"/>
  <c r="O23" i="4"/>
  <c r="T22" i="4"/>
  <c r="S22" i="4"/>
  <c r="R22" i="4"/>
  <c r="Q22" i="4"/>
  <c r="P22" i="4"/>
  <c r="O22" i="4"/>
  <c r="T21" i="4"/>
  <c r="S21" i="4"/>
  <c r="R21" i="4"/>
  <c r="Q21" i="4"/>
  <c r="P21" i="4"/>
  <c r="O21" i="4"/>
  <c r="T20" i="4"/>
  <c r="S20" i="4"/>
  <c r="R20" i="4"/>
  <c r="Q20" i="4"/>
  <c r="P20" i="4"/>
  <c r="O20" i="4"/>
  <c r="T19" i="4"/>
  <c r="S19" i="4"/>
  <c r="R19" i="4"/>
  <c r="Q19" i="4"/>
  <c r="P19" i="4"/>
  <c r="O19" i="4"/>
  <c r="T18" i="4"/>
  <c r="S18" i="4"/>
  <c r="R18" i="4"/>
  <c r="Q18" i="4"/>
  <c r="P18" i="4"/>
  <c r="O18" i="4"/>
  <c r="T17" i="4"/>
  <c r="S17" i="4"/>
  <c r="R17" i="4"/>
  <c r="Q17" i="4"/>
  <c r="P17" i="4"/>
  <c r="O17" i="4"/>
  <c r="T16" i="4"/>
  <c r="S16" i="4"/>
  <c r="R16" i="4"/>
  <c r="Q16" i="4"/>
  <c r="P16" i="4"/>
  <c r="O16" i="4"/>
  <c r="E16" i="4"/>
  <c r="D16" i="4"/>
  <c r="T15" i="4"/>
  <c r="S15" i="4"/>
  <c r="R15" i="4"/>
  <c r="Q15" i="4"/>
  <c r="P15" i="4"/>
  <c r="O15" i="4"/>
  <c r="E15" i="4"/>
  <c r="D15" i="4"/>
  <c r="AW14" i="4"/>
  <c r="T14" i="4"/>
  <c r="S14" i="4"/>
  <c r="R14" i="4"/>
  <c r="Q14" i="4"/>
  <c r="P14" i="4"/>
  <c r="O14" i="4"/>
  <c r="T13" i="4"/>
  <c r="S13" i="4"/>
  <c r="R13" i="4"/>
  <c r="Q13" i="4"/>
  <c r="P13" i="4"/>
  <c r="O13" i="4"/>
  <c r="T12" i="4"/>
  <c r="S12" i="4"/>
  <c r="R12" i="4"/>
  <c r="Q12" i="4"/>
  <c r="P12" i="4"/>
  <c r="O12" i="4"/>
  <c r="E12" i="4"/>
  <c r="D12" i="4"/>
  <c r="T11" i="4"/>
  <c r="S11" i="4"/>
  <c r="R11" i="4"/>
  <c r="Q11" i="4"/>
  <c r="P11" i="4"/>
  <c r="O11" i="4"/>
  <c r="E11" i="4"/>
  <c r="D11" i="4"/>
  <c r="U8" i="4"/>
  <c r="Q8" i="4"/>
  <c r="P8" i="4"/>
  <c r="O8" i="4"/>
  <c r="I8" i="4"/>
  <c r="H8" i="4"/>
  <c r="G8" i="4"/>
  <c r="V7" i="4"/>
  <c r="U7" i="4"/>
  <c r="Q7" i="4"/>
  <c r="P7" i="4"/>
  <c r="O7" i="4"/>
  <c r="I7" i="4"/>
  <c r="H7" i="4"/>
  <c r="G7" i="4"/>
  <c r="U6" i="4"/>
  <c r="Q6" i="4"/>
  <c r="P6" i="4"/>
  <c r="O6" i="4"/>
  <c r="I6" i="4"/>
  <c r="H6" i="4"/>
  <c r="G6" i="4"/>
  <c r="U5" i="4"/>
  <c r="Q5" i="4"/>
  <c r="P5" i="4"/>
  <c r="O5" i="4"/>
  <c r="I5" i="4"/>
  <c r="H5" i="4"/>
  <c r="G5" i="4"/>
  <c r="U4" i="4"/>
  <c r="Q4" i="4"/>
  <c r="P4" i="4"/>
  <c r="O4" i="4"/>
  <c r="I4" i="4"/>
  <c r="H4" i="4"/>
  <c r="G4" i="4"/>
  <c r="U3" i="4"/>
  <c r="Q3" i="4"/>
  <c r="P3" i="4"/>
  <c r="O3" i="4"/>
  <c r="I3" i="4"/>
  <c r="H3" i="4"/>
  <c r="W2" i="4"/>
  <c r="M43" i="7"/>
  <c r="L43" i="7"/>
  <c r="K43" i="7"/>
  <c r="J43" i="7"/>
  <c r="I43" i="7"/>
  <c r="G43" i="7"/>
  <c r="F43" i="7"/>
  <c r="E43" i="7"/>
  <c r="D43" i="7"/>
  <c r="C43" i="7"/>
  <c r="M42" i="7"/>
  <c r="L42" i="7"/>
  <c r="K42" i="7"/>
  <c r="J42" i="7"/>
  <c r="I42" i="7"/>
  <c r="G42" i="7"/>
  <c r="F42" i="7"/>
  <c r="E42" i="7"/>
  <c r="D42" i="7"/>
  <c r="C42" i="7"/>
  <c r="M41" i="7"/>
  <c r="L41" i="7"/>
  <c r="K41" i="7"/>
  <c r="J41" i="7"/>
  <c r="I41" i="7"/>
  <c r="G41" i="7"/>
  <c r="F41" i="7"/>
  <c r="E41" i="7"/>
  <c r="D41" i="7"/>
  <c r="C41" i="7"/>
  <c r="M40" i="7"/>
  <c r="L40" i="7"/>
  <c r="K40" i="7"/>
  <c r="J40" i="7"/>
  <c r="I40" i="7"/>
  <c r="G40" i="7"/>
  <c r="F40" i="7"/>
  <c r="E40" i="7"/>
  <c r="D40" i="7"/>
  <c r="C40" i="7"/>
  <c r="M39" i="7"/>
  <c r="L39" i="7"/>
  <c r="K39" i="7"/>
  <c r="J39" i="7"/>
  <c r="I39" i="7"/>
  <c r="G39" i="7"/>
  <c r="F39" i="7"/>
  <c r="E39" i="7"/>
  <c r="D39" i="7"/>
  <c r="C39" i="7"/>
  <c r="M38" i="7"/>
  <c r="L38" i="7"/>
  <c r="K38" i="7"/>
  <c r="J38" i="7"/>
  <c r="I38" i="7"/>
  <c r="G38" i="7"/>
  <c r="F38" i="7"/>
  <c r="E38" i="7"/>
  <c r="D38" i="7"/>
  <c r="C38" i="7"/>
  <c r="M37" i="7"/>
  <c r="L37" i="7"/>
  <c r="K37" i="7"/>
  <c r="J37" i="7"/>
  <c r="I37" i="7"/>
  <c r="G37" i="7"/>
  <c r="F37" i="7"/>
  <c r="E37" i="7"/>
  <c r="D37" i="7"/>
  <c r="C37" i="7"/>
  <c r="M36" i="7"/>
  <c r="L36" i="7"/>
  <c r="K36" i="7"/>
  <c r="J36" i="7"/>
  <c r="I36" i="7"/>
  <c r="G36" i="7"/>
  <c r="F36" i="7"/>
  <c r="E36" i="7"/>
  <c r="D36" i="7"/>
  <c r="C36" i="7"/>
  <c r="M35" i="7"/>
  <c r="L35" i="7"/>
  <c r="K35" i="7"/>
  <c r="J35" i="7"/>
  <c r="I35" i="7"/>
  <c r="G35" i="7"/>
  <c r="F35" i="7"/>
  <c r="E35" i="7"/>
  <c r="D35" i="7"/>
  <c r="C35" i="7"/>
  <c r="M34" i="7"/>
  <c r="L34" i="7"/>
  <c r="K34" i="7"/>
  <c r="J34" i="7"/>
  <c r="I34" i="7"/>
  <c r="G34" i="7"/>
  <c r="F34" i="7"/>
  <c r="E34" i="7"/>
  <c r="D34" i="7"/>
  <c r="C34" i="7"/>
  <c r="M33" i="7"/>
  <c r="L33" i="7"/>
  <c r="K33" i="7"/>
  <c r="J33" i="7"/>
  <c r="I33" i="7"/>
  <c r="G33" i="7"/>
  <c r="F33" i="7"/>
  <c r="E33" i="7"/>
  <c r="D33" i="7"/>
  <c r="C33" i="7"/>
  <c r="M32" i="7"/>
  <c r="L32" i="7"/>
  <c r="K32" i="7"/>
  <c r="J32" i="7"/>
  <c r="I32" i="7"/>
  <c r="G32" i="7"/>
  <c r="F32" i="7"/>
  <c r="E32" i="7"/>
  <c r="D32" i="7"/>
  <c r="C32" i="7"/>
  <c r="M31" i="7"/>
  <c r="L31" i="7"/>
  <c r="K31" i="7"/>
  <c r="J31" i="7"/>
  <c r="I31" i="7"/>
  <c r="G31" i="7"/>
  <c r="F31" i="7"/>
  <c r="E31" i="7"/>
  <c r="D31" i="7"/>
  <c r="C31" i="7"/>
  <c r="M30" i="7"/>
  <c r="L30" i="7"/>
  <c r="K30" i="7"/>
  <c r="J30" i="7"/>
  <c r="I30" i="7"/>
  <c r="G30" i="7"/>
  <c r="F30" i="7"/>
  <c r="E30" i="7"/>
  <c r="D30" i="7"/>
  <c r="C30" i="7"/>
  <c r="M29" i="7"/>
  <c r="L29" i="7"/>
  <c r="K29" i="7"/>
  <c r="J29" i="7"/>
  <c r="I29" i="7"/>
  <c r="G29" i="7"/>
  <c r="F29" i="7"/>
  <c r="E29" i="7"/>
  <c r="D29" i="7"/>
  <c r="C29" i="7"/>
  <c r="M28" i="7"/>
  <c r="L28" i="7"/>
  <c r="K28" i="7"/>
  <c r="J28" i="7"/>
  <c r="I28" i="7"/>
  <c r="G28" i="7"/>
  <c r="F28" i="7"/>
  <c r="E28" i="7"/>
  <c r="D28" i="7"/>
  <c r="C28" i="7"/>
  <c r="M27" i="7"/>
  <c r="L27" i="7"/>
  <c r="K27" i="7"/>
  <c r="J27" i="7"/>
  <c r="I27" i="7"/>
  <c r="G27" i="7"/>
  <c r="F27" i="7"/>
  <c r="E27" i="7"/>
  <c r="D27" i="7"/>
  <c r="C27" i="7"/>
  <c r="M26" i="7"/>
  <c r="L26" i="7"/>
  <c r="K26" i="7"/>
  <c r="J26" i="7"/>
  <c r="I26" i="7"/>
  <c r="G26" i="7"/>
  <c r="F26" i="7"/>
  <c r="E26" i="7"/>
  <c r="D26" i="7"/>
  <c r="C26" i="7"/>
  <c r="M25" i="7"/>
  <c r="L25" i="7"/>
  <c r="K25" i="7"/>
  <c r="J25" i="7"/>
  <c r="I25" i="7"/>
  <c r="G25" i="7"/>
  <c r="F25" i="7"/>
  <c r="E25" i="7"/>
  <c r="D25" i="7"/>
  <c r="C25" i="7"/>
  <c r="M24" i="7"/>
  <c r="L24" i="7"/>
  <c r="K24" i="7"/>
  <c r="J24" i="7"/>
  <c r="I24" i="7"/>
  <c r="G24" i="7"/>
  <c r="F24" i="7"/>
  <c r="E24" i="7"/>
  <c r="D24" i="7"/>
  <c r="C24" i="7"/>
  <c r="M23" i="7"/>
  <c r="L23" i="7"/>
  <c r="K23" i="7"/>
  <c r="J23" i="7"/>
  <c r="I23" i="7"/>
  <c r="G23" i="7"/>
  <c r="F23" i="7"/>
  <c r="E23" i="7"/>
  <c r="D23" i="7"/>
  <c r="C23" i="7"/>
  <c r="M22" i="7"/>
  <c r="L22" i="7"/>
  <c r="K22" i="7"/>
  <c r="J22" i="7"/>
  <c r="I22" i="7"/>
  <c r="G22" i="7"/>
  <c r="F22" i="7"/>
  <c r="E22" i="7"/>
  <c r="D22" i="7"/>
  <c r="C22" i="7"/>
  <c r="M21" i="7"/>
  <c r="L21" i="7"/>
  <c r="K21" i="7"/>
  <c r="J21" i="7"/>
  <c r="I21" i="7"/>
  <c r="G21" i="7"/>
  <c r="F21" i="7"/>
  <c r="E21" i="7"/>
  <c r="D21" i="7"/>
  <c r="C21" i="7"/>
  <c r="M20" i="7"/>
  <c r="L20" i="7"/>
  <c r="K20" i="7"/>
  <c r="J20" i="7"/>
  <c r="I20" i="7"/>
  <c r="G20" i="7"/>
  <c r="F20" i="7"/>
  <c r="E20" i="7"/>
  <c r="D20" i="7"/>
  <c r="C20" i="7"/>
  <c r="M19" i="7"/>
  <c r="L19" i="7"/>
  <c r="K19" i="7"/>
  <c r="J19" i="7"/>
  <c r="I19" i="7"/>
  <c r="G19" i="7"/>
  <c r="F19" i="7"/>
  <c r="E19" i="7"/>
  <c r="D19" i="7"/>
  <c r="C19" i="7"/>
  <c r="M18" i="7"/>
  <c r="L18" i="7"/>
  <c r="K18" i="7"/>
  <c r="J18" i="7"/>
  <c r="I18" i="7"/>
  <c r="G18" i="7"/>
  <c r="F18" i="7"/>
  <c r="E18" i="7"/>
  <c r="D18" i="7"/>
  <c r="C18" i="7"/>
  <c r="M17" i="7"/>
  <c r="L17" i="7"/>
  <c r="K17" i="7"/>
  <c r="J17" i="7"/>
  <c r="I17" i="7"/>
  <c r="G17" i="7"/>
  <c r="F17" i="7"/>
  <c r="E17" i="7"/>
  <c r="D17" i="7"/>
  <c r="C17" i="7"/>
  <c r="M16" i="7"/>
  <c r="L16" i="7"/>
  <c r="K16" i="7"/>
  <c r="J16" i="7"/>
  <c r="I16" i="7"/>
  <c r="G16" i="7"/>
  <c r="F16" i="7"/>
  <c r="E16" i="7"/>
  <c r="D16" i="7"/>
  <c r="C16" i="7"/>
  <c r="M15" i="7"/>
  <c r="L15" i="7"/>
  <c r="K15" i="7"/>
  <c r="J15" i="7"/>
  <c r="I15" i="7"/>
  <c r="G15" i="7"/>
  <c r="F15" i="7"/>
  <c r="E15" i="7"/>
  <c r="D15" i="7"/>
  <c r="C15" i="7"/>
  <c r="M14" i="7"/>
  <c r="L14" i="7"/>
  <c r="K14" i="7"/>
  <c r="J14" i="7"/>
  <c r="I14" i="7"/>
  <c r="G14" i="7"/>
  <c r="F14" i="7"/>
  <c r="E14" i="7"/>
  <c r="D14" i="7"/>
  <c r="C14" i="7"/>
  <c r="M13" i="7"/>
  <c r="L13" i="7"/>
  <c r="K13" i="7"/>
  <c r="J13" i="7"/>
  <c r="I13" i="7"/>
  <c r="G13" i="7"/>
  <c r="F13" i="7"/>
  <c r="E13" i="7"/>
  <c r="D13" i="7"/>
  <c r="C13" i="7"/>
  <c r="M12" i="7"/>
  <c r="L12" i="7"/>
  <c r="K12" i="7"/>
  <c r="J12" i="7"/>
  <c r="I12" i="7"/>
  <c r="G12" i="7"/>
  <c r="F12" i="7"/>
  <c r="E12" i="7"/>
  <c r="D12" i="7"/>
  <c r="C12" i="7"/>
  <c r="M11" i="7"/>
  <c r="L11" i="7"/>
  <c r="K11" i="7"/>
  <c r="J11" i="7"/>
  <c r="I11" i="7"/>
  <c r="G11" i="7"/>
  <c r="F11" i="7"/>
  <c r="E11" i="7"/>
  <c r="D11" i="7"/>
  <c r="C11" i="7"/>
  <c r="M10" i="7"/>
  <c r="L10" i="7"/>
  <c r="K10" i="7"/>
  <c r="J10" i="7"/>
  <c r="I10" i="7"/>
  <c r="G10" i="7"/>
  <c r="F10" i="7"/>
  <c r="E10" i="7"/>
  <c r="D10" i="7"/>
  <c r="C10" i="7"/>
  <c r="M9" i="7"/>
  <c r="L9" i="7"/>
  <c r="K9" i="7"/>
  <c r="J9" i="7"/>
  <c r="I9" i="7"/>
  <c r="G9" i="7"/>
  <c r="F9" i="7"/>
  <c r="E9" i="7"/>
  <c r="D9" i="7"/>
  <c r="C9" i="7"/>
  <c r="M8" i="7"/>
  <c r="L8" i="7"/>
  <c r="K8" i="7"/>
  <c r="J8" i="7"/>
  <c r="I8" i="7"/>
  <c r="G8" i="7"/>
  <c r="F8" i="7"/>
  <c r="E8" i="7"/>
  <c r="D8" i="7"/>
  <c r="C8" i="7"/>
  <c r="M7" i="7"/>
  <c r="L7" i="7"/>
  <c r="K7" i="7"/>
  <c r="J7" i="7"/>
  <c r="I7" i="7"/>
  <c r="G7" i="7"/>
  <c r="F7" i="7"/>
  <c r="E7" i="7"/>
  <c r="D7" i="7"/>
  <c r="C7" i="7"/>
  <c r="E6" i="10"/>
  <c r="E5" i="10"/>
  <c r="E4" i="10"/>
  <c r="E3" i="10"/>
  <c r="M43" i="5"/>
  <c r="L43" i="5"/>
  <c r="K43" i="5"/>
  <c r="J43" i="5"/>
  <c r="I43" i="5"/>
  <c r="G43" i="5"/>
  <c r="F43" i="5"/>
  <c r="E43" i="5"/>
  <c r="D43" i="5"/>
  <c r="C43" i="5"/>
  <c r="M42" i="5"/>
  <c r="L42" i="5"/>
  <c r="K42" i="5"/>
  <c r="J42" i="5"/>
  <c r="I42" i="5"/>
  <c r="G42" i="5"/>
  <c r="F42" i="5"/>
  <c r="E42" i="5"/>
  <c r="D42" i="5"/>
  <c r="C42" i="5"/>
  <c r="M41" i="5"/>
  <c r="L41" i="5"/>
  <c r="K41" i="5"/>
  <c r="J41" i="5"/>
  <c r="I41" i="5"/>
  <c r="G41" i="5"/>
  <c r="F41" i="5"/>
  <c r="E41" i="5"/>
  <c r="D41" i="5"/>
  <c r="C41" i="5"/>
  <c r="M40" i="5"/>
  <c r="L40" i="5"/>
  <c r="K40" i="5"/>
  <c r="J40" i="5"/>
  <c r="I40" i="5"/>
  <c r="G40" i="5"/>
  <c r="F40" i="5"/>
  <c r="E40" i="5"/>
  <c r="D40" i="5"/>
  <c r="C40" i="5"/>
  <c r="M39" i="5"/>
  <c r="L39" i="5"/>
  <c r="K39" i="5"/>
  <c r="J39" i="5"/>
  <c r="I39" i="5"/>
  <c r="G39" i="5"/>
  <c r="F39" i="5"/>
  <c r="E39" i="5"/>
  <c r="D39" i="5"/>
  <c r="C39" i="5"/>
  <c r="M38" i="5"/>
  <c r="L38" i="5"/>
  <c r="K38" i="5"/>
  <c r="J38" i="5"/>
  <c r="I38" i="5"/>
  <c r="G38" i="5"/>
  <c r="F38" i="5"/>
  <c r="E38" i="5"/>
  <c r="D38" i="5"/>
  <c r="C38" i="5"/>
  <c r="M37" i="5"/>
  <c r="L37" i="5"/>
  <c r="K37" i="5"/>
  <c r="J37" i="5"/>
  <c r="I37" i="5"/>
  <c r="G37" i="5"/>
  <c r="F37" i="5"/>
  <c r="E37" i="5"/>
  <c r="D37" i="5"/>
  <c r="C37" i="5"/>
  <c r="M36" i="5"/>
  <c r="L36" i="5"/>
  <c r="K36" i="5"/>
  <c r="J36" i="5"/>
  <c r="I36" i="5"/>
  <c r="G36" i="5"/>
  <c r="F36" i="5"/>
  <c r="E36" i="5"/>
  <c r="D36" i="5"/>
  <c r="C36" i="5"/>
  <c r="M35" i="5"/>
  <c r="L35" i="5"/>
  <c r="K35" i="5"/>
  <c r="J35" i="5"/>
  <c r="I35" i="5"/>
  <c r="G35" i="5"/>
  <c r="F35" i="5"/>
  <c r="E35" i="5"/>
  <c r="D35" i="5"/>
  <c r="C35" i="5"/>
  <c r="M34" i="5"/>
  <c r="L34" i="5"/>
  <c r="K34" i="5"/>
  <c r="J34" i="5"/>
  <c r="I34" i="5"/>
  <c r="G34" i="5"/>
  <c r="F34" i="5"/>
  <c r="E34" i="5"/>
  <c r="D34" i="5"/>
  <c r="C34" i="5"/>
  <c r="M33" i="5"/>
  <c r="L33" i="5"/>
  <c r="K33" i="5"/>
  <c r="J33" i="5"/>
  <c r="I33" i="5"/>
  <c r="G33" i="5"/>
  <c r="F33" i="5"/>
  <c r="E33" i="5"/>
  <c r="D33" i="5"/>
  <c r="C33" i="5"/>
  <c r="M32" i="5"/>
  <c r="L32" i="5"/>
  <c r="K32" i="5"/>
  <c r="J32" i="5"/>
  <c r="I32" i="5"/>
  <c r="G32" i="5"/>
  <c r="F32" i="5"/>
  <c r="E32" i="5"/>
  <c r="D32" i="5"/>
  <c r="C32" i="5"/>
  <c r="M31" i="5"/>
  <c r="L31" i="5"/>
  <c r="K31" i="5"/>
  <c r="J31" i="5"/>
  <c r="I31" i="5"/>
  <c r="G31" i="5"/>
  <c r="F31" i="5"/>
  <c r="E31" i="5"/>
  <c r="D31" i="5"/>
  <c r="C31" i="5"/>
  <c r="M30" i="5"/>
  <c r="L30" i="5"/>
  <c r="K30" i="5"/>
  <c r="J30" i="5"/>
  <c r="I30" i="5"/>
  <c r="G30" i="5"/>
  <c r="F30" i="5"/>
  <c r="E30" i="5"/>
  <c r="D30" i="5"/>
  <c r="C30" i="5"/>
  <c r="M29" i="5"/>
  <c r="L29" i="5"/>
  <c r="K29" i="5"/>
  <c r="J29" i="5"/>
  <c r="I29" i="5"/>
  <c r="G29" i="5"/>
  <c r="F29" i="5"/>
  <c r="E29" i="5"/>
  <c r="D29" i="5"/>
  <c r="C29" i="5"/>
  <c r="M28" i="5"/>
  <c r="L28" i="5"/>
  <c r="K28" i="5"/>
  <c r="J28" i="5"/>
  <c r="I28" i="5"/>
  <c r="G28" i="5"/>
  <c r="F28" i="5"/>
  <c r="E28" i="5"/>
  <c r="D28" i="5"/>
  <c r="C28" i="5"/>
  <c r="M27" i="5"/>
  <c r="L27" i="5"/>
  <c r="K27" i="5"/>
  <c r="J27" i="5"/>
  <c r="I27" i="5"/>
  <c r="G27" i="5"/>
  <c r="F27" i="5"/>
  <c r="E27" i="5"/>
  <c r="D27" i="5"/>
  <c r="C27" i="5"/>
  <c r="M26" i="5"/>
  <c r="L26" i="5"/>
  <c r="K26" i="5"/>
  <c r="J26" i="5"/>
  <c r="I26" i="5"/>
  <c r="G26" i="5"/>
  <c r="F26" i="5"/>
  <c r="E26" i="5"/>
  <c r="D26" i="5"/>
  <c r="C26" i="5"/>
  <c r="M25" i="5"/>
  <c r="L25" i="5"/>
  <c r="K25" i="5"/>
  <c r="J25" i="5"/>
  <c r="I25" i="5"/>
  <c r="G25" i="5"/>
  <c r="F25" i="5"/>
  <c r="E25" i="5"/>
  <c r="D25" i="5"/>
  <c r="C25" i="5"/>
  <c r="M24" i="5"/>
  <c r="L24" i="5"/>
  <c r="K24" i="5"/>
  <c r="J24" i="5"/>
  <c r="I24" i="5"/>
  <c r="G24" i="5"/>
  <c r="F24" i="5"/>
  <c r="E24" i="5"/>
  <c r="D24" i="5"/>
  <c r="C24" i="5"/>
  <c r="M23" i="5"/>
  <c r="L23" i="5"/>
  <c r="K23" i="5"/>
  <c r="J23" i="5"/>
  <c r="I23" i="5"/>
  <c r="G23" i="5"/>
  <c r="F23" i="5"/>
  <c r="E23" i="5"/>
  <c r="D23" i="5"/>
  <c r="C23" i="5"/>
  <c r="M22" i="5"/>
  <c r="L22" i="5"/>
  <c r="K22" i="5"/>
  <c r="J22" i="5"/>
  <c r="I22" i="5"/>
  <c r="G22" i="5"/>
  <c r="F22" i="5"/>
  <c r="E22" i="5"/>
  <c r="D22" i="5"/>
  <c r="C22" i="5"/>
  <c r="M21" i="5"/>
  <c r="L21" i="5"/>
  <c r="K21" i="5"/>
  <c r="J21" i="5"/>
  <c r="I21" i="5"/>
  <c r="G21" i="5"/>
  <c r="F21" i="5"/>
  <c r="E21" i="5"/>
  <c r="D21" i="5"/>
  <c r="C21" i="5"/>
  <c r="M20" i="5"/>
  <c r="L20" i="5"/>
  <c r="K20" i="5"/>
  <c r="J20" i="5"/>
  <c r="I20" i="5"/>
  <c r="G20" i="5"/>
  <c r="F20" i="5"/>
  <c r="E20" i="5"/>
  <c r="D20" i="5"/>
  <c r="C20" i="5"/>
  <c r="M19" i="5"/>
  <c r="L19" i="5"/>
  <c r="K19" i="5"/>
  <c r="J19" i="5"/>
  <c r="I19" i="5"/>
  <c r="G19" i="5"/>
  <c r="F19" i="5"/>
  <c r="E19" i="5"/>
  <c r="D19" i="5"/>
  <c r="C19" i="5"/>
  <c r="M18" i="5"/>
  <c r="L18" i="5"/>
  <c r="K18" i="5"/>
  <c r="J18" i="5"/>
  <c r="I18" i="5"/>
  <c r="G18" i="5"/>
  <c r="F18" i="5"/>
  <c r="E18" i="5"/>
  <c r="D18" i="5"/>
  <c r="C18" i="5"/>
  <c r="M17" i="5"/>
  <c r="L17" i="5"/>
  <c r="K17" i="5"/>
  <c r="J17" i="5"/>
  <c r="I17" i="5"/>
  <c r="G17" i="5"/>
  <c r="F17" i="5"/>
  <c r="E17" i="5"/>
  <c r="D17" i="5"/>
  <c r="C17" i="5"/>
  <c r="M16" i="5"/>
  <c r="L16" i="5"/>
  <c r="K16" i="5"/>
  <c r="J16" i="5"/>
  <c r="I16" i="5"/>
  <c r="G16" i="5"/>
  <c r="F16" i="5"/>
  <c r="E16" i="5"/>
  <c r="D16" i="5"/>
  <c r="C16" i="5"/>
  <c r="M15" i="5"/>
  <c r="L15" i="5"/>
  <c r="K15" i="5"/>
  <c r="J15" i="5"/>
  <c r="I15" i="5"/>
  <c r="G15" i="5"/>
  <c r="F15" i="5"/>
  <c r="E15" i="5"/>
  <c r="D15" i="5"/>
  <c r="C15" i="5"/>
  <c r="M14" i="5"/>
  <c r="L14" i="5"/>
  <c r="K14" i="5"/>
  <c r="J14" i="5"/>
  <c r="I14" i="5"/>
  <c r="G14" i="5"/>
  <c r="F14" i="5"/>
  <c r="E14" i="5"/>
  <c r="D14" i="5"/>
  <c r="C14" i="5"/>
  <c r="M13" i="5"/>
  <c r="L13" i="5"/>
  <c r="K13" i="5"/>
  <c r="J13" i="5"/>
  <c r="I13" i="5"/>
  <c r="G13" i="5"/>
  <c r="F13" i="5"/>
  <c r="E13" i="5"/>
  <c r="D13" i="5"/>
  <c r="C13" i="5"/>
  <c r="M12" i="5"/>
  <c r="L12" i="5"/>
  <c r="K12" i="5"/>
  <c r="J12" i="5"/>
  <c r="I12" i="5"/>
  <c r="G12" i="5"/>
  <c r="F12" i="5"/>
  <c r="E12" i="5"/>
  <c r="D12" i="5"/>
  <c r="C12" i="5"/>
  <c r="M11" i="5"/>
  <c r="L11" i="5"/>
  <c r="K11" i="5"/>
  <c r="J11" i="5"/>
  <c r="I11" i="5"/>
  <c r="G11" i="5"/>
  <c r="F11" i="5"/>
  <c r="E11" i="5"/>
  <c r="D11" i="5"/>
  <c r="C11" i="5"/>
  <c r="M10" i="5"/>
  <c r="L10" i="5"/>
  <c r="K10" i="5"/>
  <c r="J10" i="5"/>
  <c r="I10" i="5"/>
  <c r="G10" i="5"/>
  <c r="F10" i="5"/>
  <c r="E10" i="5"/>
  <c r="D10" i="5"/>
  <c r="C10" i="5"/>
  <c r="M9" i="5"/>
  <c r="L9" i="5"/>
  <c r="K9" i="5"/>
  <c r="J9" i="5"/>
  <c r="I9" i="5"/>
  <c r="G9" i="5"/>
  <c r="F9" i="5"/>
  <c r="E9" i="5"/>
  <c r="D9" i="5"/>
  <c r="C9" i="5"/>
  <c r="D120" i="1"/>
  <c r="B120" i="1"/>
  <c r="D119" i="1"/>
  <c r="B117" i="1"/>
  <c r="L99" i="1"/>
  <c r="L98" i="1"/>
  <c r="L96" i="1"/>
  <c r="L95" i="1"/>
  <c r="B93" i="1"/>
  <c r="E31" i="1"/>
  <c r="C31" i="1"/>
  <c r="C32" i="1" s="1"/>
  <c r="G27" i="1"/>
  <c r="F27" i="1"/>
  <c r="E27" i="1"/>
  <c r="A23" i="1"/>
  <c r="E14" i="1"/>
  <c r="D14" i="1"/>
  <c r="B14" i="1"/>
  <c r="G5" i="1"/>
  <c r="F5" i="1"/>
  <c r="E5" i="1"/>
  <c r="D5" i="1"/>
  <c r="C5" i="1"/>
  <c r="B5" i="1"/>
  <c r="B4" i="1"/>
  <c r="B76" i="3"/>
  <c r="B64" i="3"/>
  <c r="B58" i="3"/>
  <c r="B31" i="3"/>
  <c r="F27" i="3"/>
  <c r="E27" i="3"/>
  <c r="D27" i="3"/>
  <c r="C27" i="3"/>
  <c r="A27" i="3"/>
  <c r="L26" i="3"/>
  <c r="K26" i="3"/>
  <c r="P25" i="3"/>
  <c r="O25" i="3"/>
  <c r="N25" i="3"/>
  <c r="M25" i="3"/>
  <c r="B16" i="3"/>
  <c r="A13" i="3"/>
  <c r="D9" i="3"/>
  <c r="B65" i="3" s="1"/>
  <c r="C9" i="3"/>
  <c r="B59" i="3" s="1"/>
  <c r="B9" i="3"/>
  <c r="B53" i="3" s="1"/>
  <c r="I5" i="3"/>
  <c r="G5" i="3"/>
  <c r="A4" i="3"/>
  <c r="E69" i="9"/>
  <c r="D69" i="9"/>
  <c r="C69" i="9"/>
  <c r="B63" i="9"/>
  <c r="E61" i="9"/>
  <c r="D61" i="9"/>
  <c r="C61" i="9"/>
  <c r="E60" i="9"/>
  <c r="D60" i="9"/>
  <c r="C60" i="9"/>
  <c r="C52" i="9"/>
  <c r="G48" i="9"/>
  <c r="M22" i="9" s="1"/>
  <c r="F48" i="9"/>
  <c r="E23" i="1" s="1"/>
  <c r="E48" i="9"/>
  <c r="D23" i="1" s="1"/>
  <c r="D48" i="9"/>
  <c r="C23" i="1" s="1"/>
  <c r="N95" i="1" s="1"/>
  <c r="C48" i="9"/>
  <c r="B23" i="1" s="1"/>
  <c r="G47" i="9"/>
  <c r="F47" i="9"/>
  <c r="E47" i="9"/>
  <c r="D22" i="1" s="1"/>
  <c r="D47" i="9"/>
  <c r="C22" i="1" s="1"/>
  <c r="G44" i="9"/>
  <c r="N41" i="9"/>
  <c r="N40" i="9"/>
  <c r="N39" i="9"/>
  <c r="N38" i="9"/>
  <c r="N37" i="9"/>
  <c r="N36" i="9"/>
  <c r="N35" i="9"/>
  <c r="N34" i="9"/>
  <c r="N33" i="9"/>
  <c r="C33" i="9"/>
  <c r="G4" i="3" s="1"/>
  <c r="N32" i="9"/>
  <c r="N31" i="9"/>
  <c r="N30" i="9"/>
  <c r="N29" i="9"/>
  <c r="N28" i="9"/>
  <c r="N27" i="9"/>
  <c r="N26" i="9"/>
  <c r="N25" i="9"/>
  <c r="N24" i="9"/>
  <c r="N23" i="9"/>
  <c r="N22" i="9"/>
  <c r="E22" i="9"/>
  <c r="L97" i="1" s="1"/>
  <c r="B22" i="9"/>
  <c r="F44" i="9" s="1"/>
  <c r="B62" i="9" s="1"/>
  <c r="N21" i="9"/>
  <c r="N20" i="9"/>
  <c r="N19" i="9"/>
  <c r="N18" i="9"/>
  <c r="BB13" i="9"/>
  <c r="BA13" i="9"/>
  <c r="AZ13" i="9"/>
  <c r="AY13" i="9"/>
  <c r="AX13" i="9"/>
  <c r="AW13" i="9"/>
  <c r="AV13" i="9"/>
  <c r="I47" i="9" s="1"/>
  <c r="H22" i="1" s="1"/>
  <c r="N97" i="1" s="1"/>
  <c r="AU13" i="9"/>
  <c r="D31" i="3" s="1"/>
  <c r="AT13" i="9"/>
  <c r="AS13" i="9"/>
  <c r="AR13" i="9"/>
  <c r="AQ13" i="9"/>
  <c r="AP13" i="9"/>
  <c r="AO13" i="9"/>
  <c r="L4" i="3" s="1"/>
  <c r="AN13" i="9"/>
  <c r="AM13" i="9"/>
  <c r="AL13" i="9"/>
  <c r="AK13" i="9"/>
  <c r="AJ13" i="9"/>
  <c r="AI13" i="9"/>
  <c r="AH13" i="9"/>
  <c r="AG13" i="9"/>
  <c r="AF13" i="9"/>
  <c r="AE13" i="9"/>
  <c r="AD13" i="9"/>
  <c r="AC13" i="9"/>
  <c r="AB13" i="9"/>
  <c r="G52" i="9" s="1"/>
  <c r="AA13" i="9"/>
  <c r="F41" i="3" s="1"/>
  <c r="Z13" i="9"/>
  <c r="Y13" i="9"/>
  <c r="J52" i="9" s="1"/>
  <c r="I18" i="1" s="1"/>
  <c r="X13" i="9"/>
  <c r="E41" i="3" s="1"/>
  <c r="W13" i="9"/>
  <c r="V13" i="9"/>
  <c r="D41" i="3" s="1"/>
  <c r="U13" i="9"/>
  <c r="T13" i="9"/>
  <c r="K52" i="9" s="1"/>
  <c r="J18" i="1" s="1"/>
  <c r="R13" i="9"/>
  <c r="O7" i="9"/>
  <c r="O6" i="9"/>
  <c r="O5" i="9"/>
  <c r="K5" i="9"/>
  <c r="G5" i="9"/>
  <c r="F5" i="9"/>
  <c r="E5" i="9"/>
  <c r="D5" i="9"/>
  <c r="B15" i="1" s="1"/>
  <c r="O4" i="9"/>
  <c r="J31" i="1" l="1"/>
  <c r="G15" i="1"/>
  <c r="C6" i="3"/>
  <c r="N46" i="9"/>
  <c r="B100" i="1"/>
  <c r="M46" i="9"/>
  <c r="E13" i="3"/>
  <c r="Q17" i="3" s="1"/>
  <c r="I13" i="3" s="1"/>
  <c r="I4" i="3"/>
  <c r="I6" i="3" s="1"/>
  <c r="D32" i="9" s="1"/>
  <c r="G6" i="3"/>
  <c r="D31" i="9" s="1"/>
  <c r="F18" i="1"/>
  <c r="C33" i="1" s="1"/>
  <c r="E6" i="1"/>
  <c r="C47" i="9"/>
  <c r="H47" i="9"/>
  <c r="G22" i="1" s="1"/>
  <c r="N96" i="1" s="1"/>
  <c r="M93" i="1" s="1"/>
  <c r="F9" i="1"/>
  <c r="E31" i="3"/>
  <c r="F52" i="9"/>
  <c r="C31" i="3"/>
  <c r="F23" i="1"/>
  <c r="F31" i="3"/>
  <c r="B35" i="3" s="1"/>
  <c r="O27" i="3"/>
  <c r="B18" i="1"/>
  <c r="B13" i="3"/>
  <c r="G41" i="3"/>
  <c r="G13" i="3"/>
  <c r="E22" i="1"/>
  <c r="M27" i="3"/>
  <c r="D52" i="9"/>
  <c r="H52" i="9"/>
  <c r="D13" i="3"/>
  <c r="B21" i="3"/>
  <c r="F13" i="3"/>
  <c r="AW14" i="9"/>
  <c r="F22" i="1"/>
  <c r="C13" i="3"/>
  <c r="E52" i="9"/>
  <c r="I52" i="9"/>
  <c r="K93" i="1" l="1"/>
  <c r="O93" i="1" s="1"/>
  <c r="F26" i="9" s="1"/>
  <c r="I44" i="1"/>
  <c r="G44" i="1"/>
  <c r="E44" i="1"/>
  <c r="F67" i="1"/>
  <c r="E45" i="1"/>
  <c r="D67" i="1"/>
  <c r="I45" i="1"/>
  <c r="I67" i="1"/>
  <c r="G45" i="1"/>
  <c r="P16" i="3"/>
  <c r="Q16" i="3"/>
  <c r="P17" i="3"/>
  <c r="H13" i="3" s="1"/>
  <c r="G31" i="9" s="1"/>
  <c r="H31" i="3"/>
  <c r="I31" i="3" s="1"/>
  <c r="C17" i="3"/>
  <c r="I17" i="3" s="1"/>
  <c r="C41" i="3"/>
  <c r="G31" i="3" s="1"/>
  <c r="C20" i="3"/>
  <c r="D20" i="3" s="1"/>
  <c r="F6" i="1"/>
  <c r="G18" i="1"/>
  <c r="D18" i="1"/>
  <c r="C6" i="1"/>
  <c r="B6" i="1"/>
  <c r="C18" i="1"/>
  <c r="D6" i="1"/>
  <c r="E18" i="1"/>
  <c r="H18" i="1"/>
  <c r="C51" i="1" s="1"/>
  <c r="G6" i="1"/>
  <c r="C4" i="3"/>
  <c r="M28" i="3" s="1"/>
  <c r="C5" i="9"/>
  <c r="K11" i="9" s="1"/>
  <c r="G32" i="9"/>
  <c r="C25" i="9"/>
  <c r="B22" i="1"/>
  <c r="K60" i="9"/>
  <c r="E59" i="1"/>
  <c r="C39" i="1"/>
  <c r="B90" i="1"/>
  <c r="E113" i="1"/>
  <c r="C35" i="3"/>
  <c r="D25" i="9" s="1"/>
  <c r="H32" i="3" l="1"/>
  <c r="I32" i="3" s="1"/>
  <c r="J32" i="3" s="1"/>
  <c r="I23" i="9" s="1"/>
  <c r="G22" i="9"/>
  <c r="D17" i="3"/>
  <c r="E31" i="9"/>
  <c r="E32" i="9"/>
  <c r="I20" i="3"/>
  <c r="J13" i="3" s="1"/>
  <c r="C50" i="1"/>
  <c r="E54" i="1" s="1"/>
  <c r="C55" i="1" s="1"/>
  <c r="E55" i="1" s="1"/>
  <c r="I54" i="1" s="1"/>
  <c r="F54" i="1" s="1"/>
  <c r="B56" i="3"/>
  <c r="C57" i="3" s="1"/>
  <c r="I31" i="9"/>
  <c r="P97" i="1"/>
  <c r="J31" i="3"/>
  <c r="I22" i="9" s="1"/>
  <c r="N98" i="1" s="1"/>
  <c r="H22" i="9"/>
  <c r="H6" i="1"/>
  <c r="C8" i="1" s="1"/>
  <c r="C9" i="1" s="1"/>
  <c r="C10" i="1" s="1"/>
  <c r="F8" i="1" s="1"/>
  <c r="D15" i="1"/>
  <c r="C5" i="3"/>
  <c r="E11" i="9"/>
  <c r="J11" i="9"/>
  <c r="F39" i="1"/>
  <c r="I47" i="1"/>
  <c r="C42" i="1"/>
  <c r="I46" i="1" s="1"/>
  <c r="J61" i="9"/>
  <c r="K13" i="9"/>
  <c r="G16" i="9"/>
  <c r="H61" i="1"/>
  <c r="H63" i="1"/>
  <c r="E62" i="1"/>
  <c r="E63" i="1"/>
  <c r="I70" i="1" s="1"/>
  <c r="H62" i="1"/>
  <c r="I62" i="1" s="1"/>
  <c r="I69" i="1" s="1"/>
  <c r="E61" i="1"/>
  <c r="B8" i="5"/>
  <c r="F32" i="9"/>
  <c r="B7" i="5"/>
  <c r="D18" i="3"/>
  <c r="F31" i="9"/>
  <c r="F50" i="1"/>
  <c r="F33" i="1"/>
  <c r="C34" i="1" s="1"/>
  <c r="C35" i="1"/>
  <c r="C36" i="1" s="1"/>
  <c r="E36" i="1" s="1"/>
  <c r="G36" i="1" s="1"/>
  <c r="D35" i="3"/>
  <c r="J62" i="9"/>
  <c r="D68" i="1" l="1"/>
  <c r="H23" i="9"/>
  <c r="I32" i="9"/>
  <c r="B62" i="3"/>
  <c r="C63" i="3" s="1"/>
  <c r="H73" i="9" s="1"/>
  <c r="E57" i="1"/>
  <c r="F69" i="1" s="1"/>
  <c r="F68" i="1"/>
  <c r="C52" i="1"/>
  <c r="J70" i="1" s="1"/>
  <c r="I63" i="1"/>
  <c r="J45" i="1"/>
  <c r="C75" i="1" s="1"/>
  <c r="E75" i="1" s="1"/>
  <c r="J44" i="1"/>
  <c r="C74" i="1" s="1"/>
  <c r="E74" i="1" s="1"/>
  <c r="J8" i="5"/>
  <c r="D8" i="5" s="1"/>
  <c r="M8" i="5"/>
  <c r="G8" i="5" s="1"/>
  <c r="I8" i="5"/>
  <c r="C8" i="5" s="1"/>
  <c r="L8" i="5"/>
  <c r="F8" i="5" s="1"/>
  <c r="K8" i="5"/>
  <c r="E8" i="5" s="1"/>
  <c r="C42" i="3"/>
  <c r="J22" i="9"/>
  <c r="O28" i="3"/>
  <c r="F25" i="9"/>
  <c r="C41" i="1"/>
  <c r="F38" i="1"/>
  <c r="C40" i="1"/>
  <c r="C85" i="3"/>
  <c r="B85" i="3" s="1"/>
  <c r="D118" i="1"/>
  <c r="C62" i="9"/>
  <c r="I60" i="9"/>
  <c r="E13" i="9"/>
  <c r="I9" i="3"/>
  <c r="B17" i="3" s="1"/>
  <c r="G73" i="9"/>
  <c r="C84" i="3"/>
  <c r="B84" i="3" s="1"/>
  <c r="D117" i="1"/>
  <c r="F33" i="9"/>
  <c r="M7" i="5"/>
  <c r="G7" i="5" s="1"/>
  <c r="I7" i="5"/>
  <c r="C7" i="5" s="1"/>
  <c r="L7" i="5"/>
  <c r="F7" i="5" s="1"/>
  <c r="K7" i="5"/>
  <c r="E7" i="5" s="1"/>
  <c r="J7" i="5"/>
  <c r="D7" i="5" s="1"/>
  <c r="I61" i="1"/>
  <c r="I68" i="1" s="1"/>
  <c r="K12" i="9"/>
  <c r="F14" i="9" s="1"/>
  <c r="J13" i="9"/>
  <c r="G15" i="9"/>
  <c r="D69" i="1" l="1"/>
  <c r="J67" i="1"/>
  <c r="D75" i="1" s="1"/>
  <c r="E20" i="3"/>
  <c r="H32" i="9" s="1"/>
  <c r="J32" i="9" s="1"/>
  <c r="B119" i="1" s="1"/>
  <c r="D143" i="1" s="1"/>
  <c r="J68" i="1"/>
  <c r="D79" i="1" s="1"/>
  <c r="F79" i="1" s="1"/>
  <c r="G79" i="1" s="1"/>
  <c r="J69" i="1"/>
  <c r="D80" i="1" s="1"/>
  <c r="F80" i="1" s="1"/>
  <c r="G80" i="1" s="1"/>
  <c r="E17" i="3"/>
  <c r="F17" i="3" s="1"/>
  <c r="E46" i="1"/>
  <c r="G46" i="1"/>
  <c r="D149" i="1"/>
  <c r="E47" i="1"/>
  <c r="J47" i="1" s="1"/>
  <c r="C77" i="1" s="1"/>
  <c r="E77" i="1" s="1"/>
  <c r="G47" i="1"/>
  <c r="J60" i="9"/>
  <c r="H64" i="9" s="1"/>
  <c r="C75" i="3"/>
  <c r="J46" i="1" l="1"/>
  <c r="C76" i="1" s="1"/>
  <c r="E76" i="1" s="1"/>
  <c r="D74" i="1"/>
  <c r="F74" i="1" s="1"/>
  <c r="G74" i="1" s="1"/>
  <c r="E12" i="9" s="1"/>
  <c r="M26" i="3" s="1"/>
  <c r="F20" i="3"/>
  <c r="B55" i="3" s="1"/>
  <c r="D70" i="3" s="1"/>
  <c r="E70" i="3" s="1"/>
  <c r="K32" i="9"/>
  <c r="H31" i="9"/>
  <c r="J31" i="9" s="1"/>
  <c r="K31" i="9" s="1"/>
  <c r="D155" i="1"/>
  <c r="D71" i="3"/>
  <c r="E71" i="3" s="1"/>
  <c r="D151" i="1"/>
  <c r="E150" i="1" s="1"/>
  <c r="B125" i="1" s="1"/>
  <c r="I149" i="1"/>
  <c r="F75" i="1"/>
  <c r="G75" i="1" s="1"/>
  <c r="F12" i="9" s="1"/>
  <c r="D76" i="1"/>
  <c r="B54" i="3"/>
  <c r="H17" i="3"/>
  <c r="D157" i="1"/>
  <c r="F163" i="1"/>
  <c r="I147" i="1"/>
  <c r="I157" i="1"/>
  <c r="D145" i="1"/>
  <c r="E144" i="1" s="1"/>
  <c r="B124" i="1" s="1"/>
  <c r="B69" i="3"/>
  <c r="C69" i="3" s="1"/>
  <c r="I155" i="1"/>
  <c r="B75" i="3" l="1"/>
  <c r="B71" i="3" s="1"/>
  <c r="C71" i="3" s="1"/>
  <c r="H20" i="3"/>
  <c r="B70" i="3"/>
  <c r="C70" i="3" s="1"/>
  <c r="J33" i="9"/>
  <c r="B118" i="1"/>
  <c r="F167" i="1" s="1"/>
  <c r="E156" i="1"/>
  <c r="B126" i="1" s="1"/>
  <c r="J148" i="1"/>
  <c r="D124" i="1" s="1"/>
  <c r="D125" i="1" s="1"/>
  <c r="J156" i="1"/>
  <c r="J138" i="1" s="1"/>
  <c r="D123" i="1" s="1"/>
  <c r="C55" i="3"/>
  <c r="F55" i="3" s="1"/>
  <c r="D69" i="3"/>
  <c r="E69" i="3" s="1"/>
  <c r="D77" i="1"/>
  <c r="F76" i="1"/>
  <c r="G76" i="1" s="1"/>
  <c r="H12" i="9" s="1"/>
  <c r="N26" i="3"/>
  <c r="Q27" i="3" s="1"/>
  <c r="M29" i="3" s="1"/>
  <c r="K47" i="9"/>
  <c r="J22" i="1" s="1"/>
  <c r="D134" i="1" l="1"/>
  <c r="I132" i="1"/>
  <c r="I134" i="1"/>
  <c r="D132" i="1"/>
  <c r="E138" i="1"/>
  <c r="B123" i="1" s="1"/>
  <c r="D126" i="1"/>
  <c r="F77" i="1"/>
  <c r="G77" i="1" s="1"/>
  <c r="D78" i="1"/>
  <c r="F78" i="1" s="1"/>
  <c r="G78" i="1" s="1"/>
  <c r="G12" i="9" s="1"/>
  <c r="O26" i="3" s="1"/>
  <c r="B127" i="1"/>
  <c r="J47" i="9"/>
  <c r="P26" i="3"/>
  <c r="E133" i="1" l="1"/>
  <c r="B122" i="1" s="1"/>
  <c r="I124" i="1" s="1"/>
  <c r="J133" i="1"/>
  <c r="D122" i="1" s="1"/>
  <c r="I22" i="1"/>
  <c r="B78" i="3"/>
  <c r="F11" i="9"/>
  <c r="G11" i="9"/>
  <c r="I121" i="1"/>
  <c r="I120" i="1" s="1"/>
  <c r="J124" i="1"/>
  <c r="I122" i="1"/>
  <c r="J120" i="1"/>
  <c r="G9" i="3" l="1"/>
  <c r="B66" i="3" s="1"/>
  <c r="F62" i="3" s="1"/>
  <c r="E62" i="9"/>
  <c r="G13" i="9"/>
  <c r="J163" i="1" s="1"/>
  <c r="J167" i="1" s="1"/>
  <c r="E64" i="9"/>
  <c r="F9" i="3"/>
  <c r="E35" i="3"/>
  <c r="D62" i="9"/>
  <c r="D64" i="9" s="1"/>
  <c r="H15" i="9"/>
  <c r="F13" i="9"/>
  <c r="B103" i="1"/>
  <c r="B96" i="1" s="1"/>
  <c r="H91" i="1" s="1"/>
  <c r="H96" i="1" s="1"/>
  <c r="K22" i="9" s="1"/>
  <c r="P95" i="1"/>
  <c r="H105" i="1"/>
  <c r="H10" i="9"/>
  <c r="I15" i="9"/>
  <c r="K15" i="9" s="1"/>
  <c r="G163" i="1"/>
  <c r="J40" i="9"/>
  <c r="B83" i="3"/>
  <c r="B81" i="3"/>
  <c r="B79" i="3"/>
  <c r="B82" i="3"/>
  <c r="B80" i="3"/>
  <c r="G69" i="9" s="1"/>
  <c r="J42" i="9" s="1"/>
  <c r="I167" i="1"/>
  <c r="I40" i="9"/>
  <c r="I163" i="1"/>
  <c r="K40" i="9"/>
  <c r="G167" i="1"/>
  <c r="H40" i="9"/>
  <c r="F62" i="9" l="1"/>
  <c r="F69" i="9"/>
  <c r="I42" i="9" s="1"/>
  <c r="H69" i="9"/>
  <c r="K42" i="9" s="1"/>
  <c r="F65" i="9"/>
  <c r="F64" i="9"/>
  <c r="I10" i="9" s="1"/>
  <c r="N100" i="1"/>
  <c r="G26" i="9"/>
  <c r="P98" i="1"/>
  <c r="G25" i="9"/>
  <c r="F35" i="3"/>
  <c r="H13" i="9"/>
  <c r="N99" i="1" l="1"/>
  <c r="H26" i="9"/>
  <c r="H25" i="9"/>
  <c r="G35" i="3"/>
  <c r="H35" i="3" l="1"/>
  <c r="I25" i="9"/>
  <c r="P99" i="1"/>
  <c r="J26" i="9" s="1"/>
  <c r="K26" i="9" s="1"/>
  <c r="H163" i="1" s="1"/>
  <c r="I26" i="9"/>
  <c r="H167" i="1" l="1"/>
  <c r="D167" i="1" s="1"/>
  <c r="E42" i="9" s="1"/>
  <c r="D163" i="1"/>
  <c r="E38" i="9" s="1"/>
  <c r="B60" i="3"/>
  <c r="J25" i="9"/>
  <c r="K25" i="9" s="1"/>
  <c r="J73" i="9" s="1"/>
  <c r="F58" i="3" l="1"/>
  <c r="F66" i="3" s="1"/>
  <c r="E81" i="3"/>
  <c r="E80" i="3"/>
  <c r="I69" i="9" l="1"/>
  <c r="F42" i="9" s="1"/>
  <c r="F80" i="3"/>
  <c r="F81" i="3"/>
  <c r="J69" i="9"/>
  <c r="F38" i="9" s="1"/>
  <c r="G66" i="3"/>
  <c r="J72" i="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Usuario</author>
  </authors>
  <commentList>
    <comment ref="R4" authorId="0" shapeId="0" xr:uid="{00000000-0006-0000-0000-000001000000}">
      <text>
        <r>
          <rPr>
            <b/>
            <sz val="9"/>
            <color indexed="81"/>
            <rFont val="Tahoma"/>
            <family val="2"/>
          </rPr>
          <t>Usuario:</t>
        </r>
        <r>
          <rPr>
            <sz val="9"/>
            <color indexed="81"/>
            <rFont val="Tahoma"/>
            <family val="2"/>
          </rPr>
          <t xml:space="preserve">
posición de la carga en la sección de la viga: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Ignacio Guerra Romero</author>
    <author>Nacho</author>
    <author>Francisco</author>
  </authors>
  <commentList>
    <comment ref="B6" authorId="0" shapeId="0" xr:uid="{00000000-0006-0000-0100-000001000000}">
      <text>
        <r>
          <rPr>
            <b/>
            <sz val="8"/>
            <color indexed="81"/>
            <rFont val="Tahoma"/>
            <family val="2"/>
          </rPr>
          <t>Ignacio Guerra Romero:</t>
        </r>
        <r>
          <rPr>
            <sz val="8"/>
            <color indexed="81"/>
            <rFont val="Tahoma"/>
            <family val="2"/>
          </rPr>
          <t xml:space="preserve">
S235: 93,9;
S275: 86,8;
S355: 76,4.
</t>
        </r>
      </text>
    </comment>
    <comment ref="A26" authorId="0" shapeId="0" xr:uid="{00000000-0006-0000-0100-000002000000}">
      <text>
        <r>
          <rPr>
            <b/>
            <sz val="8"/>
            <color indexed="81"/>
            <rFont val="Tahoma"/>
            <family val="2"/>
          </rPr>
          <t>Ignacio Guerra Romero:</t>
        </r>
        <r>
          <rPr>
            <sz val="8"/>
            <color indexed="81"/>
            <rFont val="Tahoma"/>
            <family val="2"/>
          </rPr>
          <t xml:space="preserve">
es el beta para pandeo lateral. Por defecto se toma =1.</t>
        </r>
      </text>
    </comment>
    <comment ref="C26" authorId="1" shapeId="0" xr:uid="{00000000-0006-0000-0100-000003000000}">
      <text>
        <r>
          <rPr>
            <b/>
            <sz val="8"/>
            <color indexed="81"/>
            <rFont val="Tahoma"/>
            <family val="2"/>
          </rPr>
          <t>Nacho:</t>
        </r>
        <r>
          <rPr>
            <sz val="8"/>
            <color indexed="81"/>
            <rFont val="Tahoma"/>
            <family val="2"/>
          </rPr>
          <t xml:space="preserve">
Introducir un valor de C1 entre: 1 (el más seguro) y no más de 2</t>
        </r>
      </text>
    </comment>
    <comment ref="D26" authorId="1" shapeId="0" xr:uid="{00000000-0006-0000-0100-000004000000}">
      <text>
        <r>
          <rPr>
            <b/>
            <sz val="8"/>
            <color indexed="81"/>
            <rFont val="Tahoma"/>
            <family val="2"/>
          </rPr>
          <t>Nacho:</t>
        </r>
        <r>
          <rPr>
            <sz val="8"/>
            <color indexed="81"/>
            <rFont val="Tahoma"/>
            <family val="2"/>
          </rPr>
          <t xml:space="preserve">
Longitud de la barra entre puntos de arriostramiento eficaces, a PL.</t>
        </r>
      </text>
    </comment>
    <comment ref="I30" authorId="0" shapeId="0" xr:uid="{00000000-0006-0000-0100-000005000000}">
      <text>
        <r>
          <rPr>
            <b/>
            <sz val="8"/>
            <color indexed="81"/>
            <rFont val="Tahoma"/>
            <family val="2"/>
          </rPr>
          <t>Ignacio Guerra Romero:</t>
        </r>
        <r>
          <rPr>
            <sz val="8"/>
            <color indexed="81"/>
            <rFont val="Tahoma"/>
            <family val="2"/>
          </rPr>
          <t xml:space="preserve">
hay que introducir el coeficiente de imperfección.</t>
        </r>
      </text>
    </comment>
    <comment ref="G31" authorId="0" shapeId="0" xr:uid="{00000000-0006-0000-0100-000006000000}">
      <text>
        <r>
          <rPr>
            <b/>
            <sz val="8"/>
            <color indexed="81"/>
            <rFont val="Tahoma"/>
            <family val="2"/>
          </rPr>
          <t>Ignacio Guerra Romero:</t>
        </r>
        <r>
          <rPr>
            <sz val="8"/>
            <color indexed="81"/>
            <rFont val="Tahoma"/>
            <family val="2"/>
          </rPr>
          <t xml:space="preserve">
En el cálculo de Mltw no se ha tomado este valor, sino iz. Esto se ha hecho así, para poder comparar los resultados de los alumnos que habitualmente tomarán iz.</t>
        </r>
      </text>
    </comment>
    <comment ref="B35" authorId="2" shapeId="0" xr:uid="{00000000-0006-0000-0100-000007000000}">
      <text>
        <r>
          <rPr>
            <b/>
            <sz val="8"/>
            <color indexed="81"/>
            <rFont val="Tahoma"/>
            <family val="2"/>
          </rPr>
          <t>Nacho:</t>
        </r>
        <r>
          <rPr>
            <sz val="8"/>
            <color indexed="81"/>
            <rFont val="Tahoma"/>
            <family val="2"/>
          </rPr>
          <t xml:space="preserve">
El cálculo se ha hecho con iz, en vez de con ifz.
El resultado es más conservador. 
Ya se puede sustituir en la fórmula el ifz, pues ya está bien calculado en función del Ned.</t>
        </r>
      </text>
    </comment>
    <comment ref="B41" authorId="2" shapeId="0" xr:uid="{00000000-0006-0000-0100-000008000000}">
      <text>
        <r>
          <rPr>
            <b/>
            <sz val="8"/>
            <color indexed="81"/>
            <rFont val="Tahoma"/>
            <family val="2"/>
          </rPr>
          <t>Francisco:</t>
        </r>
        <r>
          <rPr>
            <sz val="8"/>
            <color indexed="81"/>
            <rFont val="Tahoma"/>
            <family val="2"/>
          </rPr>
          <t xml:space="preserve">
Indicar el % de alma comprimida. En flexión simple es 50. Este valor se tomará por defecto.</t>
        </r>
      </text>
    </comment>
    <comment ref="H44" authorId="0" shapeId="0" xr:uid="{00000000-0006-0000-0100-000009000000}">
      <text>
        <r>
          <rPr>
            <b/>
            <sz val="8"/>
            <color indexed="81"/>
            <rFont val="Tahoma"/>
            <family val="2"/>
          </rPr>
          <t>Ignacio Guerra Romero:</t>
        </r>
        <r>
          <rPr>
            <sz val="8"/>
            <color indexed="81"/>
            <rFont val="Tahoma"/>
            <family val="2"/>
          </rPr>
          <t xml:space="preserve">
hay que introducir el coeficiente de imperfección.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MIG</author>
    <author>Ignacio Guerra Romero</author>
  </authors>
  <commentList>
    <comment ref="C26" authorId="0" shapeId="0" xr:uid="{00000000-0006-0000-0200-000001000000}">
      <text>
        <r>
          <rPr>
            <b/>
            <sz val="8"/>
            <color indexed="81"/>
            <rFont val="Tahoma"/>
            <family val="2"/>
          </rPr>
          <t>MIG:</t>
        </r>
        <r>
          <rPr>
            <sz val="8"/>
            <color indexed="81"/>
            <rFont val="Tahoma"/>
            <family val="2"/>
          </rPr>
          <t xml:space="preserve">
Indicar el tipo de esfuerzo axil: tracción o compresión</t>
        </r>
      </text>
    </comment>
    <comment ref="O97" authorId="1" shapeId="0" xr:uid="{00000000-0006-0000-0200-000002000000}">
      <text>
        <r>
          <rPr>
            <b/>
            <sz val="8"/>
            <color indexed="81"/>
            <rFont val="Tahoma"/>
            <family val="2"/>
          </rPr>
          <t>Ignacio Guerra Romero:</t>
        </r>
        <r>
          <rPr>
            <sz val="8"/>
            <color indexed="81"/>
            <rFont val="Tahoma"/>
            <family val="2"/>
          </rPr>
          <t xml:space="preserve">
hay que introducir el coeficiente de imperfección.</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Francisco</author>
    <author>Ignacio Guerra Romero</author>
  </authors>
  <commentList>
    <comment ref="B2" authorId="0" shapeId="0" xr:uid="{00000000-0006-0000-0400-000001000000}">
      <text>
        <r>
          <rPr>
            <b/>
            <sz val="8"/>
            <color indexed="81"/>
            <rFont val="Tahoma"/>
            <family val="2"/>
          </rPr>
          <t>Francisco:</t>
        </r>
        <r>
          <rPr>
            <sz val="8"/>
            <color indexed="81"/>
            <rFont val="Tahoma"/>
            <family val="2"/>
          </rPr>
          <t xml:space="preserve">
no borrar nunca este recuadro</t>
        </r>
      </text>
    </comment>
    <comment ref="D2" authorId="1" shapeId="0" xr:uid="{00000000-0006-0000-0400-000002000000}">
      <text>
        <r>
          <rPr>
            <b/>
            <sz val="8"/>
            <color indexed="81"/>
            <rFont val="Tahoma"/>
            <family val="2"/>
          </rPr>
          <t>Ignacio Guerra Romero:</t>
        </r>
        <r>
          <rPr>
            <sz val="8"/>
            <color indexed="81"/>
            <rFont val="Tahoma"/>
            <family val="2"/>
          </rPr>
          <t xml:space="preserve">
Estos datos se han cambiado de acuerdo a la EAE 2011</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Usuario</author>
  </authors>
  <commentList>
    <comment ref="P7" authorId="0" shapeId="0" xr:uid="{00000000-0006-0000-0700-000001000000}">
      <text>
        <r>
          <rPr>
            <b/>
            <sz val="9"/>
            <color indexed="81"/>
            <rFont val="Tahoma"/>
            <family val="2"/>
          </rPr>
          <t>Usuario:</t>
        </r>
        <r>
          <rPr>
            <sz val="9"/>
            <color indexed="81"/>
            <rFont val="Tahoma"/>
            <family val="2"/>
          </rPr>
          <t xml:space="preserve">
posición de la carga en la sección de la viga: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MIG</author>
    <author>Ignacio Guerra Romero</author>
  </authors>
  <commentList>
    <comment ref="D15" authorId="0" shapeId="0" xr:uid="{00000000-0006-0000-0D00-000001000000}">
      <text>
        <r>
          <rPr>
            <b/>
            <sz val="8"/>
            <color indexed="81"/>
            <rFont val="Tahoma"/>
            <family val="2"/>
          </rPr>
          <t>MIG:</t>
        </r>
        <r>
          <rPr>
            <sz val="8"/>
            <color indexed="81"/>
            <rFont val="Tahoma"/>
            <family val="2"/>
          </rPr>
          <t xml:space="preserve">
Indicar el tipo de esfuerzo axil: tracción o compresión</t>
        </r>
      </text>
    </comment>
    <comment ref="R15" authorId="1" shapeId="0" xr:uid="{00000000-0006-0000-0D00-000002000000}">
      <text>
        <r>
          <rPr>
            <b/>
            <sz val="8"/>
            <color indexed="81"/>
            <rFont val="Tahoma"/>
            <family val="2"/>
          </rPr>
          <t>Ignacio Guerra Romero:</t>
        </r>
        <r>
          <rPr>
            <sz val="8"/>
            <color indexed="81"/>
            <rFont val="Tahoma"/>
            <family val="2"/>
          </rPr>
          <t xml:space="preserve">
CdG</t>
        </r>
      </text>
    </comment>
    <comment ref="R16" authorId="1" shapeId="0" xr:uid="{00000000-0006-0000-0D00-000003000000}">
      <text>
        <r>
          <rPr>
            <b/>
            <sz val="8"/>
            <color indexed="81"/>
            <rFont val="Tahoma"/>
            <family val="2"/>
          </rPr>
          <t>Ignacio Guerra Romero:</t>
        </r>
        <r>
          <rPr>
            <sz val="8"/>
            <color indexed="81"/>
            <rFont val="Tahoma"/>
            <family val="2"/>
          </rPr>
          <t xml:space="preserve">
centro de esfuerzos cortantes.</t>
        </r>
      </text>
    </comment>
  </commentList>
</comments>
</file>

<file path=xl/sharedStrings.xml><?xml version="1.0" encoding="utf-8"?>
<sst xmlns="http://schemas.openxmlformats.org/spreadsheetml/2006/main" count="4884" uniqueCount="2895">
  <si>
    <t>alfa LT</t>
  </si>
  <si>
    <t>Φ</t>
  </si>
  <si>
    <r>
      <t>c</t>
    </r>
    <r>
      <rPr>
        <vertAlign val="subscript"/>
        <sz val="12"/>
        <rFont val="Times New Roman"/>
        <family val="1"/>
      </rPr>
      <t>LT</t>
    </r>
  </si>
  <si>
    <t>fy=</t>
  </si>
  <si>
    <t>fyd=</t>
  </si>
  <si>
    <t>Mpa</t>
  </si>
  <si>
    <t>N (kN)</t>
  </si>
  <si>
    <t>My (kNm)</t>
  </si>
  <si>
    <t>Mz (kNm)</t>
  </si>
  <si>
    <t>Wy (cm3)</t>
  </si>
  <si>
    <t>Wz (cm3)</t>
  </si>
  <si>
    <t>A (cm2)</t>
  </si>
  <si>
    <t>Resultado</t>
  </si>
  <si>
    <t>Cálculo intermedio</t>
  </si>
  <si>
    <t>Esfuerzos</t>
  </si>
  <si>
    <t>armado</t>
  </si>
  <si>
    <t>fy</t>
  </si>
  <si>
    <t>fyd</t>
  </si>
  <si>
    <t>ACERO:</t>
  </si>
  <si>
    <t>PERFIL</t>
  </si>
  <si>
    <t>HEB-140</t>
  </si>
  <si>
    <t>h/b</t>
  </si>
  <si>
    <t>tf</t>
  </si>
  <si>
    <t>tw</t>
  </si>
  <si>
    <t>Esb. Lím:</t>
  </si>
  <si>
    <t>Beta,y=</t>
  </si>
  <si>
    <t>L,y (m)=</t>
  </si>
  <si>
    <t>Lk,y(mm)=</t>
  </si>
  <si>
    <t>Beta,z=</t>
  </si>
  <si>
    <t>Lk,z (mm)</t>
  </si>
  <si>
    <t>L,z (m)=</t>
  </si>
  <si>
    <t>Esb.Reducida</t>
  </si>
  <si>
    <t>a0</t>
  </si>
  <si>
    <t>a</t>
  </si>
  <si>
    <t>b</t>
  </si>
  <si>
    <t>c</t>
  </si>
  <si>
    <t>d</t>
  </si>
  <si>
    <t>fi</t>
  </si>
  <si>
    <t>Verificada</t>
  </si>
  <si>
    <t>Poner dato:</t>
  </si>
  <si>
    <t>Datos auxiliares</t>
  </si>
  <si>
    <t>Valores del coeficiente de reducción por pandeo</t>
  </si>
  <si>
    <t>Gi</t>
  </si>
  <si>
    <t>kN</t>
  </si>
  <si>
    <t>N,cr</t>
  </si>
  <si>
    <t>HEB-100</t>
  </si>
  <si>
    <t>HEB-120</t>
  </si>
  <si>
    <t>RESULTADOS</t>
  </si>
  <si>
    <t>IPE-120</t>
  </si>
  <si>
    <t>IPE-100</t>
  </si>
  <si>
    <t>N,b,Rd,y</t>
  </si>
  <si>
    <t>IPE 300</t>
  </si>
  <si>
    <t>IPE 270</t>
  </si>
  <si>
    <t>Pórtico</t>
  </si>
  <si>
    <t>Beta</t>
  </si>
  <si>
    <t>Eta 1</t>
  </si>
  <si>
    <t>Eta 2</t>
  </si>
  <si>
    <t>Intras</t>
  </si>
  <si>
    <t>Tras</t>
  </si>
  <si>
    <t>Pórticos  Intraslacionales: Determinación del coeficiente beta</t>
  </si>
  <si>
    <t>Pórticos  Traslacionales: Determinación del coeficiente beta</t>
  </si>
  <si>
    <t>Tipo de acero</t>
  </si>
  <si>
    <t>fu</t>
  </si>
  <si>
    <t>E (Gpa)</t>
  </si>
  <si>
    <t>G (Gpa)</t>
  </si>
  <si>
    <t>S235</t>
  </si>
  <si>
    <t>S275</t>
  </si>
  <si>
    <t>HEB</t>
  </si>
  <si>
    <t>IPE</t>
  </si>
  <si>
    <t>S355</t>
  </si>
  <si>
    <t>S450</t>
  </si>
  <si>
    <t>γ</t>
  </si>
  <si>
    <t>clases</t>
  </si>
  <si>
    <t>Reducida</t>
  </si>
  <si>
    <t>Esbeltez</t>
  </si>
  <si>
    <r>
      <t>λ</t>
    </r>
    <r>
      <rPr>
        <i/>
        <vertAlign val="subscript"/>
        <sz val="14"/>
        <rFont val="Times New Roman"/>
        <family val="1"/>
      </rPr>
      <t>L</t>
    </r>
  </si>
  <si>
    <t>cm</t>
  </si>
  <si>
    <t>mm</t>
  </si>
  <si>
    <t>MPa</t>
  </si>
  <si>
    <t>G</t>
  </si>
  <si>
    <t>Classification ENV 1993-1-1</t>
  </si>
  <si>
    <t>h</t>
  </si>
  <si>
    <r>
      <t>t</t>
    </r>
    <r>
      <rPr>
        <vertAlign val="subscript"/>
        <sz val="12"/>
        <color indexed="8"/>
        <rFont val="Arial"/>
        <family val="2"/>
      </rPr>
      <t>w</t>
    </r>
  </si>
  <si>
    <r>
      <t>t</t>
    </r>
    <r>
      <rPr>
        <vertAlign val="subscript"/>
        <sz val="12"/>
        <color indexed="8"/>
        <rFont val="Arial"/>
        <family val="2"/>
      </rPr>
      <t>f</t>
    </r>
  </si>
  <si>
    <t>r</t>
  </si>
  <si>
    <t>A</t>
  </si>
  <si>
    <r>
      <t>h</t>
    </r>
    <r>
      <rPr>
        <vertAlign val="subscript"/>
        <sz val="12"/>
        <color indexed="8"/>
        <rFont val="Arial"/>
        <family val="2"/>
      </rPr>
      <t>i</t>
    </r>
  </si>
  <si>
    <t>Ø</t>
  </si>
  <si>
    <r>
      <t>p</t>
    </r>
    <r>
      <rPr>
        <vertAlign val="subscript"/>
        <sz val="12"/>
        <color indexed="8"/>
        <rFont val="Arial"/>
        <family val="2"/>
      </rPr>
      <t>min</t>
    </r>
  </si>
  <si>
    <r>
      <t>p</t>
    </r>
    <r>
      <rPr>
        <vertAlign val="subscript"/>
        <sz val="12"/>
        <color indexed="8"/>
        <rFont val="Arial"/>
        <family val="2"/>
      </rPr>
      <t>max</t>
    </r>
  </si>
  <si>
    <r>
      <t>A</t>
    </r>
    <r>
      <rPr>
        <vertAlign val="subscript"/>
        <sz val="12"/>
        <color indexed="8"/>
        <rFont val="Arial"/>
        <family val="2"/>
      </rPr>
      <t>L</t>
    </r>
  </si>
  <si>
    <r>
      <t>A</t>
    </r>
    <r>
      <rPr>
        <vertAlign val="subscript"/>
        <sz val="12"/>
        <color indexed="8"/>
        <rFont val="Arial"/>
        <family val="2"/>
      </rPr>
      <t>G</t>
    </r>
  </si>
  <si>
    <r>
      <t>I</t>
    </r>
    <r>
      <rPr>
        <vertAlign val="subscript"/>
        <sz val="12"/>
        <color indexed="8"/>
        <rFont val="Arial"/>
        <family val="2"/>
      </rPr>
      <t>y</t>
    </r>
  </si>
  <si>
    <r>
      <t>W</t>
    </r>
    <r>
      <rPr>
        <vertAlign val="subscript"/>
        <sz val="12"/>
        <color indexed="8"/>
        <rFont val="Arial"/>
        <family val="2"/>
      </rPr>
      <t>el.y</t>
    </r>
  </si>
  <si>
    <r>
      <t>W</t>
    </r>
    <r>
      <rPr>
        <vertAlign val="subscript"/>
        <sz val="12"/>
        <color indexed="8"/>
        <rFont val="Arial"/>
        <family val="2"/>
      </rPr>
      <t>pl.y</t>
    </r>
    <r>
      <rPr>
        <sz val="8"/>
        <color indexed="8"/>
        <rFont val="Arial"/>
        <family val="2"/>
      </rPr>
      <t>♦</t>
    </r>
  </si>
  <si>
    <r>
      <t>i</t>
    </r>
    <r>
      <rPr>
        <vertAlign val="subscript"/>
        <sz val="12"/>
        <color indexed="8"/>
        <rFont val="Arial"/>
        <family val="2"/>
      </rPr>
      <t>y</t>
    </r>
  </si>
  <si>
    <r>
      <t>A</t>
    </r>
    <r>
      <rPr>
        <vertAlign val="subscript"/>
        <sz val="12"/>
        <color indexed="8"/>
        <rFont val="Arial"/>
        <family val="2"/>
      </rPr>
      <t>vz</t>
    </r>
  </si>
  <si>
    <r>
      <t>I</t>
    </r>
    <r>
      <rPr>
        <vertAlign val="subscript"/>
        <sz val="12"/>
        <color indexed="8"/>
        <rFont val="Arial"/>
        <family val="2"/>
      </rPr>
      <t>z</t>
    </r>
  </si>
  <si>
    <r>
      <t>W</t>
    </r>
    <r>
      <rPr>
        <vertAlign val="subscript"/>
        <sz val="12"/>
        <color indexed="8"/>
        <rFont val="Arial"/>
        <family val="2"/>
      </rPr>
      <t>el.z</t>
    </r>
  </si>
  <si>
    <r>
      <t>W</t>
    </r>
    <r>
      <rPr>
        <vertAlign val="subscript"/>
        <sz val="12"/>
        <color indexed="8"/>
        <rFont val="Arial"/>
        <family val="2"/>
      </rPr>
      <t>pl.z</t>
    </r>
    <r>
      <rPr>
        <sz val="8"/>
        <color indexed="8"/>
        <rFont val="Arial"/>
        <family val="2"/>
      </rPr>
      <t>♦</t>
    </r>
  </si>
  <si>
    <r>
      <t xml:space="preserve"> i</t>
    </r>
    <r>
      <rPr>
        <vertAlign val="subscript"/>
        <sz val="12"/>
        <color indexed="8"/>
        <rFont val="Arial"/>
        <family val="2"/>
      </rPr>
      <t>z</t>
    </r>
  </si>
  <si>
    <r>
      <t>s</t>
    </r>
    <r>
      <rPr>
        <vertAlign val="subscript"/>
        <sz val="12"/>
        <color indexed="8"/>
        <rFont val="Arial"/>
        <family val="2"/>
      </rPr>
      <t>s</t>
    </r>
  </si>
  <si>
    <r>
      <t>I</t>
    </r>
    <r>
      <rPr>
        <vertAlign val="subscript"/>
        <sz val="12"/>
        <color indexed="8"/>
        <rFont val="Arial"/>
        <family val="2"/>
      </rPr>
      <t>t</t>
    </r>
  </si>
  <si>
    <r>
      <t>I</t>
    </r>
    <r>
      <rPr>
        <vertAlign val="subscript"/>
        <sz val="12"/>
        <color indexed="8"/>
        <rFont val="Arial"/>
        <family val="2"/>
      </rPr>
      <t>w</t>
    </r>
  </si>
  <si>
    <t xml:space="preserve">Pure </t>
  </si>
  <si>
    <t>kg/m</t>
  </si>
  <si>
    <t xml:space="preserve"> mm</t>
  </si>
  <si>
    <r>
      <t>mm</t>
    </r>
    <r>
      <rPr>
        <vertAlign val="superscript"/>
        <sz val="9"/>
        <color indexed="8"/>
        <rFont val="Arial"/>
        <family val="2"/>
      </rPr>
      <t>2</t>
    </r>
  </si>
  <si>
    <r>
      <t>m</t>
    </r>
    <r>
      <rPr>
        <vertAlign val="superscript"/>
        <sz val="8"/>
        <color indexed="8"/>
        <rFont val="Arial"/>
        <family val="2"/>
      </rPr>
      <t>2</t>
    </r>
    <r>
      <rPr>
        <sz val="8"/>
        <color indexed="8"/>
        <rFont val="Arial"/>
        <family val="2"/>
      </rPr>
      <t>/m</t>
    </r>
  </si>
  <si>
    <r>
      <t xml:space="preserve"> m</t>
    </r>
    <r>
      <rPr>
        <vertAlign val="superscript"/>
        <sz val="8"/>
        <color indexed="8"/>
        <rFont val="Arial"/>
        <family val="2"/>
      </rPr>
      <t>2</t>
    </r>
    <r>
      <rPr>
        <sz val="8"/>
        <color indexed="8"/>
        <rFont val="Arial"/>
        <family val="2"/>
      </rPr>
      <t>/t</t>
    </r>
  </si>
  <si>
    <r>
      <t>mm</t>
    </r>
    <r>
      <rPr>
        <vertAlign val="superscript"/>
        <sz val="8"/>
        <color indexed="8"/>
        <rFont val="Arial"/>
        <family val="2"/>
      </rPr>
      <t>4</t>
    </r>
    <r>
      <rPr>
        <sz val="8"/>
        <color indexed="8"/>
        <rFont val="Arial"/>
        <family val="2"/>
      </rPr>
      <t xml:space="preserve"> </t>
    </r>
  </si>
  <si>
    <r>
      <t>mm</t>
    </r>
    <r>
      <rPr>
        <vertAlign val="superscript"/>
        <sz val="8"/>
        <color indexed="8"/>
        <rFont val="Arial"/>
        <family val="2"/>
      </rPr>
      <t>3</t>
    </r>
  </si>
  <si>
    <r>
      <t>mm</t>
    </r>
    <r>
      <rPr>
        <vertAlign val="superscript"/>
        <sz val="8"/>
        <color indexed="8"/>
        <rFont val="Arial"/>
        <family val="2"/>
      </rPr>
      <t>2</t>
    </r>
  </si>
  <si>
    <r>
      <t>mm</t>
    </r>
    <r>
      <rPr>
        <vertAlign val="superscript"/>
        <sz val="8"/>
        <color indexed="8"/>
        <rFont val="Arial"/>
        <family val="2"/>
      </rPr>
      <t>4</t>
    </r>
  </si>
  <si>
    <r>
      <t>mm</t>
    </r>
    <r>
      <rPr>
        <vertAlign val="superscript"/>
        <sz val="8"/>
        <color indexed="8"/>
        <rFont val="Arial"/>
        <family val="2"/>
      </rPr>
      <t>6</t>
    </r>
  </si>
  <si>
    <t>bending y-y</t>
  </si>
  <si>
    <t>compression</t>
  </si>
  <si>
    <r>
      <t>x10</t>
    </r>
    <r>
      <rPr>
        <vertAlign val="superscript"/>
        <sz val="8"/>
        <color indexed="8"/>
        <rFont val="Arial"/>
        <family val="2"/>
      </rPr>
      <t>2</t>
    </r>
  </si>
  <si>
    <r>
      <t>x10</t>
    </r>
    <r>
      <rPr>
        <vertAlign val="superscript"/>
        <sz val="8"/>
        <color indexed="8"/>
        <rFont val="Arial"/>
        <family val="2"/>
      </rPr>
      <t>4</t>
    </r>
  </si>
  <si>
    <r>
      <t>x10</t>
    </r>
    <r>
      <rPr>
        <vertAlign val="superscript"/>
        <sz val="8"/>
        <color indexed="8"/>
        <rFont val="Arial"/>
        <family val="2"/>
      </rPr>
      <t>3</t>
    </r>
  </si>
  <si>
    <t>x10</t>
  </si>
  <si>
    <r>
      <t>x10</t>
    </r>
    <r>
      <rPr>
        <vertAlign val="superscript"/>
        <sz val="8"/>
        <color indexed="8"/>
        <rFont val="Arial"/>
        <family val="2"/>
      </rPr>
      <t>9</t>
    </r>
  </si>
  <si>
    <t>S460</t>
  </si>
  <si>
    <t>-</t>
  </si>
  <si>
    <t>IPE 80</t>
  </si>
  <si>
    <t>3,58</t>
  </si>
  <si>
    <t>IPE 100</t>
  </si>
  <si>
    <t>5,79</t>
  </si>
  <si>
    <t>IPE 120</t>
  </si>
  <si>
    <t>13,58</t>
  </si>
  <si>
    <t>IPE 140</t>
  </si>
  <si>
    <t>IPE 160</t>
  </si>
  <si>
    <t>127,2</t>
  </si>
  <si>
    <t>6,58</t>
  </si>
  <si>
    <t>IPE 180</t>
  </si>
  <si>
    <t>M 10</t>
  </si>
  <si>
    <t>7,43</t>
  </si>
  <si>
    <t>IPE 200</t>
  </si>
  <si>
    <t>8,5</t>
  </si>
  <si>
    <t>194,3</t>
  </si>
  <si>
    <t>12,99</t>
  </si>
  <si>
    <t>IPE 220</t>
  </si>
  <si>
    <t>M 12</t>
  </si>
  <si>
    <t>IPE 240</t>
  </si>
  <si>
    <t>190,4</t>
  </si>
  <si>
    <t>19,14</t>
  </si>
  <si>
    <t>219,6</t>
  </si>
  <si>
    <t>M 16</t>
  </si>
  <si>
    <t>3,02</t>
  </si>
  <si>
    <t>53,8</t>
  </si>
  <si>
    <t>IPE 330</t>
  </si>
  <si>
    <t>7,5</t>
  </si>
  <si>
    <t>11,5</t>
  </si>
  <si>
    <t>30,81</t>
  </si>
  <si>
    <t>IPE 360</t>
  </si>
  <si>
    <t>M 22</t>
  </si>
  <si>
    <t>IPE 400</t>
  </si>
  <si>
    <t>13,5</t>
  </si>
  <si>
    <t>IPE 450</t>
  </si>
  <si>
    <t>M 24</t>
  </si>
  <si>
    <t>IPE 500</t>
  </si>
  <si>
    <t xml:space="preserve">IPE 550                 </t>
  </si>
  <si>
    <t>254,1</t>
  </si>
  <si>
    <t>IPE 600</t>
  </si>
  <si>
    <t>M 27</t>
  </si>
  <si>
    <t>EN 10025-2: 2004</t>
  </si>
  <si>
    <t>EN 10025-4: 2004</t>
  </si>
  <si>
    <t>EN 10225:2001</t>
  </si>
  <si>
    <t>HE 100 B</t>
  </si>
  <si>
    <t>20,4</t>
  </si>
  <si>
    <t>26,0</t>
  </si>
  <si>
    <t>0,567</t>
  </si>
  <si>
    <t>27,76</t>
  </si>
  <si>
    <t>449,5</t>
  </si>
  <si>
    <t>89,91</t>
  </si>
  <si>
    <t>104,2</t>
  </si>
  <si>
    <t>4,16</t>
  </si>
  <si>
    <t>9,04</t>
  </si>
  <si>
    <t>167,3</t>
  </si>
  <si>
    <t>33,45</t>
  </si>
  <si>
    <t>51,42</t>
  </si>
  <si>
    <t>2,53</t>
  </si>
  <si>
    <t>40,06</t>
  </si>
  <si>
    <t>9,25</t>
  </si>
  <si>
    <t>3,38</t>
  </si>
  <si>
    <t>◊</t>
  </si>
  <si>
    <t>HE 120 B</t>
  </si>
  <si>
    <t>26,7</t>
  </si>
  <si>
    <t>6,5</t>
  </si>
  <si>
    <t>34,0</t>
  </si>
  <si>
    <t>0,686</t>
  </si>
  <si>
    <t>25,71</t>
  </si>
  <si>
    <t>864,4</t>
  </si>
  <si>
    <t>144,1</t>
  </si>
  <si>
    <t>165,2</t>
  </si>
  <si>
    <t>5,04</t>
  </si>
  <si>
    <t>10,96</t>
  </si>
  <si>
    <t>317,5</t>
  </si>
  <si>
    <t>52,92</t>
  </si>
  <si>
    <t>80,97</t>
  </si>
  <si>
    <t>3,06</t>
  </si>
  <si>
    <t>42,56</t>
  </si>
  <si>
    <t>13,84</t>
  </si>
  <si>
    <t>9,41</t>
  </si>
  <si>
    <t>HE 140 B</t>
  </si>
  <si>
    <t>33,7</t>
  </si>
  <si>
    <t>43,0</t>
  </si>
  <si>
    <t>0,805</t>
  </si>
  <si>
    <t>23,88</t>
  </si>
  <si>
    <t>215,6</t>
  </si>
  <si>
    <t>245,4</t>
  </si>
  <si>
    <t>5,93</t>
  </si>
  <si>
    <t>13,08</t>
  </si>
  <si>
    <t>549,7</t>
  </si>
  <si>
    <t>78,52</t>
  </si>
  <si>
    <t>119,8</t>
  </si>
  <si>
    <t>45,06</t>
  </si>
  <si>
    <t>20,06</t>
  </si>
  <si>
    <t>22,48</t>
  </si>
  <si>
    <t>HE 160 B</t>
  </si>
  <si>
    <t>42,6</t>
  </si>
  <si>
    <t>54,3</t>
  </si>
  <si>
    <t>M 20</t>
  </si>
  <si>
    <t>0,918</t>
  </si>
  <si>
    <t>21,56</t>
  </si>
  <si>
    <t>311,5</t>
  </si>
  <si>
    <t>354,0</t>
  </si>
  <si>
    <t>6,78</t>
  </si>
  <si>
    <t>17,59</t>
  </si>
  <si>
    <t>889,2</t>
  </si>
  <si>
    <t>111,2</t>
  </si>
  <si>
    <t>170,0</t>
  </si>
  <si>
    <t>4,05</t>
  </si>
  <si>
    <t>51,57</t>
  </si>
  <si>
    <t>31,24</t>
  </si>
  <si>
    <t>47,94</t>
  </si>
  <si>
    <t>HE 180 B</t>
  </si>
  <si>
    <t>51,2</t>
  </si>
  <si>
    <t>65,3</t>
  </si>
  <si>
    <t>1,037</t>
  </si>
  <si>
    <t>20,25</t>
  </si>
  <si>
    <t>425,7</t>
  </si>
  <si>
    <t>481,4</t>
  </si>
  <si>
    <t>7,66</t>
  </si>
  <si>
    <t>20,24</t>
  </si>
  <si>
    <t>151,4</t>
  </si>
  <si>
    <t>231,0</t>
  </si>
  <si>
    <t>4,57</t>
  </si>
  <si>
    <t>54,07</t>
  </si>
  <si>
    <t>42,16</t>
  </si>
  <si>
    <t>93,75</t>
  </si>
  <si>
    <t>HE 200 B</t>
  </si>
  <si>
    <t>61,3</t>
  </si>
  <si>
    <t>78,1</t>
  </si>
  <si>
    <t>1,151</t>
  </si>
  <si>
    <t>18,78</t>
  </si>
  <si>
    <t>569,6</t>
  </si>
  <si>
    <t>642,5</t>
  </si>
  <si>
    <t>8,54</t>
  </si>
  <si>
    <t>24,83</t>
  </si>
  <si>
    <t>200,3</t>
  </si>
  <si>
    <t>305,8</t>
  </si>
  <si>
    <t>5,07</t>
  </si>
  <si>
    <t>60,09</t>
  </si>
  <si>
    <t>59,28</t>
  </si>
  <si>
    <t>171,1</t>
  </si>
  <si>
    <t>HE 220 B</t>
  </si>
  <si>
    <t>71,5</t>
  </si>
  <si>
    <t>9,5</t>
  </si>
  <si>
    <t>91,0</t>
  </si>
  <si>
    <t>1,270</t>
  </si>
  <si>
    <t>17,77</t>
  </si>
  <si>
    <t>735,5</t>
  </si>
  <si>
    <t>827,0</t>
  </si>
  <si>
    <t>9,43</t>
  </si>
  <si>
    <t>27,92</t>
  </si>
  <si>
    <t>258,5</t>
  </si>
  <si>
    <t>393,9</t>
  </si>
  <si>
    <t>5,59</t>
  </si>
  <si>
    <t>62,59</t>
  </si>
  <si>
    <t>76,57</t>
  </si>
  <si>
    <t>295,4</t>
  </si>
  <si>
    <t>HE 240 B</t>
  </si>
  <si>
    <t>83,2</t>
  </si>
  <si>
    <t>106,0</t>
  </si>
  <si>
    <t>1,384</t>
  </si>
  <si>
    <t>16,63</t>
  </si>
  <si>
    <t>938,3</t>
  </si>
  <si>
    <t>10,31</t>
  </si>
  <si>
    <t>33,23</t>
  </si>
  <si>
    <t>326,9</t>
  </si>
  <si>
    <t>498,4</t>
  </si>
  <si>
    <t>6,08</t>
  </si>
  <si>
    <t>68,60</t>
  </si>
  <si>
    <t>102,7</t>
  </si>
  <si>
    <t>486,9</t>
  </si>
  <si>
    <t>HE 260 B</t>
  </si>
  <si>
    <t>17,5</t>
  </si>
  <si>
    <t>118,4</t>
  </si>
  <si>
    <t>1,499</t>
  </si>
  <si>
    <t>16,12</t>
  </si>
  <si>
    <t>11,22</t>
  </si>
  <si>
    <t>37,59</t>
  </si>
  <si>
    <t>395,0</t>
  </si>
  <si>
    <t>602,2</t>
  </si>
  <si>
    <t>73,12</t>
  </si>
  <si>
    <t>123,8</t>
  </si>
  <si>
    <t>753,7</t>
  </si>
  <si>
    <t>HI</t>
  </si>
  <si>
    <t>HE 280 B</t>
  </si>
  <si>
    <t>10,5</t>
  </si>
  <si>
    <t>131,4</t>
  </si>
  <si>
    <t>1,618</t>
  </si>
  <si>
    <t>15,69</t>
  </si>
  <si>
    <t>12,11</t>
  </si>
  <si>
    <t>41,09</t>
  </si>
  <si>
    <t>471,0</t>
  </si>
  <si>
    <t>717,6</t>
  </si>
  <si>
    <t>7,09</t>
  </si>
  <si>
    <t>74,62</t>
  </si>
  <si>
    <t>143,7</t>
  </si>
  <si>
    <t>HE 300 B</t>
  </si>
  <si>
    <t>149,1</t>
  </si>
  <si>
    <t>1,732</t>
  </si>
  <si>
    <t>14,80</t>
  </si>
  <si>
    <t>47,43</t>
  </si>
  <si>
    <t>570,9</t>
  </si>
  <si>
    <t>870,1</t>
  </si>
  <si>
    <t>7,58</t>
  </si>
  <si>
    <t>80,63</t>
  </si>
  <si>
    <t>185,0</t>
  </si>
  <si>
    <t>HE 320 B</t>
  </si>
  <si>
    <t>20,5</t>
  </si>
  <si>
    <t>161,3</t>
  </si>
  <si>
    <t>1,771</t>
  </si>
  <si>
    <t>13,98</t>
  </si>
  <si>
    <t>13,82</t>
  </si>
  <si>
    <t>51,77</t>
  </si>
  <si>
    <t>615,9</t>
  </si>
  <si>
    <t>939,1</t>
  </si>
  <si>
    <t>7,57</t>
  </si>
  <si>
    <t>84,13</t>
  </si>
  <si>
    <t>225,1</t>
  </si>
  <si>
    <t>HE 340 B</t>
  </si>
  <si>
    <t>21,5</t>
  </si>
  <si>
    <t>170,9</t>
  </si>
  <si>
    <t>1,810</t>
  </si>
  <si>
    <t>13,49</t>
  </si>
  <si>
    <t>14,65</t>
  </si>
  <si>
    <t>56,09</t>
  </si>
  <si>
    <t>646,0</t>
  </si>
  <si>
    <t>985,7</t>
  </si>
  <si>
    <t>7,53</t>
  </si>
  <si>
    <t>86,63</t>
  </si>
  <si>
    <t>257,2</t>
  </si>
  <si>
    <t>HE 360 B</t>
  </si>
  <si>
    <t>12,5</t>
  </si>
  <si>
    <t>22,5</t>
  </si>
  <si>
    <t>180,6</t>
  </si>
  <si>
    <t>1,849</t>
  </si>
  <si>
    <t>13,04</t>
  </si>
  <si>
    <t>15,46</t>
  </si>
  <si>
    <t>60,60</t>
  </si>
  <si>
    <t>676,1</t>
  </si>
  <si>
    <t>7,49</t>
  </si>
  <si>
    <t>89,13</t>
  </si>
  <si>
    <t>292,5</t>
  </si>
  <si>
    <t>HE 400 B</t>
  </si>
  <si>
    <t>197,8</t>
  </si>
  <si>
    <t>1,927</t>
  </si>
  <si>
    <t>12,41</t>
  </si>
  <si>
    <t>17,08</t>
  </si>
  <si>
    <t>69,98</t>
  </si>
  <si>
    <t>721,3</t>
  </si>
  <si>
    <t>7,40</t>
  </si>
  <si>
    <t>93,13</t>
  </si>
  <si>
    <t>355,7</t>
  </si>
  <si>
    <t>HE 450 B</t>
  </si>
  <si>
    <t>218,0</t>
  </si>
  <si>
    <t>2,026</t>
  </si>
  <si>
    <t>11,84</t>
  </si>
  <si>
    <t>79,66</t>
  </si>
  <si>
    <t>781,4</t>
  </si>
  <si>
    <t>7,33</t>
  </si>
  <si>
    <t>97,63</t>
  </si>
  <si>
    <t>440,5</t>
  </si>
  <si>
    <t>HE 500 B</t>
  </si>
  <si>
    <t>14,5</t>
  </si>
  <si>
    <t>238,6</t>
  </si>
  <si>
    <t>2,125</t>
  </si>
  <si>
    <t>11,34</t>
  </si>
  <si>
    <t>21,19</t>
  </si>
  <si>
    <t>89,82</t>
  </si>
  <si>
    <t>841,6</t>
  </si>
  <si>
    <t>7,27</t>
  </si>
  <si>
    <t>102,1</t>
  </si>
  <si>
    <t>538,4</t>
  </si>
  <si>
    <t>HE 550 B</t>
  </si>
  <si>
    <t>2,224</t>
  </si>
  <si>
    <t>11,15</t>
  </si>
  <si>
    <t>23,20</t>
  </si>
  <si>
    <t>100,1</t>
  </si>
  <si>
    <t>871,8</t>
  </si>
  <si>
    <t>7,17</t>
  </si>
  <si>
    <t>104,6</t>
  </si>
  <si>
    <t>600,3</t>
  </si>
  <si>
    <t>HE 600 B</t>
  </si>
  <si>
    <t>15,5</t>
  </si>
  <si>
    <t>270,0</t>
  </si>
  <si>
    <t>2,323</t>
  </si>
  <si>
    <t>25,17</t>
  </si>
  <si>
    <t>110,8</t>
  </si>
  <si>
    <t>902,0</t>
  </si>
  <si>
    <t>7,08</t>
  </si>
  <si>
    <t>107,1</t>
  </si>
  <si>
    <t>667,2</t>
  </si>
  <si>
    <t>HE 650 B</t>
  </si>
  <si>
    <t>286,3</t>
  </si>
  <si>
    <t>2,422</t>
  </si>
  <si>
    <t>10,77</t>
  </si>
  <si>
    <t>27,12</t>
  </si>
  <si>
    <t>122,0</t>
  </si>
  <si>
    <t>932,3</t>
  </si>
  <si>
    <t>6,99</t>
  </si>
  <si>
    <t>109,6</t>
  </si>
  <si>
    <t>739,2</t>
  </si>
  <si>
    <t>HE 700 B</t>
  </si>
  <si>
    <t>306,4</t>
  </si>
  <si>
    <t>2,520</t>
  </si>
  <si>
    <t>10,48</t>
  </si>
  <si>
    <t>28,96</t>
  </si>
  <si>
    <t>137,1</t>
  </si>
  <si>
    <t>962,7</t>
  </si>
  <si>
    <t>6,87</t>
  </si>
  <si>
    <t>112,6</t>
  </si>
  <si>
    <t>830,9</t>
  </si>
  <si>
    <t>HE 800 B</t>
  </si>
  <si>
    <t>334,2</t>
  </si>
  <si>
    <t>2,713</t>
  </si>
  <si>
    <t>10,34</t>
  </si>
  <si>
    <t>32,78</t>
  </si>
  <si>
    <t>161,8</t>
  </si>
  <si>
    <t>993,6</t>
  </si>
  <si>
    <t>6,68</t>
  </si>
  <si>
    <t>118,6</t>
  </si>
  <si>
    <t>946,0</t>
  </si>
  <si>
    <t>HE 900 B</t>
  </si>
  <si>
    <t>18,5</t>
  </si>
  <si>
    <t>371,3</t>
  </si>
  <si>
    <t>2,911</t>
  </si>
  <si>
    <t>9,99</t>
  </si>
  <si>
    <t>36,48</t>
  </si>
  <si>
    <t>188,8</t>
  </si>
  <si>
    <t>6,53</t>
  </si>
  <si>
    <t>123,6</t>
  </si>
  <si>
    <t>HE 1000 B</t>
  </si>
  <si>
    <t>400,0</t>
  </si>
  <si>
    <t>3,110</t>
  </si>
  <si>
    <t>9,905</t>
  </si>
  <si>
    <t>40,15</t>
  </si>
  <si>
    <t>212,5</t>
  </si>
  <si>
    <t>6,38</t>
  </si>
  <si>
    <t>126,1</t>
  </si>
  <si>
    <t>HEM</t>
  </si>
  <si>
    <t>HE 100 M</t>
  </si>
  <si>
    <t>41,8</t>
  </si>
  <si>
    <t>53,2</t>
  </si>
  <si>
    <t>0,619</t>
  </si>
  <si>
    <t>14,82</t>
  </si>
  <si>
    <t>235,8</t>
  </si>
  <si>
    <t>4,63</t>
  </si>
  <si>
    <t>18,04</t>
  </si>
  <si>
    <t>399,2</t>
  </si>
  <si>
    <t>75,31</t>
  </si>
  <si>
    <t>116,3</t>
  </si>
  <si>
    <t>2,74</t>
  </si>
  <si>
    <t>66,06</t>
  </si>
  <si>
    <t>68,21</t>
  </si>
  <si>
    <t>9,93</t>
  </si>
  <si>
    <t>HE 120 M</t>
  </si>
  <si>
    <t>52,1</t>
  </si>
  <si>
    <t>66,4</t>
  </si>
  <si>
    <t>0,738</t>
  </si>
  <si>
    <t>14,16</t>
  </si>
  <si>
    <t>288,2</t>
  </si>
  <si>
    <t>350,6</t>
  </si>
  <si>
    <t>5,51</t>
  </si>
  <si>
    <t>21,15</t>
  </si>
  <si>
    <t>702,8</t>
  </si>
  <si>
    <t>111,6</t>
  </si>
  <si>
    <t>171,6</t>
  </si>
  <si>
    <t>3,25</t>
  </si>
  <si>
    <t>68,56</t>
  </si>
  <si>
    <t>91,66</t>
  </si>
  <si>
    <t>24,79</t>
  </si>
  <si>
    <t>HE 140 M</t>
  </si>
  <si>
    <t>63,2</t>
  </si>
  <si>
    <t>80,6</t>
  </si>
  <si>
    <t>0,857</t>
  </si>
  <si>
    <t>13,56</t>
  </si>
  <si>
    <t>411,4</t>
  </si>
  <si>
    <t>493,8</t>
  </si>
  <si>
    <t>6,39</t>
  </si>
  <si>
    <t>24,46</t>
  </si>
  <si>
    <t>156,8</t>
  </si>
  <si>
    <t>240,5</t>
  </si>
  <si>
    <t>3,77</t>
  </si>
  <si>
    <t>71,06</t>
  </si>
  <si>
    <t>120,0</t>
  </si>
  <si>
    <t>54,33</t>
  </si>
  <si>
    <t>HE 160 M</t>
  </si>
  <si>
    <t>76,2</t>
  </si>
  <si>
    <t>97,1</t>
  </si>
  <si>
    <t>0,970</t>
  </si>
  <si>
    <t>12,74</t>
  </si>
  <si>
    <t>566,5</t>
  </si>
  <si>
    <t>674,6</t>
  </si>
  <si>
    <t>7,25</t>
  </si>
  <si>
    <t>211,9</t>
  </si>
  <si>
    <t>325,5</t>
  </si>
  <si>
    <t>4,26</t>
  </si>
  <si>
    <t>77,57</t>
  </si>
  <si>
    <t>162,4</t>
  </si>
  <si>
    <t>108,1</t>
  </si>
  <si>
    <t>HE 200 M</t>
  </si>
  <si>
    <t>131,3</t>
  </si>
  <si>
    <t>1,203</t>
  </si>
  <si>
    <t>11,67</t>
  </si>
  <si>
    <t>967,4</t>
  </si>
  <si>
    <t>9,00</t>
  </si>
  <si>
    <t>41,03</t>
  </si>
  <si>
    <t>354,5</t>
  </si>
  <si>
    <t>543,2</t>
  </si>
  <si>
    <t>5,27</t>
  </si>
  <si>
    <t>86,09</t>
  </si>
  <si>
    <t>259,4</t>
  </si>
  <si>
    <t>346,3</t>
  </si>
  <si>
    <t>HE 220 M</t>
  </si>
  <si>
    <t>149,4</t>
  </si>
  <si>
    <t>1,322</t>
  </si>
  <si>
    <t>11,27</t>
  </si>
  <si>
    <t>9,89</t>
  </si>
  <si>
    <t>45,31</t>
  </si>
  <si>
    <t>443,5</t>
  </si>
  <si>
    <t>678,6</t>
  </si>
  <si>
    <t>88,59</t>
  </si>
  <si>
    <t>315,3</t>
  </si>
  <si>
    <t>572,7</t>
  </si>
  <si>
    <t>HE 240 M</t>
  </si>
  <si>
    <t>199,6</t>
  </si>
  <si>
    <t>1,460</t>
  </si>
  <si>
    <t>9,318</t>
  </si>
  <si>
    <t>11,03</t>
  </si>
  <si>
    <t>60,07</t>
  </si>
  <si>
    <t>657,5</t>
  </si>
  <si>
    <t>106,6</t>
  </si>
  <si>
    <t>627,9</t>
  </si>
  <si>
    <t>HE 260 M</t>
  </si>
  <si>
    <t>32,5</t>
  </si>
  <si>
    <t>1,575</t>
  </si>
  <si>
    <t>9,133</t>
  </si>
  <si>
    <t>11,94</t>
  </si>
  <si>
    <t>66,89</t>
  </si>
  <si>
    <t>779,7</t>
  </si>
  <si>
    <t>6,90</t>
  </si>
  <si>
    <t>111,1</t>
  </si>
  <si>
    <t>719,0</t>
  </si>
  <si>
    <t>HE 280 M</t>
  </si>
  <si>
    <t>240,2</t>
  </si>
  <si>
    <t>1,694</t>
  </si>
  <si>
    <t>8,984</t>
  </si>
  <si>
    <t>12,83</t>
  </si>
  <si>
    <t>72,03</t>
  </si>
  <si>
    <t>914,1</t>
  </si>
  <si>
    <t>807,3</t>
  </si>
  <si>
    <t>HE 300 M</t>
  </si>
  <si>
    <t>303,1</t>
  </si>
  <si>
    <t>1,832</t>
  </si>
  <si>
    <t>7,699</t>
  </si>
  <si>
    <t>90,53</t>
  </si>
  <si>
    <t>8,00</t>
  </si>
  <si>
    <t>130,6</t>
  </si>
  <si>
    <t>HE 320 M</t>
  </si>
  <si>
    <t>312,0</t>
  </si>
  <si>
    <t>1,866</t>
  </si>
  <si>
    <t>7,616</t>
  </si>
  <si>
    <t>14,78</t>
  </si>
  <si>
    <t>94,85</t>
  </si>
  <si>
    <t>7,95</t>
  </si>
  <si>
    <t>132,6</t>
  </si>
  <si>
    <t>HE 340 M</t>
  </si>
  <si>
    <t>315,8</t>
  </si>
  <si>
    <t>1,902</t>
  </si>
  <si>
    <t>7,670</t>
  </si>
  <si>
    <t>15,55</t>
  </si>
  <si>
    <t>98,63</t>
  </si>
  <si>
    <t>7,90</t>
  </si>
  <si>
    <t>HE 360 M</t>
  </si>
  <si>
    <t>318,8</t>
  </si>
  <si>
    <t>1,934</t>
  </si>
  <si>
    <t>7,730</t>
  </si>
  <si>
    <t>16,32</t>
  </si>
  <si>
    <t>102,4</t>
  </si>
  <si>
    <t>7,83</t>
  </si>
  <si>
    <t>HI = HISTAR®</t>
  </si>
  <si>
    <t>HE 400 M</t>
  </si>
  <si>
    <t>325,8</t>
  </si>
  <si>
    <t>2,004</t>
  </si>
  <si>
    <t>7,835</t>
  </si>
  <si>
    <t>17,88</t>
  </si>
  <si>
    <t>110,2</t>
  </si>
  <si>
    <t>7,70</t>
  </si>
  <si>
    <t>HE 450 M</t>
  </si>
  <si>
    <t>335,4</t>
  </si>
  <si>
    <t>2,096</t>
  </si>
  <si>
    <t>7,959</t>
  </si>
  <si>
    <t>19,80</t>
  </si>
  <si>
    <t>7,59</t>
  </si>
  <si>
    <t>HE 500 M</t>
  </si>
  <si>
    <t>344,3</t>
  </si>
  <si>
    <t>2,184</t>
  </si>
  <si>
    <t>8,079</t>
  </si>
  <si>
    <t>21,69</t>
  </si>
  <si>
    <t>129,5</t>
  </si>
  <si>
    <t>7,46</t>
  </si>
  <si>
    <t>HE 550 M</t>
  </si>
  <si>
    <t>354,4</t>
  </si>
  <si>
    <t>2,280</t>
  </si>
  <si>
    <t>8,195</t>
  </si>
  <si>
    <t>23,64</t>
  </si>
  <si>
    <t>139,6</t>
  </si>
  <si>
    <t>7,35</t>
  </si>
  <si>
    <t>HE 600 M</t>
  </si>
  <si>
    <t>363,7</t>
  </si>
  <si>
    <t>2,372</t>
  </si>
  <si>
    <t>8,308</t>
  </si>
  <si>
    <t>25,55</t>
  </si>
  <si>
    <t>149,7</t>
  </si>
  <si>
    <t>7,22</t>
  </si>
  <si>
    <t>HE 650 M</t>
  </si>
  <si>
    <t>373,7</t>
  </si>
  <si>
    <t>2,468</t>
  </si>
  <si>
    <t>8,411</t>
  </si>
  <si>
    <t>27,45</t>
  </si>
  <si>
    <t>159,7</t>
  </si>
  <si>
    <t>7,13</t>
  </si>
  <si>
    <t>HE 700 M</t>
  </si>
  <si>
    <t>383,0</t>
  </si>
  <si>
    <t>2,560</t>
  </si>
  <si>
    <t>8,513</t>
  </si>
  <si>
    <t>29,32</t>
  </si>
  <si>
    <t>169,8</t>
  </si>
  <si>
    <t>7,01</t>
  </si>
  <si>
    <t>HE 800 M</t>
  </si>
  <si>
    <t>404,3</t>
  </si>
  <si>
    <t>2,746</t>
  </si>
  <si>
    <t>8,655</t>
  </si>
  <si>
    <t>33,09</t>
  </si>
  <si>
    <t>6,79</t>
  </si>
  <si>
    <t>136,1</t>
  </si>
  <si>
    <t>HE 900 M</t>
  </si>
  <si>
    <t>423,6</t>
  </si>
  <si>
    <t>2,934</t>
  </si>
  <si>
    <t>8,824</t>
  </si>
  <si>
    <t>36,70</t>
  </si>
  <si>
    <t>214,4</t>
  </si>
  <si>
    <t>6,60</t>
  </si>
  <si>
    <t>HE 1000 M</t>
  </si>
  <si>
    <t>444,2</t>
  </si>
  <si>
    <t>3,130</t>
  </si>
  <si>
    <t>8,978</t>
  </si>
  <si>
    <t>40,32</t>
  </si>
  <si>
    <t>235,0</t>
  </si>
  <si>
    <t>6,45</t>
  </si>
  <si>
    <t>HEA</t>
  </si>
  <si>
    <t>HE 100 A</t>
  </si>
  <si>
    <t>16,7</t>
  </si>
  <si>
    <t>21,2</t>
  </si>
  <si>
    <t>0,561</t>
  </si>
  <si>
    <t>33,68</t>
  </si>
  <si>
    <t>349,2</t>
  </si>
  <si>
    <t>72,76</t>
  </si>
  <si>
    <t>83,01</t>
  </si>
  <si>
    <t>4,06</t>
  </si>
  <si>
    <t>7,56</t>
  </si>
  <si>
    <t>133,8</t>
  </si>
  <si>
    <t>26,76</t>
  </si>
  <si>
    <t>41,14</t>
  </si>
  <si>
    <t>2,51</t>
  </si>
  <si>
    <t>35,06</t>
  </si>
  <si>
    <t>5,24</t>
  </si>
  <si>
    <t>2,58</t>
  </si>
  <si>
    <t>HE 120 A</t>
  </si>
  <si>
    <t>19,9</t>
  </si>
  <si>
    <t>25,3</t>
  </si>
  <si>
    <t>0,677</t>
  </si>
  <si>
    <t>34,06</t>
  </si>
  <si>
    <t>606,2</t>
  </si>
  <si>
    <t>106,3</t>
  </si>
  <si>
    <t>119,5</t>
  </si>
  <si>
    <t>4,89</t>
  </si>
  <si>
    <t>8,46</t>
  </si>
  <si>
    <t>230,9</t>
  </si>
  <si>
    <t>38,48</t>
  </si>
  <si>
    <t>58,85</t>
  </si>
  <si>
    <t>5,99</t>
  </si>
  <si>
    <t>6,47</t>
  </si>
  <si>
    <t>HE 140 A</t>
  </si>
  <si>
    <t>24,7</t>
  </si>
  <si>
    <t>5,5</t>
  </si>
  <si>
    <t>31,4</t>
  </si>
  <si>
    <t>0,794</t>
  </si>
  <si>
    <t>32,21</t>
  </si>
  <si>
    <t>155,4</t>
  </si>
  <si>
    <t>173,5</t>
  </si>
  <si>
    <t>5,73</t>
  </si>
  <si>
    <t>10,12</t>
  </si>
  <si>
    <t>389,3</t>
  </si>
  <si>
    <t>55,62</t>
  </si>
  <si>
    <t>84,85</t>
  </si>
  <si>
    <t>3,52</t>
  </si>
  <si>
    <t>36,56</t>
  </si>
  <si>
    <t>8,13</t>
  </si>
  <si>
    <t>15,06</t>
  </si>
  <si>
    <t>HE 160 A</t>
  </si>
  <si>
    <t>30,4</t>
  </si>
  <si>
    <t>38,8</t>
  </si>
  <si>
    <t>0,906</t>
  </si>
  <si>
    <t>29,78</t>
  </si>
  <si>
    <t>220,1</t>
  </si>
  <si>
    <t>245,1</t>
  </si>
  <si>
    <t>6,57</t>
  </si>
  <si>
    <t>13,21</t>
  </si>
  <si>
    <t>615,6</t>
  </si>
  <si>
    <t>76,95</t>
  </si>
  <si>
    <t>117,6</t>
  </si>
  <si>
    <t>3,98</t>
  </si>
  <si>
    <t>41,57</t>
  </si>
  <si>
    <t>12,19</t>
  </si>
  <si>
    <t>31,41</t>
  </si>
  <si>
    <t>HE 180 A</t>
  </si>
  <si>
    <t>35,5</t>
  </si>
  <si>
    <t>45,3</t>
  </si>
  <si>
    <t>1,024</t>
  </si>
  <si>
    <t>28,83</t>
  </si>
  <si>
    <t>293,6</t>
  </si>
  <si>
    <t>324,9</t>
  </si>
  <si>
    <t>7,45</t>
  </si>
  <si>
    <t>14,47</t>
  </si>
  <si>
    <t>924,6</t>
  </si>
  <si>
    <t>156,5</t>
  </si>
  <si>
    <t>4,52</t>
  </si>
  <si>
    <t>42,57</t>
  </si>
  <si>
    <t>60,21</t>
  </si>
  <si>
    <t>HE 200 A</t>
  </si>
  <si>
    <t>42,3</t>
  </si>
  <si>
    <t>1,136</t>
  </si>
  <si>
    <t>26,89</t>
  </si>
  <si>
    <t>388,6</t>
  </si>
  <si>
    <t>429,5</t>
  </si>
  <si>
    <t>8,28</t>
  </si>
  <si>
    <t>18,08</t>
  </si>
  <si>
    <t>133,6</t>
  </si>
  <si>
    <t>203,8</t>
  </si>
  <si>
    <t>4,98</t>
  </si>
  <si>
    <t>47,59</t>
  </si>
  <si>
    <t>20,98</t>
  </si>
  <si>
    <t>108,0</t>
  </si>
  <si>
    <t>HE 220 A</t>
  </si>
  <si>
    <t>50,5</t>
  </si>
  <si>
    <t>64,3</t>
  </si>
  <si>
    <t>1,255</t>
  </si>
  <si>
    <t>24,85</t>
  </si>
  <si>
    <t>515,2</t>
  </si>
  <si>
    <t>568,5</t>
  </si>
  <si>
    <t>9,17</t>
  </si>
  <si>
    <t>20,67</t>
  </si>
  <si>
    <t>177,7</t>
  </si>
  <si>
    <t>270,6</t>
  </si>
  <si>
    <t>50,09</t>
  </si>
  <si>
    <t>28,46</t>
  </si>
  <si>
    <t>193,3</t>
  </si>
  <si>
    <t>HE 240 A</t>
  </si>
  <si>
    <t>60,3</t>
  </si>
  <si>
    <t>76,8</t>
  </si>
  <si>
    <t>1,369</t>
  </si>
  <si>
    <t>22,70</t>
  </si>
  <si>
    <t>675,1</t>
  </si>
  <si>
    <t>744,6</t>
  </si>
  <si>
    <t>10,05</t>
  </si>
  <si>
    <t>25,18</t>
  </si>
  <si>
    <t>230,7</t>
  </si>
  <si>
    <t>351,7</t>
  </si>
  <si>
    <t>6,00</t>
  </si>
  <si>
    <t>56,10</t>
  </si>
  <si>
    <t>41,55</t>
  </si>
  <si>
    <t>328,5</t>
  </si>
  <si>
    <t>HE 260 A</t>
  </si>
  <si>
    <t>68,2</t>
  </si>
  <si>
    <t>86,8</t>
  </si>
  <si>
    <t>1,484</t>
  </si>
  <si>
    <t>21,77</t>
  </si>
  <si>
    <t>836,4</t>
  </si>
  <si>
    <t>919,8</t>
  </si>
  <si>
    <t>10,97</t>
  </si>
  <si>
    <t>28,76</t>
  </si>
  <si>
    <t>282,1</t>
  </si>
  <si>
    <t>430,2</t>
  </si>
  <si>
    <t>6,50</t>
  </si>
  <si>
    <t>60,62</t>
  </si>
  <si>
    <t>52,37</t>
  </si>
  <si>
    <t>516,4</t>
  </si>
  <si>
    <t>HE 280 A</t>
  </si>
  <si>
    <t>76,4</t>
  </si>
  <si>
    <t>97,3</t>
  </si>
  <si>
    <t>1,603</t>
  </si>
  <si>
    <t>20,99</t>
  </si>
  <si>
    <t>11,86</t>
  </si>
  <si>
    <t>31,74</t>
  </si>
  <si>
    <t>340,2</t>
  </si>
  <si>
    <t>518,1</t>
  </si>
  <si>
    <t>7,00</t>
  </si>
  <si>
    <t>62,12</t>
  </si>
  <si>
    <t>62,10</t>
  </si>
  <si>
    <t>785,4</t>
  </si>
  <si>
    <t>HE 300 A</t>
  </si>
  <si>
    <t>88,3</t>
  </si>
  <si>
    <t>112,5</t>
  </si>
  <si>
    <t>1,717</t>
  </si>
  <si>
    <t>19,43</t>
  </si>
  <si>
    <t>37,28</t>
  </si>
  <si>
    <t>420,6</t>
  </si>
  <si>
    <t>641,2</t>
  </si>
  <si>
    <t>68,13</t>
  </si>
  <si>
    <t>85,17</t>
  </si>
  <si>
    <t>HE 320 A</t>
  </si>
  <si>
    <t>97,6</t>
  </si>
  <si>
    <t>124,4</t>
  </si>
  <si>
    <t>1,756</t>
  </si>
  <si>
    <t>17,98</t>
  </si>
  <si>
    <t>41,13</t>
  </si>
  <si>
    <t>465,7</t>
  </si>
  <si>
    <t>709,7</t>
  </si>
  <si>
    <t>71,63</t>
  </si>
  <si>
    <t>HE 340 A</t>
  </si>
  <si>
    <t>16,5</t>
  </si>
  <si>
    <t>133,5</t>
  </si>
  <si>
    <t>1,795</t>
  </si>
  <si>
    <t>17,13</t>
  </si>
  <si>
    <t>14,40</t>
  </si>
  <si>
    <t>44,95</t>
  </si>
  <si>
    <t>495,7</t>
  </si>
  <si>
    <t>755,9</t>
  </si>
  <si>
    <t>74,13</t>
  </si>
  <si>
    <t>HE 360 A</t>
  </si>
  <si>
    <t>142,8</t>
  </si>
  <si>
    <t>1,834</t>
  </si>
  <si>
    <t>16,36</t>
  </si>
  <si>
    <t>15,22</t>
  </si>
  <si>
    <t>48,96</t>
  </si>
  <si>
    <t>525,8</t>
  </si>
  <si>
    <t>802,3</t>
  </si>
  <si>
    <t>76,63</t>
  </si>
  <si>
    <t>148,8</t>
  </si>
  <si>
    <t>HE 400 A</t>
  </si>
  <si>
    <t>159,0</t>
  </si>
  <si>
    <t>1,912</t>
  </si>
  <si>
    <t>15,32</t>
  </si>
  <si>
    <t>16,84</t>
  </si>
  <si>
    <t>57,33</t>
  </si>
  <si>
    <t>872,9</t>
  </si>
  <si>
    <t>7,34</t>
  </si>
  <si>
    <t>189,0</t>
  </si>
  <si>
    <t>HE 450 A</t>
  </si>
  <si>
    <t>178,0</t>
  </si>
  <si>
    <t>2,011</t>
  </si>
  <si>
    <t>14,39</t>
  </si>
  <si>
    <t>18,92</t>
  </si>
  <si>
    <t>65,78</t>
  </si>
  <si>
    <t>631,0</t>
  </si>
  <si>
    <t>965,5</t>
  </si>
  <si>
    <t>7,29</t>
  </si>
  <si>
    <t>85,13</t>
  </si>
  <si>
    <t>243,8</t>
  </si>
  <si>
    <t>HE 500 A</t>
  </si>
  <si>
    <t>197,5</t>
  </si>
  <si>
    <t>2,110</t>
  </si>
  <si>
    <t>13,60</t>
  </si>
  <si>
    <t>74,72</t>
  </si>
  <si>
    <t>691,1</t>
  </si>
  <si>
    <t>7,24</t>
  </si>
  <si>
    <t>89,63</t>
  </si>
  <si>
    <t>309,3</t>
  </si>
  <si>
    <t>HE 550 A</t>
  </si>
  <si>
    <t>211,8</t>
  </si>
  <si>
    <t>2,209</t>
  </si>
  <si>
    <t>13,29</t>
  </si>
  <si>
    <t>22,99</t>
  </si>
  <si>
    <t>83,72</t>
  </si>
  <si>
    <t>7,15</t>
  </si>
  <si>
    <t>92,13</t>
  </si>
  <si>
    <t>351,5</t>
  </si>
  <si>
    <t>HE 600 A</t>
  </si>
  <si>
    <t>226,5</t>
  </si>
  <si>
    <t>2,308</t>
  </si>
  <si>
    <t>12,98</t>
  </si>
  <si>
    <t>24,97</t>
  </si>
  <si>
    <t>93,21</t>
  </si>
  <si>
    <t>751,4</t>
  </si>
  <si>
    <t>7,05</t>
  </si>
  <si>
    <t>94,63</t>
  </si>
  <si>
    <t>397,8</t>
  </si>
  <si>
    <t>HE 650 A</t>
  </si>
  <si>
    <t>241,6</t>
  </si>
  <si>
    <t>2,407</t>
  </si>
  <si>
    <t>12,69</t>
  </si>
  <si>
    <t>26,93</t>
  </si>
  <si>
    <t>103,2</t>
  </si>
  <si>
    <t>781,6</t>
  </si>
  <si>
    <t>6,97</t>
  </si>
  <si>
    <t>97,13</t>
  </si>
  <si>
    <t>448,3</t>
  </si>
  <si>
    <t>HE 700 A</t>
  </si>
  <si>
    <t>260,5</t>
  </si>
  <si>
    <t>2,505</t>
  </si>
  <si>
    <t>12,25</t>
  </si>
  <si>
    <t>28,75</t>
  </si>
  <si>
    <t>117,0</t>
  </si>
  <si>
    <t>811,9</t>
  </si>
  <si>
    <t>6,84</t>
  </si>
  <si>
    <t>513,9</t>
  </si>
  <si>
    <t>HE 800 A</t>
  </si>
  <si>
    <t>285,8</t>
  </si>
  <si>
    <t>2,698</t>
  </si>
  <si>
    <t>12,03</t>
  </si>
  <si>
    <t>32,58</t>
  </si>
  <si>
    <t>138,8</t>
  </si>
  <si>
    <t>842,6</t>
  </si>
  <si>
    <t>6,65</t>
  </si>
  <si>
    <t>106,1</t>
  </si>
  <si>
    <t>596,9</t>
  </si>
  <si>
    <t>HE 900 A</t>
  </si>
  <si>
    <t>320,5</t>
  </si>
  <si>
    <t>2,896</t>
  </si>
  <si>
    <t>11,51</t>
  </si>
  <si>
    <t>36,29</t>
  </si>
  <si>
    <t>163,3</t>
  </si>
  <si>
    <t>903,2</t>
  </si>
  <si>
    <t>736,8</t>
  </si>
  <si>
    <t>HE 1000 A</t>
  </si>
  <si>
    <t>346,8</t>
  </si>
  <si>
    <t>3,095</t>
  </si>
  <si>
    <t>11,37</t>
  </si>
  <si>
    <t>39,96</t>
  </si>
  <si>
    <t>184,6</t>
  </si>
  <si>
    <t>933,6</t>
  </si>
  <si>
    <t>6,35</t>
  </si>
  <si>
    <t>113,6</t>
  </si>
  <si>
    <t>822,4</t>
  </si>
  <si>
    <r>
      <t>D</t>
    </r>
    <r>
      <rPr>
        <sz val="12"/>
        <rFont val="Arial"/>
        <family val="2"/>
      </rPr>
      <t>atos</t>
    </r>
  </si>
  <si>
    <r>
      <t>G</t>
    </r>
    <r>
      <rPr>
        <sz val="12"/>
        <rFont val="Arial"/>
        <family val="2"/>
      </rPr>
      <t>enerales</t>
    </r>
  </si>
  <si>
    <t>Elección del tipo de acero</t>
  </si>
  <si>
    <t xml:space="preserve"> Acero</t>
  </si>
  <si>
    <t>resistencia en función del espesor de las chapas</t>
  </si>
  <si>
    <t>Cumple?</t>
  </si>
  <si>
    <t>Flex. Pura</t>
  </si>
  <si>
    <t>Comp. P.</t>
  </si>
  <si>
    <t>ρ</t>
  </si>
  <si>
    <t>interac.</t>
  </si>
  <si>
    <r>
      <t>iy</t>
    </r>
    <r>
      <rPr>
        <sz val="10"/>
        <rFont val="Times New Roman"/>
        <family val="1"/>
      </rPr>
      <t xml:space="preserve"> (cm)</t>
    </r>
  </si>
  <si>
    <r>
      <t>i</t>
    </r>
    <r>
      <rPr>
        <i/>
        <sz val="8"/>
        <rFont val="Times New Roman"/>
        <family val="1"/>
      </rPr>
      <t>z</t>
    </r>
    <r>
      <rPr>
        <sz val="8"/>
        <rFont val="Times New Roman"/>
        <family val="1"/>
      </rPr>
      <t xml:space="preserve"> </t>
    </r>
    <r>
      <rPr>
        <sz val="10"/>
        <rFont val="Times New Roman"/>
        <family val="1"/>
      </rPr>
      <t>(cm)</t>
    </r>
  </si>
  <si>
    <r>
      <t>A</t>
    </r>
    <r>
      <rPr>
        <sz val="10"/>
        <rFont val="Times New Roman"/>
        <family val="1"/>
      </rPr>
      <t xml:space="preserve"> (cm2)</t>
    </r>
  </si>
  <si>
    <t>y-y</t>
  </si>
  <si>
    <t>z-z</t>
  </si>
  <si>
    <t>elección de la curva de pandeo</t>
  </si>
  <si>
    <t>curva de pandeo</t>
  </si>
  <si>
    <t>resto</t>
  </si>
  <si>
    <r>
      <t>l</t>
    </r>
    <r>
      <rPr>
        <b/>
        <sz val="10"/>
        <rFont val="Times New Roman"/>
        <family val="1"/>
      </rPr>
      <t>,y</t>
    </r>
  </si>
  <si>
    <r>
      <t>χ</t>
    </r>
    <r>
      <rPr>
        <b/>
        <sz val="8"/>
        <rFont val="Times New Roman"/>
        <family val="1"/>
      </rPr>
      <t>(y)</t>
    </r>
  </si>
  <si>
    <r>
      <t>l</t>
    </r>
    <r>
      <rPr>
        <b/>
        <sz val="10"/>
        <rFont val="Times New Roman"/>
        <family val="1"/>
      </rPr>
      <t>,</t>
    </r>
    <r>
      <rPr>
        <b/>
        <sz val="8"/>
        <rFont val="Times New Roman"/>
        <family val="1"/>
      </rPr>
      <t>z</t>
    </r>
  </si>
  <si>
    <r>
      <t>χ</t>
    </r>
    <r>
      <rPr>
        <b/>
        <sz val="8"/>
        <rFont val="Times New Roman"/>
        <family val="1"/>
      </rPr>
      <t>(z)</t>
    </r>
  </si>
  <si>
    <t>no borrar</t>
  </si>
  <si>
    <t>PANDEO POR FLEXIÓN</t>
  </si>
  <si>
    <t>Datos:</t>
  </si>
  <si>
    <t>Lc</t>
  </si>
  <si>
    <t>G (MPa)</t>
  </si>
  <si>
    <t>E (MPa)</t>
  </si>
  <si>
    <r>
      <t>I</t>
    </r>
    <r>
      <rPr>
        <i/>
        <sz val="8"/>
        <rFont val="Times New Roman"/>
        <family val="1"/>
      </rPr>
      <t>t</t>
    </r>
    <r>
      <rPr>
        <sz val="8"/>
        <rFont val="Times New Roman"/>
        <family val="1"/>
      </rPr>
      <t xml:space="preserve"> </t>
    </r>
    <r>
      <rPr>
        <sz val="10"/>
        <rFont val="Times New Roman"/>
        <family val="1"/>
      </rPr>
      <t>(cm</t>
    </r>
    <r>
      <rPr>
        <sz val="8"/>
        <rFont val="Times New Roman"/>
        <family val="1"/>
      </rPr>
      <t>4</t>
    </r>
    <r>
      <rPr>
        <sz val="10"/>
        <rFont val="Times New Roman"/>
        <family val="1"/>
      </rPr>
      <t>)</t>
    </r>
  </si>
  <si>
    <r>
      <t>I</t>
    </r>
    <r>
      <rPr>
        <i/>
        <sz val="8"/>
        <rFont val="Times New Roman"/>
        <family val="1"/>
      </rPr>
      <t>z</t>
    </r>
    <r>
      <rPr>
        <i/>
        <sz val="10"/>
        <rFont val="Times New Roman"/>
        <family val="1"/>
      </rPr>
      <t xml:space="preserve"> </t>
    </r>
    <r>
      <rPr>
        <sz val="10"/>
        <rFont val="Times New Roman"/>
        <family val="1"/>
      </rPr>
      <t>(cm4)</t>
    </r>
  </si>
  <si>
    <r>
      <t>W</t>
    </r>
    <r>
      <rPr>
        <i/>
        <sz val="8"/>
        <rFont val="Times New Roman"/>
        <family val="1"/>
      </rPr>
      <t>el,y</t>
    </r>
    <r>
      <rPr>
        <i/>
        <sz val="10"/>
        <rFont val="Times New Roman"/>
        <family val="1"/>
      </rPr>
      <t xml:space="preserve"> </t>
    </r>
    <r>
      <rPr>
        <sz val="10"/>
        <rFont val="Times New Roman"/>
        <family val="1"/>
      </rPr>
      <t>(cm3)</t>
    </r>
  </si>
  <si>
    <r>
      <t>i</t>
    </r>
    <r>
      <rPr>
        <i/>
        <sz val="6"/>
        <rFont val="Times New Roman"/>
        <family val="1"/>
      </rPr>
      <t>f</t>
    </r>
    <r>
      <rPr>
        <i/>
        <sz val="8"/>
        <rFont val="Times New Roman"/>
        <family val="1"/>
      </rPr>
      <t>,z</t>
    </r>
    <r>
      <rPr>
        <sz val="8"/>
        <rFont val="Times New Roman"/>
        <family val="1"/>
      </rPr>
      <t xml:space="preserve"> </t>
    </r>
    <r>
      <rPr>
        <sz val="10"/>
        <rFont val="Times New Roman"/>
        <family val="1"/>
      </rPr>
      <t>(cm)</t>
    </r>
  </si>
  <si>
    <r>
      <t>M</t>
    </r>
    <r>
      <rPr>
        <i/>
        <sz val="8"/>
        <rFont val="Times New Roman"/>
        <family val="1"/>
      </rPr>
      <t>LTw</t>
    </r>
  </si>
  <si>
    <r>
      <t>M</t>
    </r>
    <r>
      <rPr>
        <i/>
        <sz val="8"/>
        <rFont val="Times New Roman"/>
        <family val="1"/>
      </rPr>
      <t>LTv</t>
    </r>
  </si>
  <si>
    <r>
      <t>M</t>
    </r>
    <r>
      <rPr>
        <i/>
        <sz val="8"/>
        <rFont val="Times New Roman"/>
        <family val="1"/>
      </rPr>
      <t>CR</t>
    </r>
  </si>
  <si>
    <r>
      <t xml:space="preserve">Esb. </t>
    </r>
    <r>
      <rPr>
        <i/>
        <sz val="8"/>
        <rFont val="Times New Roman"/>
        <family val="1"/>
      </rPr>
      <t>LT</t>
    </r>
  </si>
  <si>
    <t>Solo perfiles laminados en doble T</t>
  </si>
  <si>
    <t>hi</t>
  </si>
  <si>
    <t xml:space="preserve">Cálculo de </t>
  </si>
  <si>
    <r>
      <t>M</t>
    </r>
    <r>
      <rPr>
        <i/>
        <sz val="8"/>
        <rFont val="Times New Roman"/>
        <family val="1"/>
      </rPr>
      <t>b,Rd</t>
    </r>
  </si>
  <si>
    <t>kNm</t>
  </si>
  <si>
    <r>
      <t>N,</t>
    </r>
    <r>
      <rPr>
        <b/>
        <i/>
        <sz val="8"/>
        <rFont val="Times New Roman"/>
        <family val="1"/>
      </rPr>
      <t>b,Rd</t>
    </r>
    <r>
      <rPr>
        <b/>
        <i/>
        <sz val="10"/>
        <rFont val="Times New Roman"/>
        <family val="1"/>
      </rPr>
      <t>,</t>
    </r>
    <r>
      <rPr>
        <b/>
        <i/>
        <sz val="8"/>
        <rFont val="Times New Roman"/>
        <family val="1"/>
      </rPr>
      <t>z</t>
    </r>
  </si>
  <si>
    <r>
      <t>l</t>
    </r>
    <r>
      <rPr>
        <b/>
        <sz val="10"/>
        <color indexed="12"/>
        <rFont val="Times New Roman"/>
        <family val="1"/>
      </rPr>
      <t>,</t>
    </r>
    <r>
      <rPr>
        <b/>
        <sz val="8"/>
        <color indexed="12"/>
        <rFont val="Times New Roman"/>
        <family val="1"/>
      </rPr>
      <t>z</t>
    </r>
    <r>
      <rPr>
        <b/>
        <sz val="10"/>
        <color indexed="12"/>
        <rFont val="Times New Roman"/>
        <family val="1"/>
      </rPr>
      <t>.Red</t>
    </r>
  </si>
  <si>
    <r>
      <t>l</t>
    </r>
    <r>
      <rPr>
        <b/>
        <sz val="10"/>
        <color indexed="12"/>
        <rFont val="Times New Roman"/>
        <family val="1"/>
      </rPr>
      <t>,y.Red</t>
    </r>
  </si>
  <si>
    <r>
      <t>A</t>
    </r>
    <r>
      <rPr>
        <b/>
        <i/>
        <vertAlign val="subscript"/>
        <sz val="12"/>
        <color indexed="8"/>
        <rFont val="Arial"/>
        <family val="2"/>
      </rPr>
      <t>vz</t>
    </r>
  </si>
  <si>
    <r>
      <t>M</t>
    </r>
    <r>
      <rPr>
        <b/>
        <i/>
        <sz val="8"/>
        <rFont val="Times New Roman"/>
        <family val="1"/>
      </rPr>
      <t>z,Rd</t>
    </r>
    <r>
      <rPr>
        <b/>
        <i/>
        <sz val="12"/>
        <rFont val="Times New Roman"/>
        <family val="1"/>
      </rPr>
      <t xml:space="preserve"> </t>
    </r>
  </si>
  <si>
    <r>
      <t>M</t>
    </r>
    <r>
      <rPr>
        <b/>
        <i/>
        <sz val="8"/>
        <rFont val="Times New Roman"/>
        <family val="1"/>
      </rPr>
      <t xml:space="preserve">y,Rd </t>
    </r>
  </si>
  <si>
    <r>
      <t>N</t>
    </r>
    <r>
      <rPr>
        <b/>
        <i/>
        <sz val="8"/>
        <rFont val="Times New Roman"/>
        <family val="1"/>
      </rPr>
      <t>Rd</t>
    </r>
  </si>
  <si>
    <t>BARRA: longitud y coacciones</t>
  </si>
  <si>
    <t>curvas de pandeo</t>
  </si>
  <si>
    <t>PANDEO LATERAL</t>
  </si>
  <si>
    <r>
      <t>PANDEO LATERAL (</t>
    </r>
    <r>
      <rPr>
        <b/>
        <sz val="9"/>
        <color indexed="12"/>
        <rFont val="Times New Roman"/>
        <family val="1"/>
      </rPr>
      <t>POR TORSIÓN</t>
    </r>
    <r>
      <rPr>
        <b/>
        <sz val="10"/>
        <color indexed="12"/>
        <rFont val="Times New Roman"/>
        <family val="1"/>
      </rPr>
      <t>)</t>
    </r>
  </si>
  <si>
    <t>Solo perfiles tubulares</t>
  </si>
  <si>
    <t>en proceso</t>
  </si>
  <si>
    <t>COMPROBACIÓN DE LA BARRA A PANDEO</t>
  </si>
  <si>
    <t>DATOS</t>
  </si>
  <si>
    <r>
      <t>%</t>
    </r>
    <r>
      <rPr>
        <i/>
        <sz val="12"/>
        <rFont val="Arial"/>
        <family val="2"/>
      </rPr>
      <t>h</t>
    </r>
    <r>
      <rPr>
        <i/>
        <sz val="8"/>
        <rFont val="Arial"/>
        <family val="2"/>
      </rPr>
      <t>i</t>
    </r>
  </si>
  <si>
    <r>
      <t>t</t>
    </r>
    <r>
      <rPr>
        <vertAlign val="subscript"/>
        <sz val="12"/>
        <color indexed="61"/>
        <rFont val="Arial"/>
        <family val="2"/>
      </rPr>
      <t>w</t>
    </r>
  </si>
  <si>
    <r>
      <t>t</t>
    </r>
    <r>
      <rPr>
        <vertAlign val="subscript"/>
        <sz val="12"/>
        <color indexed="61"/>
        <rFont val="Arial"/>
        <family val="2"/>
      </rPr>
      <t>f</t>
    </r>
  </si>
  <si>
    <r>
      <t>h</t>
    </r>
    <r>
      <rPr>
        <vertAlign val="subscript"/>
        <sz val="12"/>
        <color indexed="61"/>
        <rFont val="Arial"/>
        <family val="2"/>
      </rPr>
      <t>i</t>
    </r>
  </si>
  <si>
    <r>
      <t>p</t>
    </r>
    <r>
      <rPr>
        <vertAlign val="subscript"/>
        <sz val="12"/>
        <color indexed="61"/>
        <rFont val="Arial"/>
        <family val="2"/>
      </rPr>
      <t>min</t>
    </r>
  </si>
  <si>
    <r>
      <t>p</t>
    </r>
    <r>
      <rPr>
        <vertAlign val="subscript"/>
        <sz val="12"/>
        <color indexed="61"/>
        <rFont val="Arial"/>
        <family val="2"/>
      </rPr>
      <t>max</t>
    </r>
  </si>
  <si>
    <r>
      <t>mm</t>
    </r>
    <r>
      <rPr>
        <vertAlign val="superscript"/>
        <sz val="9"/>
        <color indexed="61"/>
        <rFont val="Arial"/>
        <family val="2"/>
      </rPr>
      <t>2</t>
    </r>
  </si>
  <si>
    <r>
      <t>x10</t>
    </r>
    <r>
      <rPr>
        <vertAlign val="superscript"/>
        <sz val="8"/>
        <color indexed="61"/>
        <rFont val="Arial"/>
        <family val="2"/>
      </rPr>
      <t>2</t>
    </r>
  </si>
  <si>
    <r>
      <t>A</t>
    </r>
    <r>
      <rPr>
        <vertAlign val="subscript"/>
        <sz val="12"/>
        <color indexed="61"/>
        <rFont val="Arial"/>
        <family val="2"/>
      </rPr>
      <t>L</t>
    </r>
  </si>
  <si>
    <r>
      <t>A</t>
    </r>
    <r>
      <rPr>
        <vertAlign val="subscript"/>
        <sz val="12"/>
        <color indexed="61"/>
        <rFont val="Arial"/>
        <family val="2"/>
      </rPr>
      <t>G</t>
    </r>
  </si>
  <si>
    <r>
      <t>I</t>
    </r>
    <r>
      <rPr>
        <vertAlign val="subscript"/>
        <sz val="12"/>
        <color indexed="61"/>
        <rFont val="Arial"/>
        <family val="2"/>
      </rPr>
      <t>y</t>
    </r>
  </si>
  <si>
    <r>
      <t>W</t>
    </r>
    <r>
      <rPr>
        <vertAlign val="subscript"/>
        <sz val="12"/>
        <color indexed="61"/>
        <rFont val="Arial"/>
        <family val="2"/>
      </rPr>
      <t>el.y</t>
    </r>
  </si>
  <si>
    <r>
      <t>W</t>
    </r>
    <r>
      <rPr>
        <vertAlign val="subscript"/>
        <sz val="12"/>
        <color indexed="61"/>
        <rFont val="Arial"/>
        <family val="2"/>
      </rPr>
      <t>pl.y</t>
    </r>
    <r>
      <rPr>
        <sz val="8"/>
        <color indexed="61"/>
        <rFont val="Arial"/>
        <family val="2"/>
      </rPr>
      <t>♦</t>
    </r>
  </si>
  <si>
    <r>
      <t>i</t>
    </r>
    <r>
      <rPr>
        <vertAlign val="subscript"/>
        <sz val="12"/>
        <color indexed="61"/>
        <rFont val="Arial"/>
        <family val="2"/>
      </rPr>
      <t>y</t>
    </r>
  </si>
  <si>
    <r>
      <t>A</t>
    </r>
    <r>
      <rPr>
        <vertAlign val="subscript"/>
        <sz val="12"/>
        <color indexed="61"/>
        <rFont val="Arial"/>
        <family val="2"/>
      </rPr>
      <t>vz</t>
    </r>
  </si>
  <si>
    <r>
      <t>I</t>
    </r>
    <r>
      <rPr>
        <vertAlign val="subscript"/>
        <sz val="12"/>
        <color indexed="61"/>
        <rFont val="Arial"/>
        <family val="2"/>
      </rPr>
      <t>z</t>
    </r>
  </si>
  <si>
    <r>
      <t>W</t>
    </r>
    <r>
      <rPr>
        <vertAlign val="subscript"/>
        <sz val="12"/>
        <color indexed="61"/>
        <rFont val="Arial"/>
        <family val="2"/>
      </rPr>
      <t>el.z</t>
    </r>
  </si>
  <si>
    <r>
      <t>W</t>
    </r>
    <r>
      <rPr>
        <vertAlign val="subscript"/>
        <sz val="12"/>
        <color indexed="61"/>
        <rFont val="Arial"/>
        <family val="2"/>
      </rPr>
      <t>pl.z</t>
    </r>
    <r>
      <rPr>
        <sz val="8"/>
        <color indexed="61"/>
        <rFont val="Arial"/>
        <family val="2"/>
      </rPr>
      <t>♦</t>
    </r>
  </si>
  <si>
    <r>
      <t xml:space="preserve"> i</t>
    </r>
    <r>
      <rPr>
        <vertAlign val="subscript"/>
        <sz val="12"/>
        <color indexed="61"/>
        <rFont val="Arial"/>
        <family val="2"/>
      </rPr>
      <t>z</t>
    </r>
  </si>
  <si>
    <r>
      <t>s</t>
    </r>
    <r>
      <rPr>
        <vertAlign val="subscript"/>
        <sz val="12"/>
        <color indexed="61"/>
        <rFont val="Arial"/>
        <family val="2"/>
      </rPr>
      <t>s</t>
    </r>
  </si>
  <si>
    <r>
      <t>I</t>
    </r>
    <r>
      <rPr>
        <vertAlign val="subscript"/>
        <sz val="12"/>
        <color indexed="61"/>
        <rFont val="Arial"/>
        <family val="2"/>
      </rPr>
      <t>t</t>
    </r>
  </si>
  <si>
    <r>
      <t>I</t>
    </r>
    <r>
      <rPr>
        <vertAlign val="subscript"/>
        <sz val="12"/>
        <color indexed="61"/>
        <rFont val="Arial"/>
        <family val="2"/>
      </rPr>
      <t>w</t>
    </r>
  </si>
  <si>
    <r>
      <t>m</t>
    </r>
    <r>
      <rPr>
        <vertAlign val="superscript"/>
        <sz val="8"/>
        <color indexed="61"/>
        <rFont val="Arial"/>
        <family val="2"/>
      </rPr>
      <t>2</t>
    </r>
    <r>
      <rPr>
        <sz val="8"/>
        <color indexed="61"/>
        <rFont val="Arial"/>
        <family val="2"/>
      </rPr>
      <t>/m</t>
    </r>
  </si>
  <si>
    <r>
      <t xml:space="preserve"> m</t>
    </r>
    <r>
      <rPr>
        <vertAlign val="superscript"/>
        <sz val="8"/>
        <color indexed="61"/>
        <rFont val="Arial"/>
        <family val="2"/>
      </rPr>
      <t>2</t>
    </r>
    <r>
      <rPr>
        <sz val="8"/>
        <color indexed="61"/>
        <rFont val="Arial"/>
        <family val="2"/>
      </rPr>
      <t>/t</t>
    </r>
  </si>
  <si>
    <r>
      <t>mm</t>
    </r>
    <r>
      <rPr>
        <vertAlign val="superscript"/>
        <sz val="8"/>
        <color indexed="61"/>
        <rFont val="Arial"/>
        <family val="2"/>
      </rPr>
      <t>4</t>
    </r>
    <r>
      <rPr>
        <sz val="8"/>
        <color indexed="61"/>
        <rFont val="Arial"/>
        <family val="2"/>
      </rPr>
      <t xml:space="preserve"> </t>
    </r>
  </si>
  <si>
    <r>
      <t>mm</t>
    </r>
    <r>
      <rPr>
        <vertAlign val="superscript"/>
        <sz val="8"/>
        <color indexed="61"/>
        <rFont val="Arial"/>
        <family val="2"/>
      </rPr>
      <t>3</t>
    </r>
  </si>
  <si>
    <r>
      <t>mm</t>
    </r>
    <r>
      <rPr>
        <vertAlign val="superscript"/>
        <sz val="8"/>
        <color indexed="61"/>
        <rFont val="Arial"/>
        <family val="2"/>
      </rPr>
      <t>2</t>
    </r>
  </si>
  <si>
    <r>
      <t>mm</t>
    </r>
    <r>
      <rPr>
        <vertAlign val="superscript"/>
        <sz val="8"/>
        <color indexed="61"/>
        <rFont val="Arial"/>
        <family val="2"/>
      </rPr>
      <t>4</t>
    </r>
  </si>
  <si>
    <r>
      <t>mm</t>
    </r>
    <r>
      <rPr>
        <vertAlign val="superscript"/>
        <sz val="8"/>
        <color indexed="61"/>
        <rFont val="Arial"/>
        <family val="2"/>
      </rPr>
      <t>6</t>
    </r>
  </si>
  <si>
    <r>
      <t>x10</t>
    </r>
    <r>
      <rPr>
        <vertAlign val="superscript"/>
        <sz val="8"/>
        <color indexed="61"/>
        <rFont val="Arial"/>
        <family val="2"/>
      </rPr>
      <t>4</t>
    </r>
  </si>
  <si>
    <r>
      <t>x10</t>
    </r>
    <r>
      <rPr>
        <vertAlign val="superscript"/>
        <sz val="8"/>
        <color indexed="61"/>
        <rFont val="Arial"/>
        <family val="2"/>
      </rPr>
      <t>3</t>
    </r>
  </si>
  <si>
    <r>
      <t>x10</t>
    </r>
    <r>
      <rPr>
        <vertAlign val="superscript"/>
        <sz val="8"/>
        <color indexed="61"/>
        <rFont val="Arial"/>
        <family val="2"/>
      </rPr>
      <t>9</t>
    </r>
  </si>
  <si>
    <t>º</t>
  </si>
  <si>
    <t>beta</t>
  </si>
  <si>
    <r>
      <rPr>
        <i/>
        <sz val="12"/>
        <rFont val="Times New Roman"/>
        <family val="1"/>
      </rPr>
      <t>C</t>
    </r>
    <r>
      <rPr>
        <i/>
        <sz val="8"/>
        <rFont val="Times New Roman"/>
        <family val="1"/>
      </rPr>
      <t>1</t>
    </r>
  </si>
  <si>
    <t>N Ed (kN)</t>
  </si>
  <si>
    <r>
      <rPr>
        <i/>
        <sz val="10"/>
        <rFont val="Times New Roman"/>
        <family val="1"/>
      </rPr>
      <t>M</t>
    </r>
    <r>
      <rPr>
        <sz val="8"/>
        <rFont val="Times New Roman"/>
        <family val="1"/>
      </rPr>
      <t>Ed</t>
    </r>
    <r>
      <rPr>
        <sz val="10"/>
        <rFont val="Times New Roman"/>
        <family val="1"/>
      </rPr>
      <t>,y (kNm)</t>
    </r>
  </si>
  <si>
    <r>
      <rPr>
        <i/>
        <sz val="10"/>
        <rFont val="Times New Roman"/>
        <family val="1"/>
      </rPr>
      <t>M</t>
    </r>
    <r>
      <rPr>
        <i/>
        <sz val="8"/>
        <rFont val="Times New Roman"/>
        <family val="1"/>
      </rPr>
      <t>Ed</t>
    </r>
    <r>
      <rPr>
        <i/>
        <sz val="10"/>
        <rFont val="Times New Roman"/>
        <family val="1"/>
      </rPr>
      <t>,</t>
    </r>
    <r>
      <rPr>
        <sz val="10"/>
        <rFont val="Times New Roman"/>
        <family val="1"/>
      </rPr>
      <t>z (kNm)</t>
    </r>
  </si>
  <si>
    <t>fy, si t&gt;16</t>
  </si>
  <si>
    <t>fy, si t&gt;40</t>
  </si>
  <si>
    <t>INTERACCIÓN DE BARRAS</t>
  </si>
  <si>
    <t>N,cr,y</t>
  </si>
  <si>
    <t>N,cr,z</t>
  </si>
  <si>
    <t>Cm,y</t>
  </si>
  <si>
    <t>Cm,z</t>
  </si>
  <si>
    <t>ηs,y=</t>
  </si>
  <si>
    <t>ηs,z=</t>
  </si>
  <si>
    <t>Interacción de la barra=</t>
  </si>
  <si>
    <r>
      <t>f</t>
    </r>
    <r>
      <rPr>
        <b/>
        <i/>
        <vertAlign val="subscript"/>
        <sz val="10"/>
        <rFont val="Times New Roman"/>
        <family val="1"/>
      </rPr>
      <t>y</t>
    </r>
  </si>
  <si>
    <r>
      <t>f</t>
    </r>
    <r>
      <rPr>
        <b/>
        <i/>
        <vertAlign val="subscript"/>
        <sz val="10"/>
        <color indexed="23"/>
        <rFont val="Times New Roman"/>
        <family val="1"/>
      </rPr>
      <t>y</t>
    </r>
  </si>
  <si>
    <r>
      <t>f</t>
    </r>
    <r>
      <rPr>
        <b/>
        <i/>
        <vertAlign val="subscript"/>
        <sz val="10"/>
        <rFont val="Times New Roman"/>
        <family val="1"/>
      </rPr>
      <t>u</t>
    </r>
  </si>
  <si>
    <t>N</t>
  </si>
  <si>
    <r>
      <t>M</t>
    </r>
    <r>
      <rPr>
        <b/>
        <i/>
        <vertAlign val="subscript"/>
        <sz val="12"/>
        <rFont val="Times New Roman"/>
        <family val="1"/>
      </rPr>
      <t>y</t>
    </r>
  </si>
  <si>
    <r>
      <t>M</t>
    </r>
    <r>
      <rPr>
        <b/>
        <i/>
        <vertAlign val="subscript"/>
        <sz val="12"/>
        <rFont val="Times New Roman"/>
        <family val="1"/>
      </rPr>
      <t>z</t>
    </r>
  </si>
  <si>
    <r>
      <t>V</t>
    </r>
    <r>
      <rPr>
        <b/>
        <i/>
        <vertAlign val="subscript"/>
        <sz val="12"/>
        <rFont val="Times New Roman"/>
        <family val="1"/>
      </rPr>
      <t>z</t>
    </r>
  </si>
  <si>
    <r>
      <t>V</t>
    </r>
    <r>
      <rPr>
        <b/>
        <i/>
        <vertAlign val="subscript"/>
        <sz val="12"/>
        <rFont val="Times New Roman"/>
        <family val="1"/>
      </rPr>
      <t>y</t>
    </r>
  </si>
  <si>
    <t>(Esfuerzos)</t>
  </si>
  <si>
    <r>
      <t>R</t>
    </r>
    <r>
      <rPr>
        <b/>
        <i/>
        <vertAlign val="subscript"/>
        <sz val="12"/>
        <color indexed="60"/>
        <rFont val="Times New Roman"/>
        <family val="1"/>
      </rPr>
      <t>d</t>
    </r>
    <r>
      <rPr>
        <b/>
        <i/>
        <sz val="12"/>
        <color indexed="60"/>
        <rFont val="Times New Roman"/>
        <family val="1"/>
      </rPr>
      <t>=</t>
    </r>
  </si>
  <si>
    <r>
      <t>E</t>
    </r>
    <r>
      <rPr>
        <b/>
        <i/>
        <vertAlign val="subscript"/>
        <sz val="12"/>
        <rFont val="Times New Roman"/>
        <family val="1"/>
      </rPr>
      <t>d</t>
    </r>
    <r>
      <rPr>
        <b/>
        <i/>
        <sz val="12"/>
        <rFont val="Times New Roman"/>
        <family val="1"/>
      </rPr>
      <t>=</t>
    </r>
  </si>
  <si>
    <t>Selección</t>
  </si>
  <si>
    <t>del Perfil</t>
  </si>
  <si>
    <t>Interac.</t>
  </si>
  <si>
    <r>
      <rPr>
        <b/>
        <i/>
        <sz val="10"/>
        <rFont val="Times New Roman"/>
        <family val="1"/>
      </rPr>
      <t>V</t>
    </r>
    <r>
      <rPr>
        <b/>
        <i/>
        <vertAlign val="subscript"/>
        <sz val="10"/>
        <rFont val="Times New Roman"/>
        <family val="1"/>
      </rPr>
      <t>Ed</t>
    </r>
    <r>
      <rPr>
        <b/>
        <sz val="10"/>
        <rFont val="Calibri"/>
        <family val="2"/>
      </rPr>
      <t>≤½</t>
    </r>
    <r>
      <rPr>
        <b/>
        <i/>
        <sz val="10"/>
        <rFont val="Times New Roman"/>
        <family val="1"/>
      </rPr>
      <t>V</t>
    </r>
    <r>
      <rPr>
        <b/>
        <i/>
        <vertAlign val="subscript"/>
        <sz val="10"/>
        <rFont val="Times New Roman"/>
        <family val="1"/>
      </rPr>
      <t>Rd</t>
    </r>
  </si>
  <si>
    <t xml:space="preserve">curva </t>
  </si>
  <si>
    <t>β</t>
  </si>
  <si>
    <r>
      <rPr>
        <b/>
        <i/>
        <sz val="12"/>
        <rFont val="Times New Roman"/>
        <family val="1"/>
      </rPr>
      <t>i</t>
    </r>
    <r>
      <rPr>
        <b/>
        <vertAlign val="subscript"/>
        <sz val="12"/>
        <rFont val="Times New Roman"/>
        <family val="1"/>
      </rPr>
      <t>f,z</t>
    </r>
    <r>
      <rPr>
        <b/>
        <sz val="12"/>
        <rFont val="Times New Roman"/>
        <family val="1"/>
      </rPr>
      <t xml:space="preserve"> (cm)</t>
    </r>
  </si>
  <si>
    <t>RESULT.</t>
  </si>
  <si>
    <r>
      <t>c</t>
    </r>
    <r>
      <rPr>
        <b/>
        <vertAlign val="subscript"/>
        <sz val="12"/>
        <rFont val="Times New Roman"/>
        <family val="1"/>
      </rPr>
      <t>LT</t>
    </r>
  </si>
  <si>
    <t>RESISTENCIA DE LAS BARRAS:</t>
  </si>
  <si>
    <t>momentos en kNm</t>
  </si>
  <si>
    <t xml:space="preserve">PANDEO DE BARRAS A COMPRESIÓN </t>
  </si>
  <si>
    <r>
      <rPr>
        <b/>
        <i/>
        <sz val="10"/>
        <rFont val="Times New Roman"/>
        <family val="1"/>
      </rPr>
      <t>L</t>
    </r>
    <r>
      <rPr>
        <b/>
        <i/>
        <vertAlign val="subscript"/>
        <sz val="10"/>
        <rFont val="Times New Roman"/>
        <family val="1"/>
      </rPr>
      <t>k</t>
    </r>
  </si>
  <si>
    <t>curva</t>
  </si>
  <si>
    <r>
      <rPr>
        <b/>
        <i/>
        <sz val="12"/>
        <rFont val="Times New Roman"/>
        <family val="1"/>
      </rPr>
      <t>N</t>
    </r>
    <r>
      <rPr>
        <b/>
        <vertAlign val="subscript"/>
        <sz val="10"/>
        <rFont val="Times New Roman"/>
        <family val="1"/>
      </rPr>
      <t>b,Rd</t>
    </r>
  </si>
  <si>
    <r>
      <rPr>
        <b/>
        <i/>
        <sz val="12"/>
        <rFont val="Times New Roman"/>
        <family val="1"/>
      </rPr>
      <t>N</t>
    </r>
    <r>
      <rPr>
        <b/>
        <vertAlign val="subscript"/>
        <sz val="10"/>
        <rFont val="Times New Roman"/>
        <family val="1"/>
      </rPr>
      <t>CR</t>
    </r>
  </si>
  <si>
    <r>
      <t>λ</t>
    </r>
    <r>
      <rPr>
        <b/>
        <i/>
        <vertAlign val="subscript"/>
        <sz val="12"/>
        <rFont val="Times New Roman"/>
        <family val="1"/>
      </rPr>
      <t>L</t>
    </r>
  </si>
  <si>
    <r>
      <t>f</t>
    </r>
    <r>
      <rPr>
        <b/>
        <i/>
        <vertAlign val="subscript"/>
        <sz val="12"/>
        <rFont val="Times New Roman"/>
        <family val="1"/>
      </rPr>
      <t>yd</t>
    </r>
    <r>
      <rPr>
        <b/>
        <vertAlign val="subscript"/>
        <sz val="9"/>
        <rFont val="Times New Roman"/>
        <family val="1"/>
      </rPr>
      <t xml:space="preserve"> </t>
    </r>
    <r>
      <rPr>
        <sz val="9"/>
        <rFont val="Times New Roman"/>
        <family val="1"/>
      </rPr>
      <t>(MPa)</t>
    </r>
  </si>
  <si>
    <r>
      <rPr>
        <b/>
        <i/>
        <sz val="11"/>
        <rFont val="Times New Roman"/>
        <family val="1"/>
      </rPr>
      <t>E</t>
    </r>
    <r>
      <rPr>
        <b/>
        <i/>
        <sz val="10"/>
        <rFont val="Times New Roman"/>
        <family val="1"/>
      </rPr>
      <t xml:space="preserve"> </t>
    </r>
    <r>
      <rPr>
        <sz val="10"/>
        <rFont val="Times New Roman"/>
        <family val="1"/>
      </rPr>
      <t>(GPa)</t>
    </r>
  </si>
  <si>
    <r>
      <rPr>
        <b/>
        <i/>
        <sz val="11"/>
        <rFont val="Times New Roman"/>
        <family val="1"/>
      </rPr>
      <t>G</t>
    </r>
    <r>
      <rPr>
        <b/>
        <sz val="10"/>
        <rFont val="Times New Roman"/>
        <family val="1"/>
      </rPr>
      <t xml:space="preserve"> </t>
    </r>
    <r>
      <rPr>
        <sz val="10"/>
        <rFont val="Times New Roman"/>
        <family val="1"/>
      </rPr>
      <t>(GPa)</t>
    </r>
  </si>
  <si>
    <r>
      <rPr>
        <b/>
        <i/>
        <sz val="12"/>
        <rFont val="Times New Roman"/>
        <family val="1"/>
      </rPr>
      <t xml:space="preserve">L </t>
    </r>
    <r>
      <rPr>
        <b/>
        <sz val="12"/>
        <rFont val="Times New Roman"/>
        <family val="1"/>
      </rPr>
      <t>(m)</t>
    </r>
  </si>
  <si>
    <r>
      <t>β</t>
    </r>
    <r>
      <rPr>
        <b/>
        <i/>
        <vertAlign val="subscript"/>
        <sz val="12"/>
        <rFont val="Times New Roman"/>
        <family val="1"/>
      </rPr>
      <t>LT</t>
    </r>
  </si>
  <si>
    <r>
      <rPr>
        <b/>
        <i/>
        <sz val="12"/>
        <rFont val="Times New Roman"/>
        <family val="1"/>
      </rPr>
      <t>L</t>
    </r>
    <r>
      <rPr>
        <b/>
        <i/>
        <vertAlign val="subscript"/>
        <sz val="12"/>
        <rFont val="Times New Roman"/>
        <family val="1"/>
      </rPr>
      <t>C</t>
    </r>
    <r>
      <rPr>
        <b/>
        <i/>
        <sz val="12"/>
        <rFont val="Times New Roman"/>
        <family val="1"/>
      </rPr>
      <t xml:space="preserve"> </t>
    </r>
    <r>
      <rPr>
        <b/>
        <sz val="12"/>
        <rFont val="Times New Roman"/>
        <family val="1"/>
      </rPr>
      <t>(m)</t>
    </r>
  </si>
  <si>
    <r>
      <t>C</t>
    </r>
    <r>
      <rPr>
        <b/>
        <vertAlign val="subscript"/>
        <sz val="12"/>
        <rFont val="Times New Roman"/>
        <family val="1"/>
      </rPr>
      <t>1</t>
    </r>
  </si>
  <si>
    <r>
      <t>α</t>
    </r>
    <r>
      <rPr>
        <b/>
        <vertAlign val="subscript"/>
        <sz val="12"/>
        <rFont val="Times New Roman"/>
        <family val="1"/>
      </rPr>
      <t>LT</t>
    </r>
  </si>
  <si>
    <r>
      <rPr>
        <b/>
        <sz val="12"/>
        <rFont val="Calibri"/>
        <family val="2"/>
      </rPr>
      <t>λ</t>
    </r>
    <r>
      <rPr>
        <b/>
        <i/>
        <vertAlign val="subscript"/>
        <sz val="12"/>
        <rFont val="Times New Roman"/>
        <family val="1"/>
      </rPr>
      <t>LT</t>
    </r>
  </si>
  <si>
    <t>RESISTENCIA DE LAS SECCIONES  (en kN y m)</t>
  </si>
  <si>
    <r>
      <rPr>
        <b/>
        <sz val="11"/>
        <rFont val="Calibri"/>
        <family val="2"/>
      </rPr>
      <t>λ</t>
    </r>
    <r>
      <rPr>
        <b/>
        <i/>
        <vertAlign val="subscript"/>
        <sz val="11"/>
        <rFont val="Times New Roman"/>
        <family val="1"/>
      </rPr>
      <t>mec</t>
    </r>
  </si>
  <si>
    <r>
      <rPr>
        <b/>
        <sz val="11"/>
        <rFont val="Calibri"/>
        <family val="2"/>
      </rPr>
      <t>λ</t>
    </r>
    <r>
      <rPr>
        <b/>
        <i/>
        <vertAlign val="subscript"/>
        <sz val="11"/>
        <rFont val="Times New Roman"/>
        <family val="1"/>
      </rPr>
      <t>reducida</t>
    </r>
  </si>
  <si>
    <r>
      <rPr>
        <b/>
        <sz val="10"/>
        <rFont val="Times New Roman"/>
        <family val="1"/>
      </rPr>
      <t xml:space="preserve">Eje </t>
    </r>
    <r>
      <rPr>
        <b/>
        <i/>
        <sz val="10"/>
        <rFont val="Times New Roman"/>
        <family val="1"/>
      </rPr>
      <t>Y</t>
    </r>
  </si>
  <si>
    <r>
      <rPr>
        <b/>
        <sz val="10"/>
        <rFont val="Times New Roman"/>
        <family val="1"/>
      </rPr>
      <t xml:space="preserve">Eje </t>
    </r>
    <r>
      <rPr>
        <b/>
        <i/>
        <sz val="10"/>
        <rFont val="Times New Roman"/>
        <family val="1"/>
      </rPr>
      <t>Z</t>
    </r>
  </si>
  <si>
    <t>Esbetez límite de Euler</t>
  </si>
  <si>
    <r>
      <t>γ</t>
    </r>
    <r>
      <rPr>
        <b/>
        <sz val="10"/>
        <rFont val="Times New Roman"/>
        <family val="1"/>
      </rPr>
      <t xml:space="preserve"> </t>
    </r>
    <r>
      <rPr>
        <b/>
        <vertAlign val="subscript"/>
        <sz val="10"/>
        <rFont val="Times New Roman"/>
        <family val="1"/>
      </rPr>
      <t>M0</t>
    </r>
    <r>
      <rPr>
        <b/>
        <sz val="10"/>
        <rFont val="Times New Roman"/>
        <family val="1"/>
      </rPr>
      <t>=</t>
    </r>
  </si>
  <si>
    <t>DATOS DEL PERFIL</t>
  </si>
  <si>
    <t>I</t>
  </si>
  <si>
    <t>i</t>
  </si>
  <si>
    <r>
      <t>W</t>
    </r>
    <r>
      <rPr>
        <b/>
        <i/>
        <vertAlign val="subscript"/>
        <sz val="12"/>
        <rFont val="Times New Roman"/>
        <family val="1"/>
      </rPr>
      <t>el</t>
    </r>
  </si>
  <si>
    <r>
      <t>W</t>
    </r>
    <r>
      <rPr>
        <b/>
        <i/>
        <vertAlign val="subscript"/>
        <sz val="12"/>
        <rFont val="Times New Roman"/>
        <family val="1"/>
      </rPr>
      <t>pl</t>
    </r>
  </si>
  <si>
    <r>
      <t>A</t>
    </r>
    <r>
      <rPr>
        <b/>
        <i/>
        <vertAlign val="subscript"/>
        <sz val="12"/>
        <rFont val="Times New Roman"/>
        <family val="1"/>
      </rPr>
      <t>V</t>
    </r>
  </si>
  <si>
    <t>Clase</t>
  </si>
  <si>
    <r>
      <t>cm</t>
    </r>
    <r>
      <rPr>
        <vertAlign val="superscript"/>
        <sz val="10"/>
        <rFont val="Times New Roman"/>
        <family val="1"/>
      </rPr>
      <t>2</t>
    </r>
  </si>
  <si>
    <r>
      <t>cm</t>
    </r>
    <r>
      <rPr>
        <vertAlign val="superscript"/>
        <sz val="10"/>
        <rFont val="Times New Roman"/>
        <family val="1"/>
      </rPr>
      <t>4</t>
    </r>
  </si>
  <si>
    <r>
      <t>cm</t>
    </r>
    <r>
      <rPr>
        <vertAlign val="superscript"/>
        <sz val="10"/>
        <rFont val="Times New Roman"/>
        <family val="1"/>
      </rPr>
      <t>3</t>
    </r>
  </si>
  <si>
    <t>G (kg/m)</t>
  </si>
  <si>
    <t>Geomet.</t>
  </si>
  <si>
    <r>
      <t>cm</t>
    </r>
    <r>
      <rPr>
        <vertAlign val="superscript"/>
        <sz val="10"/>
        <rFont val="Times New Roman"/>
        <family val="1"/>
      </rPr>
      <t>6</t>
    </r>
  </si>
  <si>
    <t>INTERACCIÓN EN LA BARRA</t>
  </si>
  <si>
    <r>
      <t>C</t>
    </r>
    <r>
      <rPr>
        <b/>
        <vertAlign val="subscript"/>
        <sz val="10"/>
        <rFont val="Times New Roman"/>
        <family val="1"/>
      </rPr>
      <t>m,y</t>
    </r>
  </si>
  <si>
    <r>
      <t>C</t>
    </r>
    <r>
      <rPr>
        <b/>
        <vertAlign val="subscript"/>
        <sz val="10"/>
        <rFont val="Times New Roman"/>
        <family val="1"/>
      </rPr>
      <t>m,z</t>
    </r>
  </si>
  <si>
    <r>
      <t>h</t>
    </r>
    <r>
      <rPr>
        <b/>
        <i/>
        <vertAlign val="subscript"/>
        <sz val="10"/>
        <rFont val="Times New Roman"/>
        <family val="1"/>
      </rPr>
      <t>i</t>
    </r>
  </si>
  <si>
    <r>
      <t>t</t>
    </r>
    <r>
      <rPr>
        <b/>
        <i/>
        <vertAlign val="subscript"/>
        <sz val="10"/>
        <rFont val="Times New Roman"/>
        <family val="1"/>
      </rPr>
      <t>w</t>
    </r>
  </si>
  <si>
    <r>
      <t>t</t>
    </r>
    <r>
      <rPr>
        <b/>
        <i/>
        <vertAlign val="subscript"/>
        <sz val="10"/>
        <rFont val="Times New Roman"/>
        <family val="1"/>
      </rPr>
      <t>f</t>
    </r>
  </si>
  <si>
    <r>
      <t>M</t>
    </r>
    <r>
      <rPr>
        <b/>
        <i/>
        <vertAlign val="subscript"/>
        <sz val="12"/>
        <rFont val="Times New Roman"/>
        <family val="1"/>
      </rPr>
      <t>v,Rd,y</t>
    </r>
    <r>
      <rPr>
        <b/>
        <i/>
        <sz val="12"/>
        <rFont val="Times New Roman"/>
        <family val="1"/>
      </rPr>
      <t xml:space="preserve"> </t>
    </r>
  </si>
  <si>
    <r>
      <rPr>
        <b/>
        <i/>
        <sz val="10"/>
        <rFont val="Times New Roman"/>
        <family val="1"/>
      </rPr>
      <t>L</t>
    </r>
    <r>
      <rPr>
        <sz val="10"/>
        <rFont val="Times New Roman"/>
        <family val="1"/>
      </rPr>
      <t xml:space="preserve"> (m)=</t>
    </r>
  </si>
  <si>
    <r>
      <t>I</t>
    </r>
    <r>
      <rPr>
        <b/>
        <i/>
        <vertAlign val="subscript"/>
        <sz val="10"/>
        <rFont val="Times New Roman"/>
        <family val="1"/>
      </rPr>
      <t>W</t>
    </r>
  </si>
  <si>
    <r>
      <t>I</t>
    </r>
    <r>
      <rPr>
        <b/>
        <i/>
        <vertAlign val="subscript"/>
        <sz val="10"/>
        <rFont val="Times New Roman"/>
        <family val="1"/>
      </rPr>
      <t>T</t>
    </r>
  </si>
  <si>
    <r>
      <rPr>
        <sz val="10"/>
        <rFont val="Times New Roman"/>
        <family val="1"/>
      </rPr>
      <t xml:space="preserve">Cort. </t>
    </r>
    <r>
      <rPr>
        <b/>
        <i/>
        <sz val="10"/>
        <rFont val="Times New Roman"/>
        <family val="1"/>
      </rPr>
      <t>V</t>
    </r>
    <r>
      <rPr>
        <b/>
        <i/>
        <vertAlign val="subscript"/>
        <sz val="10"/>
        <rFont val="Times New Roman"/>
        <family val="1"/>
      </rPr>
      <t>z</t>
    </r>
  </si>
  <si>
    <r>
      <rPr>
        <sz val="10"/>
        <rFont val="Times New Roman"/>
        <family val="1"/>
      </rPr>
      <t xml:space="preserve">Cort. </t>
    </r>
    <r>
      <rPr>
        <b/>
        <i/>
        <sz val="10"/>
        <rFont val="Times New Roman"/>
        <family val="1"/>
      </rPr>
      <t>V</t>
    </r>
    <r>
      <rPr>
        <b/>
        <i/>
        <vertAlign val="subscript"/>
        <sz val="10"/>
        <rFont val="Times New Roman"/>
        <family val="1"/>
      </rPr>
      <t>y</t>
    </r>
  </si>
  <si>
    <r>
      <t>M</t>
    </r>
    <r>
      <rPr>
        <b/>
        <i/>
        <vertAlign val="subscript"/>
        <sz val="12"/>
        <rFont val="Times New Roman"/>
        <family val="1"/>
      </rPr>
      <t>LTw</t>
    </r>
  </si>
  <si>
    <r>
      <t>M</t>
    </r>
    <r>
      <rPr>
        <b/>
        <i/>
        <vertAlign val="subscript"/>
        <sz val="12"/>
        <rFont val="Times New Roman"/>
        <family val="1"/>
      </rPr>
      <t>LTv</t>
    </r>
  </si>
  <si>
    <r>
      <t>M</t>
    </r>
    <r>
      <rPr>
        <b/>
        <i/>
        <vertAlign val="subscript"/>
        <sz val="12"/>
        <rFont val="Times New Roman"/>
        <family val="1"/>
      </rPr>
      <t>CR</t>
    </r>
  </si>
  <si>
    <r>
      <t>M</t>
    </r>
    <r>
      <rPr>
        <b/>
        <i/>
        <vertAlign val="subscript"/>
        <sz val="12"/>
        <rFont val="Times New Roman"/>
        <family val="1"/>
      </rPr>
      <t>b,Rd</t>
    </r>
  </si>
  <si>
    <t>Wel</t>
  </si>
  <si>
    <t>Peso</t>
  </si>
  <si>
    <t>Inercia</t>
  </si>
  <si>
    <t>Designación</t>
  </si>
  <si>
    <t>CHS 19x2</t>
  </si>
  <si>
    <t>SHS 20x2</t>
  </si>
  <si>
    <t>RHS 30x10x2</t>
  </si>
  <si>
    <t>CHS 20x2</t>
  </si>
  <si>
    <t>SHS 22x2</t>
  </si>
  <si>
    <t>RHS 30x15x2</t>
  </si>
  <si>
    <t>CHS 22x2</t>
  </si>
  <si>
    <t>SHS 25x2</t>
  </si>
  <si>
    <t>RHS 30x20x2</t>
  </si>
  <si>
    <t>CHS 25x2</t>
  </si>
  <si>
    <t>SHS 28x2</t>
  </si>
  <si>
    <t>RHS 40x10x2</t>
  </si>
  <si>
    <t>CHS 28x2</t>
  </si>
  <si>
    <t>SHS 30x2</t>
  </si>
  <si>
    <t>RHS 40x15x2</t>
  </si>
  <si>
    <t>CHS 30x2</t>
  </si>
  <si>
    <t>SHS 32x2</t>
  </si>
  <si>
    <t>RHS 50x10x2</t>
  </si>
  <si>
    <t>CHS 32x2</t>
  </si>
  <si>
    <t>SHS 30x3</t>
  </si>
  <si>
    <t>RHS 40x20x2</t>
  </si>
  <si>
    <t>CHS 35x2</t>
  </si>
  <si>
    <t>SHS 35x2</t>
  </si>
  <si>
    <t>RHS 40x25x2</t>
  </si>
  <si>
    <t>CHS 38x2</t>
  </si>
  <si>
    <t>SHS 38x2</t>
  </si>
  <si>
    <t>RHS 50x15x2</t>
  </si>
  <si>
    <t>CHS 33,7x3</t>
  </si>
  <si>
    <t>SHS 35x3</t>
  </si>
  <si>
    <t>RHS 45x20x2</t>
  </si>
  <si>
    <t>CHS 40x2</t>
  </si>
  <si>
    <t>SHS 40x2</t>
  </si>
  <si>
    <t>RHS 40x27x2</t>
  </si>
  <si>
    <t>CHS 42x2</t>
  </si>
  <si>
    <t>SHS 38x3</t>
  </si>
  <si>
    <t>RHS 40x30x2</t>
  </si>
  <si>
    <t>CHS 38x3</t>
  </si>
  <si>
    <t>SHS 45x2</t>
  </si>
  <si>
    <t>RHS 60x10x2</t>
  </si>
  <si>
    <t>CHS 45x2</t>
  </si>
  <si>
    <t>SHS 40x3</t>
  </si>
  <si>
    <t>RHS 45x25x2</t>
  </si>
  <si>
    <t>CHS 40x3</t>
  </si>
  <si>
    <t>SHS 40x4</t>
  </si>
  <si>
    <t>RHS 50x20x2</t>
  </si>
  <si>
    <t>CHS 47x2</t>
  </si>
  <si>
    <t>SHS 50x2</t>
  </si>
  <si>
    <t>RHS 40x35x2</t>
  </si>
  <si>
    <t>CHS 48x2</t>
  </si>
  <si>
    <t>SHS 45x3</t>
  </si>
  <si>
    <t>RHS 40x25x3</t>
  </si>
  <si>
    <t>CHS 42,4x3</t>
  </si>
  <si>
    <t>SHS 40x5</t>
  </si>
  <si>
    <t>RHS 40x27x3</t>
  </si>
  <si>
    <t>CHS 50x2</t>
  </si>
  <si>
    <t>SHS 50x2,5</t>
  </si>
  <si>
    <t>RHS 60x15x2</t>
  </si>
  <si>
    <t>CHS 45x3</t>
  </si>
  <si>
    <t>SHS 55x2</t>
  </si>
  <si>
    <t>RHS 50x25x2</t>
  </si>
  <si>
    <t>CHS 55x2</t>
  </si>
  <si>
    <t>SHS 45x4</t>
  </si>
  <si>
    <t>RHS 40x30x3</t>
  </si>
  <si>
    <t>CHS 48x3</t>
  </si>
  <si>
    <t>SHS 50x3</t>
  </si>
  <si>
    <t>RHS 45x35x2</t>
  </si>
  <si>
    <t>CHS 48,3x3</t>
  </si>
  <si>
    <t>SHS 45x5</t>
  </si>
  <si>
    <t>RHS 45x25x3</t>
  </si>
  <si>
    <t>CHS 58x2</t>
  </si>
  <si>
    <t>SHS 55x2,5</t>
  </si>
  <si>
    <t>RHS 50x20x3</t>
  </si>
  <si>
    <t>CHS 50x3</t>
  </si>
  <si>
    <t>SHS 60x2</t>
  </si>
  <si>
    <t>RHS 50x30x2</t>
  </si>
  <si>
    <t>CHS 60x2</t>
  </si>
  <si>
    <t>SHS 50x4</t>
  </si>
  <si>
    <t>RHS 60x20x2</t>
  </si>
  <si>
    <t>CHS 48,3x4</t>
  </si>
  <si>
    <t>SHS 55x3</t>
  </si>
  <si>
    <t>RHS 40x35x3</t>
  </si>
  <si>
    <t>CHS 55x3</t>
  </si>
  <si>
    <t>SHS 65x2</t>
  </si>
  <si>
    <t>RHS 50x35x2</t>
  </si>
  <si>
    <t>CHS 65x2</t>
  </si>
  <si>
    <t>SHS 60x2,5</t>
  </si>
  <si>
    <t>RHS 45x30x3</t>
  </si>
  <si>
    <t>CHS 50x4</t>
  </si>
  <si>
    <t>SHS 50x5</t>
  </si>
  <si>
    <t>RHS 50x25x3</t>
  </si>
  <si>
    <t>CHS 57x3</t>
  </si>
  <si>
    <t>SHS 70x2</t>
  </si>
  <si>
    <t>RHS 50x30x2,5</t>
  </si>
  <si>
    <t>CHS 58x3</t>
  </si>
  <si>
    <t>SHS 60x3</t>
  </si>
  <si>
    <t>RHS 60x20x2,5</t>
  </si>
  <si>
    <t>CHS 70x2</t>
  </si>
  <si>
    <t>SHS 50x6</t>
  </si>
  <si>
    <t>RHS 45x35x3</t>
  </si>
  <si>
    <t>CHS 50x5</t>
  </si>
  <si>
    <t>SHS 65x2,5</t>
  </si>
  <si>
    <t>RHS 60x30x2</t>
  </si>
  <si>
    <t>CHS 60x3</t>
  </si>
  <si>
    <t>SHS 75x2</t>
  </si>
  <si>
    <t>RHS 50x30x3</t>
  </si>
  <si>
    <t>CHS 60,3x3</t>
  </si>
  <si>
    <t>SHS 65x3</t>
  </si>
  <si>
    <t>RHS 60x20x3</t>
  </si>
  <si>
    <t>CHS 65x2,5</t>
  </si>
  <si>
    <t>SHS 70x2,5</t>
  </si>
  <si>
    <t>RHS 50x35x3</t>
  </si>
  <si>
    <t>CHS 55x4</t>
  </si>
  <si>
    <t>SHS 60x4</t>
  </si>
  <si>
    <t>RHS 45x35x4</t>
  </si>
  <si>
    <t>CHS 63x3</t>
  </si>
  <si>
    <t>SHS 80x2</t>
  </si>
  <si>
    <t>RHS 60x25x3</t>
  </si>
  <si>
    <t>CHS 75x2</t>
  </si>
  <si>
    <t>SHS 75x2,5</t>
  </si>
  <si>
    <t>RHS 50x30x4</t>
  </si>
  <si>
    <t>CHS 57x4</t>
  </si>
  <si>
    <t>SHS 70x3</t>
  </si>
  <si>
    <t>RHS 60x40x2</t>
  </si>
  <si>
    <t>CHS 76x2</t>
  </si>
  <si>
    <t>SHS 60x5</t>
  </si>
  <si>
    <t>RHS 60x20x4</t>
  </si>
  <si>
    <t>CHS 77x2</t>
  </si>
  <si>
    <t>SHS 60x6</t>
  </si>
  <si>
    <t>RHS 50x40x3</t>
  </si>
  <si>
    <t>CHS 70x2,5</t>
  </si>
  <si>
    <t>SHS 80x2,5</t>
  </si>
  <si>
    <t>RHS 60x30x3</t>
  </si>
  <si>
    <t>CHS 65x3</t>
  </si>
  <si>
    <t>SHS 75x3</t>
  </si>
  <si>
    <t>RHS 60x40x2,5</t>
  </si>
  <si>
    <t>CHS 60x4</t>
  </si>
  <si>
    <t>SHS 60x8</t>
  </si>
  <si>
    <t>RHS 70x30x2,5</t>
  </si>
  <si>
    <t>CHS 80x2</t>
  </si>
  <si>
    <t>SHS 90x2</t>
  </si>
  <si>
    <t>RHS 70x40x2</t>
  </si>
  <si>
    <t>CHS 60,3x4</t>
  </si>
  <si>
    <t>SHS 70x4</t>
  </si>
  <si>
    <t>RHS 50x40x4</t>
  </si>
  <si>
    <t>CHS 83x2</t>
  </si>
  <si>
    <t>SHS 80x3</t>
  </si>
  <si>
    <t>RHS 70x45x2</t>
  </si>
  <si>
    <t>CHS 60x4,5</t>
  </si>
  <si>
    <t>SHS 75x4</t>
  </si>
  <si>
    <t>RHS 60x40x3</t>
  </si>
  <si>
    <t>CHS 70x3</t>
  </si>
  <si>
    <t>SHS 70x5</t>
  </si>
  <si>
    <t>RHS 70x30x3</t>
  </si>
  <si>
    <t>CHS 76x2,5</t>
  </si>
  <si>
    <t>SHS 70x6</t>
  </si>
  <si>
    <t>RHS 50x40x5</t>
  </si>
  <si>
    <t>CHS 63x4</t>
  </si>
  <si>
    <t>SHS 80x4</t>
  </si>
  <si>
    <t>RHS 70x50x2</t>
  </si>
  <si>
    <t>CHS 77x2,5</t>
  </si>
  <si>
    <t>SHS 90x3</t>
  </si>
  <si>
    <t>RHS 70x40x2,5</t>
  </si>
  <si>
    <t>CHS 60x5</t>
  </si>
  <si>
    <t>SHS 75x5</t>
  </si>
  <si>
    <t>RHS 80x40x2</t>
  </si>
  <si>
    <t>CHS 80x2,5</t>
  </si>
  <si>
    <t>SHS 70x8</t>
  </si>
  <si>
    <t>RHS 70x45x2,5</t>
  </si>
  <si>
    <t>CHS 89x2</t>
  </si>
  <si>
    <t>SHS 80x5</t>
  </si>
  <si>
    <t>RHS 60x50x3</t>
  </si>
  <si>
    <t>CHS 75x3</t>
  </si>
  <si>
    <t>SHS 100x3</t>
  </si>
  <si>
    <t>RHS 60x40x4</t>
  </si>
  <si>
    <t>CHS 76x3</t>
  </si>
  <si>
    <t>SHS 90x4</t>
  </si>
  <si>
    <t>RHS 70x30x4</t>
  </si>
  <si>
    <t>CHS 76,1x3</t>
  </si>
  <si>
    <t>SHS 80x6</t>
  </si>
  <si>
    <t>RHS 70x40x3</t>
  </si>
  <si>
    <t>CHS 63x5</t>
  </si>
  <si>
    <t>SHS 80x8</t>
  </si>
  <si>
    <t>RHS 80x30x3</t>
  </si>
  <si>
    <t>CHS 83x2,5</t>
  </si>
  <si>
    <t>SHS 90x5</t>
  </si>
  <si>
    <t>RHS 90x40x2</t>
  </si>
  <si>
    <t>CHS 77x3</t>
  </si>
  <si>
    <t>SHS 110x3</t>
  </si>
  <si>
    <t>RHS 80x40x2,5</t>
  </si>
  <si>
    <t>CHS 60x6</t>
  </si>
  <si>
    <t>SHS 100x4</t>
  </si>
  <si>
    <t>RHS 70x45x3</t>
  </si>
  <si>
    <t>CHS 70x4</t>
  </si>
  <si>
    <t>SHS 80x10</t>
  </si>
  <si>
    <t>RHS 60x40x5</t>
  </si>
  <si>
    <t>CHS 80x3</t>
  </si>
  <si>
    <t>SHS 90x6</t>
  </si>
  <si>
    <t>RHS 88x46x2</t>
  </si>
  <si>
    <t>CHS 63x6</t>
  </si>
  <si>
    <t>SHS 120x3</t>
  </si>
  <si>
    <t>RHS 70x30x5</t>
  </si>
  <si>
    <t>CHS 83x3</t>
  </si>
  <si>
    <t>SHS 100x5</t>
  </si>
  <si>
    <t>RHS 80x60x2</t>
  </si>
  <si>
    <t>CHS 90x2,5</t>
  </si>
  <si>
    <t>SHS 110x4</t>
  </si>
  <si>
    <t>RHS 60x50x4</t>
  </si>
  <si>
    <t>CHS 100x2</t>
  </si>
  <si>
    <t>SHS 90x8</t>
  </si>
  <si>
    <t>RHS 70x50x3</t>
  </si>
  <si>
    <t>CHS 75x4</t>
  </si>
  <si>
    <t>SHS 125x3</t>
  </si>
  <si>
    <t>RHS 60x40x6</t>
  </si>
  <si>
    <t>CHS 70x5</t>
  </si>
  <si>
    <t>SHS 127x3</t>
  </si>
  <si>
    <t>RHS 90x50x2</t>
  </si>
  <si>
    <t>CHS 76,1x4</t>
  </si>
  <si>
    <t>SHS 130x3</t>
  </si>
  <si>
    <t>RHS 80x40x3</t>
  </si>
  <si>
    <t>CHS 88,9x3</t>
  </si>
  <si>
    <t>SHS 100x6</t>
  </si>
  <si>
    <t>RHS 100x40x2</t>
  </si>
  <si>
    <t>CHS 89x3</t>
  </si>
  <si>
    <t>SHS 90x10</t>
  </si>
  <si>
    <t>RHS 70x40x4</t>
  </si>
  <si>
    <t>CHS 90x3</t>
  </si>
  <si>
    <t>SHS 110x5</t>
  </si>
  <si>
    <t>RHS 90x30x3</t>
  </si>
  <si>
    <t>CHS 80x4</t>
  </si>
  <si>
    <t>SHS 120x4</t>
  </si>
  <si>
    <t>RHS 80x30x4</t>
  </si>
  <si>
    <t>CHS 70x6</t>
  </si>
  <si>
    <t>SHS 100x7</t>
  </si>
  <si>
    <t>RHS 90x40x2,5</t>
  </si>
  <si>
    <t>CHS 75x5</t>
  </si>
  <si>
    <t>SHS 140x3</t>
  </si>
  <si>
    <t>RHS 80x70x2</t>
  </si>
  <si>
    <t>CHS 76,1x5</t>
  </si>
  <si>
    <t>SHS 125x4</t>
  </si>
  <si>
    <t>RHS 80x45x3</t>
  </si>
  <si>
    <t>CHS 83x4</t>
  </si>
  <si>
    <t>SHS 100x8</t>
  </si>
  <si>
    <t>RHS 88x46x2,5</t>
  </si>
  <si>
    <t>CHS 95x3</t>
  </si>
  <si>
    <t>SHS 127x4</t>
  </si>
  <si>
    <t>RHS 60x50x5</t>
  </si>
  <si>
    <t>CHS 115x2</t>
  </si>
  <si>
    <t>SHS 110x6</t>
  </si>
  <si>
    <t>RHS 90x60x2</t>
  </si>
  <si>
    <t>CHS 80x5</t>
  </si>
  <si>
    <t>SHS 130x4</t>
  </si>
  <si>
    <t>RHS 100x50x2</t>
  </si>
  <si>
    <t>CHS 76,1x6</t>
  </si>
  <si>
    <t>SHS 120x5</t>
  </si>
  <si>
    <t>RHS 80x60x2,5</t>
  </si>
  <si>
    <t>CHS 100x3</t>
  </si>
  <si>
    <t>SHS 100x12</t>
  </si>
  <si>
    <t>RHS 70x40x5</t>
  </si>
  <si>
    <t>CHS 90x4</t>
  </si>
  <si>
    <t>SHS 100x10</t>
  </si>
  <si>
    <t>RHS 80x50x3</t>
  </si>
  <si>
    <t>CHS 101,6x3</t>
  </si>
  <si>
    <t>SHS 150x3</t>
  </si>
  <si>
    <t>RHS 70x50x4</t>
  </si>
  <si>
    <t>CHS 80x6</t>
  </si>
  <si>
    <t>SHS 110x7</t>
  </si>
  <si>
    <t>RHS 90x40x3</t>
  </si>
  <si>
    <t>CHS 95x4</t>
  </si>
  <si>
    <t>SHS 135x4</t>
  </si>
  <si>
    <t>RHS 60x50x6</t>
  </si>
  <si>
    <t>CHS 108x3</t>
  </si>
  <si>
    <t>SHS 125x5</t>
  </si>
  <si>
    <t>RHS 80x40x4</t>
  </si>
  <si>
    <t>CHS 88,9x5</t>
  </si>
  <si>
    <t>SHS 127x5</t>
  </si>
  <si>
    <t>RHS 90x30x4</t>
  </si>
  <si>
    <t>CHS 110x3</t>
  </si>
  <si>
    <t>SHS 110x8</t>
  </si>
  <si>
    <t>RHS 90x70x2</t>
  </si>
  <si>
    <t>CHS 90x5</t>
  </si>
  <si>
    <t>SHS 140x4</t>
  </si>
  <si>
    <t>RHS 88x46x3</t>
  </si>
  <si>
    <t>CHS 113x3</t>
  </si>
  <si>
    <t>SHS 120x6</t>
  </si>
  <si>
    <t>RHS 70x40x6</t>
  </si>
  <si>
    <t>CHS 100x4</t>
  </si>
  <si>
    <t>SHS 160x3</t>
  </si>
  <si>
    <t>RHS 100x60x2</t>
  </si>
  <si>
    <t>CHS 114,3x3</t>
  </si>
  <si>
    <t>SHS 130x5</t>
  </si>
  <si>
    <t>RHS 120x40x2</t>
  </si>
  <si>
    <t>CHS 101,6x4</t>
  </si>
  <si>
    <t>SHS 125x6</t>
  </si>
  <si>
    <t>RHS 80x60x3</t>
  </si>
  <si>
    <t>CHS 115x3</t>
  </si>
  <si>
    <t>SHS 120x7</t>
  </si>
  <si>
    <t>RHS 80x45x4</t>
  </si>
  <si>
    <t>CHS 90x6</t>
  </si>
  <si>
    <t>SHS 110x10</t>
  </si>
  <si>
    <t>RHS 70x50x5</t>
  </si>
  <si>
    <t>CHS 120x3</t>
  </si>
  <si>
    <t>SHS 127x6</t>
  </si>
  <si>
    <t>RHS 90x50x3</t>
  </si>
  <si>
    <t>CHS 108x4</t>
  </si>
  <si>
    <t>SHS 150x4</t>
  </si>
  <si>
    <t>RHS 100x50x2,5</t>
  </si>
  <si>
    <t>CHS 100x5</t>
  </si>
  <si>
    <t>SHS 130x6</t>
  </si>
  <si>
    <t>RHS 100x40x3</t>
  </si>
  <si>
    <t>CHS 110x4</t>
  </si>
  <si>
    <t>SHS 120x8</t>
  </si>
  <si>
    <t>RHS 80x40x5</t>
  </si>
  <si>
    <t>CHS 125x3</t>
  </si>
  <si>
    <t>SHS 125x7</t>
  </si>
  <si>
    <t>RHS 80x50x4</t>
  </si>
  <si>
    <t>CHS 101,6x5</t>
  </si>
  <si>
    <t>SHS 140x5</t>
  </si>
  <si>
    <t>RHS 110x60x2</t>
  </si>
  <si>
    <t>CHS 127x3</t>
  </si>
  <si>
    <t>SHS 175x3</t>
  </si>
  <si>
    <t>RHS 90x40x4</t>
  </si>
  <si>
    <t>CHS 113x4</t>
  </si>
  <si>
    <t>SHS 127x7</t>
  </si>
  <si>
    <t>RHS 80x70x3</t>
  </si>
  <si>
    <t>CHS 114,3x4</t>
  </si>
  <si>
    <t>SHS 180x3</t>
  </si>
  <si>
    <t>RHS 70x50x6</t>
  </si>
  <si>
    <t>CHS 115x4</t>
  </si>
  <si>
    <t>SHS 135x6</t>
  </si>
  <si>
    <t>RHS 90x60x3</t>
  </si>
  <si>
    <t>CHS 133x3</t>
  </si>
  <si>
    <t>SHS 160x4</t>
  </si>
  <si>
    <t>RHS 100x80x2</t>
  </si>
  <si>
    <t>CHS 100x6</t>
  </si>
  <si>
    <t>SHS 125x8</t>
  </si>
  <si>
    <t>RHS 80x40x6</t>
  </si>
  <si>
    <t>CHS 101,6x6</t>
  </si>
  <si>
    <t>SHS 120x10</t>
  </si>
  <si>
    <t>RHS 80x40x8</t>
  </si>
  <si>
    <t>CHS 120x4</t>
  </si>
  <si>
    <t>SHS 150x5</t>
  </si>
  <si>
    <t>RHS 100x50x3</t>
  </si>
  <si>
    <t>CHS 139,7x3</t>
  </si>
  <si>
    <t>SHS 140x6</t>
  </si>
  <si>
    <t>RHS 80x60x4</t>
  </si>
  <si>
    <t>CHS 113x5</t>
  </si>
  <si>
    <t>SHS 120x12</t>
  </si>
  <si>
    <t>RHS 120x60x2</t>
  </si>
  <si>
    <t>CHS 125x4</t>
  </si>
  <si>
    <t>SHS 135x7</t>
  </si>
  <si>
    <t>RHS 80x50x5</t>
  </si>
  <si>
    <t>CHS 114,3x5</t>
  </si>
  <si>
    <t>SHS 130x8</t>
  </si>
  <si>
    <t>RHS 90x40x5</t>
  </si>
  <si>
    <t>CHS 115x5</t>
  </si>
  <si>
    <t>SHS 120x12,5</t>
  </si>
  <si>
    <t>RHS 90x50x4</t>
  </si>
  <si>
    <t>CHS 127x4</t>
  </si>
  <si>
    <t>SHS 125x10</t>
  </si>
  <si>
    <t>RHS 100x40x4</t>
  </si>
  <si>
    <t>CHS 100x8</t>
  </si>
  <si>
    <t>SHS 140x7</t>
  </si>
  <si>
    <t>RHS 90x70x3</t>
  </si>
  <si>
    <t>CHS 133x4</t>
  </si>
  <si>
    <t>SHS 175x4</t>
  </si>
  <si>
    <t>RHS 110x60x2,5</t>
  </si>
  <si>
    <t>CHS 101,6x8</t>
  </si>
  <si>
    <t>SHS 125x12</t>
  </si>
  <si>
    <t>RHS 100x60x3</t>
  </si>
  <si>
    <t>CHS 113x6</t>
  </si>
  <si>
    <t>SHS 160x5</t>
  </si>
  <si>
    <t>RHS 120x40x3</t>
  </si>
  <si>
    <t>CHS 152,4x3</t>
  </si>
  <si>
    <t>SHS 125x12,5</t>
  </si>
  <si>
    <t>RHS 80x70x4</t>
  </si>
  <si>
    <t>CHS 114,3x6</t>
  </si>
  <si>
    <t>SHS 150x6</t>
  </si>
  <si>
    <t>RHS 80x50x6</t>
  </si>
  <si>
    <t>CHS 115x6</t>
  </si>
  <si>
    <t>SHS 180x4</t>
  </si>
  <si>
    <t>RHS 80x60x5</t>
  </si>
  <si>
    <t>CHS 125x5</t>
  </si>
  <si>
    <t>SHS 140x8</t>
  </si>
  <si>
    <t>RHS 90x60x4</t>
  </si>
  <si>
    <t>CHS 127x5</t>
  </si>
  <si>
    <t>SHS 130x12,5</t>
  </si>
  <si>
    <t>RHS 80x50x8</t>
  </si>
  <si>
    <t>CHS 139,7x4</t>
  </si>
  <si>
    <t>SHS 150x7</t>
  </si>
  <si>
    <t>RHS 90x50x5</t>
  </si>
  <si>
    <t>CHS 159x3</t>
  </si>
  <si>
    <t>SHS 160x6</t>
  </si>
  <si>
    <t>RHS 100x50x4</t>
  </si>
  <si>
    <t>CHS 164x3</t>
  </si>
  <si>
    <t>SHS 160x6,3</t>
  </si>
  <si>
    <t>RHS 100x40x5</t>
  </si>
  <si>
    <t>CHS 115x7</t>
  </si>
  <si>
    <t>SHS 175x5</t>
  </si>
  <si>
    <t>RHS 110x60x3</t>
  </si>
  <si>
    <t>CHS 133x5</t>
  </si>
  <si>
    <t>SHS 140x10</t>
  </si>
  <si>
    <t>RHS 120x50x3</t>
  </si>
  <si>
    <t>CHS 168,3x3</t>
  </si>
  <si>
    <t>SHS 150x8</t>
  </si>
  <si>
    <t>RHS 80x60x6</t>
  </si>
  <si>
    <t>CHS 125x6</t>
  </si>
  <si>
    <t>SHS 180x5</t>
  </si>
  <si>
    <t>RHS 80x70x5</t>
  </si>
  <si>
    <t>CHS 150x4</t>
  </si>
  <si>
    <t>SHS 160x7</t>
  </si>
  <si>
    <t>RHS 90x70x4</t>
  </si>
  <si>
    <t>CHS 127x6</t>
  </si>
  <si>
    <t>SHS 200x4</t>
  </si>
  <si>
    <t>RHS 100x80x3</t>
  </si>
  <si>
    <t>CHS 114,3x8</t>
  </si>
  <si>
    <t>SHS 160x7,1</t>
  </si>
  <si>
    <t>RHS 90x50x6</t>
  </si>
  <si>
    <t>CHS 152,4x4</t>
  </si>
  <si>
    <t>SHS 140x12</t>
  </si>
  <si>
    <t>RHS 100x60x4</t>
  </si>
  <si>
    <t>CHS 139,7x5</t>
  </si>
  <si>
    <t>SHS 140x12,5</t>
  </si>
  <si>
    <t>RHS 90x60x5</t>
  </si>
  <si>
    <t>CHS 155x4</t>
  </si>
  <si>
    <t>SHS 175x6</t>
  </si>
  <si>
    <t>RHS 110x70x3</t>
  </si>
  <si>
    <t>CHS 177,8x3</t>
  </si>
  <si>
    <t>SHS 160x8</t>
  </si>
  <si>
    <t>RHS 120x40x4</t>
  </si>
  <si>
    <t>CHS 125x7</t>
  </si>
  <si>
    <t>SHS 150x10</t>
  </si>
  <si>
    <t>RHS 120x60x3</t>
  </si>
  <si>
    <t>CHS 133x6</t>
  </si>
  <si>
    <t>SHS 180x6</t>
  </si>
  <si>
    <t>RHS 100x50x5</t>
  </si>
  <si>
    <t>CHS 159x4</t>
  </si>
  <si>
    <t>SHS 180x6,3</t>
  </si>
  <si>
    <t>RHS 90x50x8</t>
  </si>
  <si>
    <t>CHS 164x4</t>
  </si>
  <si>
    <t>SHS 150x12</t>
  </si>
  <si>
    <t>RHS 90x70x5</t>
  </si>
  <si>
    <t>CHS 150x5</t>
  </si>
  <si>
    <t>SHS 175x7</t>
  </si>
  <si>
    <t>RHS 120x50x4</t>
  </si>
  <si>
    <t>CHS 139,7x6</t>
  </si>
  <si>
    <t>SHS 220x4</t>
  </si>
  <si>
    <t>RHS 100x50x6</t>
  </si>
  <si>
    <t>CHS 125x8</t>
  </si>
  <si>
    <t>SHS 200x5</t>
  </si>
  <si>
    <t>RHS 100x60x5</t>
  </si>
  <si>
    <t>CHS 152,4x5</t>
  </si>
  <si>
    <t>SHS 150x12,5</t>
  </si>
  <si>
    <t>RHS 120x40x5</t>
  </si>
  <si>
    <t>CHS 168,3x4</t>
  </si>
  <si>
    <t>SHS 180x7</t>
  </si>
  <si>
    <t>RHS 100x80x4</t>
  </si>
  <si>
    <t>CHS 133x7</t>
  </si>
  <si>
    <t>SHS 160x10</t>
  </si>
  <si>
    <t>RHS 120x80x3</t>
  </si>
  <si>
    <t>CHS 139,7x6,2</t>
  </si>
  <si>
    <t>SHS 180x7,1</t>
  </si>
  <si>
    <t>RHS 100x50x8</t>
  </si>
  <si>
    <t>CHS 193,7x3</t>
  </si>
  <si>
    <t>SHS 175x8</t>
  </si>
  <si>
    <t>RHS 110x70x4</t>
  </si>
  <si>
    <t>CHS 155x5</t>
  </si>
  <si>
    <t>SHS 160x12</t>
  </si>
  <si>
    <t>RHS 90x70x6</t>
  </si>
  <si>
    <t>CHS 175x4</t>
  </si>
  <si>
    <t>SHS 180x8</t>
  </si>
  <si>
    <t>RHS 140x60x3</t>
  </si>
  <si>
    <t>CHS 200x3</t>
  </si>
  <si>
    <t>SHS 200x6</t>
  </si>
  <si>
    <t>RHS 150x50x3</t>
  </si>
  <si>
    <t>CHS 159x5</t>
  </si>
  <si>
    <t>SHS 160x12,5</t>
  </si>
  <si>
    <t>RHS 120x60x4</t>
  </si>
  <si>
    <t>CHS 139,7x7</t>
  </si>
  <si>
    <t>SHS 200x6,3</t>
  </si>
  <si>
    <t>RHS 100x60x6</t>
  </si>
  <si>
    <t>CHS 133x8</t>
  </si>
  <si>
    <t>SHS 220x5</t>
  </si>
  <si>
    <t>RHS 120x40x6</t>
  </si>
  <si>
    <t>CHS 177,8x4</t>
  </si>
  <si>
    <t>SHS 244,5x4</t>
  </si>
  <si>
    <t>RHS 90x70x8</t>
  </si>
  <si>
    <t>CHS 150x6</t>
  </si>
  <si>
    <t>SHS 250x4</t>
  </si>
  <si>
    <t>RHS 100x80x5</t>
  </si>
  <si>
    <t>CHS 125x10</t>
  </si>
  <si>
    <t>SHS 175x10</t>
  </si>
  <si>
    <t>RHS 120x100x3</t>
  </si>
  <si>
    <t>CHS 152,4x6</t>
  </si>
  <si>
    <t>SHS 200x7</t>
  </si>
  <si>
    <t>RHS 100x60x8</t>
  </si>
  <si>
    <t>CHS 155x6</t>
  </si>
  <si>
    <t>SHS 200x7,1</t>
  </si>
  <si>
    <t>RHS 110x70x5</t>
  </si>
  <si>
    <t>CHS 168,3x5</t>
  </si>
  <si>
    <t>SHS 180x10</t>
  </si>
  <si>
    <t>RHS 140x80x3</t>
  </si>
  <si>
    <t>CHS 139,7x8</t>
  </si>
  <si>
    <t>SHS 260x4</t>
  </si>
  <si>
    <t>RHS 120x60x5</t>
  </si>
  <si>
    <t>CHS 188x4</t>
  </si>
  <si>
    <t>SHS 175x12</t>
  </si>
  <si>
    <t>RHS 150x70x3</t>
  </si>
  <si>
    <t>CHS 159x6</t>
  </si>
  <si>
    <t>SHS 220x6</t>
  </si>
  <si>
    <t>RHS 160x60x3</t>
  </si>
  <si>
    <t>CHS 150x7</t>
  </si>
  <si>
    <t>SHS 175x12,5</t>
  </si>
  <si>
    <t>RHS 120x80x4</t>
  </si>
  <si>
    <t>CHS 219,1x3</t>
  </si>
  <si>
    <t>SHS 200x8</t>
  </si>
  <si>
    <t>RHS 100x60x10</t>
  </si>
  <si>
    <t>CHS 175x5</t>
  </si>
  <si>
    <t>SHS 244,5x5</t>
  </si>
  <si>
    <t>RHS 140x60x4</t>
  </si>
  <si>
    <t>CHS 193,7x4</t>
  </si>
  <si>
    <t>SHS 180x12</t>
  </si>
  <si>
    <t>RHS 150x50x4</t>
  </si>
  <si>
    <t>CHS 177,8x5</t>
  </si>
  <si>
    <t>SHS 180x12,5</t>
  </si>
  <si>
    <t>RHS 100x80x6</t>
  </si>
  <si>
    <t>CHS 155x7</t>
  </si>
  <si>
    <t>SHS 250x5</t>
  </si>
  <si>
    <t>RHS 110x70x6</t>
  </si>
  <si>
    <t>CHS 200x4</t>
  </si>
  <si>
    <t>SHS 220x7</t>
  </si>
  <si>
    <t>RHS 120x60x6</t>
  </si>
  <si>
    <t>CHS 168,3x6</t>
  </si>
  <si>
    <t>SHS 220x7,1</t>
  </si>
  <si>
    <t>RHS 140x100x3</t>
  </si>
  <si>
    <t>CHS 150x8</t>
  </si>
  <si>
    <t>SHS 180x14</t>
  </si>
  <si>
    <t>RHS 150x90x3</t>
  </si>
  <si>
    <t>CHS 159x7</t>
  </si>
  <si>
    <t>SHS 260x5</t>
  </si>
  <si>
    <t>RHS 160x80x3</t>
  </si>
  <si>
    <t>CHS 139,7x10</t>
  </si>
  <si>
    <t>SHS 200x10</t>
  </si>
  <si>
    <t>RHS 120x100x4</t>
  </si>
  <si>
    <t>CHS 152,4x8</t>
  </si>
  <si>
    <t>SHS 244,5x6</t>
  </si>
  <si>
    <t>RHS 180x60x3</t>
  </si>
  <si>
    <t>CHS 188x5</t>
  </si>
  <si>
    <t>SHS 220x8</t>
  </si>
  <si>
    <t>RHS 120x80x5</t>
  </si>
  <si>
    <t>CHS 155x8</t>
  </si>
  <si>
    <t>SHS 244,5x6,3</t>
  </si>
  <si>
    <t>RHS 100x80x8</t>
  </si>
  <si>
    <t>CHS 175x6</t>
  </si>
  <si>
    <t>SHS 250x6</t>
  </si>
  <si>
    <t>RHS 150x50x5</t>
  </si>
  <si>
    <t>CHS 177,8x6</t>
  </si>
  <si>
    <t>SHS 250x6,3</t>
  </si>
  <si>
    <t>RHS 140x60x5</t>
  </si>
  <si>
    <t>CHS 193,7x5</t>
  </si>
  <si>
    <t>SHS 200x12</t>
  </si>
  <si>
    <t>RHS 140x80x4</t>
  </si>
  <si>
    <t>CHS 159x8</t>
  </si>
  <si>
    <t>SHS 200x12,5</t>
  </si>
  <si>
    <t>RHS 150x100x3</t>
  </si>
  <si>
    <t>CHS 168,3x7</t>
  </si>
  <si>
    <t>SHS 244,5x7</t>
  </si>
  <si>
    <t>RHS 150x70x4</t>
  </si>
  <si>
    <t>CHS 219,1x4</t>
  </si>
  <si>
    <t>SHS 260x6</t>
  </si>
  <si>
    <t>RHS 160x60x4</t>
  </si>
  <si>
    <t>CHS 200x5</t>
  </si>
  <si>
    <t>SHS 244,5x7,1</t>
  </si>
  <si>
    <t>RHS 120x60x8</t>
  </si>
  <si>
    <t>CHS 175x7</t>
  </si>
  <si>
    <t>SHS 260x6,3</t>
  </si>
  <si>
    <t>RHS 160x90x3</t>
  </si>
  <si>
    <t>CHS 152,4x10</t>
  </si>
  <si>
    <t>SHS 250x7</t>
  </si>
  <si>
    <t>RHS 170x80x3</t>
  </si>
  <si>
    <t>CHS 188x6</t>
  </si>
  <si>
    <t>SHS 200x14</t>
  </si>
  <si>
    <t>RHS 180x70x3</t>
  </si>
  <si>
    <t>CHS 168,3x8</t>
  </si>
  <si>
    <t>SHS 250x7,1</t>
  </si>
  <si>
    <t>RHS 140x120x3</t>
  </si>
  <si>
    <t>CHS 193,7x6</t>
  </si>
  <si>
    <t>SHS 220x10</t>
  </si>
  <si>
    <t>RHS 100x80x10</t>
  </si>
  <si>
    <t>CHS 175x8</t>
  </si>
  <si>
    <t>SHS 244,5x8</t>
  </si>
  <si>
    <t>RHS 160x100x3</t>
  </si>
  <si>
    <t>CHS 200x6</t>
  </si>
  <si>
    <t>SHS 260x7</t>
  </si>
  <si>
    <t>RHS 120x80x6</t>
  </si>
  <si>
    <t>CHS 152,4x12</t>
  </si>
  <si>
    <t>SHS 200x16</t>
  </si>
  <si>
    <t>RHS 120x60x10</t>
  </si>
  <si>
    <t>CHS 177,8x8</t>
  </si>
  <si>
    <t>SHS 260x7,1</t>
  </si>
  <si>
    <t>RHS 180x80x3</t>
  </si>
  <si>
    <t>CHS 188x7</t>
  </si>
  <si>
    <t>SHS 250x8</t>
  </si>
  <si>
    <t>RHS 150x50x6</t>
  </si>
  <si>
    <t>CHS 219x5</t>
  </si>
  <si>
    <t>SHS 220x12</t>
  </si>
  <si>
    <t>RHS 120x100x5</t>
  </si>
  <si>
    <t>CHS 219,1x5</t>
  </si>
  <si>
    <t>SHS 220x12,5</t>
  </si>
  <si>
    <t>RHS 140x60x6</t>
  </si>
  <si>
    <t>CHS 152,4x12,5</t>
  </si>
  <si>
    <t>SHS 260x8</t>
  </si>
  <si>
    <t>RHS 140x100x4</t>
  </si>
  <si>
    <t>CHS 244,5x4</t>
  </si>
  <si>
    <t>SHS 220x14</t>
  </si>
  <si>
    <t>RHS 120x80x7</t>
  </si>
  <si>
    <t>CHS 200x6,3</t>
  </si>
  <si>
    <t>SHS 244,5x10</t>
  </si>
  <si>
    <t>RHS 170x100x3</t>
  </si>
  <si>
    <t>CHS 175x9</t>
  </si>
  <si>
    <t>SHS 300x6</t>
  </si>
  <si>
    <t>RHS 140x80x5</t>
  </si>
  <si>
    <t>CHS 168,3x10</t>
  </si>
  <si>
    <t>SHS 250x10</t>
  </si>
  <si>
    <t>RHS 180x90x3</t>
  </si>
  <si>
    <t>CHS 188x8</t>
  </si>
  <si>
    <t>SHS 220x16</t>
  </si>
  <si>
    <t>RHS 150x130x3</t>
  </si>
  <si>
    <t>CHS 200x7</t>
  </si>
  <si>
    <t>SHS 244,5x12</t>
  </si>
  <si>
    <t>RHS 150x50x7</t>
  </si>
  <si>
    <t>CHS 200x7,1</t>
  </si>
  <si>
    <t>SHS 300x7</t>
  </si>
  <si>
    <t>RHS 160x80x4</t>
  </si>
  <si>
    <t>CHS 219x6</t>
  </si>
  <si>
    <t>SHS 260x10</t>
  </si>
  <si>
    <t>RHS 150x70x5</t>
  </si>
  <si>
    <t>CHS 193,7x8</t>
  </si>
  <si>
    <t>SHS 244,5x12,5</t>
  </si>
  <si>
    <t>RHS 200x70x3</t>
  </si>
  <si>
    <t>CHS 219,1x6</t>
  </si>
  <si>
    <t>SHS 325x6</t>
  </si>
  <si>
    <t>RHS 140x60x7</t>
  </si>
  <si>
    <t>CHS 168,3x12</t>
  </si>
  <si>
    <t>SHS 300x7,3</t>
  </si>
  <si>
    <t>RHS 160x60x5</t>
  </si>
  <si>
    <t>CHS 188x9</t>
  </si>
  <si>
    <t>SHS 250x12</t>
  </si>
  <si>
    <t>RHS 180x60x4</t>
  </si>
  <si>
    <t>CHS 219,1x6,3</t>
  </si>
  <si>
    <t>SHS 250x12,5</t>
  </si>
  <si>
    <t>RHS 160x120x3</t>
  </si>
  <si>
    <t>CHS 244,5x5</t>
  </si>
  <si>
    <t>SHS 325x6,3</t>
  </si>
  <si>
    <t>RHS 150x100x4</t>
  </si>
  <si>
    <t>CHS 168,3x12,5</t>
  </si>
  <si>
    <t>SHS 244,5x14</t>
  </si>
  <si>
    <t>RHS 120x80x8</t>
  </si>
  <si>
    <t>CHS 200x8</t>
  </si>
  <si>
    <t>SHS 300x8</t>
  </si>
  <si>
    <t>RHS 180x100x3</t>
  </si>
  <si>
    <t>CHS 273x4</t>
  </si>
  <si>
    <t>SHS 260x12</t>
  </si>
  <si>
    <t>RHS 150x50x8</t>
  </si>
  <si>
    <t>CHS 219x7</t>
  </si>
  <si>
    <t>SHS 250x14</t>
  </si>
  <si>
    <t>RHS 120x100x6</t>
  </si>
  <si>
    <t>CHS 219,1x7</t>
  </si>
  <si>
    <t>SHS 260x12,5</t>
  </si>
  <si>
    <t>RHS 200x80x3</t>
  </si>
  <si>
    <t>CHS 219,1x7,1</t>
  </si>
  <si>
    <t>SHS 325x7</t>
  </si>
  <si>
    <t>RHS 160x90x4</t>
  </si>
  <si>
    <t>CHS 200x9</t>
  </si>
  <si>
    <t>SHS 325x7,1</t>
  </si>
  <si>
    <t>RHS 140x60x8</t>
  </si>
  <si>
    <t>CHS 193,7x10</t>
  </si>
  <si>
    <t>SHS 244,5x16</t>
  </si>
  <si>
    <t>RHS 170x80x4</t>
  </si>
  <si>
    <t>CHS 244,5x6</t>
  </si>
  <si>
    <t>SHS 350x6</t>
  </si>
  <si>
    <t>RHS 180x70x4</t>
  </si>
  <si>
    <t>CHS 219x8</t>
  </si>
  <si>
    <t>SHS 350x6,3</t>
  </si>
  <si>
    <t>RHS 140x120x4</t>
  </si>
  <si>
    <t>CHS 200x10</t>
  </si>
  <si>
    <t>SHS 250x16</t>
  </si>
  <si>
    <t>RHS 140x80x6</t>
  </si>
  <si>
    <t>CHS 219,1x8</t>
  </si>
  <si>
    <t>SHS 260x14</t>
  </si>
  <si>
    <t>RHS 160x140x3</t>
  </si>
  <si>
    <t>CHS 244,5x6,3</t>
  </si>
  <si>
    <t>SHS 325x8</t>
  </si>
  <si>
    <t>RHS 150x70x6</t>
  </si>
  <si>
    <t>CHS 273x5</t>
  </si>
  <si>
    <t>SHS 300x10</t>
  </si>
  <si>
    <t>RHS 160x60x6</t>
  </si>
  <si>
    <t>CHS 193,7x12</t>
  </si>
  <si>
    <t>SHS 250x18</t>
  </si>
  <si>
    <t>RHS 160x100x4</t>
  </si>
  <si>
    <t>CHS 219x9</t>
  </si>
  <si>
    <t>SHS 350x7</t>
  </si>
  <si>
    <t>RHS 140x100x5</t>
  </si>
  <si>
    <t>CHS 244,5x7</t>
  </si>
  <si>
    <t>SHS 260x16</t>
  </si>
  <si>
    <t>RHS 120x80x12</t>
  </si>
  <si>
    <t>CHS 193,7x12,5</t>
  </si>
  <si>
    <t>SHS 350x7,1</t>
  </si>
  <si>
    <t>RHS 120x100x7</t>
  </si>
  <si>
    <t>CHS 244,5x7,1</t>
  </si>
  <si>
    <t>SHS 260x18</t>
  </si>
  <si>
    <t>RHS 150x90x5</t>
  </si>
  <si>
    <t>CHS 200x12</t>
  </si>
  <si>
    <t>SHS 350x8</t>
  </si>
  <si>
    <t>RHS 120x80x10</t>
  </si>
  <si>
    <t>CHS 323,9x4</t>
  </si>
  <si>
    <t>SHS 300x12</t>
  </si>
  <si>
    <t>RHS 180x80x4</t>
  </si>
  <si>
    <t>CHS 200x12,5</t>
  </si>
  <si>
    <t>SHS 300x12,5</t>
  </si>
  <si>
    <t>RHS 180x120x3</t>
  </si>
  <si>
    <t>CHS 219,1x10</t>
  </si>
  <si>
    <t>SHS 325x10</t>
  </si>
  <si>
    <t>RHS 160x80x5</t>
  </si>
  <si>
    <t>CHS 273x6</t>
  </si>
  <si>
    <t>SHS 300x14</t>
  </si>
  <si>
    <t>RHS 150x120x4</t>
  </si>
  <si>
    <t>CHS 244,5x8</t>
  </si>
  <si>
    <t>SHS 400x7</t>
  </si>
  <si>
    <t>RHS 180x60x5</t>
  </si>
  <si>
    <t>CHS 273x6,3</t>
  </si>
  <si>
    <t>SHS 400x7,1</t>
  </si>
  <si>
    <t>RHS 200x100x3</t>
  </si>
  <si>
    <t>CHS 273x7</t>
  </si>
  <si>
    <t>SHS 325x12</t>
  </si>
  <si>
    <t>RHS 140x80x7</t>
  </si>
  <si>
    <t>CHS 219,1x12</t>
  </si>
  <si>
    <t>SHS 350x10</t>
  </si>
  <si>
    <t>RHS 150x70x7</t>
  </si>
  <si>
    <t>CHS 273x7,1</t>
  </si>
  <si>
    <t>SHS 325x12,5</t>
  </si>
  <si>
    <t>RHS 160x60x7</t>
  </si>
  <si>
    <t>CHS 323,9x5</t>
  </si>
  <si>
    <t>SHS 300x16</t>
  </si>
  <si>
    <t>RHS 170x100x4</t>
  </si>
  <si>
    <t>CHS 219,1x12,5</t>
  </si>
  <si>
    <t>SHS 400x8</t>
  </si>
  <si>
    <t>RHS 150x100x5</t>
  </si>
  <si>
    <t>CHS 244,5x10</t>
  </si>
  <si>
    <t>SHS 325x14</t>
  </si>
  <si>
    <t>RHS 180x90x4</t>
  </si>
  <si>
    <t>CHS 273x8</t>
  </si>
  <si>
    <t>SHS 300x18</t>
  </si>
  <si>
    <t>RHS 120x100x8</t>
  </si>
  <si>
    <t>CHS 219,1x14</t>
  </si>
  <si>
    <t>SHS 350x12</t>
  </si>
  <si>
    <t>RHS 150x130x4</t>
  </si>
  <si>
    <t>CHS 323,9x6</t>
  </si>
  <si>
    <t>SHS 300x20</t>
  </si>
  <si>
    <t>RHS 200x70x4</t>
  </si>
  <si>
    <t>CHS 244,5x12</t>
  </si>
  <si>
    <t>SHS 350x12,5</t>
  </si>
  <si>
    <t>RHS 160x90x5</t>
  </si>
  <si>
    <t>CHS 323,9x6,3</t>
  </si>
  <si>
    <t>SHS 325x16</t>
  </si>
  <si>
    <t>RHS 170x80x5</t>
  </si>
  <si>
    <t>CHS 244,5x12,5</t>
  </si>
  <si>
    <t>SHS 350x14</t>
  </si>
  <si>
    <t>RHS 160x120x4</t>
  </si>
  <si>
    <t>CHS 273x10</t>
  </si>
  <si>
    <t>SHS 400x10</t>
  </si>
  <si>
    <t>RHS 180x70x5</t>
  </si>
  <si>
    <t>CHS 323,9x7</t>
  </si>
  <si>
    <t>SHS 325x18</t>
  </si>
  <si>
    <t>RHS 140x120x5</t>
  </si>
  <si>
    <t>CHS 323,9x7,1</t>
  </si>
  <si>
    <t>SHS 450x8</t>
  </si>
  <si>
    <t>RHS 180x140x3</t>
  </si>
  <si>
    <t>CHS 244,5x14</t>
  </si>
  <si>
    <t>SHS 325x20</t>
  </si>
  <si>
    <t>RHS 140x100x6</t>
  </si>
  <si>
    <t>CHS 355,6x6</t>
  </si>
  <si>
    <t>SHS 350x16</t>
  </si>
  <si>
    <t>RHS 140x80x8</t>
  </si>
  <si>
    <t>CHS 323,9x8</t>
  </si>
  <si>
    <t>SHS 400x12</t>
  </si>
  <si>
    <t>RHS 160x60x8</t>
  </si>
  <si>
    <t>CHS 273x12</t>
  </si>
  <si>
    <t>SHS 350x18</t>
  </si>
  <si>
    <t>RHS 150x70x8</t>
  </si>
  <si>
    <t>CHS 244,5x16</t>
  </si>
  <si>
    <t>SHS 400x12,5</t>
  </si>
  <si>
    <t>RHS 180x100x4</t>
  </si>
  <si>
    <t>CHS 273x12,5</t>
  </si>
  <si>
    <t>SHS 450x10</t>
  </si>
  <si>
    <t>RHS 150x90x6</t>
  </si>
  <si>
    <t>CHS 355,6x7</t>
  </si>
  <si>
    <t>SHS 350x20</t>
  </si>
  <si>
    <t>RHS 200x120x3</t>
  </si>
  <si>
    <t>CHS 355,6x7,1</t>
  </si>
  <si>
    <t>SHS 500x8</t>
  </si>
  <si>
    <t>RHS 160x80x6</t>
  </si>
  <si>
    <t>CHS 273x14</t>
  </si>
  <si>
    <t>SHS 400x14</t>
  </si>
  <si>
    <t>RHS 200x80x4</t>
  </si>
  <si>
    <t>CHS 355,6x8</t>
  </si>
  <si>
    <t>SHS 400x16</t>
  </si>
  <si>
    <t>RHS 180x60x6</t>
  </si>
  <si>
    <t>CHS 406,4x6</t>
  </si>
  <si>
    <t>SHS 450x12</t>
  </si>
  <si>
    <t>RHS 160x100x5</t>
  </si>
  <si>
    <t>CHS 323,9x10</t>
  </si>
  <si>
    <t>SHS 450x12,5</t>
  </si>
  <si>
    <t>RHS 220x100x3</t>
  </si>
  <si>
    <t>CHS 273x16</t>
  </si>
  <si>
    <t>SHS 500x10</t>
  </si>
  <si>
    <t>RHS 180x80x5</t>
  </si>
  <si>
    <t>CHS 406,4x7</t>
  </si>
  <si>
    <t>SHS 400x18</t>
  </si>
  <si>
    <t>RHS 120x100x10</t>
  </si>
  <si>
    <t>CHS 406,4x7,1</t>
  </si>
  <si>
    <t>SHS 450x14</t>
  </si>
  <si>
    <t>RHS 150x120x5</t>
  </si>
  <si>
    <t>CHS 323,9x12</t>
  </si>
  <si>
    <t>SHS 400x20</t>
  </si>
  <si>
    <t>RHS 140x100x7</t>
  </si>
  <si>
    <t>CHS 355,6x10</t>
  </si>
  <si>
    <t>SHS 500x12</t>
  </si>
  <si>
    <t>RHS 160x140x4</t>
  </si>
  <si>
    <t>CHS 323,9x12,5</t>
  </si>
  <si>
    <t>SHS 450x16</t>
  </si>
  <si>
    <t>RHS 150x100x6</t>
  </si>
  <si>
    <t>CHS 406,4x8</t>
  </si>
  <si>
    <t>SHS 500x12,5</t>
  </si>
  <si>
    <t>RHS 160x90x6</t>
  </si>
  <si>
    <t>CHS 323,9x14</t>
  </si>
  <si>
    <t>SHS 450x18</t>
  </si>
  <si>
    <t>RHS 160x80x7</t>
  </si>
  <si>
    <t>CHS 355,6x12</t>
  </si>
  <si>
    <t>SHS 500x14</t>
  </si>
  <si>
    <t>RHS 170x80x6</t>
  </si>
  <si>
    <t>CHS 457,2x7</t>
  </si>
  <si>
    <t>SHS 450x20</t>
  </si>
  <si>
    <t>RHS 140x80x10</t>
  </si>
  <si>
    <t>CHS 457,2x7,1</t>
  </si>
  <si>
    <t>SHS 500x16</t>
  </si>
  <si>
    <t>RHS 170x100x5</t>
  </si>
  <si>
    <t>CHS 355,6x12,5</t>
  </si>
  <si>
    <t>SHS 500x18</t>
  </si>
  <si>
    <t>RHS 180x70x6</t>
  </si>
  <si>
    <t>CHS 323,9x16</t>
  </si>
  <si>
    <t>SHS 500x20</t>
  </si>
  <si>
    <t>RHS 140x120x6</t>
  </si>
  <si>
    <t>CHS 406,4x10</t>
  </si>
  <si>
    <t>RHS 180x90x5</t>
  </si>
  <si>
    <t>CHS 355,6x14</t>
  </si>
  <si>
    <t>RHS 180x120x4</t>
  </si>
  <si>
    <t>CHS 457,2x8</t>
  </si>
  <si>
    <t>RHS 150x130x5</t>
  </si>
  <si>
    <t>CHS 323,9x18</t>
  </si>
  <si>
    <t>RHS 200x70x5</t>
  </si>
  <si>
    <t>CHS 508x7</t>
  </si>
  <si>
    <t>RHS 200x100x4</t>
  </si>
  <si>
    <t>CHS 508x7,1</t>
  </si>
  <si>
    <t>RHS 160x120x5</t>
  </si>
  <si>
    <t>CHS 355,6x16</t>
  </si>
  <si>
    <t>RHS 140x100x8</t>
  </si>
  <si>
    <t>CHS 406,4x12</t>
  </si>
  <si>
    <t>RHS 220x80x4</t>
  </si>
  <si>
    <t>CHS 406,4x12,5</t>
  </si>
  <si>
    <t>RHS 200x150x3</t>
  </si>
  <si>
    <t>CHS 355,6x18</t>
  </si>
  <si>
    <t>RHS 160x100x6</t>
  </si>
  <si>
    <t>CHS 457,2x10</t>
  </si>
  <si>
    <t>RHS 150x100x7</t>
  </si>
  <si>
    <t>CHS 508x8</t>
  </si>
  <si>
    <t>RHS 150x90x8</t>
  </si>
  <si>
    <t>CHS 406,4x14</t>
  </si>
  <si>
    <t>RHS 160x90x7</t>
  </si>
  <si>
    <t>CHS 355,6x20</t>
  </si>
  <si>
    <t>RHS 180x100x5</t>
  </si>
  <si>
    <t>CHS 457,2x12</t>
  </si>
  <si>
    <t>RHS 180x60x8</t>
  </si>
  <si>
    <t>CHS 406,4x16</t>
  </si>
  <si>
    <t>RHS 160x80x8</t>
  </si>
  <si>
    <t>CHS 559x8</t>
  </si>
  <si>
    <t>RHS 180x80x6</t>
  </si>
  <si>
    <t>CHS 457,2x12,5</t>
  </si>
  <si>
    <t>RHS 220x130x3</t>
  </si>
  <si>
    <t>CHS 508x10</t>
  </si>
  <si>
    <t>RHS 170x80x7</t>
  </si>
  <si>
    <t>CHS 406,4x18</t>
  </si>
  <si>
    <t>RHS 180x70x7</t>
  </si>
  <si>
    <t>CHS 457,2x14</t>
  </si>
  <si>
    <t>RHS 200x80x5</t>
  </si>
  <si>
    <t>CHS 406,4x20</t>
  </si>
  <si>
    <t>RHS 200x160x3</t>
  </si>
  <si>
    <t>CHS 609,6x8</t>
  </si>
  <si>
    <t>RHS 150x120x6</t>
  </si>
  <si>
    <t>CHS 508x12</t>
  </si>
  <si>
    <t>RHS 250x100x3</t>
  </si>
  <si>
    <t>CHS 559x10</t>
  </si>
  <si>
    <t>RHS 180x140x4</t>
  </si>
  <si>
    <t>CHS 508x12,5</t>
  </si>
  <si>
    <t>RHS 220x140x3</t>
  </si>
  <si>
    <t>CHS 457,2x16</t>
  </si>
  <si>
    <t>RHS 170x100x6</t>
  </si>
  <si>
    <t>CHS 508x14</t>
  </si>
  <si>
    <t>RHS 150x100x8</t>
  </si>
  <si>
    <t>CHS 457,2x18</t>
  </si>
  <si>
    <t>RHS 160x140x5</t>
  </si>
  <si>
    <t>CHS 559x12</t>
  </si>
  <si>
    <t>RHS 200x120x4</t>
  </si>
  <si>
    <t>CHS 609,6x10</t>
  </si>
  <si>
    <t>RHS 180x90x6</t>
  </si>
  <si>
    <t>CHS 559x12,5</t>
  </si>
  <si>
    <t>RHS 150x130x6</t>
  </si>
  <si>
    <t>CHS 457,2x20</t>
  </si>
  <si>
    <t>RHS 260x100x3</t>
  </si>
  <si>
    <t>CHS 508x16</t>
  </si>
  <si>
    <t>RHS 200x70x6</t>
  </si>
  <si>
    <t>CHS 559x14</t>
  </si>
  <si>
    <t>RHS 160x90x8</t>
  </si>
  <si>
    <t>CHS 508x18</t>
  </si>
  <si>
    <t>RHS 220x100x4</t>
  </si>
  <si>
    <t>CHS 609,6x12</t>
  </si>
  <si>
    <t>RHS 180x70x8</t>
  </si>
  <si>
    <t>CHS 609,6x12,5</t>
  </si>
  <si>
    <t>RHS 140x100x10</t>
  </si>
  <si>
    <t>CHS 508x20</t>
  </si>
  <si>
    <t>RHS 160x120x6</t>
  </si>
  <si>
    <t>CHS 559x16</t>
  </si>
  <si>
    <t>RHS 140x120x8</t>
  </si>
  <si>
    <t>CHS 609,6x14</t>
  </si>
  <si>
    <t>RHS 150x120x7</t>
  </si>
  <si>
    <t>CHS 559x18</t>
  </si>
  <si>
    <t>RHS 150x90x10</t>
  </si>
  <si>
    <t>CHS 609,6x16</t>
  </si>
  <si>
    <t>RHS 180x120x5</t>
  </si>
  <si>
    <t>CHS 559x20</t>
  </si>
  <si>
    <t>RHS 160x80x10</t>
  </si>
  <si>
    <t>CHS 609,6x18</t>
  </si>
  <si>
    <t>RHS 140x100x12</t>
  </si>
  <si>
    <t>CHS 609,6x20</t>
  </si>
  <si>
    <t>RHS 250x50x5</t>
  </si>
  <si>
    <t>RHS 140x100x12,5</t>
  </si>
  <si>
    <t>RHS 180x100x6</t>
  </si>
  <si>
    <t>RHS 150x90x12</t>
  </si>
  <si>
    <t>RHS 200x100x5</t>
  </si>
  <si>
    <t>RHS 160x80x12</t>
  </si>
  <si>
    <t>RHS 220x80x5</t>
  </si>
  <si>
    <t>RHS 150x90x12,5</t>
  </si>
  <si>
    <t>RHS 170x100x7</t>
  </si>
  <si>
    <t>RHS 200x80x6</t>
  </si>
  <si>
    <t>RHS 160x80x12,5</t>
  </si>
  <si>
    <t>RHS 160x100x8</t>
  </si>
  <si>
    <t>RHS 180x90x7</t>
  </si>
  <si>
    <t>RHS 200x70x7</t>
  </si>
  <si>
    <t>RHS 180x80x8</t>
  </si>
  <si>
    <t>RHS 150x100x10</t>
  </si>
  <si>
    <t>RHS 160x120x7</t>
  </si>
  <si>
    <t>RHS 150x120x8</t>
  </si>
  <si>
    <t>RHS 160x90x10</t>
  </si>
  <si>
    <t>RHS 160x140x6</t>
  </si>
  <si>
    <t>RHS 200x150x4</t>
  </si>
  <si>
    <t>RHS 180x140x5</t>
  </si>
  <si>
    <t>RHS 180x100x7</t>
  </si>
  <si>
    <t>RHS 150x100x12</t>
  </si>
  <si>
    <t>RHS 160x90x12</t>
  </si>
  <si>
    <t>RHS 200x80x7</t>
  </si>
  <si>
    <t>RHS 140x120x10</t>
  </si>
  <si>
    <t>RHS 150x100x12,5</t>
  </si>
  <si>
    <t>RHS 220x130x4</t>
  </si>
  <si>
    <t>RHS 200x120x5</t>
  </si>
  <si>
    <t>RHS 160x90x12,5</t>
  </si>
  <si>
    <t>RHS 180x120x6</t>
  </si>
  <si>
    <t>RHS 200x160x4</t>
  </si>
  <si>
    <t>RHS 150x130x8</t>
  </si>
  <si>
    <t>RHS 250x100x4</t>
  </si>
  <si>
    <t>RHS 250x50x6</t>
  </si>
  <si>
    <t>RHS 220x100x5</t>
  </si>
  <si>
    <t>RHS 200x100x6</t>
  </si>
  <si>
    <t>RHS 160x120x8</t>
  </si>
  <si>
    <t>RHS 160x100x10</t>
  </si>
  <si>
    <t>RHS 140x120x12</t>
  </si>
  <si>
    <t>RHS 220x80x6</t>
  </si>
  <si>
    <t>RHS 220x140x4</t>
  </si>
  <si>
    <t>RHS 180x80x10</t>
  </si>
  <si>
    <t>RHS 140x120x12,5</t>
  </si>
  <si>
    <t>RHS 240x120x4</t>
  </si>
  <si>
    <t>RHS 260x100x4</t>
  </si>
  <si>
    <t>RHS 180x100x8</t>
  </si>
  <si>
    <t>RHS 160x100x12</t>
  </si>
  <si>
    <t>RHS 200x80x8</t>
  </si>
  <si>
    <t>RHS 180x80x12</t>
  </si>
  <si>
    <t>RHS 160x100x12,5</t>
  </si>
  <si>
    <t>RHS 180x80x12,5</t>
  </si>
  <si>
    <t>RHS 180x120x7</t>
  </si>
  <si>
    <t>RHS 180x140x6</t>
  </si>
  <si>
    <t>RHS 200x100x7</t>
  </si>
  <si>
    <t>RHS 220x80x7</t>
  </si>
  <si>
    <t>RHS 200x120x6</t>
  </si>
  <si>
    <t>RHS 200x150x5</t>
  </si>
  <si>
    <t>RHS 150x130x10</t>
  </si>
  <si>
    <t>RHS 160x140x8</t>
  </si>
  <si>
    <t>RHS 220x100x6</t>
  </si>
  <si>
    <t>RHS 160x120x10</t>
  </si>
  <si>
    <t>RHS 220x130x5</t>
  </si>
  <si>
    <t>RHS 200x160x5</t>
  </si>
  <si>
    <t>RHS 250x50x8</t>
  </si>
  <si>
    <t>RHS 180x120x8</t>
  </si>
  <si>
    <t>RHS 250x100x5</t>
  </si>
  <si>
    <t>RHS 220x180x4</t>
  </si>
  <si>
    <t>RHS 180x100x10</t>
  </si>
  <si>
    <t>RHS 150x130x12</t>
  </si>
  <si>
    <t>RHS 180x140x7</t>
  </si>
  <si>
    <t>RHS 200x80x10</t>
  </si>
  <si>
    <t>RHS 200x100x8</t>
  </si>
  <si>
    <t>RHS 220x80x8</t>
  </si>
  <si>
    <t>RHS 220x140x5</t>
  </si>
  <si>
    <t>RHS 150x130x12,5</t>
  </si>
  <si>
    <t>RHS 160x120x12</t>
  </si>
  <si>
    <t>RHS 240x120x5</t>
  </si>
  <si>
    <t>RHS 200x120x7</t>
  </si>
  <si>
    <t>RHS 250x150x4</t>
  </si>
  <si>
    <t>RHS 160x120x12,5</t>
  </si>
  <si>
    <t>RHS 260x100x5</t>
  </si>
  <si>
    <t>RHS 200x120x7,1</t>
  </si>
  <si>
    <t>RHS 260x140x4</t>
  </si>
  <si>
    <t>RHS 200x80x12</t>
  </si>
  <si>
    <t>RHS 180x100x12</t>
  </si>
  <si>
    <t>RHS 300x100x4</t>
  </si>
  <si>
    <t>RHS 200x80x12,5</t>
  </si>
  <si>
    <t>RHS 180x100x12,5</t>
  </si>
  <si>
    <t>RHS 200x150x6</t>
  </si>
  <si>
    <t>RHS 160x140x10</t>
  </si>
  <si>
    <t>RHS 180x140x8</t>
  </si>
  <si>
    <t>RHS 220x130x6</t>
  </si>
  <si>
    <t>RHS 200x160x6</t>
  </si>
  <si>
    <t>RHS 200x120x8</t>
  </si>
  <si>
    <t>RHS 180x120x10</t>
  </si>
  <si>
    <t>RHS 250x100x6</t>
  </si>
  <si>
    <t>RHS 220x100x8</t>
  </si>
  <si>
    <t>RHS 200x100x10</t>
  </si>
  <si>
    <t>RHS 220x80x10</t>
  </si>
  <si>
    <t>RHS 160x140x12</t>
  </si>
  <si>
    <t>RHS 220x140x6</t>
  </si>
  <si>
    <t>RHS 160x140x12,5</t>
  </si>
  <si>
    <t>RHS 240x120x6</t>
  </si>
  <si>
    <t>RHS 220x180x5</t>
  </si>
  <si>
    <t>RHS 200x150x7</t>
  </si>
  <si>
    <t>RHS 260x100x6</t>
  </si>
  <si>
    <t>RHS 180x120x12</t>
  </si>
  <si>
    <t>RHS 260x180x4</t>
  </si>
  <si>
    <t>RHS 240x120x6,3</t>
  </si>
  <si>
    <t>RHS 200x100x12</t>
  </si>
  <si>
    <t>RHS 180x120x12,5</t>
  </si>
  <si>
    <t>RHS 250x200x4</t>
  </si>
  <si>
    <t>RHS 250x150x5</t>
  </si>
  <si>
    <t>RHS 200x100x12,5</t>
  </si>
  <si>
    <t>RHS 260x140x5</t>
  </si>
  <si>
    <t>RHS 250x100x7</t>
  </si>
  <si>
    <t>RHS 180x140x10</t>
  </si>
  <si>
    <t>RHS 300x100x5</t>
  </si>
  <si>
    <t>RHS 200x120x10</t>
  </si>
  <si>
    <t>RHS 240x120x7</t>
  </si>
  <si>
    <t>RHS 200x150x8</t>
  </si>
  <si>
    <t>RHS 220x100x10</t>
  </si>
  <si>
    <t>RHS 240x120x7,1</t>
  </si>
  <si>
    <t>RHS 220x130x8</t>
  </si>
  <si>
    <t>RHS 180x140x12</t>
  </si>
  <si>
    <t>RHS 220x180x6</t>
  </si>
  <si>
    <t>RHS 250x100x8</t>
  </si>
  <si>
    <t>RHS 200x160x8</t>
  </si>
  <si>
    <t>RHS 180x140x12,5</t>
  </si>
  <si>
    <t>RHS 200x120x12</t>
  </si>
  <si>
    <t>RHS 220x100x12</t>
  </si>
  <si>
    <t>RHS 220x140x8</t>
  </si>
  <si>
    <t>RHS 200x120x12,5</t>
  </si>
  <si>
    <t>RHS 250x150x6</t>
  </si>
  <si>
    <t>RHS 220x100x12,5</t>
  </si>
  <si>
    <t>RHS 260x140x6</t>
  </si>
  <si>
    <t>RHS 240x120x8</t>
  </si>
  <si>
    <t>RHS 260x100x8</t>
  </si>
  <si>
    <t>RHS 260x180x5</t>
  </si>
  <si>
    <t>RHS 300x100x6</t>
  </si>
  <si>
    <t>RHS 250x150x6,3</t>
  </si>
  <si>
    <t>RHS 260x140x6,3</t>
  </si>
  <si>
    <t>RHS 250x200x5</t>
  </si>
  <si>
    <t>RHS 300x100x6,3</t>
  </si>
  <si>
    <t>RHS 200x150x10</t>
  </si>
  <si>
    <t>RHS 300x200x4</t>
  </si>
  <si>
    <t>RHS 220x130x10</t>
  </si>
  <si>
    <t>RHS 250x150x7</t>
  </si>
  <si>
    <t>RHS 350x150x4</t>
  </si>
  <si>
    <t>RHS 250x100x10</t>
  </si>
  <si>
    <t>RHS 200x160x10</t>
  </si>
  <si>
    <t>RHS 260x140x7</t>
  </si>
  <si>
    <t>RHS 250x150x7,1</t>
  </si>
  <si>
    <t>RHS 300x100x7</t>
  </si>
  <si>
    <t>RHS 260x140x7,1</t>
  </si>
  <si>
    <t>RHS 300x100x7,1</t>
  </si>
  <si>
    <t>RHS 220x140x10</t>
  </si>
  <si>
    <t>RHS 200x150x12</t>
  </si>
  <si>
    <t>RHS 240x120x10</t>
  </si>
  <si>
    <t>RHS 220x180x8</t>
  </si>
  <si>
    <t>RHS 260x180x6</t>
  </si>
  <si>
    <t>RHS 260x100x10</t>
  </si>
  <si>
    <t>RHS 200x150x12,5</t>
  </si>
  <si>
    <t>RHS 220x130x12</t>
  </si>
  <si>
    <t>RHS 250x100x12</t>
  </si>
  <si>
    <t>RHS 250x200x6</t>
  </si>
  <si>
    <t>RHS 260x180x6,3</t>
  </si>
  <si>
    <t>RHS 220x130x12,5</t>
  </si>
  <si>
    <t>RHS 200x160x12</t>
  </si>
  <si>
    <t>RHS 250x100x12,5</t>
  </si>
  <si>
    <t>RHS 250x150x8</t>
  </si>
  <si>
    <t>RHS 260x140x8</t>
  </si>
  <si>
    <t>RHS 320x220x4</t>
  </si>
  <si>
    <t>RHS 200x160x12,5</t>
  </si>
  <si>
    <t>RHS 300x100x8</t>
  </si>
  <si>
    <t>RHS 220x140x12</t>
  </si>
  <si>
    <t>RHS 260x100x12</t>
  </si>
  <si>
    <t>RHS 240x120x12</t>
  </si>
  <si>
    <t>RHS 220x140x12,5</t>
  </si>
  <si>
    <t>RHS 300x200x5</t>
  </si>
  <si>
    <t>RHS 260x100x12,5</t>
  </si>
  <si>
    <t>RHS 240x120x12,5</t>
  </si>
  <si>
    <t>RHS 260x180x7</t>
  </si>
  <si>
    <t>RHS 260x180x7,1</t>
  </si>
  <si>
    <t>RHS 350x150x5</t>
  </si>
  <si>
    <t>RHS 240x120x14</t>
  </si>
  <si>
    <t>RHS 300x220x5</t>
  </si>
  <si>
    <t>RHS 220x180x10</t>
  </si>
  <si>
    <t>RHS 250x150x10</t>
  </si>
  <si>
    <t>RHS 260x140x10</t>
  </si>
  <si>
    <t>RHS 260x180x8</t>
  </si>
  <si>
    <t>RHS 300x100x10</t>
  </si>
  <si>
    <t>RHS 250x200x8</t>
  </si>
  <si>
    <t>RHS 320x220x5</t>
  </si>
  <si>
    <t>RHS 300x200x6</t>
  </si>
  <si>
    <t>RHS 220x180x12</t>
  </si>
  <si>
    <t>RHS 300x200x6,3</t>
  </si>
  <si>
    <t>RHS 220x180x12,5</t>
  </si>
  <si>
    <t>RHS 350x150x6</t>
  </si>
  <si>
    <t>RHS 250x150x12</t>
  </si>
  <si>
    <t>RHS 300x100x12</t>
  </si>
  <si>
    <t>RHS 260x140x12</t>
  </si>
  <si>
    <t>RHS 350x150x6,3</t>
  </si>
  <si>
    <t>RHS 300x220x6</t>
  </si>
  <si>
    <t>RHS 250x150x12,5</t>
  </si>
  <si>
    <t>RHS 300x100x12,5</t>
  </si>
  <si>
    <t>RHS 260x140x12,5</t>
  </si>
  <si>
    <t>RHS 300x200x7</t>
  </si>
  <si>
    <t>RHS 300x200x7,1</t>
  </si>
  <si>
    <t>RHS 260x180x10</t>
  </si>
  <si>
    <t>RHS 250x150x14</t>
  </si>
  <si>
    <t>RHS 300x100x14</t>
  </si>
  <si>
    <t>RHS 260x140x14</t>
  </si>
  <si>
    <t>RHS 320x220x6</t>
  </si>
  <si>
    <t>RHS 350x150x7</t>
  </si>
  <si>
    <t>RHS 250x200x10</t>
  </si>
  <si>
    <t>RHS 350x150x7,1</t>
  </si>
  <si>
    <t>RHS 320x220x6,3</t>
  </si>
  <si>
    <t>RHS 300x100x16</t>
  </si>
  <si>
    <t>RHS 250x150x16</t>
  </si>
  <si>
    <t>RHS 260x140x16</t>
  </si>
  <si>
    <t>RHS 300x200x8</t>
  </si>
  <si>
    <t>RHS 260x180x12</t>
  </si>
  <si>
    <t>RHS 350x150x8</t>
  </si>
  <si>
    <t>RHS 260x180x12,5</t>
  </si>
  <si>
    <t>RHS 250x200x12</t>
  </si>
  <si>
    <t>RHS 320x220x7</t>
  </si>
  <si>
    <t>RHS 320x220x7,1</t>
  </si>
  <si>
    <t>RHS 300x220x8</t>
  </si>
  <si>
    <t>RHS 250x200x12,5</t>
  </si>
  <si>
    <t>RHS 260x180x14</t>
  </si>
  <si>
    <t>RHS 320x220x8</t>
  </si>
  <si>
    <t>RHS 400x200x6</t>
  </si>
  <si>
    <t>RHS 450x150x6</t>
  </si>
  <si>
    <t>RHS 300x200x10</t>
  </si>
  <si>
    <t>RHS 260x180x16</t>
  </si>
  <si>
    <t>RHS 400x200x6,3</t>
  </si>
  <si>
    <t>RHS 450x150x6,3</t>
  </si>
  <si>
    <t>RHS 350x150x10</t>
  </si>
  <si>
    <t>RHS 300x220x10</t>
  </si>
  <si>
    <t>RHS 400x200x7</t>
  </si>
  <si>
    <t>RHS 450x150x7</t>
  </si>
  <si>
    <t>RHS 300x200x12</t>
  </si>
  <si>
    <t>RHS 400x200x7,1</t>
  </si>
  <si>
    <t>RHS 400x250x6</t>
  </si>
  <si>
    <t>RHS 450x150x7,1</t>
  </si>
  <si>
    <t>RHS 350x150x12</t>
  </si>
  <si>
    <t>RHS 300x200x12,5</t>
  </si>
  <si>
    <t>RHS 320x220x10</t>
  </si>
  <si>
    <t>RHS 400x250x6,3</t>
  </si>
  <si>
    <t>RHS 350x150x12,5</t>
  </si>
  <si>
    <t>RHS 300x220x12</t>
  </si>
  <si>
    <t>RHS 300x220x12,5</t>
  </si>
  <si>
    <t>RHS 400x200x8</t>
  </si>
  <si>
    <t>RHS 300x200x14</t>
  </si>
  <si>
    <t>RHS 450x150x8</t>
  </si>
  <si>
    <t>RHS 400x300x6</t>
  </si>
  <si>
    <t>RHS 350x150x14</t>
  </si>
  <si>
    <t>RHS 400x250x7</t>
  </si>
  <si>
    <t>RHS 400x250x7,1</t>
  </si>
  <si>
    <t>RHS 320x220x12</t>
  </si>
  <si>
    <t>RHS 400x300x6,3</t>
  </si>
  <si>
    <t>RHS 320x220x12,5</t>
  </si>
  <si>
    <t>RHS 300x200x16</t>
  </si>
  <si>
    <t>RHS 350x150x16</t>
  </si>
  <si>
    <t>RHS 400x250x8</t>
  </si>
  <si>
    <t>RHS 400x300x7</t>
  </si>
  <si>
    <t>RHS 300x200x18</t>
  </si>
  <si>
    <t>RHS 400x300x7,1</t>
  </si>
  <si>
    <t>RHS 320x220x14</t>
  </si>
  <si>
    <t>RHS 350x150x18</t>
  </si>
  <si>
    <t>RHS 400x200x10</t>
  </si>
  <si>
    <t>RHS 450x150x10</t>
  </si>
  <si>
    <t>RHS 500x200x7</t>
  </si>
  <si>
    <t>RHS 500x200x7,1</t>
  </si>
  <si>
    <t>RHS 320x220x16</t>
  </si>
  <si>
    <t>RHS 400x300x8</t>
  </si>
  <si>
    <t>RHS 450x350x6</t>
  </si>
  <si>
    <t>RHS 400x200x12</t>
  </si>
  <si>
    <t>RHS 450x150x12</t>
  </si>
  <si>
    <t>RHS 450x350x6,3</t>
  </si>
  <si>
    <t>RHS 500x200x8</t>
  </si>
  <si>
    <t>RHS 400x250x10</t>
  </si>
  <si>
    <t>RHS 320x220x18</t>
  </si>
  <si>
    <t>RHS 400x200x12,5</t>
  </si>
  <si>
    <t>RHS 450x150x12,5</t>
  </si>
  <si>
    <t>RHS 450x350x7</t>
  </si>
  <si>
    <t>RHS 400x200x14</t>
  </si>
  <si>
    <t>RHS 450x150x14</t>
  </si>
  <si>
    <t>RHS 450x350x7,1</t>
  </si>
  <si>
    <t>RHS 500x300x7</t>
  </si>
  <si>
    <t>RHS 400x300x10</t>
  </si>
  <si>
    <t>RHS 500x300x7,1</t>
  </si>
  <si>
    <t>RHS 400x250x12</t>
  </si>
  <si>
    <t>RHS 400x250x12,5</t>
  </si>
  <si>
    <t>RHS 500x200x10</t>
  </si>
  <si>
    <t>RHS 450x150x16</t>
  </si>
  <si>
    <t>RHS 400x200x16</t>
  </si>
  <si>
    <t>RHS 450x350x8</t>
  </si>
  <si>
    <t>RHS 500x300x8</t>
  </si>
  <si>
    <t>RHS 400x250x14</t>
  </si>
  <si>
    <t>RHS 600x200x8</t>
  </si>
  <si>
    <t>RHS 450x150x18</t>
  </si>
  <si>
    <t>RHS 400x200x18</t>
  </si>
  <si>
    <t>RHS 400x300x12</t>
  </si>
  <si>
    <t>RHS 400x300x12,5</t>
  </si>
  <si>
    <t>RHS 500x200x12</t>
  </si>
  <si>
    <t>RHS 500x400x7</t>
  </si>
  <si>
    <t>RHS 450x150x20</t>
  </si>
  <si>
    <t>RHS 500x400x7,1</t>
  </si>
  <si>
    <t>RHS 400x200x20</t>
  </si>
  <si>
    <t>RHS 500x200x12,5</t>
  </si>
  <si>
    <t>RHS 400x250x16</t>
  </si>
  <si>
    <t>RHS 400x300x14</t>
  </si>
  <si>
    <t>RHS 450x350x10</t>
  </si>
  <si>
    <t>RHS 400x250x18</t>
  </si>
  <si>
    <t>RHS 500x300x10</t>
  </si>
  <si>
    <t>RHS 500x200x14</t>
  </si>
  <si>
    <t>RHS 500x400x8</t>
  </si>
  <si>
    <t>RHS 600x200x10</t>
  </si>
  <si>
    <t>RHS 400x300x16</t>
  </si>
  <si>
    <t>RHS 600x300x8</t>
  </si>
  <si>
    <t>RHS 400x250x20</t>
  </si>
  <si>
    <t>RHS 500x200x16</t>
  </si>
  <si>
    <t>RHS 450x350x12</t>
  </si>
  <si>
    <t>RHS 400x300x18</t>
  </si>
  <si>
    <t>RHS 450x350x12,5</t>
  </si>
  <si>
    <t>RHS 500x300x12</t>
  </si>
  <si>
    <t>RHS 600x200x12</t>
  </si>
  <si>
    <t>RHS 500x300x12,5</t>
  </si>
  <si>
    <t>RHS 500x200x18</t>
  </si>
  <si>
    <t>RHS 600x200x12,5</t>
  </si>
  <si>
    <t>RHS 500x400x10</t>
  </si>
  <si>
    <t>RHS 400x300x20</t>
  </si>
  <si>
    <t>RHS 450x350x14</t>
  </si>
  <si>
    <t>RHS 600x400x8</t>
  </si>
  <si>
    <t>RHS 500x200x20</t>
  </si>
  <si>
    <t>RHS 600x300x10</t>
  </si>
  <si>
    <t>RHS 500x300x14</t>
  </si>
  <si>
    <t>RHS 600x200x14</t>
  </si>
  <si>
    <t>RHS 450x350x16</t>
  </si>
  <si>
    <t>RHS 500x400x12</t>
  </si>
  <si>
    <t>RHS 500x300x16</t>
  </si>
  <si>
    <t>RHS 500x400x12,5</t>
  </si>
  <si>
    <t>RHS 600x200x16</t>
  </si>
  <si>
    <t>RHS 600x300x12</t>
  </si>
  <si>
    <t>RHS 450x350x18</t>
  </si>
  <si>
    <t>RHS 600x300x12,5</t>
  </si>
  <si>
    <t>RHS 600x400x10</t>
  </si>
  <si>
    <t>RHS 500x300x18</t>
  </si>
  <si>
    <t>RHS 600x200x18</t>
  </si>
  <si>
    <t>RHS 500x400x14</t>
  </si>
  <si>
    <t>RHS 450x350x20</t>
  </si>
  <si>
    <t>RHS 600x300x14</t>
  </si>
  <si>
    <t>RHS 500x300x20</t>
  </si>
  <si>
    <t>RHS 600x200x20</t>
  </si>
  <si>
    <t>RHS 500x400x16</t>
  </si>
  <si>
    <t>RHS 600x400x12</t>
  </si>
  <si>
    <t>RHS 600x400x12,5</t>
  </si>
  <si>
    <t>RHS 600x300x16</t>
  </si>
  <si>
    <t>RHS 500x400x18</t>
  </si>
  <si>
    <t>RHS 600x400x14</t>
  </si>
  <si>
    <t>RHS 600x300x18</t>
  </si>
  <si>
    <t>RHS 500x400x20</t>
  </si>
  <si>
    <t>RHS 600x300x20</t>
  </si>
  <si>
    <t>RHS 600x400x16</t>
  </si>
  <si>
    <t>RHS 600x400x18</t>
  </si>
  <si>
    <t>RHS 600x400x20</t>
  </si>
  <si>
    <t>Auxiliar</t>
  </si>
  <si>
    <t>módulo resistente cuando no se aprovecha una parte del alma</t>
  </si>
  <si>
    <t>% alas</t>
  </si>
  <si>
    <t>solo alas</t>
  </si>
  <si>
    <t>alas y alma</t>
  </si>
  <si>
    <t>sin 25% d</t>
  </si>
  <si>
    <t>sin 50%d</t>
  </si>
  <si>
    <t>sin 75%d</t>
  </si>
  <si>
    <t>H/D*100</t>
  </si>
  <si>
    <t>Aalma/Atotal</t>
  </si>
  <si>
    <t>EC3</t>
  </si>
  <si>
    <t>EAE</t>
  </si>
  <si>
    <t>α</t>
  </si>
  <si>
    <t>n</t>
  </si>
  <si>
    <t>5·n</t>
  </si>
  <si>
    <t>eje y</t>
  </si>
  <si>
    <t>eje z</t>
  </si>
  <si>
    <t>Mn,z,Rd</t>
  </si>
  <si>
    <t>Resist.</t>
  </si>
  <si>
    <t>interac. Lineal</t>
  </si>
  <si>
    <t>Verificación de secciones solicitadas a esfuezos normales y flexión esviada</t>
  </si>
  <si>
    <r>
      <t xml:space="preserve">η </t>
    </r>
    <r>
      <rPr>
        <sz val="10"/>
        <rFont val="Times New Roman"/>
        <family val="1"/>
      </rPr>
      <t>EC3</t>
    </r>
  </si>
  <si>
    <r>
      <t>η</t>
    </r>
    <r>
      <rPr>
        <sz val="10"/>
        <rFont val="Times New Roman"/>
        <family val="1"/>
      </rPr>
      <t xml:space="preserve"> CTE</t>
    </r>
  </si>
  <si>
    <t>Variación del momento reducido por la presenci de un Axil, al ir variando dicho axil</t>
  </si>
  <si>
    <t>Interacción N-MyMz</t>
  </si>
  <si>
    <t>N,Ed</t>
  </si>
  <si>
    <t>Mn,y,Rd</t>
  </si>
  <si>
    <t>alfa</t>
  </si>
  <si>
    <t xml:space="preserve">beta </t>
  </si>
  <si>
    <t>inter EC3</t>
  </si>
  <si>
    <t>Inter EC3*</t>
  </si>
  <si>
    <t>Inter CTE</t>
  </si>
  <si>
    <t>a=0,40</t>
  </si>
  <si>
    <t>Cálculo exacto de iz,f</t>
  </si>
  <si>
    <t>Ned=</t>
  </si>
  <si>
    <t>z,f=</t>
  </si>
  <si>
    <t>&lt; hi</t>
  </si>
  <si>
    <t>ala compr.:</t>
  </si>
  <si>
    <t>iz,f=</t>
  </si>
  <si>
    <t>iz=</t>
  </si>
  <si>
    <r>
      <t>i</t>
    </r>
    <r>
      <rPr>
        <i/>
        <sz val="6"/>
        <rFont val="Times New Roman"/>
        <family val="1"/>
      </rPr>
      <t>f</t>
    </r>
    <r>
      <rPr>
        <i/>
        <sz val="8"/>
        <rFont val="Times New Roman"/>
        <family val="1"/>
      </rPr>
      <t>,z</t>
    </r>
    <r>
      <rPr>
        <sz val="8"/>
        <rFont val="Times New Roman"/>
        <family val="1"/>
      </rPr>
      <t xml:space="preserve"> </t>
    </r>
    <r>
      <rPr>
        <sz val="10"/>
        <rFont val="Times New Roman"/>
        <family val="1"/>
      </rPr>
      <t>(mm)</t>
    </r>
  </si>
  <si>
    <t>El menor:</t>
  </si>
  <si>
    <t>Clasificación de la sección</t>
  </si>
  <si>
    <t>fy (MPa)=</t>
  </si>
  <si>
    <t>Perfil:</t>
  </si>
  <si>
    <t>Esfuerzos:</t>
  </si>
  <si>
    <t>Clasificación del alma:</t>
  </si>
  <si>
    <r>
      <t>f</t>
    </r>
    <r>
      <rPr>
        <i/>
        <vertAlign val="subscript"/>
        <sz val="12"/>
        <rFont val="Cambria"/>
        <family val="1"/>
      </rPr>
      <t>yd</t>
    </r>
    <r>
      <rPr>
        <sz val="12"/>
        <rFont val="Cambria"/>
        <family val="1"/>
      </rPr>
      <t>=</t>
    </r>
  </si>
  <si>
    <t>α=</t>
  </si>
  <si>
    <r>
      <t xml:space="preserve">si </t>
    </r>
    <r>
      <rPr>
        <sz val="10"/>
        <rFont val="Calibri"/>
        <family val="2"/>
      </rPr>
      <t>≥</t>
    </r>
    <r>
      <rPr>
        <sz val="10"/>
        <rFont val="Arial"/>
        <family val="2"/>
      </rPr>
      <t xml:space="preserve"> 0,5</t>
    </r>
  </si>
  <si>
    <t>Flexocompresión</t>
  </si>
  <si>
    <t>si&lt;0,5</t>
  </si>
  <si>
    <t>flexotracción</t>
  </si>
  <si>
    <t xml:space="preserve">Axil: </t>
  </si>
  <si>
    <t>tracción</t>
  </si>
  <si>
    <r>
      <rPr>
        <sz val="10"/>
        <rFont val="Times New Roman"/>
        <family val="1"/>
      </rPr>
      <t>σ</t>
    </r>
    <r>
      <rPr>
        <sz val="10"/>
        <rFont val="Arial"/>
        <family val="2"/>
      </rPr>
      <t>(+)=</t>
    </r>
  </si>
  <si>
    <r>
      <rPr>
        <sz val="10"/>
        <rFont val="Times New Roman"/>
        <family val="1"/>
      </rPr>
      <t>σ</t>
    </r>
    <r>
      <rPr>
        <sz val="10"/>
        <rFont val="Arial"/>
        <family val="2"/>
      </rPr>
      <t>(-)=</t>
    </r>
  </si>
  <si>
    <t>Solicitación</t>
  </si>
  <si>
    <t>Med=0</t>
  </si>
  <si>
    <t>Ned=0</t>
  </si>
  <si>
    <t>Compr. Pura</t>
  </si>
  <si>
    <t>Flex-compr</t>
  </si>
  <si>
    <t>Flex-tracc.</t>
  </si>
  <si>
    <t>Clase 1</t>
  </si>
  <si>
    <t>Clase 2</t>
  </si>
  <si>
    <t>Clase 3</t>
  </si>
  <si>
    <r>
      <t>33</t>
    </r>
    <r>
      <rPr>
        <sz val="12"/>
        <rFont val="Times New Roman"/>
        <family val="1"/>
      </rPr>
      <t>ε</t>
    </r>
  </si>
  <si>
    <r>
      <t>38</t>
    </r>
    <r>
      <rPr>
        <sz val="12"/>
        <rFont val="Times New Roman"/>
        <family val="1"/>
      </rPr>
      <t>ε</t>
    </r>
  </si>
  <si>
    <r>
      <t>42</t>
    </r>
    <r>
      <rPr>
        <sz val="12"/>
        <rFont val="Times New Roman"/>
        <family val="1"/>
      </rPr>
      <t>ε</t>
    </r>
  </si>
  <si>
    <r>
      <t>72</t>
    </r>
    <r>
      <rPr>
        <sz val="12"/>
        <rFont val="Times New Roman"/>
        <family val="1"/>
      </rPr>
      <t>ε</t>
    </r>
  </si>
  <si>
    <t>83ε</t>
  </si>
  <si>
    <t>124ε</t>
  </si>
  <si>
    <r>
      <t>396ε/(13</t>
    </r>
    <r>
      <rPr>
        <sz val="8"/>
        <rFont val="Calibri"/>
        <family val="2"/>
      </rPr>
      <t>α</t>
    </r>
    <r>
      <rPr>
        <sz val="8"/>
        <rFont val="Arial"/>
        <family val="2"/>
      </rPr>
      <t>-1)</t>
    </r>
  </si>
  <si>
    <r>
      <t>456ε/(13</t>
    </r>
    <r>
      <rPr>
        <sz val="8"/>
        <rFont val="Calibri"/>
        <family val="2"/>
      </rPr>
      <t>α</t>
    </r>
    <r>
      <rPr>
        <sz val="8"/>
        <rFont val="Arial"/>
        <family val="2"/>
      </rPr>
      <t>-1)</t>
    </r>
  </si>
  <si>
    <r>
      <t>42ε/(0,67+0,33</t>
    </r>
    <r>
      <rPr>
        <sz val="8"/>
        <rFont val="Calibri"/>
        <family val="2"/>
      </rPr>
      <t>ψ</t>
    </r>
    <r>
      <rPr>
        <sz val="8"/>
        <rFont val="Arial"/>
        <family val="2"/>
      </rPr>
      <t>)</t>
    </r>
  </si>
  <si>
    <r>
      <t>36ε/(</t>
    </r>
    <r>
      <rPr>
        <sz val="8"/>
        <rFont val="Calibri"/>
        <family val="2"/>
      </rPr>
      <t>α</t>
    </r>
    <r>
      <rPr>
        <sz val="8"/>
        <rFont val="Arial"/>
        <family val="2"/>
      </rPr>
      <t>)</t>
    </r>
  </si>
  <si>
    <r>
      <t>41,5ε/</t>
    </r>
    <r>
      <rPr>
        <sz val="8"/>
        <rFont val="Calibri"/>
        <family val="2"/>
      </rPr>
      <t>α</t>
    </r>
  </si>
  <si>
    <r>
      <t>62ε(1-</t>
    </r>
    <r>
      <rPr>
        <sz val="8"/>
        <rFont val="Calibri"/>
        <family val="2"/>
      </rPr>
      <t>ψ</t>
    </r>
    <r>
      <rPr>
        <sz val="8"/>
        <rFont val="Arial"/>
        <family val="2"/>
      </rPr>
      <t>)(-ψ)0,5</t>
    </r>
  </si>
  <si>
    <r>
      <rPr>
        <sz val="10"/>
        <rFont val="Calibri"/>
        <family val="2"/>
      </rPr>
      <t>ψ</t>
    </r>
    <r>
      <rPr>
        <sz val="10"/>
        <rFont val="Arial"/>
        <family val="2"/>
      </rPr>
      <t>=(t/c))</t>
    </r>
  </si>
  <si>
    <t>c (+)</t>
  </si>
  <si>
    <t>t (-)</t>
  </si>
  <si>
    <r>
      <rPr>
        <sz val="12"/>
        <rFont val="Times New Roman"/>
        <family val="1"/>
      </rPr>
      <t>ε</t>
    </r>
    <r>
      <rPr>
        <sz val="10"/>
        <rFont val="Arial"/>
        <family val="2"/>
      </rPr>
      <t>=</t>
    </r>
  </si>
  <si>
    <t>según el DB SE-A</t>
  </si>
  <si>
    <t>c=d=</t>
  </si>
  <si>
    <t>Com. Pura</t>
  </si>
  <si>
    <t>Flex,y Pura</t>
  </si>
  <si>
    <t>Flex.z pura</t>
  </si>
  <si>
    <t>lista no borr.</t>
  </si>
  <si>
    <t>Clase del alma:</t>
  </si>
  <si>
    <t>Clasificación del ala:</t>
  </si>
  <si>
    <r>
      <t>9</t>
    </r>
    <r>
      <rPr>
        <sz val="12"/>
        <rFont val="Times New Roman"/>
        <family val="1"/>
      </rPr>
      <t>ε</t>
    </r>
  </si>
  <si>
    <r>
      <t>10</t>
    </r>
    <r>
      <rPr>
        <sz val="12"/>
        <rFont val="Times New Roman"/>
        <family val="1"/>
      </rPr>
      <t>ε</t>
    </r>
  </si>
  <si>
    <r>
      <t>14</t>
    </r>
    <r>
      <rPr>
        <sz val="12"/>
        <rFont val="Times New Roman"/>
        <family val="1"/>
      </rPr>
      <t>ε</t>
    </r>
  </si>
  <si>
    <t>Clasificación del perfil respecto al eje YY</t>
  </si>
  <si>
    <t>Clase de ala:</t>
  </si>
  <si>
    <t>Clase:</t>
  </si>
  <si>
    <t>compresión</t>
  </si>
  <si>
    <t>Auxiliar:</t>
  </si>
  <si>
    <t>OK</t>
  </si>
  <si>
    <t>tracc: negativa</t>
  </si>
  <si>
    <t>Clasificación del eje Z</t>
  </si>
  <si>
    <t>Alma:</t>
  </si>
  <si>
    <t>siempre es de clase 1</t>
  </si>
  <si>
    <t>alas:</t>
  </si>
  <si>
    <t>Flexo tracción</t>
  </si>
  <si>
    <t>es igual que en el caso del eje YY; vale tanto para flexión pura, compresión pura como flexo compresión:</t>
  </si>
  <si>
    <t>F. Pura, C.P. y Flexo-compresión:</t>
  </si>
  <si>
    <t>son siempre de clase 1</t>
  </si>
  <si>
    <t>Tensión admisible:</t>
  </si>
  <si>
    <r>
      <t>σ</t>
    </r>
    <r>
      <rPr>
        <i/>
        <vertAlign val="subscript"/>
        <sz val="14"/>
        <rFont val="Times New Roman"/>
        <family val="1"/>
      </rPr>
      <t>adm</t>
    </r>
    <r>
      <rPr>
        <i/>
        <sz val="14"/>
        <rFont val="Times New Roman"/>
        <family val="1"/>
      </rPr>
      <t xml:space="preserve"> =</t>
    </r>
  </si>
  <si>
    <t>,</t>
  </si>
  <si>
    <r>
      <t>N</t>
    </r>
    <r>
      <rPr>
        <b/>
        <i/>
        <vertAlign val="subscript"/>
        <sz val="14"/>
        <rFont val="Times New Roman"/>
        <family val="1"/>
      </rPr>
      <t>x</t>
    </r>
    <r>
      <rPr>
        <b/>
        <sz val="14"/>
        <rFont val="Times New Roman"/>
        <family val="1"/>
      </rPr>
      <t xml:space="preserve"> </t>
    </r>
  </si>
  <si>
    <r>
      <t>M</t>
    </r>
    <r>
      <rPr>
        <b/>
        <i/>
        <vertAlign val="subscript"/>
        <sz val="14"/>
        <rFont val="Times New Roman"/>
        <family val="1"/>
      </rPr>
      <t>y</t>
    </r>
  </si>
  <si>
    <r>
      <t>M</t>
    </r>
    <r>
      <rPr>
        <b/>
        <i/>
        <vertAlign val="subscript"/>
        <sz val="14"/>
        <rFont val="Times New Roman"/>
        <family val="1"/>
      </rPr>
      <t>z</t>
    </r>
  </si>
  <si>
    <r>
      <t>V</t>
    </r>
    <r>
      <rPr>
        <b/>
        <i/>
        <vertAlign val="subscript"/>
        <sz val="14"/>
        <rFont val="Times New Roman"/>
        <family val="1"/>
      </rPr>
      <t>z</t>
    </r>
  </si>
  <si>
    <t xml:space="preserve"> kN</t>
  </si>
  <si>
    <t>Resit. Elast</t>
  </si>
  <si>
    <t>Geometría</t>
  </si>
  <si>
    <t>(en mm)</t>
  </si>
  <si>
    <t>datos básicos:</t>
  </si>
  <si>
    <t>datos complemtarios</t>
  </si>
  <si>
    <t>b1=</t>
  </si>
  <si>
    <t>h=</t>
  </si>
  <si>
    <t>t1=</t>
  </si>
  <si>
    <t>hs=</t>
  </si>
  <si>
    <t>b2=</t>
  </si>
  <si>
    <r>
      <t>Z</t>
    </r>
    <r>
      <rPr>
        <b/>
        <i/>
        <vertAlign val="subscript"/>
        <sz val="10"/>
        <color indexed="8"/>
        <rFont val="Times New Roman"/>
        <family val="1"/>
      </rPr>
      <t>G</t>
    </r>
    <r>
      <rPr>
        <b/>
        <sz val="12"/>
        <color indexed="8"/>
        <rFont val="Times New Roman"/>
        <family val="1"/>
      </rPr>
      <t xml:space="preserve"> =</t>
    </r>
  </si>
  <si>
    <t>t2=</t>
  </si>
  <si>
    <r>
      <t>Z</t>
    </r>
    <r>
      <rPr>
        <b/>
        <i/>
        <vertAlign val="subscript"/>
        <sz val="10"/>
        <color indexed="8"/>
        <rFont val="Times New Roman"/>
        <family val="1"/>
      </rPr>
      <t>SC</t>
    </r>
    <r>
      <rPr>
        <b/>
        <sz val="12"/>
        <color indexed="8"/>
        <rFont val="Times New Roman"/>
        <family val="1"/>
      </rPr>
      <t xml:space="preserve"> =</t>
    </r>
  </si>
  <si>
    <t>hw=</t>
  </si>
  <si>
    <t>tw=</t>
  </si>
  <si>
    <t>h-Zg=</t>
  </si>
  <si>
    <t>Propiedades mecánicas de la sección</t>
  </si>
  <si>
    <r>
      <t>Q</t>
    </r>
    <r>
      <rPr>
        <b/>
        <i/>
        <vertAlign val="subscript"/>
        <sz val="14"/>
        <rFont val="Times New Roman"/>
        <family val="1"/>
      </rPr>
      <t>y</t>
    </r>
  </si>
  <si>
    <r>
      <t>I</t>
    </r>
    <r>
      <rPr>
        <b/>
        <i/>
        <vertAlign val="subscript"/>
        <sz val="14"/>
        <rFont val="Times New Roman"/>
        <family val="1"/>
      </rPr>
      <t>y</t>
    </r>
  </si>
  <si>
    <r>
      <t>W</t>
    </r>
    <r>
      <rPr>
        <b/>
        <i/>
        <vertAlign val="subscript"/>
        <sz val="14"/>
        <rFont val="Times New Roman"/>
        <family val="1"/>
      </rPr>
      <t>el,y,sup</t>
    </r>
  </si>
  <si>
    <r>
      <t>W</t>
    </r>
    <r>
      <rPr>
        <b/>
        <i/>
        <vertAlign val="subscript"/>
        <sz val="14"/>
        <rFont val="Times New Roman"/>
        <family val="1"/>
      </rPr>
      <t>el,y,inf</t>
    </r>
  </si>
  <si>
    <r>
      <t>i</t>
    </r>
    <r>
      <rPr>
        <b/>
        <i/>
        <vertAlign val="subscript"/>
        <sz val="12"/>
        <rFont val="Times New Roman"/>
        <family val="1"/>
      </rPr>
      <t>y</t>
    </r>
  </si>
  <si>
    <r>
      <t>W</t>
    </r>
    <r>
      <rPr>
        <b/>
        <i/>
        <vertAlign val="subscript"/>
        <sz val="14"/>
        <rFont val="Times New Roman"/>
        <family val="1"/>
      </rPr>
      <t>pl,y</t>
    </r>
  </si>
  <si>
    <r>
      <t>mm</t>
    </r>
    <r>
      <rPr>
        <vertAlign val="superscript"/>
        <sz val="12"/>
        <rFont val="Times New Roman"/>
        <family val="1"/>
      </rPr>
      <t>2</t>
    </r>
  </si>
  <si>
    <r>
      <t>mm</t>
    </r>
    <r>
      <rPr>
        <vertAlign val="superscript"/>
        <sz val="12"/>
        <rFont val="Times New Roman"/>
        <family val="1"/>
      </rPr>
      <t>3</t>
    </r>
  </si>
  <si>
    <r>
      <t>mm</t>
    </r>
    <r>
      <rPr>
        <vertAlign val="superscript"/>
        <sz val="12"/>
        <rFont val="Times New Roman"/>
        <family val="1"/>
      </rPr>
      <t>4</t>
    </r>
  </si>
  <si>
    <r>
      <t>I</t>
    </r>
    <r>
      <rPr>
        <b/>
        <i/>
        <vertAlign val="subscript"/>
        <sz val="14"/>
        <rFont val="Times New Roman"/>
        <family val="1"/>
      </rPr>
      <t>z</t>
    </r>
  </si>
  <si>
    <r>
      <t>W</t>
    </r>
    <r>
      <rPr>
        <b/>
        <i/>
        <vertAlign val="subscript"/>
        <sz val="14"/>
        <rFont val="Times New Roman"/>
        <family val="1"/>
      </rPr>
      <t>el,z</t>
    </r>
  </si>
  <si>
    <r>
      <t>i</t>
    </r>
    <r>
      <rPr>
        <b/>
        <i/>
        <vertAlign val="subscript"/>
        <sz val="12"/>
        <rFont val="Times New Roman"/>
        <family val="1"/>
      </rPr>
      <t>z</t>
    </r>
  </si>
  <si>
    <r>
      <t>I</t>
    </r>
    <r>
      <rPr>
        <b/>
        <i/>
        <vertAlign val="subscript"/>
        <sz val="14"/>
        <rFont val="Times New Roman"/>
        <family val="1"/>
      </rPr>
      <t>w</t>
    </r>
  </si>
  <si>
    <r>
      <t>W</t>
    </r>
    <r>
      <rPr>
        <b/>
        <i/>
        <vertAlign val="subscript"/>
        <sz val="14"/>
        <rFont val="Times New Roman"/>
        <family val="1"/>
      </rPr>
      <t>pl,z</t>
    </r>
  </si>
  <si>
    <r>
      <t>mm</t>
    </r>
    <r>
      <rPr>
        <vertAlign val="superscript"/>
        <sz val="12"/>
        <rFont val="Times New Roman"/>
        <family val="1"/>
      </rPr>
      <t>6</t>
    </r>
  </si>
  <si>
    <t>Tensiones máximas</t>
  </si>
  <si>
    <r>
      <t>σ</t>
    </r>
    <r>
      <rPr>
        <b/>
        <i/>
        <vertAlign val="subscript"/>
        <sz val="14"/>
        <rFont val="Times New Roman"/>
        <family val="1"/>
      </rPr>
      <t>máx</t>
    </r>
    <r>
      <rPr>
        <b/>
        <i/>
        <sz val="14"/>
        <rFont val="Times New Roman"/>
        <family val="1"/>
      </rPr>
      <t xml:space="preserve"> =</t>
    </r>
  </si>
  <si>
    <r>
      <t xml:space="preserve"> </t>
    </r>
    <r>
      <rPr>
        <b/>
        <i/>
        <sz val="14"/>
        <color indexed="12"/>
        <rFont val="Times New Roman"/>
        <family val="1"/>
      </rPr>
      <t>τ</t>
    </r>
    <r>
      <rPr>
        <b/>
        <i/>
        <vertAlign val="subscript"/>
        <sz val="14"/>
        <color indexed="12"/>
        <rFont val="Times New Roman"/>
        <family val="1"/>
      </rPr>
      <t>máx</t>
    </r>
    <r>
      <rPr>
        <b/>
        <sz val="12"/>
        <color indexed="12"/>
        <rFont val="Times New Roman"/>
        <family val="1"/>
      </rPr>
      <t xml:space="preserve"> = </t>
    </r>
  </si>
  <si>
    <t>ok</t>
  </si>
  <si>
    <t>Cálculo de tensiones (MPa)</t>
  </si>
  <si>
    <t>coordenadas en mm</t>
  </si>
  <si>
    <t>Ref.</t>
  </si>
  <si>
    <t>y</t>
  </si>
  <si>
    <t>z</t>
  </si>
  <si>
    <r>
      <t>Q</t>
    </r>
    <r>
      <rPr>
        <b/>
        <i/>
        <vertAlign val="subscript"/>
        <sz val="10"/>
        <rFont val="Times New Roman"/>
        <family val="1"/>
      </rPr>
      <t>z</t>
    </r>
  </si>
  <si>
    <t>σ</t>
  </si>
  <si>
    <r>
      <t xml:space="preserve"> </t>
    </r>
    <r>
      <rPr>
        <b/>
        <i/>
        <sz val="14"/>
        <rFont val="Times New Roman"/>
        <family val="1"/>
      </rPr>
      <t>τ</t>
    </r>
  </si>
  <si>
    <r>
      <t>σ</t>
    </r>
    <r>
      <rPr>
        <b/>
        <i/>
        <vertAlign val="subscript"/>
        <sz val="14"/>
        <rFont val="Times New Roman"/>
        <family val="1"/>
      </rPr>
      <t>co</t>
    </r>
    <r>
      <rPr>
        <b/>
        <i/>
        <sz val="14"/>
        <rFont val="Times New Roman"/>
        <family val="1"/>
      </rPr>
      <t xml:space="preserve"> </t>
    </r>
  </si>
  <si>
    <t>V. Mises</t>
  </si>
  <si>
    <t>alma/ala inf.</t>
  </si>
  <si>
    <t>corregir</t>
  </si>
  <si>
    <t>Inserc alma/ala Inf</t>
  </si>
  <si>
    <t>esq.inf. Izq.</t>
  </si>
  <si>
    <t>mal</t>
  </si>
  <si>
    <t>esq.sup. Izq.</t>
  </si>
  <si>
    <t>intro coord.</t>
  </si>
  <si>
    <t>Eje Neutro:</t>
  </si>
  <si>
    <r>
      <t>a= tag(</t>
    </r>
    <r>
      <rPr>
        <b/>
        <sz val="10"/>
        <rFont val="Symbol"/>
        <family val="1"/>
        <charset val="2"/>
      </rPr>
      <t>a)=</t>
    </r>
  </si>
  <si>
    <t>a=</t>
  </si>
  <si>
    <t>b=</t>
  </si>
  <si>
    <t>última revisión:</t>
  </si>
  <si>
    <t>No borrar: cálculo plástico</t>
  </si>
  <si>
    <t>X1</t>
  </si>
  <si>
    <t>W1</t>
  </si>
  <si>
    <t>X2</t>
  </si>
  <si>
    <t>W2</t>
  </si>
  <si>
    <r>
      <rPr>
        <i/>
        <sz val="10"/>
        <rFont val="Arial"/>
        <family val="2"/>
      </rPr>
      <t>d</t>
    </r>
    <r>
      <rPr>
        <sz val="10"/>
        <rFont val="Arial"/>
        <family val="2"/>
      </rPr>
      <t xml:space="preserve"> </t>
    </r>
    <r>
      <rPr>
        <sz val="8"/>
        <rFont val="Arial"/>
        <family val="2"/>
      </rPr>
      <t>(kg/m</t>
    </r>
    <r>
      <rPr>
        <vertAlign val="superscript"/>
        <sz val="8"/>
        <rFont val="Arial"/>
        <family val="2"/>
      </rPr>
      <t>3</t>
    </r>
    <r>
      <rPr>
        <sz val="8"/>
        <rFont val="Arial"/>
        <family val="2"/>
      </rPr>
      <t>)</t>
    </r>
    <r>
      <rPr>
        <sz val="10"/>
        <rFont val="Arial"/>
        <family val="2"/>
      </rPr>
      <t>=</t>
    </r>
  </si>
  <si>
    <t>Armado</t>
  </si>
  <si>
    <t>ky=</t>
  </si>
  <si>
    <t>kz (I y H)=</t>
  </si>
  <si>
    <t xml:space="preserve">kLT </t>
  </si>
  <si>
    <t>CmLT</t>
  </si>
  <si>
    <r>
      <rPr>
        <sz val="10"/>
        <rFont val="UniversalMath1 BT"/>
        <family val="1"/>
        <charset val="2"/>
      </rPr>
      <t>a</t>
    </r>
    <r>
      <rPr>
        <sz val="10"/>
        <rFont val="Times New Roman"/>
        <family val="1"/>
      </rPr>
      <t>y=</t>
    </r>
  </si>
  <si>
    <r>
      <rPr>
        <sz val="10"/>
        <rFont val="UniversalMath1 BT"/>
        <family val="1"/>
        <charset val="2"/>
      </rPr>
      <t>a</t>
    </r>
    <r>
      <rPr>
        <sz val="10"/>
        <rFont val="Times New Roman"/>
        <family val="1"/>
      </rPr>
      <t>z=</t>
    </r>
  </si>
  <si>
    <t xml:space="preserve">kyLT </t>
  </si>
  <si>
    <t>Ecu (6,51)</t>
  </si>
  <si>
    <t>Ecu (6,53)</t>
  </si>
  <si>
    <r>
      <t>C</t>
    </r>
    <r>
      <rPr>
        <b/>
        <vertAlign val="subscript"/>
        <sz val="10"/>
        <rFont val="Times New Roman"/>
        <family val="1"/>
      </rPr>
      <t>m,LT</t>
    </r>
  </si>
  <si>
    <t>¿Hay que hacer la Interacción Flexión-cortante?</t>
  </si>
  <si>
    <t>Descripción:</t>
  </si>
  <si>
    <t>kN m</t>
  </si>
  <si>
    <t>Inte- Cort</t>
  </si>
  <si>
    <t>Clase sec:</t>
  </si>
  <si>
    <r>
      <t>k</t>
    </r>
    <r>
      <rPr>
        <i/>
        <vertAlign val="subscript"/>
        <sz val="10"/>
        <rFont val="Times New Roman"/>
        <family val="1"/>
      </rPr>
      <t>y</t>
    </r>
  </si>
  <si>
    <r>
      <t>k</t>
    </r>
    <r>
      <rPr>
        <i/>
        <vertAlign val="subscript"/>
        <sz val="10"/>
        <rFont val="Times New Roman"/>
        <family val="1"/>
      </rPr>
      <t>z</t>
    </r>
  </si>
  <si>
    <r>
      <t>k</t>
    </r>
    <r>
      <rPr>
        <i/>
        <vertAlign val="subscript"/>
        <sz val="10"/>
        <rFont val="Times New Roman"/>
        <family val="1"/>
      </rPr>
      <t>yLT</t>
    </r>
  </si>
  <si>
    <t>Ec. (6.51)</t>
  </si>
  <si>
    <t>Ec. (6,53)</t>
  </si>
  <si>
    <t>Pandeo-PL</t>
  </si>
  <si>
    <t xml:space="preserve">Interac. </t>
  </si>
  <si>
    <t>SE-A</t>
  </si>
  <si>
    <t>EC-3</t>
  </si>
  <si>
    <r>
      <t>η</t>
    </r>
    <r>
      <rPr>
        <b/>
        <i/>
        <vertAlign val="subscript"/>
        <sz val="10"/>
        <rFont val="Times New Roman"/>
        <family val="1"/>
      </rPr>
      <t>s,y</t>
    </r>
  </si>
  <si>
    <r>
      <t>η</t>
    </r>
    <r>
      <rPr>
        <b/>
        <i/>
        <vertAlign val="subscript"/>
        <sz val="10"/>
        <rFont val="Times New Roman"/>
        <family val="1"/>
      </rPr>
      <t>s,z</t>
    </r>
  </si>
  <si>
    <r>
      <t>k</t>
    </r>
    <r>
      <rPr>
        <b/>
        <i/>
        <vertAlign val="subscript"/>
        <sz val="10"/>
        <rFont val="Times New Roman"/>
        <family val="1"/>
      </rPr>
      <t>y</t>
    </r>
  </si>
  <si>
    <r>
      <t>k</t>
    </r>
    <r>
      <rPr>
        <b/>
        <i/>
        <vertAlign val="subscript"/>
        <sz val="10"/>
        <rFont val="Times New Roman"/>
        <family val="1"/>
      </rPr>
      <t>z</t>
    </r>
  </si>
  <si>
    <r>
      <t>k</t>
    </r>
    <r>
      <rPr>
        <b/>
        <i/>
        <vertAlign val="subscript"/>
        <sz val="10"/>
        <rFont val="Times New Roman"/>
        <family val="1"/>
      </rPr>
      <t>yLT</t>
    </r>
  </si>
  <si>
    <r>
      <rPr>
        <sz val="10"/>
        <rFont val="UniversalMath1 BT"/>
        <family val="1"/>
        <charset val="2"/>
      </rPr>
      <t>a</t>
    </r>
    <r>
      <rPr>
        <vertAlign val="subscript"/>
        <sz val="10"/>
        <rFont val="Times New Roman"/>
        <family val="1"/>
      </rPr>
      <t>y</t>
    </r>
  </si>
  <si>
    <r>
      <rPr>
        <sz val="10"/>
        <rFont val="UniversalMath1 BT"/>
        <family val="1"/>
        <charset val="2"/>
      </rPr>
      <t>a</t>
    </r>
    <r>
      <rPr>
        <vertAlign val="subscript"/>
        <sz val="10"/>
        <rFont val="Times New Roman"/>
        <family val="1"/>
      </rPr>
      <t>z</t>
    </r>
  </si>
  <si>
    <t>Super simplif</t>
  </si>
  <si>
    <t>Criterios</t>
  </si>
  <si>
    <r>
      <rPr>
        <sz val="11"/>
        <rFont val="Calibri"/>
        <family val="2"/>
      </rPr>
      <t>λ</t>
    </r>
    <r>
      <rPr>
        <i/>
        <vertAlign val="subscript"/>
        <sz val="11"/>
        <rFont val="Times New Roman"/>
        <family val="1"/>
      </rPr>
      <t>reducida,y</t>
    </r>
    <r>
      <rPr>
        <sz val="11"/>
        <rFont val="Times New Roman"/>
        <family val="1"/>
      </rPr>
      <t>≤1</t>
    </r>
  </si>
  <si>
    <r>
      <rPr>
        <sz val="11"/>
        <rFont val="Calibri"/>
        <family val="2"/>
      </rPr>
      <t>λ</t>
    </r>
    <r>
      <rPr>
        <i/>
        <vertAlign val="subscript"/>
        <sz val="11"/>
        <rFont val="Times New Roman"/>
        <family val="1"/>
      </rPr>
      <t xml:space="preserve">reducida,z </t>
    </r>
    <r>
      <rPr>
        <sz val="11"/>
        <rFont val="Times New Roman"/>
        <family val="1"/>
      </rPr>
      <t>≤1</t>
    </r>
  </si>
  <si>
    <t>INNTERACCIÓN SEGÚN EL db SE-A</t>
  </si>
  <si>
    <t>TOMA LA ESBELTEZ&lt;= QUE 1</t>
  </si>
  <si>
    <t>TOMA LA ESBELTEZ&lt;= QUE 2</t>
  </si>
  <si>
    <t>A-2btf/A</t>
  </si>
  <si>
    <t>Mayor</t>
  </si>
  <si>
    <t>Menor</t>
  </si>
  <si>
    <t>Medio</t>
  </si>
  <si>
    <t>Medias</t>
  </si>
  <si>
    <t>lista:</t>
  </si>
  <si>
    <t>ε=</t>
  </si>
  <si>
    <t>ALMA</t>
  </si>
  <si>
    <t>c=</t>
  </si>
  <si>
    <t>t=</t>
  </si>
  <si>
    <t>c/t=</t>
  </si>
  <si>
    <t>dN=</t>
  </si>
  <si>
    <r>
      <rPr>
        <sz val="10"/>
        <rFont val="Calibri"/>
        <family val="2"/>
      </rPr>
      <t>α</t>
    </r>
    <r>
      <rPr>
        <sz val="10"/>
        <rFont val="Arial"/>
        <family val="2"/>
      </rPr>
      <t xml:space="preserve"> (alfa)=</t>
    </r>
  </si>
  <si>
    <t>Condicional:</t>
  </si>
  <si>
    <r>
      <t xml:space="preserve">si </t>
    </r>
    <r>
      <rPr>
        <sz val="10"/>
        <rFont val="Calibri"/>
        <family val="2"/>
      </rPr>
      <t>α&gt;0,5:</t>
    </r>
  </si>
  <si>
    <r>
      <t xml:space="preserve">si </t>
    </r>
    <r>
      <rPr>
        <sz val="10"/>
        <rFont val="Calibri"/>
        <family val="2"/>
      </rPr>
      <t>α=0,5:</t>
    </r>
  </si>
  <si>
    <t>Flex. Simple</t>
  </si>
  <si>
    <t>F+Tracc.</t>
  </si>
  <si>
    <t>F+Compr.</t>
  </si>
  <si>
    <r>
      <rPr>
        <sz val="10"/>
        <rFont val="Calibri"/>
        <family val="2"/>
      </rPr>
      <t>ψ</t>
    </r>
    <r>
      <rPr>
        <sz val="10"/>
        <rFont val="Arial"/>
        <family val="2"/>
      </rPr>
      <t>=</t>
    </r>
  </si>
  <si>
    <t>Condicial:</t>
  </si>
  <si>
    <r>
      <rPr>
        <sz val="10"/>
        <rFont val="Calibri"/>
        <family val="2"/>
      </rPr>
      <t>ψ</t>
    </r>
    <r>
      <rPr>
        <sz val="10"/>
        <rFont val="Arial"/>
        <family val="2"/>
      </rPr>
      <t>&gt;-1</t>
    </r>
  </si>
  <si>
    <r>
      <rPr>
        <sz val="10"/>
        <rFont val="Calibri"/>
        <family val="2"/>
      </rPr>
      <t>ψ</t>
    </r>
    <r>
      <rPr>
        <sz val="10"/>
        <rFont val="Arial"/>
        <family val="2"/>
      </rPr>
      <t>=-1</t>
    </r>
    <r>
      <rPr>
        <sz val="11"/>
        <color theme="1"/>
        <rFont val="Calibri"/>
        <family val="2"/>
        <scheme val="minor"/>
      </rPr>
      <t/>
    </r>
  </si>
  <si>
    <r>
      <rPr>
        <sz val="10"/>
        <color rgb="FFFF0000"/>
        <rFont val="Calibri"/>
        <family val="2"/>
      </rPr>
      <t>ψ</t>
    </r>
    <r>
      <rPr>
        <sz val="10"/>
        <color rgb="FFFF0000"/>
        <rFont val="Arial"/>
        <family val="2"/>
      </rPr>
      <t>&lt;-1</t>
    </r>
  </si>
  <si>
    <t>k1=</t>
  </si>
  <si>
    <t>K2=</t>
  </si>
  <si>
    <t>k3=</t>
  </si>
  <si>
    <t>este valor es incorrecto</t>
  </si>
  <si>
    <t>Clasificación</t>
  </si>
  <si>
    <t>ALAS</t>
  </si>
  <si>
    <r>
      <t>c=</t>
    </r>
    <r>
      <rPr>
        <sz val="9"/>
        <rFont val="Arial"/>
        <family val="2"/>
      </rPr>
      <t>(c-t</t>
    </r>
    <r>
      <rPr>
        <sz val="8"/>
        <rFont val="Arial"/>
        <family val="2"/>
      </rPr>
      <t>w</t>
    </r>
    <r>
      <rPr>
        <sz val="9"/>
        <rFont val="Arial"/>
        <family val="2"/>
      </rPr>
      <t>-2r)/2</t>
    </r>
    <r>
      <rPr>
        <sz val="10"/>
        <rFont val="Arial"/>
        <family val="2"/>
      </rPr>
      <t>=</t>
    </r>
  </si>
  <si>
    <t>t=tf=</t>
  </si>
  <si>
    <r>
      <t>(A-N</t>
    </r>
    <r>
      <rPr>
        <sz val="8"/>
        <rFont val="Arial"/>
        <family val="2"/>
      </rPr>
      <t>ed</t>
    </r>
    <r>
      <rPr>
        <sz val="10"/>
        <rFont val="Arial"/>
        <family val="2"/>
      </rPr>
      <t>/f</t>
    </r>
    <r>
      <rPr>
        <sz val="8"/>
        <rFont val="Arial"/>
        <family val="2"/>
      </rPr>
      <t>y</t>
    </r>
    <r>
      <rPr>
        <sz val="10"/>
        <rFont val="Arial"/>
        <family val="2"/>
      </rPr>
      <t>)/(4ct</t>
    </r>
    <r>
      <rPr>
        <i/>
        <sz val="8"/>
        <rFont val="Arial"/>
        <family val="2"/>
      </rPr>
      <t>f</t>
    </r>
    <r>
      <rPr>
        <sz val="10"/>
        <rFont val="Arial"/>
        <family val="2"/>
      </rPr>
      <t>)=</t>
    </r>
  </si>
  <si>
    <r>
      <rPr>
        <sz val="10"/>
        <rFont val="Calibri"/>
        <family val="2"/>
      </rPr>
      <t>α'</t>
    </r>
    <r>
      <rPr>
        <sz val="10"/>
        <rFont val="Arial"/>
        <family val="2"/>
      </rPr>
      <t xml:space="preserve"> (alfa)=</t>
    </r>
  </si>
  <si>
    <r>
      <t>(1-</t>
    </r>
    <r>
      <rPr>
        <sz val="10"/>
        <rFont val="Calibri"/>
        <family val="2"/>
      </rPr>
      <t>α</t>
    </r>
    <r>
      <rPr>
        <sz val="10"/>
        <rFont val="Arial"/>
        <family val="2"/>
      </rPr>
      <t>)</t>
    </r>
  </si>
  <si>
    <r>
      <t xml:space="preserve">si </t>
    </r>
    <r>
      <rPr>
        <sz val="10"/>
        <rFont val="Calibri"/>
        <family val="2"/>
      </rPr>
      <t>α&lt;0,5:</t>
    </r>
  </si>
  <si>
    <r>
      <t>2N</t>
    </r>
    <r>
      <rPr>
        <sz val="8"/>
        <rFont val="Arial"/>
        <family val="2"/>
      </rPr>
      <t>ed</t>
    </r>
    <r>
      <rPr>
        <sz val="10"/>
        <rFont val="Arial"/>
        <family val="2"/>
      </rPr>
      <t>/(Af</t>
    </r>
    <r>
      <rPr>
        <sz val="8"/>
        <rFont val="Arial"/>
        <family val="2"/>
      </rPr>
      <t>y</t>
    </r>
    <r>
      <rPr>
        <sz val="10"/>
        <rFont val="Arial"/>
        <family val="2"/>
      </rPr>
      <t>)-1=</t>
    </r>
  </si>
  <si>
    <r>
      <t>k</t>
    </r>
    <r>
      <rPr>
        <vertAlign val="subscript"/>
        <sz val="10"/>
        <rFont val="Cambria"/>
        <family val="1"/>
      </rPr>
      <t>σ1</t>
    </r>
    <r>
      <rPr>
        <sz val="10"/>
        <rFont val="Cambria"/>
        <family val="1"/>
      </rPr>
      <t>=</t>
    </r>
  </si>
  <si>
    <r>
      <t>0,57-0,21</t>
    </r>
    <r>
      <rPr>
        <sz val="10"/>
        <rFont val="Calibri"/>
        <family val="2"/>
      </rPr>
      <t>ψ</t>
    </r>
    <r>
      <rPr>
        <sz val="10"/>
        <rFont val="Arial"/>
        <family val="2"/>
      </rPr>
      <t>+0,07</t>
    </r>
    <r>
      <rPr>
        <sz val="10"/>
        <rFont val="Calibri"/>
        <family val="2"/>
      </rPr>
      <t>ψ</t>
    </r>
    <r>
      <rPr>
        <vertAlign val="superscript"/>
        <sz val="10"/>
        <rFont val="Arial"/>
        <family val="2"/>
      </rPr>
      <t>2</t>
    </r>
    <r>
      <rPr>
        <sz val="10"/>
        <rFont val="Arial"/>
        <family val="2"/>
      </rPr>
      <t>=</t>
    </r>
  </si>
  <si>
    <r>
      <t>0,578/(0,34+</t>
    </r>
    <r>
      <rPr>
        <sz val="10"/>
        <rFont val="Calibri"/>
        <family val="2"/>
      </rPr>
      <t>ψ</t>
    </r>
    <r>
      <rPr>
        <sz val="10"/>
        <rFont val="Arial"/>
        <family val="2"/>
      </rPr>
      <t>)=</t>
    </r>
  </si>
  <si>
    <t>1,7-5ψ+17,1ψ2=</t>
  </si>
  <si>
    <r>
      <t>(-3</t>
    </r>
    <r>
      <rPr>
        <sz val="10"/>
        <rFont val="Calibri"/>
        <family val="2"/>
      </rPr>
      <t>≤ψ≤</t>
    </r>
    <r>
      <rPr>
        <sz val="10"/>
        <rFont val="Arial"/>
        <family val="2"/>
      </rPr>
      <t>1)</t>
    </r>
  </si>
  <si>
    <r>
      <t>(0</t>
    </r>
    <r>
      <rPr>
        <sz val="10"/>
        <rFont val="Calibri"/>
        <family val="2"/>
      </rPr>
      <t>≤ψ≤</t>
    </r>
    <r>
      <rPr>
        <sz val="10"/>
        <rFont val="Arial"/>
        <family val="2"/>
      </rPr>
      <t>1)</t>
    </r>
  </si>
  <si>
    <r>
      <t>(-1</t>
    </r>
    <r>
      <rPr>
        <sz val="10"/>
        <rFont val="Calibri"/>
        <family val="2"/>
      </rPr>
      <t>≤ψ≤</t>
    </r>
    <r>
      <rPr>
        <sz val="10"/>
        <rFont val="Arial"/>
        <family val="2"/>
      </rPr>
      <t>0)</t>
    </r>
  </si>
  <si>
    <t>validez</t>
  </si>
  <si>
    <r>
      <t>M</t>
    </r>
    <r>
      <rPr>
        <vertAlign val="subscript"/>
        <sz val="10"/>
        <rFont val="Arial"/>
        <family val="2"/>
      </rPr>
      <t>ed</t>
    </r>
    <r>
      <rPr>
        <sz val="10"/>
        <rFont val="Arial"/>
        <family val="2"/>
      </rPr>
      <t>; My; M</t>
    </r>
    <r>
      <rPr>
        <vertAlign val="subscript"/>
        <sz val="10"/>
        <rFont val="Arial"/>
        <family val="2"/>
      </rPr>
      <t>z</t>
    </r>
  </si>
  <si>
    <r>
      <t>9</t>
    </r>
    <r>
      <rPr>
        <sz val="12"/>
        <rFont val="Times New Roman"/>
        <family val="1"/>
      </rPr>
      <t>ε/</t>
    </r>
    <r>
      <rPr>
        <sz val="12"/>
        <rFont val="Calibri"/>
        <family val="2"/>
      </rPr>
      <t>α</t>
    </r>
  </si>
  <si>
    <r>
      <t>10</t>
    </r>
    <r>
      <rPr>
        <sz val="12"/>
        <rFont val="Times New Roman"/>
        <family val="1"/>
      </rPr>
      <t>ε/α</t>
    </r>
  </si>
  <si>
    <t>Mz+N(trac)</t>
  </si>
  <si>
    <t>Mz+N(comp)</t>
  </si>
  <si>
    <r>
      <t>10</t>
    </r>
    <r>
      <rPr>
        <sz val="12"/>
        <rFont val="Times New Roman"/>
        <family val="1"/>
      </rPr>
      <t>ε/α'</t>
    </r>
    <r>
      <rPr>
        <vertAlign val="superscript"/>
        <sz val="10"/>
        <rFont val="Times New Roman"/>
        <family val="1"/>
      </rPr>
      <t>(1,5)</t>
    </r>
    <r>
      <rPr>
        <sz val="10"/>
        <rFont val="Times New Roman"/>
        <family val="1"/>
      </rPr>
      <t xml:space="preserve"> </t>
    </r>
  </si>
  <si>
    <r>
      <t>k</t>
    </r>
    <r>
      <rPr>
        <vertAlign val="subscript"/>
        <sz val="10"/>
        <rFont val="Cambria"/>
        <family val="1"/>
      </rPr>
      <t>σ2</t>
    </r>
    <r>
      <rPr>
        <sz val="10"/>
        <rFont val="Cambria"/>
        <family val="1"/>
      </rPr>
      <t>=</t>
    </r>
  </si>
  <si>
    <r>
      <t>21ε(k</t>
    </r>
    <r>
      <rPr>
        <vertAlign val="subscript"/>
        <sz val="12"/>
        <rFont val="Times New Roman"/>
        <family val="1"/>
      </rPr>
      <t>σ1</t>
    </r>
    <r>
      <rPr>
        <sz val="12"/>
        <rFont val="Times New Roman"/>
        <family val="1"/>
      </rPr>
      <t>)</t>
    </r>
    <r>
      <rPr>
        <vertAlign val="superscript"/>
        <sz val="12"/>
        <rFont val="Times New Roman"/>
        <family val="1"/>
      </rPr>
      <t>0,5</t>
    </r>
  </si>
  <si>
    <r>
      <t>21ε(k</t>
    </r>
    <r>
      <rPr>
        <vertAlign val="subscript"/>
        <sz val="12"/>
        <rFont val="Times New Roman"/>
        <family val="1"/>
      </rPr>
      <t>σ2</t>
    </r>
    <r>
      <rPr>
        <sz val="12"/>
        <rFont val="Times New Roman"/>
        <family val="1"/>
      </rPr>
      <t>)</t>
    </r>
    <r>
      <rPr>
        <vertAlign val="superscript"/>
        <sz val="12"/>
        <rFont val="Times New Roman"/>
        <family val="1"/>
      </rPr>
      <t>0,5</t>
    </r>
  </si>
  <si>
    <t>condición</t>
  </si>
  <si>
    <r>
      <rPr>
        <sz val="10"/>
        <rFont val="Arial"/>
        <family val="2"/>
      </rPr>
      <t>9ε/α'</t>
    </r>
    <r>
      <rPr>
        <vertAlign val="superscript"/>
        <sz val="8"/>
        <rFont val="Arial"/>
        <family val="2"/>
      </rPr>
      <t>1,5</t>
    </r>
  </si>
  <si>
    <r>
      <rPr>
        <sz val="10"/>
        <rFont val="Calibri"/>
        <family val="2"/>
      </rPr>
      <t>α</t>
    </r>
    <r>
      <rPr>
        <sz val="10"/>
        <rFont val="Arial"/>
        <family val="2"/>
      </rPr>
      <t>c=</t>
    </r>
  </si>
  <si>
    <t>N=</t>
  </si>
  <si>
    <t>N (compr)</t>
  </si>
  <si>
    <t>N (tracc)</t>
  </si>
  <si>
    <t>0&lt;alfa&lt;1</t>
  </si>
  <si>
    <r>
      <rPr>
        <b/>
        <sz val="10"/>
        <rFont val="Calibri"/>
        <family val="2"/>
      </rPr>
      <t>α</t>
    </r>
    <r>
      <rPr>
        <b/>
        <sz val="10"/>
        <rFont val="Arial"/>
        <family val="2"/>
      </rPr>
      <t>=</t>
    </r>
  </si>
  <si>
    <t>No está bien definido este parámetro. Revisarlo</t>
  </si>
  <si>
    <t>Las fórmulas de las lineas   69 y 70 deben ser revisadas.</t>
  </si>
  <si>
    <t>alma</t>
  </si>
  <si>
    <t>Alas</t>
  </si>
  <si>
    <t>Perfil</t>
  </si>
  <si>
    <t>Observaciones</t>
  </si>
  <si>
    <r>
      <t>N</t>
    </r>
    <r>
      <rPr>
        <vertAlign val="subscript"/>
        <sz val="9"/>
        <rFont val="Arial"/>
        <family val="2"/>
      </rPr>
      <t>ed</t>
    </r>
    <r>
      <rPr>
        <sz val="9"/>
        <rFont val="Arial"/>
        <family val="2"/>
      </rPr>
      <t xml:space="preserve">; </t>
    </r>
  </si>
  <si>
    <t xml:space="preserve"> My;</t>
  </si>
  <si>
    <t>N(+)+My</t>
  </si>
  <si>
    <t>N(-)+My</t>
  </si>
  <si>
    <t>Mz</t>
  </si>
  <si>
    <t>Clase 4</t>
  </si>
  <si>
    <t>Flex. yP.</t>
  </si>
  <si>
    <r>
      <t xml:space="preserve"> según </t>
    </r>
    <r>
      <rPr>
        <sz val="9"/>
        <color theme="6" tint="-0.499984740745262"/>
        <rFont val="Times New Roman"/>
        <family val="1"/>
      </rPr>
      <t>EC-3</t>
    </r>
  </si>
  <si>
    <t>(calculada)</t>
  </si>
  <si>
    <t>Compresión</t>
  </si>
  <si>
    <t>Flexión -y-</t>
  </si>
  <si>
    <t>FlexoCompresión</t>
  </si>
  <si>
    <t>FlexoTracción</t>
  </si>
  <si>
    <t>Flexión -z-</t>
  </si>
  <si>
    <t>Clasificación de secciones según el DB SE-A cap. 5</t>
  </si>
  <si>
    <t>FlexCompr</t>
  </si>
  <si>
    <t>My</t>
  </si>
  <si>
    <t>Interacción:</t>
  </si>
  <si>
    <t>Cálculo de la separación máxi entre coacciones para que no sea necesario comprobar el PL</t>
  </si>
  <si>
    <r>
      <t>L</t>
    </r>
    <r>
      <rPr>
        <b/>
        <i/>
        <vertAlign val="subscript"/>
        <sz val="12"/>
        <rFont val="Cambria"/>
        <family val="1"/>
        <scheme val="major"/>
      </rPr>
      <t xml:space="preserve">C </t>
    </r>
    <r>
      <rPr>
        <vertAlign val="subscript"/>
        <sz val="12"/>
        <rFont val="Cambria"/>
        <family val="1"/>
        <scheme val="major"/>
      </rPr>
      <t>límite</t>
    </r>
  </si>
  <si>
    <t>40iz</t>
  </si>
  <si>
    <t>Fórmula simplificada:</t>
  </si>
  <si>
    <t xml:space="preserve">Lm= </t>
  </si>
  <si>
    <t>40·iz</t>
  </si>
  <si>
    <t>Lm=</t>
  </si>
  <si>
    <t>m</t>
  </si>
  <si>
    <t>DB SE-A</t>
  </si>
  <si>
    <t>C1</t>
  </si>
  <si>
    <t>pi</t>
  </si>
  <si>
    <t>L</t>
  </si>
  <si>
    <t>E</t>
  </si>
  <si>
    <t>Iz</t>
  </si>
  <si>
    <t>It</t>
  </si>
  <si>
    <t>Iw</t>
  </si>
  <si>
    <t>x</t>
  </si>
  <si>
    <t>PL según el EC-3</t>
  </si>
  <si>
    <t>Según EA-95</t>
  </si>
  <si>
    <t>Clase 1-2</t>
  </si>
  <si>
    <t>Clase 3-4</t>
  </si>
  <si>
    <t>El menor de los dos:</t>
  </si>
  <si>
    <t>Interacción de esfuerzos en barras</t>
  </si>
  <si>
    <t>Determinacion de los coeficientes de interacción según la EAE</t>
  </si>
  <si>
    <t>NEd=</t>
  </si>
  <si>
    <t>Nb,y,Rd=</t>
  </si>
  <si>
    <t>Nb,z,Rd=</t>
  </si>
  <si>
    <t>Pandeo en el plano del eje z</t>
  </si>
  <si>
    <t>Pandeo en el plano del eje y</t>
  </si>
  <si>
    <t>el menor=</t>
  </si>
  <si>
    <t>El mayor de los dos:</t>
  </si>
  <si>
    <t>el mayor=</t>
  </si>
  <si>
    <t>Clase del perfil:</t>
  </si>
  <si>
    <t>kyy=</t>
  </si>
  <si>
    <t>kyz=</t>
  </si>
  <si>
    <t>kzy=</t>
  </si>
  <si>
    <t>kzz=</t>
  </si>
  <si>
    <t>1 o 2</t>
  </si>
  <si>
    <t>3 o 4</t>
  </si>
  <si>
    <t>igual</t>
  </si>
  <si>
    <t>Interacción</t>
  </si>
  <si>
    <r>
      <t>k</t>
    </r>
    <r>
      <rPr>
        <b/>
        <i/>
        <vertAlign val="subscript"/>
        <sz val="10"/>
        <rFont val="Times New Roman"/>
        <family val="1"/>
      </rPr>
      <t>yy</t>
    </r>
  </si>
  <si>
    <r>
      <t>k</t>
    </r>
    <r>
      <rPr>
        <b/>
        <i/>
        <vertAlign val="subscript"/>
        <sz val="10"/>
        <rFont val="Times New Roman"/>
        <family val="1"/>
      </rPr>
      <t>yz</t>
    </r>
  </si>
  <si>
    <r>
      <t>k</t>
    </r>
    <r>
      <rPr>
        <b/>
        <i/>
        <vertAlign val="subscript"/>
        <sz val="10"/>
        <rFont val="Times New Roman"/>
        <family val="1"/>
      </rPr>
      <t>zy</t>
    </r>
  </si>
  <si>
    <r>
      <t>k</t>
    </r>
    <r>
      <rPr>
        <b/>
        <i/>
        <vertAlign val="subscript"/>
        <sz val="10"/>
        <rFont val="Times New Roman"/>
        <family val="1"/>
      </rPr>
      <t>zz</t>
    </r>
  </si>
  <si>
    <r>
      <rPr>
        <sz val="9"/>
        <rFont val="Times New Roman"/>
        <family val="1"/>
      </rPr>
      <t xml:space="preserve">Inter. </t>
    </r>
    <r>
      <rPr>
        <sz val="10"/>
        <rFont val="Times New Roman"/>
        <family val="1"/>
      </rPr>
      <t>SE-A</t>
    </r>
  </si>
  <si>
    <r>
      <rPr>
        <b/>
        <sz val="8"/>
        <rFont val="Times New Roman"/>
        <family val="1"/>
      </rPr>
      <t>Interac.</t>
    </r>
    <r>
      <rPr>
        <b/>
        <sz val="10"/>
        <rFont val="Times New Roman"/>
        <family val="1"/>
      </rPr>
      <t xml:space="preserve"> EAE</t>
    </r>
  </si>
  <si>
    <r>
      <rPr>
        <sz val="10"/>
        <rFont val="Cambria"/>
        <family val="1"/>
        <scheme val="major"/>
      </rPr>
      <t>Pandeo en el plano débil (</t>
    </r>
    <r>
      <rPr>
        <b/>
        <i/>
        <sz val="10"/>
        <rFont val="Cambria"/>
        <family val="1"/>
        <scheme val="major"/>
      </rPr>
      <t>z</t>
    </r>
    <r>
      <rPr>
        <sz val="10"/>
        <rFont val="Cambria"/>
        <family val="1"/>
        <scheme val="major"/>
      </rPr>
      <t>)</t>
    </r>
  </si>
  <si>
    <r>
      <t>Pandeo en el plano fuerte (</t>
    </r>
    <r>
      <rPr>
        <b/>
        <i/>
        <sz val="10"/>
        <rFont val="Cambria"/>
        <family val="1"/>
        <scheme val="major"/>
      </rPr>
      <t>y</t>
    </r>
    <r>
      <rPr>
        <sz val="10"/>
        <rFont val="Cambria"/>
        <family val="1"/>
        <scheme val="major"/>
      </rPr>
      <t>)</t>
    </r>
  </si>
  <si>
    <t>Curva:</t>
  </si>
  <si>
    <t>alfa LT=</t>
  </si>
  <si>
    <t>Φ=</t>
  </si>
  <si>
    <r>
      <t>c</t>
    </r>
    <r>
      <rPr>
        <vertAlign val="subscript"/>
        <sz val="12"/>
        <rFont val="Times New Roman"/>
        <family val="1"/>
      </rPr>
      <t xml:space="preserve">LT </t>
    </r>
    <r>
      <rPr>
        <sz val="12"/>
        <rFont val="Times New Roman"/>
        <family val="1"/>
      </rPr>
      <t>=</t>
    </r>
  </si>
  <si>
    <r>
      <t>M</t>
    </r>
    <r>
      <rPr>
        <b/>
        <i/>
        <sz val="8"/>
        <rFont val="Times New Roman"/>
        <family val="1"/>
      </rPr>
      <t>CR</t>
    </r>
    <r>
      <rPr>
        <b/>
        <i/>
        <sz val="10"/>
        <rFont val="Times New Roman"/>
        <family val="1"/>
      </rPr>
      <t>=</t>
    </r>
  </si>
  <si>
    <r>
      <t>M</t>
    </r>
    <r>
      <rPr>
        <b/>
        <i/>
        <sz val="8"/>
        <rFont val="Times New Roman"/>
        <family val="1"/>
      </rPr>
      <t>b,Rd</t>
    </r>
    <r>
      <rPr>
        <b/>
        <i/>
        <sz val="10"/>
        <rFont val="Times New Roman"/>
        <family val="1"/>
      </rPr>
      <t>=</t>
    </r>
  </si>
  <si>
    <r>
      <t>M</t>
    </r>
    <r>
      <rPr>
        <b/>
        <i/>
        <vertAlign val="subscript"/>
        <sz val="10"/>
        <rFont val="Times New Roman"/>
        <family val="1"/>
      </rPr>
      <t>y,Ed</t>
    </r>
  </si>
  <si>
    <r>
      <t>M</t>
    </r>
    <r>
      <rPr>
        <b/>
        <i/>
        <vertAlign val="subscript"/>
        <sz val="10"/>
        <rFont val="Times New Roman"/>
        <family val="1"/>
      </rPr>
      <t>z,Ed</t>
    </r>
  </si>
  <si>
    <r>
      <t>N</t>
    </r>
    <r>
      <rPr>
        <b/>
        <i/>
        <vertAlign val="subscript"/>
        <sz val="10"/>
        <rFont val="Times New Roman"/>
        <family val="1"/>
      </rPr>
      <t>Ed</t>
    </r>
  </si>
  <si>
    <r>
      <t>M</t>
    </r>
    <r>
      <rPr>
        <b/>
        <i/>
        <vertAlign val="subscript"/>
        <sz val="10"/>
        <rFont val="Times New Roman"/>
        <family val="1"/>
      </rPr>
      <t>N,z,Rd</t>
    </r>
  </si>
  <si>
    <r>
      <t>M</t>
    </r>
    <r>
      <rPr>
        <b/>
        <i/>
        <vertAlign val="subscript"/>
        <sz val="10"/>
        <rFont val="Times New Roman"/>
        <family val="1"/>
      </rPr>
      <t>N,y Rd</t>
    </r>
  </si>
  <si>
    <t>Interacción conservadora del EC3:</t>
  </si>
  <si>
    <t>Fact. De amplific.</t>
  </si>
  <si>
    <t>No tiene en cuenta los coeficientes en las fórmulas de interacción</t>
  </si>
  <si>
    <t>k2</t>
  </si>
  <si>
    <r>
      <rPr>
        <b/>
        <i/>
        <sz val="10"/>
        <rFont val="Times New Roman"/>
        <family val="1"/>
      </rPr>
      <t>k</t>
    </r>
    <r>
      <rPr>
        <b/>
        <i/>
        <vertAlign val="subscript"/>
        <sz val="10"/>
        <rFont val="Times New Roman"/>
        <family val="1"/>
      </rPr>
      <t>2</t>
    </r>
  </si>
  <si>
    <t>Rellenar las casillas grises</t>
  </si>
  <si>
    <t>Verificación de ELU según el DB SE-A/EC3</t>
  </si>
  <si>
    <t>Referenc:</t>
  </si>
  <si>
    <t xml:space="preserve">IPE 550 </t>
  </si>
  <si>
    <t>axiliar 1</t>
  </si>
  <si>
    <t>axiliar 2</t>
  </si>
  <si>
    <t>axiliar 3</t>
  </si>
  <si>
    <t>axiliar 4</t>
  </si>
  <si>
    <t>Pilar sup.</t>
  </si>
  <si>
    <t>Viga izq</t>
  </si>
  <si>
    <t>Viga der</t>
  </si>
  <si>
    <t>Lista aux.</t>
  </si>
  <si>
    <t>si</t>
  </si>
  <si>
    <t>no</t>
  </si>
  <si>
    <t>axiliar 5</t>
  </si>
  <si>
    <t>axiliar 6</t>
  </si>
  <si>
    <t>Pilar</t>
  </si>
  <si>
    <t>Zapata Emp</t>
  </si>
  <si>
    <t>Zapata Art.</t>
  </si>
  <si>
    <r>
      <rPr>
        <i/>
        <sz val="10"/>
        <rFont val="Times New Roman"/>
        <family val="1"/>
      </rPr>
      <t xml:space="preserve">L </t>
    </r>
    <r>
      <rPr>
        <sz val="10"/>
        <rFont val="Times New Roman"/>
        <family val="1"/>
      </rPr>
      <t>(m)</t>
    </r>
  </si>
  <si>
    <t>Resultados:</t>
  </si>
  <si>
    <t>Nudo inf.</t>
  </si>
  <si>
    <t>Eta 2:</t>
  </si>
  <si>
    <t>Eta 1:</t>
  </si>
  <si>
    <t>Nudo sup.</t>
  </si>
  <si>
    <t>Viga nudo inf.</t>
  </si>
  <si>
    <t xml:space="preserve">Pilar inf </t>
  </si>
  <si>
    <t>Traslacional</t>
  </si>
  <si>
    <t>Instraslac.</t>
  </si>
  <si>
    <r>
      <rPr>
        <i/>
        <sz val="10"/>
        <rFont val="Times New Roman"/>
        <family val="1"/>
      </rPr>
      <t>Iy</t>
    </r>
    <r>
      <rPr>
        <sz val="10"/>
        <rFont val="Times New Roman"/>
        <family val="1"/>
      </rPr>
      <t xml:space="preserve"> (cm4)</t>
    </r>
  </si>
  <si>
    <r>
      <t xml:space="preserve">EI/L </t>
    </r>
    <r>
      <rPr>
        <sz val="10"/>
        <rFont val="Cambria"/>
        <family val="1"/>
        <scheme val="major"/>
      </rPr>
      <t>(Nmm)</t>
    </r>
  </si>
  <si>
    <t>calculado</t>
  </si>
  <si>
    <t>manual</t>
  </si>
  <si>
    <t>ID</t>
  </si>
  <si>
    <t>Reduc. Iner.</t>
  </si>
  <si>
    <t>Esbeltez:</t>
  </si>
  <si>
    <t>Mód. Pla</t>
  </si>
  <si>
    <t>Mód elas</t>
  </si>
  <si>
    <t>Wy=</t>
  </si>
  <si>
    <t>Mcr=</t>
  </si>
  <si>
    <t>Cálculo innecesario pues el que figura es correcto</t>
  </si>
  <si>
    <t xml:space="preserve">Clase </t>
  </si>
  <si>
    <t>calculada</t>
  </si>
  <si>
    <t>Clase tomada de las tablas</t>
  </si>
  <si>
    <t>PL</t>
  </si>
  <si>
    <t>curva SEA</t>
  </si>
  <si>
    <r>
      <rPr>
        <sz val="10"/>
        <rFont val="Cambria"/>
        <family val="1"/>
      </rPr>
      <t>&lt;</t>
    </r>
    <r>
      <rPr>
        <sz val="10"/>
        <rFont val="Times New Roman"/>
        <family val="1"/>
      </rPr>
      <t>=2</t>
    </r>
  </si>
  <si>
    <t>&gt;2</t>
  </si>
  <si>
    <t>Perfil I</t>
  </si>
  <si>
    <t>por k2</t>
  </si>
  <si>
    <t>fecha</t>
  </si>
  <si>
    <t>He modificado la tabla L35 y L36 de la hoja Pandeo, poniendo lo que viene en tabla 6,10 SE-A originalmente</t>
  </si>
  <si>
    <t>Modificación</t>
  </si>
  <si>
    <t>nuevo nombre</t>
  </si>
  <si>
    <t>ExcApl SEA 2019</t>
  </si>
  <si>
    <t>Anexo nacional</t>
  </si>
  <si>
    <t>lambada, LT,o</t>
  </si>
  <si>
    <t>nuevo</t>
  </si>
  <si>
    <t>He incluido en el cálculo de fi y chi LT los valore de Beta y esbeltez LT,0 en PL casillas P90 y P91</t>
  </si>
  <si>
    <t>EC·</t>
  </si>
  <si>
    <t>curva EC3</t>
  </si>
  <si>
    <t>1/esb ^2</t>
  </si>
  <si>
    <t>Actualizaciones</t>
  </si>
  <si>
    <t>Se ha corregido la interacción EAE en las casillas E38 y E42 que daba lo mismo que en las F38 y F42</t>
  </si>
  <si>
    <t xml:space="preserve">caso general </t>
  </si>
  <si>
    <t>EC3, 6.3.2.2</t>
  </si>
  <si>
    <r>
      <rPr>
        <b/>
        <sz val="8"/>
        <rFont val="Times New Roman"/>
        <family val="1"/>
      </rPr>
      <t>Interac.</t>
    </r>
    <r>
      <rPr>
        <b/>
        <sz val="10"/>
        <rFont val="Times New Roman"/>
        <family val="1"/>
      </rPr>
      <t xml:space="preserve"> EC3</t>
    </r>
  </si>
  <si>
    <t>x10E9</t>
  </si>
  <si>
    <t xml:space="preserve"> </t>
  </si>
  <si>
    <t>DyCE</t>
  </si>
  <si>
    <t>Exam viga</t>
  </si>
  <si>
    <t>Examen Final CC RR b) 2021-22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</si>
</sst>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4">
    <numFmt numFmtId="164" formatCode="_-* #,##0.00\ _€_-;\-* #,##0.00\ _€_-;_-* &quot;-&quot;??\ _€_-;_-@_-"/>
    <numFmt numFmtId="165" formatCode="0.000"/>
    <numFmt numFmtId="166" formatCode="0.000000"/>
    <numFmt numFmtId="167" formatCode="0.0"/>
    <numFmt numFmtId="168" formatCode="_-* #,##0\ _€_-;\-* #,##0\ _€_-;_-* &quot;-&quot;??\ _€_-;_-@_-"/>
    <numFmt numFmtId="169" formatCode="_-* #,##0.000\ _€_-;\-* #,##0.000\ _€_-;_-* &quot;-&quot;??\ _€_-;_-@_-"/>
    <numFmt numFmtId="170" formatCode="_-* #,##0.0000\ _€_-;\-* #,##0.0000\ _€_-;_-* &quot;-&quot;??\ _€_-;_-@_-"/>
    <numFmt numFmtId="171" formatCode="_-* #,##0.0000\ _€_-;\-* #,##0.0000\ _€_-;_-* &quot;-&quot;????\ _€_-;_-@_-"/>
    <numFmt numFmtId="172" formatCode="0.00000"/>
    <numFmt numFmtId="173" formatCode="0.0E+00"/>
    <numFmt numFmtId="174" formatCode="_-* #,##0.000\ _€_-;\-* #,##0.000\ _€_-;_-* &quot;-&quot;???\ _€_-;_-@_-"/>
    <numFmt numFmtId="175" formatCode="_-* #,##0.00\ _€_-;\-* #,##0.00\ _€_-;_-* &quot;-&quot;???\ _€_-;_-@_-"/>
    <numFmt numFmtId="176" formatCode="_-* #,##0.0\ _€_-;\-* #,##0.0\ _€_-;_-* &quot;-&quot;?\ _€_-;_-@_-"/>
    <numFmt numFmtId="177" formatCode="0.0&quot; m&quot;"/>
    <numFmt numFmtId="178" formatCode="0.00\ &quot; m&quot;"/>
    <numFmt numFmtId="179" formatCode="0&quot; MPa&quot;"/>
    <numFmt numFmtId="180" formatCode="0&quot; mm&quot;"/>
    <numFmt numFmtId="181" formatCode="0&quot; kN&quot;"/>
    <numFmt numFmtId="182" formatCode="0.0&quot; kN&quot;"/>
    <numFmt numFmtId="183" formatCode="0.000\ &quot;m&quot;"/>
    <numFmt numFmtId="184" formatCode="0\ &quot;kNm&quot;"/>
    <numFmt numFmtId="185" formatCode="0.0000"/>
    <numFmt numFmtId="186" formatCode="_-* #,##0.00\ _€_-;\-* #,##0.00\ _€_-;_-* &quot;-&quot;?\ _€_-;_-@_-"/>
    <numFmt numFmtId="187" formatCode="0.0\ &quot;kNm&quot;"/>
  </numFmts>
  <fonts count="250">
    <font>
      <sz val="10"/>
      <name val="Arial"/>
    </font>
    <font>
      <sz val="11"/>
      <color theme="1"/>
      <name val="Calibri"/>
      <family val="2"/>
      <scheme val="minor"/>
    </font>
    <font>
      <sz val="10"/>
      <name val="Arial"/>
      <family val="2"/>
    </font>
    <font>
      <sz val="12"/>
      <name val="Times New Roman"/>
      <family val="1"/>
    </font>
    <font>
      <sz val="12"/>
      <name val="Symbol"/>
      <family val="1"/>
      <charset val="2"/>
    </font>
    <font>
      <vertAlign val="subscript"/>
      <sz val="12"/>
      <name val="Times New Roman"/>
      <family val="1"/>
    </font>
    <font>
      <i/>
      <sz val="12"/>
      <name val="Times New Roman"/>
      <family val="1"/>
    </font>
    <font>
      <b/>
      <sz val="10"/>
      <name val="Arial"/>
      <family val="2"/>
    </font>
    <font>
      <b/>
      <i/>
      <sz val="10"/>
      <name val="Arial"/>
      <family val="2"/>
    </font>
    <font>
      <sz val="8"/>
      <color indexed="81"/>
      <name val="Tahoma"/>
      <family val="2"/>
    </font>
    <font>
      <b/>
      <sz val="8"/>
      <color indexed="81"/>
      <name val="Tahoma"/>
      <family val="2"/>
    </font>
    <font>
      <sz val="10"/>
      <color indexed="61"/>
      <name val="Arial"/>
      <family val="2"/>
    </font>
    <font>
      <b/>
      <sz val="10"/>
      <color indexed="61"/>
      <name val="Arial"/>
      <family val="2"/>
    </font>
    <font>
      <sz val="10"/>
      <color indexed="51"/>
      <name val="Arial"/>
      <family val="2"/>
    </font>
    <font>
      <sz val="10"/>
      <color indexed="12"/>
      <name val="Arial"/>
      <family val="2"/>
    </font>
    <font>
      <sz val="10"/>
      <color indexed="17"/>
      <name val="Arial"/>
      <family val="2"/>
    </font>
    <font>
      <sz val="10"/>
      <color indexed="17"/>
      <name val="Arial"/>
      <family val="2"/>
    </font>
    <font>
      <b/>
      <sz val="10"/>
      <color indexed="17"/>
      <name val="Arial"/>
      <family val="2"/>
    </font>
    <font>
      <sz val="10"/>
      <color indexed="9"/>
      <name val="Arial"/>
      <family val="2"/>
    </font>
    <font>
      <sz val="12"/>
      <color indexed="9"/>
      <name val="Times New Roman"/>
      <family val="1"/>
    </font>
    <font>
      <b/>
      <sz val="10"/>
      <color indexed="12"/>
      <name val="Arial"/>
      <family val="2"/>
    </font>
    <font>
      <sz val="10"/>
      <color indexed="12"/>
      <name val="Arial"/>
      <family val="2"/>
    </font>
    <font>
      <sz val="10"/>
      <color indexed="10"/>
      <name val="Arial"/>
      <family val="2"/>
    </font>
    <font>
      <sz val="10"/>
      <color indexed="56"/>
      <name val="Arial"/>
      <family val="2"/>
    </font>
    <font>
      <i/>
      <sz val="14"/>
      <name val="Times New Roman"/>
      <family val="1"/>
    </font>
    <font>
      <i/>
      <vertAlign val="subscript"/>
      <sz val="14"/>
      <name val="Times New Roman"/>
      <family val="1"/>
    </font>
    <font>
      <sz val="10"/>
      <name val="Times New Roman"/>
      <family val="1"/>
    </font>
    <font>
      <b/>
      <i/>
      <sz val="10"/>
      <name val="Times New Roman"/>
      <family val="1"/>
    </font>
    <font>
      <b/>
      <sz val="10"/>
      <name val="Times New Roman"/>
      <family val="1"/>
    </font>
    <font>
      <b/>
      <sz val="8"/>
      <name val="Times New Roman"/>
      <family val="1"/>
    </font>
    <font>
      <sz val="10"/>
      <color indexed="9"/>
      <name val="Times New Roman"/>
      <family val="1"/>
    </font>
    <font>
      <i/>
      <sz val="10"/>
      <name val="Times New Roman"/>
      <family val="1"/>
    </font>
    <font>
      <sz val="10"/>
      <color indexed="16"/>
      <name val="Times New Roman"/>
      <family val="1"/>
    </font>
    <font>
      <sz val="8"/>
      <name val="Times New Roman"/>
      <family val="1"/>
    </font>
    <font>
      <b/>
      <sz val="10"/>
      <color indexed="16"/>
      <name val="Times New Roman"/>
      <family val="1"/>
    </font>
    <font>
      <b/>
      <sz val="12"/>
      <name val="Times New Roman"/>
      <family val="1"/>
    </font>
    <font>
      <b/>
      <sz val="12"/>
      <color indexed="16"/>
      <name val="Times New Roman"/>
      <family val="1"/>
    </font>
    <font>
      <sz val="10"/>
      <color indexed="18"/>
      <name val="Times New Roman"/>
      <family val="1"/>
    </font>
    <font>
      <b/>
      <sz val="10"/>
      <color indexed="17"/>
      <name val="Times New Roman"/>
      <family val="1"/>
    </font>
    <font>
      <b/>
      <sz val="10"/>
      <color indexed="57"/>
      <name val="Times New Roman"/>
      <family val="1"/>
    </font>
    <font>
      <b/>
      <sz val="10"/>
      <color indexed="52"/>
      <name val="Times New Roman"/>
      <family val="1"/>
    </font>
    <font>
      <sz val="10"/>
      <color indexed="17"/>
      <name val="Times New Roman"/>
      <family val="1"/>
    </font>
    <font>
      <sz val="10"/>
      <color indexed="12"/>
      <name val="Times New Roman"/>
      <family val="1"/>
    </font>
    <font>
      <i/>
      <sz val="11"/>
      <name val="Times New Roman"/>
      <family val="1"/>
    </font>
    <font>
      <sz val="9"/>
      <color indexed="8"/>
      <name val="Arial"/>
      <family val="2"/>
    </font>
    <font>
      <sz val="8"/>
      <color indexed="8"/>
      <name val="Arial"/>
      <family val="2"/>
    </font>
    <font>
      <vertAlign val="subscript"/>
      <sz val="12"/>
      <color indexed="8"/>
      <name val="Arial"/>
      <family val="2"/>
    </font>
    <font>
      <sz val="7"/>
      <color indexed="8"/>
      <name val="Arial"/>
      <family val="2"/>
    </font>
    <font>
      <vertAlign val="superscript"/>
      <sz val="9"/>
      <color indexed="8"/>
      <name val="Arial"/>
      <family val="2"/>
    </font>
    <font>
      <vertAlign val="superscript"/>
      <sz val="8"/>
      <color indexed="8"/>
      <name val="Arial"/>
      <family val="2"/>
    </font>
    <font>
      <sz val="8"/>
      <color indexed="8"/>
      <name val="Arial"/>
      <family val="2"/>
    </font>
    <font>
      <sz val="10"/>
      <color indexed="8"/>
      <name val="Arial"/>
      <family val="2"/>
    </font>
    <font>
      <sz val="8"/>
      <name val="Arial"/>
      <family val="2"/>
    </font>
    <font>
      <sz val="10"/>
      <name val="Arial"/>
      <family val="2"/>
    </font>
    <font>
      <sz val="9"/>
      <name val="Arial"/>
      <family val="2"/>
    </font>
    <font>
      <sz val="7"/>
      <name val="Arial"/>
      <family val="2"/>
    </font>
    <font>
      <sz val="10"/>
      <color indexed="23"/>
      <name val="Times New Roman"/>
      <family val="1"/>
    </font>
    <font>
      <sz val="12"/>
      <color indexed="23"/>
      <name val="Times New Roman"/>
      <family val="1"/>
    </font>
    <font>
      <b/>
      <sz val="12"/>
      <name val="Arial"/>
      <family val="2"/>
    </font>
    <font>
      <sz val="12"/>
      <name val="Arial"/>
      <family val="2"/>
    </font>
    <font>
      <sz val="10"/>
      <color indexed="55"/>
      <name val="Times New Roman"/>
      <family val="1"/>
    </font>
    <font>
      <b/>
      <i/>
      <sz val="10"/>
      <color indexed="55"/>
      <name val="Times New Roman"/>
      <family val="1"/>
    </font>
    <font>
      <b/>
      <i/>
      <sz val="12"/>
      <name val="Times New Roman"/>
      <family val="1"/>
    </font>
    <font>
      <b/>
      <i/>
      <sz val="8"/>
      <name val="Times New Roman"/>
      <family val="1"/>
    </font>
    <font>
      <i/>
      <sz val="8"/>
      <name val="Times New Roman"/>
      <family val="1"/>
    </font>
    <font>
      <b/>
      <i/>
      <sz val="10"/>
      <color indexed="16"/>
      <name val="Times New Roman"/>
      <family val="1"/>
    </font>
    <font>
      <b/>
      <sz val="10"/>
      <name val="Symbol"/>
      <family val="1"/>
      <charset val="2"/>
    </font>
    <font>
      <b/>
      <sz val="10"/>
      <color indexed="55"/>
      <name val="Times New Roman"/>
      <family val="1"/>
    </font>
    <font>
      <b/>
      <sz val="10"/>
      <color indexed="12"/>
      <name val="Times New Roman"/>
      <family val="1"/>
    </font>
    <font>
      <b/>
      <sz val="12"/>
      <color indexed="12"/>
      <name val="Times New Roman"/>
      <family val="1"/>
    </font>
    <font>
      <sz val="11"/>
      <name val="Arial"/>
      <family val="2"/>
    </font>
    <font>
      <sz val="11"/>
      <name val="Times New Roman"/>
      <family val="1"/>
    </font>
    <font>
      <i/>
      <sz val="6"/>
      <name val="Times New Roman"/>
      <family val="1"/>
    </font>
    <font>
      <i/>
      <sz val="12"/>
      <color indexed="9"/>
      <name val="Times New Roman"/>
      <family val="1"/>
    </font>
    <font>
      <sz val="10"/>
      <color indexed="55"/>
      <name val="Arial"/>
      <family val="2"/>
    </font>
    <font>
      <b/>
      <sz val="10"/>
      <color indexed="12"/>
      <name val="Symbol"/>
      <family val="1"/>
      <charset val="2"/>
    </font>
    <font>
      <b/>
      <sz val="8"/>
      <color indexed="12"/>
      <name val="Times New Roman"/>
      <family val="1"/>
    </font>
    <font>
      <b/>
      <i/>
      <vertAlign val="subscript"/>
      <sz val="12"/>
      <color indexed="8"/>
      <name val="Arial"/>
      <family val="2"/>
    </font>
    <font>
      <b/>
      <i/>
      <sz val="12"/>
      <color indexed="8"/>
      <name val="Arial"/>
      <family val="2"/>
    </font>
    <font>
      <b/>
      <sz val="9"/>
      <name val="Times New Roman"/>
      <family val="1"/>
    </font>
    <font>
      <b/>
      <sz val="12"/>
      <color indexed="57"/>
      <name val="Times New Roman"/>
      <family val="1"/>
    </font>
    <font>
      <b/>
      <sz val="12"/>
      <color indexed="52"/>
      <name val="Arial"/>
      <family val="2"/>
    </font>
    <font>
      <b/>
      <sz val="9"/>
      <color indexed="12"/>
      <name val="Times New Roman"/>
      <family val="1"/>
    </font>
    <font>
      <b/>
      <sz val="12"/>
      <color indexed="9"/>
      <name val="Times New Roman"/>
      <family val="1"/>
    </font>
    <font>
      <b/>
      <sz val="10"/>
      <color indexed="10"/>
      <name val="Arial"/>
      <family val="2"/>
    </font>
    <font>
      <i/>
      <sz val="8"/>
      <name val="Arial"/>
      <family val="2"/>
    </font>
    <font>
      <i/>
      <sz val="12"/>
      <name val="Arial"/>
      <family val="2"/>
    </font>
    <font>
      <sz val="8"/>
      <color indexed="9"/>
      <name val="Arial"/>
      <family val="2"/>
    </font>
    <font>
      <sz val="7"/>
      <color indexed="9"/>
      <name val="Arial"/>
      <family val="2"/>
    </font>
    <font>
      <b/>
      <i/>
      <sz val="10"/>
      <color indexed="9"/>
      <name val="Times New Roman"/>
      <family val="1"/>
    </font>
    <font>
      <sz val="10"/>
      <color indexed="61"/>
      <name val="Times New Roman"/>
      <family val="1"/>
    </font>
    <font>
      <sz val="9"/>
      <color indexed="61"/>
      <name val="Arial"/>
      <family val="2"/>
    </font>
    <font>
      <sz val="8"/>
      <color indexed="61"/>
      <name val="Arial"/>
      <family val="2"/>
    </font>
    <font>
      <vertAlign val="subscript"/>
      <sz val="12"/>
      <color indexed="61"/>
      <name val="Arial"/>
      <family val="2"/>
    </font>
    <font>
      <vertAlign val="superscript"/>
      <sz val="9"/>
      <color indexed="61"/>
      <name val="Arial"/>
      <family val="2"/>
    </font>
    <font>
      <vertAlign val="superscript"/>
      <sz val="8"/>
      <color indexed="61"/>
      <name val="Arial"/>
      <family val="2"/>
    </font>
    <font>
      <sz val="8"/>
      <color indexed="61"/>
      <name val="Times New Roman"/>
      <family val="1"/>
    </font>
    <font>
      <sz val="8"/>
      <color indexed="61"/>
      <name val="Arial"/>
      <family val="2"/>
    </font>
    <font>
      <b/>
      <sz val="12"/>
      <name val="Symbol"/>
      <family val="1"/>
      <charset val="2"/>
    </font>
    <font>
      <b/>
      <sz val="10"/>
      <color indexed="48"/>
      <name val="Arial"/>
      <family val="2"/>
    </font>
    <font>
      <b/>
      <sz val="10"/>
      <color indexed="20"/>
      <name val="Arial"/>
      <family val="2"/>
    </font>
    <font>
      <b/>
      <i/>
      <vertAlign val="subscript"/>
      <sz val="12"/>
      <name val="Times New Roman"/>
      <family val="1"/>
    </font>
    <font>
      <b/>
      <i/>
      <vertAlign val="subscript"/>
      <sz val="10"/>
      <name val="Times New Roman"/>
      <family val="1"/>
    </font>
    <font>
      <b/>
      <i/>
      <vertAlign val="subscript"/>
      <sz val="10"/>
      <color indexed="23"/>
      <name val="Times New Roman"/>
      <family val="1"/>
    </font>
    <font>
      <b/>
      <sz val="11"/>
      <name val="Times New Roman"/>
      <family val="1"/>
    </font>
    <font>
      <sz val="11"/>
      <color indexed="16"/>
      <name val="Times New Roman"/>
      <family val="1"/>
    </font>
    <font>
      <b/>
      <vertAlign val="subscript"/>
      <sz val="10"/>
      <name val="Times New Roman"/>
      <family val="1"/>
    </font>
    <font>
      <b/>
      <i/>
      <sz val="11"/>
      <name val="Times New Roman"/>
      <family val="1"/>
    </font>
    <font>
      <b/>
      <i/>
      <vertAlign val="subscript"/>
      <sz val="11"/>
      <name val="Times New Roman"/>
      <family val="1"/>
    </font>
    <font>
      <b/>
      <i/>
      <sz val="12"/>
      <color indexed="60"/>
      <name val="Times New Roman"/>
      <family val="1"/>
    </font>
    <font>
      <b/>
      <i/>
      <vertAlign val="subscript"/>
      <sz val="12"/>
      <color indexed="60"/>
      <name val="Times New Roman"/>
      <family val="1"/>
    </font>
    <font>
      <b/>
      <sz val="12"/>
      <name val="Calibri"/>
      <family val="2"/>
    </font>
    <font>
      <b/>
      <sz val="10"/>
      <name val="Calibri"/>
      <family val="2"/>
    </font>
    <font>
      <b/>
      <sz val="11"/>
      <name val="Calibri"/>
      <family val="2"/>
    </font>
    <font>
      <b/>
      <vertAlign val="subscript"/>
      <sz val="12"/>
      <name val="Times New Roman"/>
      <family val="1"/>
    </font>
    <font>
      <sz val="9"/>
      <name val="Times New Roman"/>
      <family val="1"/>
    </font>
    <font>
      <b/>
      <vertAlign val="subscript"/>
      <sz val="9"/>
      <name val="Times New Roman"/>
      <family val="1"/>
    </font>
    <font>
      <vertAlign val="superscript"/>
      <sz val="10"/>
      <name val="Times New Roman"/>
      <family val="1"/>
    </font>
    <font>
      <b/>
      <sz val="11"/>
      <color indexed="16"/>
      <name val="Times New Roman"/>
      <family val="1"/>
    </font>
    <font>
      <b/>
      <sz val="10"/>
      <color indexed="9"/>
      <name val="Arial"/>
      <family val="2"/>
    </font>
    <font>
      <i/>
      <vertAlign val="subscript"/>
      <sz val="10"/>
      <name val="Times New Roman"/>
      <family val="1"/>
    </font>
    <font>
      <i/>
      <sz val="12"/>
      <name val="Calibri"/>
      <family val="2"/>
    </font>
    <font>
      <sz val="10"/>
      <name val="Calibri"/>
      <family val="2"/>
    </font>
    <font>
      <i/>
      <sz val="12"/>
      <name val="Cambria"/>
      <family val="1"/>
    </font>
    <font>
      <i/>
      <vertAlign val="subscript"/>
      <sz val="12"/>
      <name val="Cambria"/>
      <family val="1"/>
    </font>
    <font>
      <sz val="12"/>
      <name val="Cambria"/>
      <family val="1"/>
    </font>
    <font>
      <sz val="8"/>
      <name val="Calibri"/>
      <family val="2"/>
    </font>
    <font>
      <b/>
      <sz val="11"/>
      <name val="Arial"/>
      <family val="2"/>
    </font>
    <font>
      <b/>
      <sz val="9"/>
      <name val="Arial"/>
      <family val="2"/>
    </font>
    <font>
      <b/>
      <sz val="12"/>
      <name val="Cambria"/>
      <family val="1"/>
    </font>
    <font>
      <b/>
      <sz val="11"/>
      <color indexed="9"/>
      <name val="Times New Roman"/>
      <family val="1"/>
    </font>
    <font>
      <sz val="12"/>
      <name val="Times New Roman MT Extra Bold"/>
      <family val="1"/>
    </font>
    <font>
      <b/>
      <sz val="12"/>
      <color indexed="12"/>
      <name val="Arial"/>
      <family val="2"/>
    </font>
    <font>
      <b/>
      <i/>
      <sz val="14"/>
      <name val="Times New Roman"/>
      <family val="1"/>
    </font>
    <font>
      <b/>
      <i/>
      <vertAlign val="subscript"/>
      <sz val="14"/>
      <name val="Times New Roman"/>
      <family val="1"/>
    </font>
    <font>
      <b/>
      <sz val="14"/>
      <name val="Times New Roman"/>
      <family val="1"/>
    </font>
    <font>
      <b/>
      <i/>
      <vertAlign val="subscript"/>
      <sz val="10"/>
      <color indexed="8"/>
      <name val="Times New Roman"/>
      <family val="1"/>
    </font>
    <font>
      <b/>
      <sz val="12"/>
      <color indexed="8"/>
      <name val="Times New Roman"/>
      <family val="1"/>
    </font>
    <font>
      <vertAlign val="superscript"/>
      <sz val="12"/>
      <name val="Times New Roman"/>
      <family val="1"/>
    </font>
    <font>
      <b/>
      <sz val="7"/>
      <color indexed="12"/>
      <name val="Times New Roman"/>
      <family val="1"/>
    </font>
    <font>
      <b/>
      <i/>
      <sz val="14"/>
      <color indexed="12"/>
      <name val="Times New Roman"/>
      <family val="1"/>
    </font>
    <font>
      <b/>
      <i/>
      <vertAlign val="subscript"/>
      <sz val="14"/>
      <color indexed="12"/>
      <name val="Times New Roman"/>
      <family val="1"/>
    </font>
    <font>
      <b/>
      <sz val="7"/>
      <name val="Times New Roman"/>
      <family val="1"/>
    </font>
    <font>
      <i/>
      <sz val="10"/>
      <color indexed="55"/>
      <name val="Arial"/>
      <family val="2"/>
    </font>
    <font>
      <b/>
      <i/>
      <sz val="8"/>
      <name val="Arial"/>
      <family val="2"/>
    </font>
    <font>
      <b/>
      <i/>
      <sz val="10"/>
      <name val="Symbol"/>
      <family val="1"/>
      <charset val="2"/>
    </font>
    <font>
      <i/>
      <sz val="10"/>
      <name val="Arial"/>
      <family val="2"/>
    </font>
    <font>
      <vertAlign val="superscript"/>
      <sz val="8"/>
      <name val="Arial"/>
      <family val="2"/>
    </font>
    <font>
      <b/>
      <sz val="8"/>
      <name val="Arial"/>
      <family val="2"/>
    </font>
    <font>
      <sz val="10"/>
      <name val="UniversalMath1 BT"/>
      <family val="1"/>
      <charset val="2"/>
    </font>
    <font>
      <sz val="12"/>
      <color theme="1"/>
      <name val="Arial"/>
      <family val="2"/>
    </font>
    <font>
      <sz val="10"/>
      <color theme="0" tint="-0.34998626667073579"/>
      <name val="Times New Roman"/>
      <family val="1"/>
    </font>
    <font>
      <sz val="12"/>
      <color theme="0" tint="-0.34998626667073579"/>
      <name val="Times New Roman"/>
      <family val="1"/>
    </font>
    <font>
      <sz val="9"/>
      <color theme="0" tint="-0.34998626667073579"/>
      <name val="Arial"/>
      <family val="2"/>
    </font>
    <font>
      <sz val="7"/>
      <color theme="0" tint="-0.34998626667073579"/>
      <name val="Arial"/>
      <family val="2"/>
    </font>
    <font>
      <b/>
      <i/>
      <sz val="10"/>
      <color theme="0" tint="-0.34998626667073579"/>
      <name val="Times New Roman"/>
      <family val="1"/>
    </font>
    <font>
      <sz val="10"/>
      <color theme="3"/>
      <name val="Times New Roman"/>
      <family val="1"/>
    </font>
    <font>
      <sz val="12"/>
      <color theme="3"/>
      <name val="Times New Roman"/>
      <family val="1"/>
    </font>
    <font>
      <sz val="8"/>
      <color theme="8" tint="-0.499984740745262"/>
      <name val="Arial"/>
      <family val="2"/>
    </font>
    <font>
      <sz val="7"/>
      <color theme="8" tint="-0.499984740745262"/>
      <name val="Arial"/>
      <family val="2"/>
    </font>
    <font>
      <sz val="10"/>
      <color theme="8" tint="-0.499984740745262"/>
      <name val="Times New Roman"/>
      <family val="1"/>
    </font>
    <font>
      <b/>
      <i/>
      <sz val="10"/>
      <color theme="1" tint="0.499984740745262"/>
      <name val="Times New Roman"/>
      <family val="1"/>
    </font>
    <font>
      <sz val="10"/>
      <color theme="5" tint="-0.249977111117893"/>
      <name val="Times New Roman"/>
      <family val="1"/>
    </font>
    <font>
      <b/>
      <i/>
      <sz val="12"/>
      <color rgb="FFC00000"/>
      <name val="Times New Roman"/>
      <family val="1"/>
    </font>
    <font>
      <b/>
      <sz val="10"/>
      <color theme="5" tint="-0.249977111117893"/>
      <name val="Times New Roman"/>
      <family val="1"/>
    </font>
    <font>
      <b/>
      <sz val="10"/>
      <color theme="8" tint="-0.249977111117893"/>
      <name val="Times New Roman"/>
      <family val="1"/>
    </font>
    <font>
      <b/>
      <sz val="10"/>
      <color theme="4" tint="-0.249977111117893"/>
      <name val="Arial"/>
      <family val="2"/>
    </font>
    <font>
      <b/>
      <sz val="10"/>
      <color theme="3" tint="-0.249977111117893"/>
      <name val="Times New Roman"/>
      <family val="1"/>
    </font>
    <font>
      <sz val="12"/>
      <name val="Cambria"/>
      <family val="1"/>
      <scheme val="major"/>
    </font>
    <font>
      <i/>
      <sz val="12"/>
      <name val="Cambria"/>
      <family val="1"/>
      <scheme val="major"/>
    </font>
    <font>
      <b/>
      <sz val="10"/>
      <color rgb="FF0070C0"/>
      <name val="Arial"/>
      <family val="2"/>
    </font>
    <font>
      <sz val="10"/>
      <color theme="1"/>
      <name val="Arial"/>
      <family val="2"/>
    </font>
    <font>
      <sz val="8"/>
      <name val="Cambria"/>
      <family val="1"/>
      <scheme val="major"/>
    </font>
    <font>
      <b/>
      <sz val="9"/>
      <color rgb="FF0E4E14"/>
      <name val="Arial"/>
      <family val="2"/>
    </font>
    <font>
      <b/>
      <sz val="9"/>
      <color rgb="FF0070C0"/>
      <name val="Arial"/>
      <family val="2"/>
    </font>
    <font>
      <b/>
      <sz val="9"/>
      <color theme="0"/>
      <name val="Arial"/>
      <family val="2"/>
    </font>
    <font>
      <sz val="11"/>
      <name val="Cambria"/>
      <family val="1"/>
      <scheme val="major"/>
    </font>
    <font>
      <b/>
      <sz val="10"/>
      <color rgb="FF002060"/>
      <name val="Arial"/>
      <family val="2"/>
    </font>
    <font>
      <b/>
      <sz val="11"/>
      <color rgb="FF00B050"/>
      <name val="Cambria"/>
      <family val="1"/>
      <scheme val="major"/>
    </font>
    <font>
      <sz val="10"/>
      <color rgb="FF0E4E14"/>
      <name val="Arial"/>
      <family val="2"/>
    </font>
    <font>
      <b/>
      <sz val="12"/>
      <color theme="3" tint="0.39997558519241921"/>
      <name val="Arial"/>
      <family val="2"/>
    </font>
    <font>
      <b/>
      <sz val="12"/>
      <color theme="1"/>
      <name val="Times New Roman"/>
      <family val="1"/>
    </font>
    <font>
      <b/>
      <i/>
      <sz val="12"/>
      <color theme="9" tint="-0.249977111117893"/>
      <name val="Arial"/>
      <family val="2"/>
    </font>
    <font>
      <b/>
      <sz val="10"/>
      <color theme="1"/>
      <name val="Arial"/>
      <family val="2"/>
    </font>
    <font>
      <sz val="12"/>
      <color rgb="FFFF0000"/>
      <name val="Times New Roman"/>
      <family val="1"/>
    </font>
    <font>
      <sz val="9"/>
      <color theme="7"/>
      <name val="Arial"/>
      <family val="2"/>
    </font>
    <font>
      <sz val="10"/>
      <color theme="0" tint="-0.14999847407452621"/>
      <name val="Arial"/>
      <family val="2"/>
    </font>
    <font>
      <b/>
      <sz val="10"/>
      <name val="Cambria"/>
      <family val="1"/>
      <scheme val="major"/>
    </font>
    <font>
      <sz val="10"/>
      <color theme="1" tint="0.499984740745262"/>
      <name val="Times New Roman"/>
      <family val="1"/>
    </font>
    <font>
      <b/>
      <sz val="10"/>
      <color theme="6" tint="-0.499984740745262"/>
      <name val="Times New Roman"/>
      <family val="1"/>
    </font>
    <font>
      <b/>
      <sz val="10"/>
      <color rgb="FF0070C0"/>
      <name val="Times New Roman"/>
      <family val="1"/>
    </font>
    <font>
      <b/>
      <sz val="11"/>
      <color rgb="FF0070C0"/>
      <name val="Times New Roman"/>
      <family val="1"/>
    </font>
    <font>
      <sz val="10"/>
      <color rgb="FF0070C0"/>
      <name val="Times New Roman"/>
      <family val="1"/>
    </font>
    <font>
      <sz val="10"/>
      <color rgb="FFC00000"/>
      <name val="Times New Roman"/>
      <family val="1"/>
    </font>
    <font>
      <sz val="10"/>
      <color theme="9" tint="-0.499984740745262"/>
      <name val="Times New Roman"/>
      <family val="1"/>
    </font>
    <font>
      <vertAlign val="subscript"/>
      <sz val="10"/>
      <name val="Times New Roman"/>
      <family val="1"/>
    </font>
    <font>
      <sz val="9"/>
      <color theme="5" tint="-0.249977111117893"/>
      <name val="Times New Roman"/>
      <family val="1"/>
    </font>
    <font>
      <sz val="10"/>
      <color theme="2" tint="-0.499984740745262"/>
      <name val="Times New Roman"/>
      <family val="1"/>
    </font>
    <font>
      <sz val="8"/>
      <color theme="2" tint="-0.499984740745262"/>
      <name val="Times New Roman"/>
      <family val="1"/>
    </font>
    <font>
      <sz val="11"/>
      <name val="Calibri"/>
      <family val="2"/>
    </font>
    <font>
      <i/>
      <vertAlign val="subscript"/>
      <sz val="11"/>
      <name val="Times New Roman"/>
      <family val="1"/>
    </font>
    <font>
      <sz val="10"/>
      <color rgb="FFFF0000"/>
      <name val="Arial"/>
      <family val="2"/>
    </font>
    <font>
      <sz val="12"/>
      <name val="Calibri"/>
      <family val="2"/>
    </font>
    <font>
      <sz val="10"/>
      <color rgb="FFFF0000"/>
      <name val="Calibri"/>
      <family val="2"/>
    </font>
    <font>
      <sz val="9"/>
      <color theme="3" tint="0.39997558519241921"/>
      <name val="Arial"/>
      <family val="2"/>
    </font>
    <font>
      <b/>
      <sz val="10"/>
      <color theme="3" tint="0.39997558519241921"/>
      <name val="Arial"/>
      <family val="2"/>
    </font>
    <font>
      <vertAlign val="subscript"/>
      <sz val="10"/>
      <name val="Cambria"/>
      <family val="1"/>
    </font>
    <font>
      <sz val="10"/>
      <name val="Cambria"/>
      <family val="1"/>
    </font>
    <font>
      <vertAlign val="superscript"/>
      <sz val="10"/>
      <name val="Arial"/>
      <family val="2"/>
    </font>
    <font>
      <vertAlign val="subscript"/>
      <sz val="10"/>
      <name val="Arial"/>
      <family val="2"/>
    </font>
    <font>
      <vertAlign val="subscript"/>
      <sz val="9"/>
      <name val="Arial"/>
      <family val="2"/>
    </font>
    <font>
      <sz val="10"/>
      <color theme="1" tint="0.499984740745262"/>
      <name val="Arial"/>
      <family val="2"/>
    </font>
    <font>
      <sz val="10"/>
      <color theme="2" tint="-0.499984740745262"/>
      <name val="Arial"/>
      <family val="2"/>
    </font>
    <font>
      <b/>
      <sz val="10"/>
      <color theme="1"/>
      <name val="Cambria"/>
      <family val="1"/>
      <scheme val="major"/>
    </font>
    <font>
      <sz val="9"/>
      <color theme="6" tint="-0.499984740745262"/>
      <name val="Times New Roman"/>
      <family val="1"/>
    </font>
    <font>
      <sz val="11"/>
      <color theme="5" tint="-0.499984740745262"/>
      <name val="Times New Roman"/>
      <family val="1"/>
    </font>
    <font>
      <b/>
      <sz val="12"/>
      <name val="Cambria"/>
      <family val="1"/>
      <scheme val="major"/>
    </font>
    <font>
      <b/>
      <sz val="8"/>
      <color rgb="FF0E4E14"/>
      <name val="Arial"/>
      <family val="2"/>
    </font>
    <font>
      <b/>
      <sz val="10"/>
      <color theme="2" tint="-0.499984740745262"/>
      <name val="Times New Roman"/>
      <family val="1"/>
    </font>
    <font>
      <sz val="10"/>
      <color theme="1"/>
      <name val="Cambria"/>
      <family val="1"/>
      <scheme val="major"/>
    </font>
    <font>
      <b/>
      <i/>
      <sz val="12"/>
      <name val="Cambria"/>
      <family val="1"/>
      <scheme val="major"/>
    </font>
    <font>
      <b/>
      <i/>
      <vertAlign val="subscript"/>
      <sz val="12"/>
      <name val="Cambria"/>
      <family val="1"/>
      <scheme val="major"/>
    </font>
    <font>
      <vertAlign val="subscript"/>
      <sz val="12"/>
      <name val="Cambria"/>
      <family val="1"/>
      <scheme val="major"/>
    </font>
    <font>
      <sz val="10"/>
      <color theme="4" tint="-0.249977111117893"/>
      <name val="Times New Roman"/>
      <family val="1"/>
    </font>
    <font>
      <b/>
      <sz val="10"/>
      <color theme="4" tint="-0.249977111117893"/>
      <name val="Times New Roman"/>
      <family val="1"/>
    </font>
    <font>
      <i/>
      <sz val="10"/>
      <name val="Cambria"/>
      <family val="1"/>
      <scheme val="major"/>
    </font>
    <font>
      <sz val="10"/>
      <name val="Cambria"/>
      <family val="1"/>
      <scheme val="major"/>
    </font>
    <font>
      <b/>
      <sz val="8"/>
      <name val="Cambria"/>
      <family val="1"/>
      <scheme val="major"/>
    </font>
    <font>
      <sz val="10"/>
      <color theme="3" tint="-0.249977111117893"/>
      <name val="Arial"/>
      <family val="2"/>
    </font>
    <font>
      <b/>
      <sz val="10"/>
      <color theme="3" tint="-0.249977111117893"/>
      <name val="Arial"/>
      <family val="2"/>
    </font>
    <font>
      <i/>
      <sz val="9"/>
      <name val="Cambria"/>
      <family val="1"/>
      <scheme val="major"/>
    </font>
    <font>
      <b/>
      <sz val="11"/>
      <name val="Cambria"/>
      <family val="1"/>
      <scheme val="major"/>
    </font>
    <font>
      <b/>
      <sz val="11"/>
      <color theme="5" tint="-0.249977111117893"/>
      <name val="Cambria"/>
      <family val="1"/>
      <scheme val="major"/>
    </font>
    <font>
      <b/>
      <sz val="10"/>
      <color theme="5" tint="-0.249977111117893"/>
      <name val="Arial"/>
      <family val="2"/>
    </font>
    <font>
      <sz val="11"/>
      <color theme="1"/>
      <name val="Cambria"/>
      <family val="1"/>
      <scheme val="major"/>
    </font>
    <font>
      <b/>
      <sz val="11"/>
      <color theme="1"/>
      <name val="Cambria"/>
      <family val="1"/>
      <scheme val="major"/>
    </font>
    <font>
      <b/>
      <i/>
      <sz val="10"/>
      <name val="Cambria"/>
      <family val="1"/>
      <scheme val="major"/>
    </font>
    <font>
      <b/>
      <sz val="10"/>
      <color theme="6" tint="-0.249977111117893"/>
      <name val="Times New Roman"/>
      <family val="1"/>
    </font>
    <font>
      <sz val="10"/>
      <color theme="6" tint="-0.249977111117893"/>
      <name val="Times New Roman"/>
      <family val="1"/>
    </font>
    <font>
      <b/>
      <sz val="11"/>
      <color theme="6" tint="-0.249977111117893"/>
      <name val="Times New Roman"/>
      <family val="1"/>
    </font>
    <font>
      <b/>
      <sz val="11"/>
      <color theme="4" tint="-0.249977111117893"/>
      <name val="Times New Roman"/>
      <family val="1"/>
    </font>
    <font>
      <sz val="9"/>
      <color indexed="81"/>
      <name val="Tahoma"/>
      <family val="2"/>
    </font>
    <font>
      <b/>
      <sz val="9"/>
      <color indexed="81"/>
      <name val="Tahoma"/>
      <family val="2"/>
    </font>
    <font>
      <sz val="10"/>
      <color theme="1"/>
      <name val="Times New Roman"/>
      <family val="1"/>
    </font>
    <font>
      <sz val="11"/>
      <name val="Symbol"/>
      <family val="1"/>
      <charset val="2"/>
    </font>
    <font>
      <b/>
      <sz val="11"/>
      <color indexed="12"/>
      <name val="Cambria"/>
      <family val="1"/>
      <scheme val="major"/>
    </font>
    <font>
      <b/>
      <sz val="11"/>
      <color theme="3"/>
      <name val="Times New Roman"/>
      <family val="1"/>
    </font>
    <font>
      <b/>
      <sz val="10"/>
      <color theme="6" tint="-0.499984740745262"/>
      <name val="Cambria"/>
      <family val="1"/>
      <scheme val="major"/>
    </font>
    <font>
      <b/>
      <sz val="10"/>
      <color rgb="FFFF0000"/>
      <name val="Arial"/>
      <family val="2"/>
    </font>
    <font>
      <b/>
      <sz val="9"/>
      <color theme="3" tint="-0.249977111117893"/>
      <name val="Times New Roman"/>
      <family val="1"/>
    </font>
  </fonts>
  <fills count="38">
    <fill>
      <patternFill patternType="none"/>
    </fill>
    <fill>
      <patternFill patternType="gray125"/>
    </fill>
    <fill>
      <patternFill patternType="solid">
        <fgColor indexed="13"/>
        <bgColor indexed="64"/>
      </patternFill>
    </fill>
    <fill>
      <patternFill patternType="solid">
        <fgColor indexed="22"/>
        <bgColor indexed="64"/>
      </patternFill>
    </fill>
    <fill>
      <patternFill patternType="solid">
        <fgColor indexed="47"/>
        <bgColor indexed="64"/>
      </patternFill>
    </fill>
    <fill>
      <patternFill patternType="solid">
        <fgColor indexed="41"/>
        <bgColor indexed="64"/>
      </patternFill>
    </fill>
    <fill>
      <patternFill patternType="solid">
        <fgColor indexed="26"/>
        <bgColor indexed="64"/>
      </patternFill>
    </fill>
    <fill>
      <patternFill patternType="solid">
        <fgColor indexed="42"/>
        <bgColor indexed="64"/>
      </patternFill>
    </fill>
    <fill>
      <patternFill patternType="solid">
        <fgColor indexed="43"/>
        <bgColor indexed="64"/>
      </patternFill>
    </fill>
    <fill>
      <patternFill patternType="solid">
        <fgColor indexed="46"/>
        <bgColor indexed="64"/>
      </patternFill>
    </fill>
    <fill>
      <patternFill patternType="solid">
        <fgColor indexed="10"/>
        <bgColor indexed="64"/>
      </patternFill>
    </fill>
    <fill>
      <patternFill patternType="solid">
        <fgColor indexed="17"/>
        <bgColor indexed="64"/>
      </patternFill>
    </fill>
    <fill>
      <patternFill patternType="solid">
        <fgColor indexed="50"/>
        <bgColor indexed="64"/>
      </patternFill>
    </fill>
    <fill>
      <patternFill patternType="solid">
        <fgColor indexed="11"/>
        <bgColor indexed="64"/>
      </patternFill>
    </fill>
    <fill>
      <patternFill patternType="solid">
        <fgColor indexed="49"/>
        <bgColor indexed="64"/>
      </patternFill>
    </fill>
    <fill>
      <patternFill patternType="solid">
        <fgColor theme="4" tint="0.79998168889431442"/>
        <bgColor indexed="64"/>
      </patternFill>
    </fill>
    <fill>
      <patternFill patternType="solid">
        <fgColor theme="9" tint="0.59999389629810485"/>
        <bgColor indexed="64"/>
      </patternFill>
    </fill>
    <fill>
      <patternFill patternType="solid">
        <fgColor theme="0" tint="-0.14999847407452621"/>
        <bgColor indexed="64"/>
      </patternFill>
    </fill>
    <fill>
      <patternFill patternType="solid">
        <fgColor theme="3" tint="0.39997558519241921"/>
        <bgColor indexed="64"/>
      </patternFill>
    </fill>
    <fill>
      <patternFill patternType="solid">
        <fgColor theme="0" tint="-4.9989318521683403E-2"/>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5" tint="0.59999389629810485"/>
        <bgColor indexed="64"/>
      </patternFill>
    </fill>
    <fill>
      <patternFill patternType="solid">
        <fgColor theme="6" tint="0.39997558519241921"/>
        <bgColor indexed="64"/>
      </patternFill>
    </fill>
    <fill>
      <patternFill patternType="solid">
        <fgColor theme="6"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4" tint="0.39997558519241921"/>
        <bgColor indexed="64"/>
      </patternFill>
    </fill>
    <fill>
      <patternFill patternType="solid">
        <fgColor theme="8" tint="0.59999389629810485"/>
        <bgColor indexed="64"/>
      </patternFill>
    </fill>
    <fill>
      <patternFill patternType="solid">
        <fgColor theme="0"/>
        <bgColor indexed="64"/>
      </patternFill>
    </fill>
    <fill>
      <patternFill patternType="solid">
        <fgColor theme="2" tint="-9.9978637043366805E-2"/>
        <bgColor indexed="64"/>
      </patternFill>
    </fill>
    <fill>
      <patternFill patternType="solid">
        <fgColor rgb="FFFFC000"/>
        <bgColor indexed="64"/>
      </patternFill>
    </fill>
    <fill>
      <patternFill patternType="solid">
        <fgColor rgb="FFFFFF00"/>
        <bgColor indexed="64"/>
      </patternFill>
    </fill>
    <fill>
      <patternFill patternType="solid">
        <fgColor theme="8" tint="0.79998168889431442"/>
        <bgColor indexed="64"/>
      </patternFill>
    </fill>
    <fill>
      <patternFill patternType="solid">
        <fgColor rgb="FFCCECFF"/>
        <bgColor indexed="64"/>
      </patternFill>
    </fill>
    <fill>
      <patternFill patternType="solid">
        <fgColor rgb="FFE5DAB5"/>
        <bgColor indexed="64"/>
      </patternFill>
    </fill>
    <fill>
      <patternFill patternType="solid">
        <fgColor rgb="FFF3FAFF"/>
        <bgColor indexed="64"/>
      </patternFill>
    </fill>
  </fills>
  <borders count="196">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right/>
      <top style="thin">
        <color indexed="64"/>
      </top>
      <bottom style="medium">
        <color indexed="64"/>
      </bottom>
      <diagonal/>
    </border>
    <border>
      <left/>
      <right/>
      <top/>
      <bottom style="double">
        <color indexed="64"/>
      </bottom>
      <diagonal/>
    </border>
    <border>
      <left style="thin">
        <color indexed="64"/>
      </left>
      <right/>
      <top/>
      <bottom/>
      <diagonal/>
    </border>
    <border>
      <left style="thin">
        <color indexed="64"/>
      </left>
      <right/>
      <top/>
      <bottom style="thin">
        <color indexed="64"/>
      </bottom>
      <diagonal/>
    </border>
    <border>
      <left style="thin">
        <color indexed="64"/>
      </left>
      <right style="thin">
        <color indexed="64"/>
      </right>
      <top style="thin">
        <color indexed="64"/>
      </top>
      <bottom style="double">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right style="thin">
        <color indexed="64"/>
      </right>
      <top/>
      <bottom style="thin">
        <color indexed="64"/>
      </bottom>
      <diagonal/>
    </border>
    <border>
      <left/>
      <right/>
      <top style="thin">
        <color indexed="64"/>
      </top>
      <bottom style="double">
        <color indexed="64"/>
      </bottom>
      <diagonal/>
    </border>
    <border>
      <left style="thin">
        <color indexed="64"/>
      </left>
      <right style="thin">
        <color indexed="64"/>
      </right>
      <top/>
      <bottom style="thin">
        <color indexed="64"/>
      </bottom>
      <diagonal/>
    </border>
    <border>
      <left/>
      <right style="medium">
        <color indexed="64"/>
      </right>
      <top style="medium">
        <color indexed="64"/>
      </top>
      <bottom style="thin">
        <color indexed="64"/>
      </bottom>
      <diagonal/>
    </border>
    <border>
      <left/>
      <right style="medium">
        <color indexed="64"/>
      </right>
      <top/>
      <bottom/>
      <diagonal/>
    </border>
    <border>
      <left style="medium">
        <color indexed="64"/>
      </left>
      <right style="thin">
        <color indexed="64"/>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style="thin">
        <color indexed="64"/>
      </bottom>
      <diagonal/>
    </border>
    <border>
      <left style="medium">
        <color indexed="64"/>
      </left>
      <right style="thin">
        <color indexed="64"/>
      </right>
      <top/>
      <bottom/>
      <diagonal/>
    </border>
    <border>
      <left/>
      <right style="thin">
        <color indexed="64"/>
      </right>
      <top style="thin">
        <color indexed="64"/>
      </top>
      <bottom style="double">
        <color indexed="64"/>
      </bottom>
      <diagonal/>
    </border>
    <border>
      <left style="medium">
        <color indexed="64"/>
      </left>
      <right/>
      <top/>
      <bottom/>
      <diagonal/>
    </border>
    <border>
      <left/>
      <right/>
      <top style="double">
        <color indexed="64"/>
      </top>
      <bottom/>
      <diagonal/>
    </border>
    <border>
      <left style="hair">
        <color indexed="64"/>
      </left>
      <right style="hair">
        <color indexed="64"/>
      </right>
      <top style="double">
        <color indexed="64"/>
      </top>
      <bottom/>
      <diagonal/>
    </border>
    <border>
      <left/>
      <right style="hair">
        <color indexed="64"/>
      </right>
      <top style="double">
        <color indexed="64"/>
      </top>
      <bottom/>
      <diagonal/>
    </border>
    <border>
      <left/>
      <right style="double">
        <color indexed="64"/>
      </right>
      <top style="double">
        <color indexed="64"/>
      </top>
      <bottom/>
      <diagonal/>
    </border>
    <border>
      <left style="thin">
        <color indexed="64"/>
      </left>
      <right/>
      <top style="double">
        <color indexed="64"/>
      </top>
      <bottom style="hair">
        <color indexed="64"/>
      </bottom>
      <diagonal/>
    </border>
    <border>
      <left/>
      <right/>
      <top style="double">
        <color indexed="64"/>
      </top>
      <bottom style="hair">
        <color indexed="64"/>
      </bottom>
      <diagonal/>
    </border>
    <border>
      <left/>
      <right style="double">
        <color indexed="64"/>
      </right>
      <top style="double">
        <color indexed="64"/>
      </top>
      <bottom style="hair">
        <color indexed="64"/>
      </bottom>
      <diagonal/>
    </border>
    <border>
      <left style="hair">
        <color indexed="64"/>
      </left>
      <right style="hair">
        <color indexed="64"/>
      </right>
      <top/>
      <bottom/>
      <diagonal/>
    </border>
    <border>
      <left/>
      <right style="hair">
        <color indexed="64"/>
      </right>
      <top/>
      <bottom/>
      <diagonal/>
    </border>
    <border>
      <left/>
      <right style="double">
        <color indexed="64"/>
      </right>
      <top/>
      <bottom/>
      <diagonal/>
    </border>
    <border>
      <left style="thin">
        <color indexed="64"/>
      </left>
      <right/>
      <top/>
      <bottom style="hair">
        <color indexed="64"/>
      </bottom>
      <diagonal/>
    </border>
    <border>
      <left/>
      <right/>
      <top/>
      <bottom style="hair">
        <color indexed="64"/>
      </bottom>
      <diagonal/>
    </border>
    <border>
      <left/>
      <right style="hair">
        <color indexed="64"/>
      </right>
      <top/>
      <bottom style="hair">
        <color indexed="64"/>
      </bottom>
      <diagonal/>
    </border>
    <border>
      <left/>
      <right style="double">
        <color indexed="64"/>
      </right>
      <top/>
      <bottom style="hair">
        <color indexed="64"/>
      </bottom>
      <diagonal/>
    </border>
    <border>
      <left style="hair">
        <color indexed="64"/>
      </left>
      <right style="hair">
        <color indexed="64"/>
      </right>
      <top/>
      <bottom style="double">
        <color indexed="64"/>
      </bottom>
      <diagonal/>
    </border>
    <border>
      <left/>
      <right style="hair">
        <color indexed="64"/>
      </right>
      <top/>
      <bottom style="double">
        <color indexed="64"/>
      </bottom>
      <diagonal/>
    </border>
    <border>
      <left/>
      <right style="double">
        <color indexed="64"/>
      </right>
      <top/>
      <bottom style="double">
        <color indexed="64"/>
      </bottom>
      <diagonal/>
    </border>
    <border>
      <left style="hair">
        <color indexed="64"/>
      </left>
      <right style="double">
        <color indexed="64"/>
      </right>
      <top/>
      <bottom style="double">
        <color indexed="64"/>
      </bottom>
      <diagonal/>
    </border>
    <border>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double">
        <color indexed="64"/>
      </left>
      <right/>
      <top/>
      <bottom style="hair">
        <color indexed="64"/>
      </bottom>
      <diagonal/>
    </border>
    <border>
      <left style="hair">
        <color indexed="64"/>
      </left>
      <right/>
      <top/>
      <bottom style="hair">
        <color indexed="64"/>
      </bottom>
      <diagonal/>
    </border>
    <border>
      <left style="hair">
        <color indexed="64"/>
      </left>
      <right style="hair">
        <color indexed="64"/>
      </right>
      <top/>
      <bottom style="hair">
        <color indexed="64"/>
      </bottom>
      <diagonal/>
    </border>
    <border>
      <left style="hair">
        <color indexed="64"/>
      </left>
      <right/>
      <top/>
      <bottom/>
      <diagonal/>
    </border>
    <border>
      <left style="double">
        <color indexed="64"/>
      </left>
      <right style="hair">
        <color indexed="64"/>
      </right>
      <top/>
      <bottom style="hair">
        <color indexed="64"/>
      </bottom>
      <diagonal/>
    </border>
    <border>
      <left/>
      <right style="medium">
        <color indexed="64"/>
      </right>
      <top style="thin">
        <color indexed="64"/>
      </top>
      <bottom style="thin">
        <color indexed="64"/>
      </bottom>
      <diagonal/>
    </border>
    <border>
      <left style="medium">
        <color indexed="64"/>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medium">
        <color indexed="64"/>
      </left>
      <right style="medium">
        <color indexed="64"/>
      </right>
      <top/>
      <bottom style="medium">
        <color indexed="64"/>
      </bottom>
      <diagonal/>
    </border>
    <border>
      <left style="hair">
        <color indexed="64"/>
      </left>
      <right/>
      <top style="hair">
        <color indexed="64"/>
      </top>
      <bottom style="hair">
        <color indexed="64"/>
      </bottom>
      <diagonal/>
    </border>
    <border>
      <left/>
      <right/>
      <top style="hair">
        <color indexed="64"/>
      </top>
      <bottom style="hair">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bottom style="double">
        <color indexed="64"/>
      </bottom>
      <diagonal/>
    </border>
    <border>
      <left/>
      <right style="thin">
        <color indexed="64"/>
      </right>
      <top/>
      <bottom style="double">
        <color indexed="64"/>
      </bottom>
      <diagonal/>
    </border>
    <border>
      <left style="double">
        <color indexed="64"/>
      </left>
      <right/>
      <top style="double">
        <color indexed="64"/>
      </top>
      <bottom style="hair">
        <color indexed="64"/>
      </bottom>
      <diagonal/>
    </border>
    <border>
      <left style="double">
        <color indexed="64"/>
      </left>
      <right style="hair">
        <color indexed="64"/>
      </right>
      <top/>
      <bottom/>
      <diagonal/>
    </border>
    <border>
      <left/>
      <right/>
      <top/>
      <bottom style="thin">
        <color theme="4" tint="-0.499984740745262"/>
      </bottom>
      <diagonal/>
    </border>
    <border>
      <left/>
      <right/>
      <top style="thin">
        <color theme="4" tint="-0.499984740745262"/>
      </top>
      <bottom/>
      <diagonal/>
    </border>
    <border>
      <left/>
      <right style="hair">
        <color indexed="64"/>
      </right>
      <top/>
      <bottom style="thin">
        <color theme="4" tint="-0.499984740745262"/>
      </bottom>
      <diagonal/>
    </border>
    <border>
      <left/>
      <right/>
      <top style="medium">
        <color theme="4" tint="-0.249977111117893"/>
      </top>
      <bottom/>
      <diagonal/>
    </border>
    <border>
      <left style="medium">
        <color theme="4" tint="-0.249977111117893"/>
      </left>
      <right/>
      <top/>
      <bottom/>
      <diagonal/>
    </border>
    <border>
      <left/>
      <right style="medium">
        <color theme="4" tint="-0.249977111117893"/>
      </right>
      <top/>
      <bottom/>
      <diagonal/>
    </border>
    <border>
      <left style="medium">
        <color theme="4" tint="-0.249977111117893"/>
      </left>
      <right/>
      <top/>
      <bottom style="thin">
        <color theme="4" tint="-0.499984740745262"/>
      </bottom>
      <diagonal/>
    </border>
    <border>
      <left/>
      <right style="medium">
        <color theme="4" tint="-0.249977111117893"/>
      </right>
      <top/>
      <bottom style="thin">
        <color theme="4" tint="-0.499984740745262"/>
      </bottom>
      <diagonal/>
    </border>
    <border>
      <left style="hair">
        <color indexed="64"/>
      </left>
      <right style="medium">
        <color theme="4" tint="-0.249977111117893"/>
      </right>
      <top/>
      <bottom style="thin">
        <color theme="4" tint="-0.499984740745262"/>
      </bottom>
      <diagonal/>
    </border>
    <border>
      <left/>
      <right style="medium">
        <color theme="4" tint="-0.249977111117893"/>
      </right>
      <top style="thin">
        <color theme="4" tint="-0.499984740745262"/>
      </top>
      <bottom style="thin">
        <color theme="4" tint="-0.499984740745262"/>
      </bottom>
      <diagonal/>
    </border>
    <border>
      <left style="medium">
        <color theme="4" tint="-0.249977111117893"/>
      </left>
      <right/>
      <top/>
      <bottom style="medium">
        <color theme="4" tint="-0.249977111117893"/>
      </bottom>
      <diagonal/>
    </border>
    <border>
      <left/>
      <right/>
      <top style="thin">
        <color theme="4" tint="-0.499984740745262"/>
      </top>
      <bottom style="medium">
        <color theme="4" tint="-0.249977111117893"/>
      </bottom>
      <diagonal/>
    </border>
    <border>
      <left/>
      <right/>
      <top/>
      <bottom style="medium">
        <color theme="4" tint="-0.249977111117893"/>
      </bottom>
      <diagonal/>
    </border>
    <border>
      <left/>
      <right style="medium">
        <color theme="4" tint="-0.249977111117893"/>
      </right>
      <top/>
      <bottom style="medium">
        <color theme="4" tint="-0.249977111117893"/>
      </bottom>
      <diagonal/>
    </border>
    <border>
      <left style="thin">
        <color theme="4" tint="-0.499984740745262"/>
      </left>
      <right/>
      <top/>
      <bottom style="thin">
        <color theme="4" tint="-0.499984740745262"/>
      </bottom>
      <diagonal/>
    </border>
    <border>
      <left style="thin">
        <color indexed="64"/>
      </left>
      <right/>
      <top style="thin">
        <color theme="4" tint="-0.499984740745262"/>
      </top>
      <bottom style="thin">
        <color theme="4" tint="-0.499984740745262"/>
      </bottom>
      <diagonal/>
    </border>
    <border>
      <left style="thin">
        <color theme="4" tint="-0.499984740745262"/>
      </left>
      <right style="thin">
        <color theme="4" tint="-0.499984740745262"/>
      </right>
      <top style="thin">
        <color theme="4" tint="-0.499984740745262"/>
      </top>
      <bottom style="thin">
        <color theme="4" tint="-0.499984740745262"/>
      </bottom>
      <diagonal/>
    </border>
    <border>
      <left/>
      <right style="thin">
        <color theme="3" tint="0.39997558519241921"/>
      </right>
      <top/>
      <bottom style="thin">
        <color theme="3" tint="0.39997558519241921"/>
      </bottom>
      <diagonal/>
    </border>
    <border>
      <left style="medium">
        <color theme="4" tint="-0.249977111117893"/>
      </left>
      <right style="thin">
        <color indexed="64"/>
      </right>
      <top style="thin">
        <color theme="4" tint="-0.499984740745262"/>
      </top>
      <bottom style="thin">
        <color theme="4" tint="-0.499984740745262"/>
      </bottom>
      <diagonal/>
    </border>
    <border>
      <left style="thin">
        <color theme="3" tint="-0.249977111117893"/>
      </left>
      <right style="thin">
        <color theme="3" tint="-0.249977111117893"/>
      </right>
      <top style="thin">
        <color theme="3" tint="-0.249977111117893"/>
      </top>
      <bottom style="thin">
        <color theme="3" tint="-0.249977111117893"/>
      </bottom>
      <diagonal/>
    </border>
    <border>
      <left style="thin">
        <color theme="3" tint="-0.249977111117893"/>
      </left>
      <right style="thin">
        <color theme="3" tint="-0.249977111117893"/>
      </right>
      <top/>
      <bottom style="thin">
        <color theme="3" tint="-0.249977111117893"/>
      </bottom>
      <diagonal/>
    </border>
    <border>
      <left/>
      <right/>
      <top/>
      <bottom style="thin">
        <color theme="3" tint="-0.249977111117893"/>
      </bottom>
      <diagonal/>
    </border>
    <border>
      <left/>
      <right style="thin">
        <color indexed="64"/>
      </right>
      <top/>
      <bottom style="thin">
        <color theme="3" tint="-0.249977111117893"/>
      </bottom>
      <diagonal/>
    </border>
    <border>
      <left/>
      <right/>
      <top style="thin">
        <color theme="4" tint="-0.499984740745262"/>
      </top>
      <bottom style="double">
        <color indexed="64"/>
      </bottom>
      <diagonal/>
    </border>
    <border>
      <left style="thin">
        <color theme="4" tint="-0.499984740745262"/>
      </left>
      <right/>
      <top/>
      <bottom/>
      <diagonal/>
    </border>
    <border>
      <left style="thin">
        <color theme="3" tint="0.39997558519241921"/>
      </left>
      <right style="thin">
        <color theme="3" tint="0.39997558519241921"/>
      </right>
      <top style="thin">
        <color theme="3" tint="0.39997558519241921"/>
      </top>
      <bottom style="thin">
        <color theme="3" tint="0.39997558519241921"/>
      </bottom>
      <diagonal/>
    </border>
    <border>
      <left style="medium">
        <color theme="4" tint="-0.249977111117893"/>
      </left>
      <right/>
      <top/>
      <bottom style="thin">
        <color theme="3" tint="0.39997558519241921"/>
      </bottom>
      <diagonal/>
    </border>
    <border>
      <left/>
      <right/>
      <top/>
      <bottom style="thin">
        <color theme="3" tint="0.39997558519241921"/>
      </bottom>
      <diagonal/>
    </border>
    <border>
      <left style="thin">
        <color theme="3" tint="0.59999389629810485"/>
      </left>
      <right style="thin">
        <color theme="3" tint="0.59999389629810485"/>
      </right>
      <top style="thin">
        <color theme="3" tint="0.59999389629810485"/>
      </top>
      <bottom style="thin">
        <color theme="3" tint="0.59999389629810485"/>
      </bottom>
      <diagonal/>
    </border>
    <border>
      <left/>
      <right/>
      <top/>
      <bottom style="thin">
        <color theme="3" tint="0.59999389629810485"/>
      </bottom>
      <diagonal/>
    </border>
    <border>
      <left style="medium">
        <color theme="4" tint="-0.249977111117893"/>
      </left>
      <right style="thin">
        <color theme="3" tint="0.59999389629810485"/>
      </right>
      <top style="thin">
        <color theme="3" tint="0.59999389629810485"/>
      </top>
      <bottom style="thin">
        <color theme="3" tint="0.59999389629810485"/>
      </bottom>
      <diagonal/>
    </border>
    <border>
      <left style="thin">
        <color theme="3" tint="0.59999389629810485"/>
      </left>
      <right style="medium">
        <color theme="4" tint="-0.249977111117893"/>
      </right>
      <top style="thin">
        <color theme="3" tint="0.59999389629810485"/>
      </top>
      <bottom style="thin">
        <color theme="3" tint="0.59999389629810485"/>
      </bottom>
      <diagonal/>
    </border>
    <border>
      <left style="thin">
        <color theme="3" tint="0.59999389629810485"/>
      </left>
      <right style="thin">
        <color theme="3" tint="0.59999389629810485"/>
      </right>
      <top/>
      <bottom style="thin">
        <color theme="3" tint="0.59999389629810485"/>
      </bottom>
      <diagonal/>
    </border>
    <border>
      <left style="thin">
        <color theme="3" tint="0.39997558519241921"/>
      </left>
      <right/>
      <top/>
      <bottom style="thin">
        <color indexed="64"/>
      </bottom>
      <diagonal/>
    </border>
    <border>
      <left/>
      <right style="medium">
        <color theme="4" tint="-0.249977111117893"/>
      </right>
      <top/>
      <bottom style="thin">
        <color indexed="64"/>
      </bottom>
      <diagonal/>
    </border>
    <border>
      <left/>
      <right/>
      <top/>
      <bottom style="thin">
        <color theme="5" tint="0.39997558519241921"/>
      </bottom>
      <diagonal/>
    </border>
    <border>
      <left style="thin">
        <color theme="5" tint="0.39997558519241921"/>
      </left>
      <right style="thin">
        <color theme="5" tint="0.39997558519241921"/>
      </right>
      <top style="thin">
        <color theme="5" tint="0.39997558519241921"/>
      </top>
      <bottom style="thin">
        <color theme="5" tint="0.39997558519241921"/>
      </bottom>
      <diagonal/>
    </border>
    <border>
      <left style="thin">
        <color theme="3" tint="0.59999389629810485"/>
      </left>
      <right style="thin">
        <color theme="3" tint="0.59999389629810485"/>
      </right>
      <top style="thin">
        <color theme="3" tint="0.59999389629810485"/>
      </top>
      <bottom/>
      <diagonal/>
    </border>
    <border>
      <left style="thin">
        <color theme="4" tint="-0.249977111117893"/>
      </left>
      <right style="thin">
        <color theme="4" tint="-0.249977111117893"/>
      </right>
      <top style="thin">
        <color theme="4" tint="-0.249977111117893"/>
      </top>
      <bottom style="thin">
        <color theme="4" tint="-0.249977111117893"/>
      </bottom>
      <diagonal/>
    </border>
    <border>
      <left style="thin">
        <color theme="5" tint="0.39997558519241921"/>
      </left>
      <right style="thin">
        <color theme="5" tint="0.39997558519241921"/>
      </right>
      <top style="thin">
        <color theme="5" tint="0.39997558519241921"/>
      </top>
      <bottom/>
      <diagonal/>
    </border>
    <border>
      <left style="thin">
        <color theme="5" tint="0.39997558519241921"/>
      </left>
      <right style="thin">
        <color theme="5" tint="0.39997558519241921"/>
      </right>
      <top/>
      <bottom style="thin">
        <color theme="5" tint="0.39997558519241921"/>
      </bottom>
      <diagonal/>
    </border>
    <border>
      <left/>
      <right/>
      <top style="thin">
        <color indexed="64"/>
      </top>
      <bottom style="thin">
        <color theme="3" tint="0.79998168889431442"/>
      </bottom>
      <diagonal/>
    </border>
    <border>
      <left style="thin">
        <color theme="3" tint="0.59999389629810485"/>
      </left>
      <right style="medium">
        <color theme="4" tint="-0.249977111117893"/>
      </right>
      <top style="thin">
        <color indexed="64"/>
      </top>
      <bottom style="thin">
        <color theme="3" tint="0.79998168889431442"/>
      </bottom>
      <diagonal/>
    </border>
    <border>
      <left/>
      <right style="thin">
        <color theme="3" tint="0.59999389629810485"/>
      </right>
      <top style="thin">
        <color theme="3" tint="0.59999389629810485"/>
      </top>
      <bottom style="thin">
        <color theme="3" tint="0.59999389629810485"/>
      </bottom>
      <diagonal/>
    </border>
    <border>
      <left/>
      <right style="thin">
        <color theme="3" tint="0.59999389629810485"/>
      </right>
      <top/>
      <bottom style="thin">
        <color theme="3" tint="0.59999389629810485"/>
      </bottom>
      <diagonal/>
    </border>
    <border>
      <left/>
      <right style="thin">
        <color theme="3" tint="0.59999389629810485"/>
      </right>
      <top/>
      <bottom/>
      <diagonal/>
    </border>
    <border>
      <left/>
      <right style="thin">
        <color theme="3" tint="0.59999389629810485"/>
      </right>
      <top style="thin">
        <color theme="3" tint="0.59999389629810485"/>
      </top>
      <bottom/>
      <diagonal/>
    </border>
    <border>
      <left style="medium">
        <color theme="4" tint="-0.249977111117893"/>
      </left>
      <right/>
      <top style="thin">
        <color indexed="64"/>
      </top>
      <bottom style="thin">
        <color theme="3" tint="0.39997558519241921"/>
      </bottom>
      <diagonal/>
    </border>
    <border>
      <left style="thin">
        <color theme="3" tint="0.39997558519241921"/>
      </left>
      <right/>
      <top style="thin">
        <color theme="3" tint="0.39997558519241921"/>
      </top>
      <bottom style="thin">
        <color theme="3" tint="0.39997558519241921"/>
      </bottom>
      <diagonal/>
    </border>
    <border>
      <left/>
      <right/>
      <top style="thin">
        <color theme="3" tint="0.39997558519241921"/>
      </top>
      <bottom style="thin">
        <color theme="3" tint="0.39997558519241921"/>
      </bottom>
      <diagonal/>
    </border>
    <border>
      <left/>
      <right style="thin">
        <color theme="3" tint="0.39997558519241921"/>
      </right>
      <top style="thin">
        <color theme="3" tint="0.39997558519241921"/>
      </top>
      <bottom style="thin">
        <color theme="3" tint="0.39997558519241921"/>
      </bottom>
      <diagonal/>
    </border>
    <border>
      <left style="thin">
        <color theme="3" tint="0.39997558519241921"/>
      </left>
      <right style="medium">
        <color theme="4" tint="-0.249977111117893"/>
      </right>
      <top style="thin">
        <color theme="3" tint="0.39997558519241921"/>
      </top>
      <bottom style="thin">
        <color theme="3" tint="0.39997558519241921"/>
      </bottom>
      <diagonal/>
    </border>
    <border>
      <left style="thin">
        <color theme="3" tint="0.39997558519241921"/>
      </left>
      <right style="thin">
        <color theme="3" tint="0.39997558519241921"/>
      </right>
      <top/>
      <bottom style="thin">
        <color theme="3" tint="0.39997558519241921"/>
      </bottom>
      <diagonal/>
    </border>
    <border>
      <left/>
      <right style="medium">
        <color theme="4" tint="-0.249977111117893"/>
      </right>
      <top/>
      <bottom style="thin">
        <color theme="3" tint="0.39997558519241921"/>
      </bottom>
      <diagonal/>
    </border>
    <border>
      <left style="thin">
        <color theme="3" tint="0.39997558519241921"/>
      </left>
      <right style="thin">
        <color theme="3" tint="0.39997558519241921"/>
      </right>
      <top/>
      <bottom/>
      <diagonal/>
    </border>
    <border>
      <left style="medium">
        <color theme="6" tint="-0.249977111117893"/>
      </left>
      <right style="medium">
        <color theme="6" tint="-0.249977111117893"/>
      </right>
      <top style="medium">
        <color theme="6" tint="-0.249977111117893"/>
      </top>
      <bottom style="medium">
        <color theme="6" tint="-0.249977111117893"/>
      </bottom>
      <diagonal/>
    </border>
    <border>
      <left style="medium">
        <color theme="6" tint="-0.249977111117893"/>
      </left>
      <right/>
      <top style="medium">
        <color theme="6" tint="-0.249977111117893"/>
      </top>
      <bottom/>
      <diagonal/>
    </border>
    <border>
      <left style="thin">
        <color indexed="64"/>
      </left>
      <right/>
      <top style="medium">
        <color theme="6" tint="-0.249977111117893"/>
      </top>
      <bottom/>
      <diagonal/>
    </border>
    <border>
      <left/>
      <right/>
      <top style="medium">
        <color theme="6" tint="-0.249977111117893"/>
      </top>
      <bottom/>
      <diagonal/>
    </border>
    <border>
      <left/>
      <right style="medium">
        <color theme="6" tint="-0.249977111117893"/>
      </right>
      <top style="medium">
        <color theme="6" tint="-0.249977111117893"/>
      </top>
      <bottom/>
      <diagonal/>
    </border>
    <border>
      <left style="medium">
        <color theme="6" tint="-0.249977111117893"/>
      </left>
      <right/>
      <top/>
      <bottom/>
      <diagonal/>
    </border>
    <border>
      <left/>
      <right style="medium">
        <color theme="6" tint="-0.249977111117893"/>
      </right>
      <top style="thin">
        <color indexed="64"/>
      </top>
      <bottom/>
      <diagonal/>
    </border>
    <border>
      <left/>
      <right style="medium">
        <color theme="6" tint="-0.249977111117893"/>
      </right>
      <top/>
      <bottom/>
      <diagonal/>
    </border>
    <border>
      <left/>
      <right style="medium">
        <color theme="6" tint="-0.249977111117893"/>
      </right>
      <top/>
      <bottom style="thin">
        <color indexed="64"/>
      </bottom>
      <diagonal/>
    </border>
    <border>
      <left style="medium">
        <color theme="6" tint="-0.249977111117893"/>
      </left>
      <right/>
      <top/>
      <bottom style="medium">
        <color theme="6" tint="-0.249977111117893"/>
      </bottom>
      <diagonal/>
    </border>
    <border>
      <left/>
      <right/>
      <top/>
      <bottom style="medium">
        <color theme="6" tint="-0.249977111117893"/>
      </bottom>
      <diagonal/>
    </border>
    <border>
      <left/>
      <right style="medium">
        <color theme="6" tint="-0.249977111117893"/>
      </right>
      <top/>
      <bottom style="medium">
        <color theme="6" tint="-0.249977111117893"/>
      </bottom>
      <diagonal/>
    </border>
    <border>
      <left style="slantDashDot">
        <color theme="6" tint="-0.249977111117893"/>
      </left>
      <right style="slantDashDot">
        <color theme="6" tint="-0.249977111117893"/>
      </right>
      <top style="slantDashDot">
        <color theme="6" tint="-0.249977111117893"/>
      </top>
      <bottom style="slantDashDot">
        <color theme="6" tint="-0.249977111117893"/>
      </bottom>
      <diagonal/>
    </border>
    <border>
      <left style="thin">
        <color theme="6" tint="-0.249977111117893"/>
      </left>
      <right style="thin">
        <color theme="6" tint="-0.249977111117893"/>
      </right>
      <top style="thin">
        <color theme="6" tint="-0.249977111117893"/>
      </top>
      <bottom style="thin">
        <color theme="6" tint="-0.249977111117893"/>
      </bottom>
      <diagonal/>
    </border>
    <border>
      <left style="thin">
        <color theme="6" tint="-0.249977111117893"/>
      </left>
      <right/>
      <top style="thin">
        <color theme="6" tint="-0.249977111117893"/>
      </top>
      <bottom/>
      <diagonal/>
    </border>
    <border>
      <left/>
      <right/>
      <top style="thin">
        <color theme="6" tint="-0.249977111117893"/>
      </top>
      <bottom/>
      <diagonal/>
    </border>
    <border>
      <left/>
      <right style="thin">
        <color theme="6" tint="-0.249977111117893"/>
      </right>
      <top style="thin">
        <color theme="6" tint="-0.249977111117893"/>
      </top>
      <bottom/>
      <diagonal/>
    </border>
    <border>
      <left style="thin">
        <color theme="6" tint="-0.249977111117893"/>
      </left>
      <right/>
      <top/>
      <bottom/>
      <diagonal/>
    </border>
    <border>
      <left/>
      <right style="thin">
        <color theme="6" tint="-0.249977111117893"/>
      </right>
      <top/>
      <bottom/>
      <diagonal/>
    </border>
    <border>
      <left style="thin">
        <color theme="6" tint="-0.249977111117893"/>
      </left>
      <right/>
      <top/>
      <bottom style="thin">
        <color theme="6" tint="-0.249977111117893"/>
      </bottom>
      <diagonal/>
    </border>
    <border>
      <left/>
      <right/>
      <top/>
      <bottom style="thin">
        <color theme="6" tint="-0.249977111117893"/>
      </bottom>
      <diagonal/>
    </border>
    <border>
      <left/>
      <right style="thin">
        <color theme="6" tint="-0.249977111117893"/>
      </right>
      <top/>
      <bottom style="thin">
        <color theme="6" tint="-0.249977111117893"/>
      </bottom>
      <diagonal/>
    </border>
    <border>
      <left style="thin">
        <color theme="6" tint="-0.249977111117893"/>
      </left>
      <right style="thin">
        <color theme="6" tint="-0.249977111117893"/>
      </right>
      <top style="thin">
        <color theme="6" tint="-0.249977111117893"/>
      </top>
      <bottom/>
      <diagonal/>
    </border>
    <border>
      <left style="thin">
        <color theme="6" tint="-0.249977111117893"/>
      </left>
      <right style="medium">
        <color theme="6" tint="-0.249977111117893"/>
      </right>
      <top style="thin">
        <color theme="6" tint="-0.249977111117893"/>
      </top>
      <bottom style="thin">
        <color theme="6" tint="-0.249977111117893"/>
      </bottom>
      <diagonal/>
    </border>
    <border>
      <left style="medium">
        <color theme="6" tint="-0.249977111117893"/>
      </left>
      <right/>
      <top/>
      <bottom style="thin">
        <color theme="6" tint="-0.249977111117893"/>
      </bottom>
      <diagonal/>
    </border>
    <border>
      <left style="medium">
        <color theme="6" tint="-0.249977111117893"/>
      </left>
      <right style="thin">
        <color theme="6" tint="-0.249977111117893"/>
      </right>
      <top style="thin">
        <color theme="5" tint="0.39997558519241921"/>
      </top>
      <bottom style="thin">
        <color theme="6" tint="-0.249977111117893"/>
      </bottom>
      <diagonal/>
    </border>
    <border>
      <left/>
      <right style="medium">
        <color theme="6" tint="-0.499984740745262"/>
      </right>
      <top/>
      <bottom/>
      <diagonal/>
    </border>
    <border>
      <left/>
      <right style="medium">
        <color theme="6" tint="-0.499984740745262"/>
      </right>
      <top/>
      <bottom style="thin">
        <color theme="3" tint="0.59999389629810485"/>
      </bottom>
      <diagonal/>
    </border>
    <border>
      <left style="thin">
        <color theme="3" tint="0.59999389629810485"/>
      </left>
      <right style="medium">
        <color theme="6" tint="-0.499984740745262"/>
      </right>
      <top style="thin">
        <color theme="3" tint="0.59999389629810485"/>
      </top>
      <bottom style="thin">
        <color theme="3" tint="0.59999389629810485"/>
      </bottom>
      <diagonal/>
    </border>
    <border>
      <left/>
      <right style="medium">
        <color theme="6" tint="-0.499984740745262"/>
      </right>
      <top/>
      <bottom style="thin">
        <color theme="6" tint="-0.249977111117893"/>
      </bottom>
      <diagonal/>
    </border>
    <border>
      <left/>
      <right style="medium">
        <color theme="6" tint="-0.499984740745262"/>
      </right>
      <top/>
      <bottom style="thin">
        <color theme="5" tint="0.39997558519241921"/>
      </bottom>
      <diagonal/>
    </border>
    <border>
      <left style="medium">
        <color theme="6" tint="-0.499984740745262"/>
      </left>
      <right/>
      <top/>
      <bottom style="medium">
        <color theme="6" tint="-0.499984740745262"/>
      </bottom>
      <diagonal/>
    </border>
    <border>
      <left style="medium">
        <color theme="6" tint="-0.499984740745262"/>
      </left>
      <right/>
      <top/>
      <bottom/>
      <diagonal/>
    </border>
    <border>
      <left/>
      <right style="medium">
        <color theme="4" tint="-0.249977111117893"/>
      </right>
      <top/>
      <bottom style="thin">
        <color theme="3" tint="0.59999389629810485"/>
      </bottom>
      <diagonal/>
    </border>
    <border>
      <left/>
      <right style="medium">
        <color theme="4" tint="-0.249977111117893"/>
      </right>
      <top style="thin">
        <color theme="3" tint="0.59999389629810485"/>
      </top>
      <bottom style="thin">
        <color theme="3" tint="0.59999389629810485"/>
      </bottom>
      <diagonal/>
    </border>
    <border>
      <left/>
      <right style="thin">
        <color theme="6" tint="-0.249977111117893"/>
      </right>
      <top style="thin">
        <color theme="6" tint="-0.249977111117893"/>
      </top>
      <bottom style="thin">
        <color theme="6" tint="-0.249977111117893"/>
      </bottom>
      <diagonal/>
    </border>
    <border>
      <left style="thin">
        <color theme="6" tint="-0.249977111117893"/>
      </left>
      <right style="thin">
        <color theme="6" tint="-0.249977111117893"/>
      </right>
      <top/>
      <bottom style="thin">
        <color theme="6" tint="-0.249977111117893"/>
      </bottom>
      <diagonal/>
    </border>
    <border>
      <left style="thin">
        <color theme="6" tint="-0.249977111117893"/>
      </left>
      <right/>
      <top style="thin">
        <color theme="6" tint="-0.249977111117893"/>
      </top>
      <bottom style="thin">
        <color theme="6" tint="-0.249977111117893"/>
      </bottom>
      <diagonal/>
    </border>
    <border>
      <left style="thin">
        <color rgb="FF0070C0"/>
      </left>
      <right/>
      <top style="thin">
        <color rgb="FF0070C0"/>
      </top>
      <bottom/>
      <diagonal/>
    </border>
    <border>
      <left/>
      <right/>
      <top style="thin">
        <color rgb="FF0070C0"/>
      </top>
      <bottom style="thin">
        <color theme="3" tint="0.59999389629810485"/>
      </bottom>
      <diagonal/>
    </border>
    <border>
      <left/>
      <right/>
      <top style="thin">
        <color rgb="FF0070C0"/>
      </top>
      <bottom style="thin">
        <color theme="5" tint="0.39997558519241921"/>
      </bottom>
      <diagonal/>
    </border>
    <border>
      <left/>
      <right style="thin">
        <color rgb="FF0070C0"/>
      </right>
      <top style="thin">
        <color rgb="FF0070C0"/>
      </top>
      <bottom/>
      <diagonal/>
    </border>
    <border>
      <left style="thin">
        <color rgb="FF0070C0"/>
      </left>
      <right/>
      <top/>
      <bottom/>
      <diagonal/>
    </border>
    <border>
      <left/>
      <right style="thin">
        <color rgb="FF0070C0"/>
      </right>
      <top/>
      <bottom/>
      <diagonal/>
    </border>
    <border>
      <left style="thin">
        <color rgb="FF0070C0"/>
      </left>
      <right/>
      <top/>
      <bottom style="thin">
        <color rgb="FF0070C0"/>
      </bottom>
      <diagonal/>
    </border>
    <border>
      <left/>
      <right/>
      <top/>
      <bottom style="thin">
        <color rgb="FF0070C0"/>
      </bottom>
      <diagonal/>
    </border>
    <border>
      <left/>
      <right style="thin">
        <color rgb="FF0070C0"/>
      </right>
      <top/>
      <bottom style="thin">
        <color rgb="FF0070C0"/>
      </bottom>
      <diagonal/>
    </border>
    <border>
      <left style="thin">
        <color rgb="FF0070C0"/>
      </left>
      <right style="thin">
        <color indexed="64"/>
      </right>
      <top/>
      <bottom style="thin">
        <color theme="6" tint="-0.249977111117893"/>
      </bottom>
      <diagonal/>
    </border>
    <border>
      <left style="thin">
        <color theme="6" tint="-0.499984740745262"/>
      </left>
      <right style="thin">
        <color theme="6" tint="-0.499984740745262"/>
      </right>
      <top style="thin">
        <color theme="6" tint="-0.499984740745262"/>
      </top>
      <bottom style="thin">
        <color theme="6" tint="-0.499984740745262"/>
      </bottom>
      <diagonal/>
    </border>
    <border>
      <left style="thin">
        <color theme="6" tint="-0.499984740745262"/>
      </left>
      <right style="thin">
        <color theme="6" tint="-0.499984740745262"/>
      </right>
      <top/>
      <bottom style="thin">
        <color theme="6" tint="-0.499984740745262"/>
      </bottom>
      <diagonal/>
    </border>
    <border>
      <left style="thin">
        <color theme="6" tint="-0.499984740745262"/>
      </left>
      <right/>
      <top style="thin">
        <color theme="6" tint="-0.499984740745262"/>
      </top>
      <bottom/>
      <diagonal/>
    </border>
    <border>
      <left/>
      <right/>
      <top style="thin">
        <color theme="6" tint="-0.499984740745262"/>
      </top>
      <bottom/>
      <diagonal/>
    </border>
    <border>
      <left/>
      <right style="thin">
        <color theme="6" tint="-0.499984740745262"/>
      </right>
      <top style="thin">
        <color theme="6" tint="-0.499984740745262"/>
      </top>
      <bottom/>
      <diagonal/>
    </border>
    <border>
      <left style="thin">
        <color theme="6" tint="-0.499984740745262"/>
      </left>
      <right/>
      <top/>
      <bottom/>
      <diagonal/>
    </border>
    <border>
      <left/>
      <right style="thin">
        <color theme="6" tint="-0.499984740745262"/>
      </right>
      <top/>
      <bottom/>
      <diagonal/>
    </border>
    <border>
      <left style="thin">
        <color theme="6" tint="-0.499984740745262"/>
      </left>
      <right/>
      <top/>
      <bottom style="thin">
        <color theme="6" tint="-0.499984740745262"/>
      </bottom>
      <diagonal/>
    </border>
    <border>
      <left/>
      <right/>
      <top/>
      <bottom style="thin">
        <color theme="6" tint="-0.499984740745262"/>
      </bottom>
      <diagonal/>
    </border>
    <border>
      <left/>
      <right style="thin">
        <color theme="6" tint="-0.499984740745262"/>
      </right>
      <top/>
      <bottom style="thin">
        <color theme="6" tint="-0.499984740745262"/>
      </bottom>
      <diagonal/>
    </border>
    <border>
      <left style="thin">
        <color theme="6" tint="-0.499984740745262"/>
      </left>
      <right/>
      <top style="thin">
        <color theme="6" tint="-0.499984740745262"/>
      </top>
      <bottom style="thin">
        <color theme="6" tint="-0.499984740745262"/>
      </bottom>
      <diagonal/>
    </border>
    <border>
      <left/>
      <right/>
      <top style="thin">
        <color theme="6" tint="-0.499984740745262"/>
      </top>
      <bottom style="thin">
        <color theme="6" tint="-0.499984740745262"/>
      </bottom>
      <diagonal/>
    </border>
    <border>
      <left/>
      <right style="thin">
        <color theme="6" tint="-0.499984740745262"/>
      </right>
      <top style="thin">
        <color theme="6" tint="-0.499984740745262"/>
      </top>
      <bottom style="thin">
        <color theme="6" tint="-0.499984740745262"/>
      </bottom>
      <diagonal/>
    </border>
    <border>
      <left/>
      <right style="thin">
        <color theme="4"/>
      </right>
      <top style="thin">
        <color theme="4"/>
      </top>
      <bottom style="thin">
        <color theme="3" tint="0.59999389629810485"/>
      </bottom>
      <diagonal/>
    </border>
    <border>
      <left/>
      <right style="thin">
        <color theme="4"/>
      </right>
      <top/>
      <bottom style="thin">
        <color theme="4"/>
      </bottom>
      <diagonal/>
    </border>
    <border>
      <left style="thin">
        <color theme="4"/>
      </left>
      <right style="thin">
        <color theme="4"/>
      </right>
      <top style="thin">
        <color theme="4"/>
      </top>
      <bottom style="thin">
        <color theme="3" tint="0.59999389629810485"/>
      </bottom>
      <diagonal/>
    </border>
    <border>
      <left style="thin">
        <color theme="4"/>
      </left>
      <right style="thin">
        <color theme="4"/>
      </right>
      <top/>
      <bottom style="thin">
        <color theme="4"/>
      </bottom>
      <diagonal/>
    </border>
    <border>
      <left style="medium">
        <color theme="4" tint="-0.249977111117893"/>
      </left>
      <right style="thin">
        <color theme="3" tint="0.59999389629810485"/>
      </right>
      <top/>
      <bottom style="thin">
        <color theme="3" tint="0.59999389629810485"/>
      </bottom>
      <diagonal/>
    </border>
    <border>
      <left style="thin">
        <color theme="3" tint="0.59999389629810485"/>
      </left>
      <right style="thin">
        <color theme="3" tint="0.59999389629810485"/>
      </right>
      <top/>
      <bottom/>
      <diagonal/>
    </border>
    <border>
      <left style="hair">
        <color indexed="64"/>
      </left>
      <right style="hair">
        <color indexed="64"/>
      </right>
      <top style="thin">
        <color indexed="64"/>
      </top>
      <bottom/>
      <diagonal/>
    </border>
    <border>
      <left style="medium">
        <color theme="4" tint="-0.249977111117893"/>
      </left>
      <right style="thin">
        <color theme="3" tint="0.59999389629810485"/>
      </right>
      <top style="thin">
        <color theme="3" tint="0.59999389629810485"/>
      </top>
      <bottom style="thin">
        <color indexed="64"/>
      </bottom>
      <diagonal/>
    </border>
    <border>
      <left style="thin">
        <color theme="3" tint="0.59999389629810485"/>
      </left>
      <right style="thin">
        <color theme="3" tint="0.59999389629810485"/>
      </right>
      <top style="thin">
        <color theme="3" tint="0.59999389629810485"/>
      </top>
      <bottom style="thin">
        <color indexed="64"/>
      </bottom>
      <diagonal/>
    </border>
    <border>
      <left style="medium">
        <color theme="4" tint="-0.249977111117893"/>
      </left>
      <right/>
      <top style="thin">
        <color indexed="64"/>
      </top>
      <bottom style="thin">
        <color theme="4" tint="-0.499984740745262"/>
      </bottom>
      <diagonal/>
    </border>
    <border>
      <left/>
      <right/>
      <top style="thin">
        <color indexed="64"/>
      </top>
      <bottom style="thin">
        <color theme="4" tint="-0.499984740745262"/>
      </bottom>
      <diagonal/>
    </border>
  </borders>
  <cellStyleXfs count="2">
    <xf numFmtId="0" fontId="0" fillId="0" borderId="0"/>
    <xf numFmtId="164" fontId="2" fillId="0" borderId="0" applyFont="0" applyFill="0" applyBorder="0" applyAlignment="0" applyProtection="0"/>
  </cellStyleXfs>
  <cellXfs count="1259">
    <xf numFmtId="0" fontId="0" fillId="0" borderId="0" xfId="0"/>
    <xf numFmtId="165" fontId="0" fillId="0" borderId="0" xfId="0" applyNumberFormat="1" applyAlignment="1">
      <alignment horizontal="center"/>
    </xf>
    <xf numFmtId="0" fontId="0" fillId="0" borderId="1" xfId="0" applyBorder="1"/>
    <xf numFmtId="0" fontId="0" fillId="0" borderId="2" xfId="0" applyBorder="1"/>
    <xf numFmtId="0" fontId="0" fillId="2" borderId="1" xfId="0" applyFill="1" applyBorder="1"/>
    <xf numFmtId="0" fontId="0" fillId="2" borderId="0" xfId="0" applyFill="1" applyAlignment="1">
      <alignment horizontal="right"/>
    </xf>
    <xf numFmtId="0" fontId="0" fillId="0" borderId="3" xfId="0" applyBorder="1"/>
    <xf numFmtId="0" fontId="0" fillId="0" borderId="0" xfId="0" applyBorder="1"/>
    <xf numFmtId="0" fontId="0" fillId="0" borderId="0" xfId="0" applyAlignment="1">
      <alignment horizontal="center"/>
    </xf>
    <xf numFmtId="0" fontId="0" fillId="2" borderId="0" xfId="0" applyFill="1" applyAlignment="1">
      <alignment horizontal="center"/>
    </xf>
    <xf numFmtId="0" fontId="7" fillId="0" borderId="1" xfId="0" applyFont="1" applyBorder="1"/>
    <xf numFmtId="0" fontId="0" fillId="3" borderId="2" xfId="0" applyFill="1" applyBorder="1"/>
    <xf numFmtId="2" fontId="0" fillId="3" borderId="2" xfId="0" applyNumberFormat="1" applyFill="1" applyBorder="1"/>
    <xf numFmtId="0" fontId="0" fillId="0" borderId="0" xfId="0" applyFill="1" applyBorder="1"/>
    <xf numFmtId="0" fontId="7" fillId="4" borderId="0" xfId="0" applyFont="1" applyFill="1" applyAlignment="1">
      <alignment horizontal="center"/>
    </xf>
    <xf numFmtId="0" fontId="8" fillId="4" borderId="0" xfId="0" applyFont="1" applyFill="1" applyAlignment="1">
      <alignment horizontal="center"/>
    </xf>
    <xf numFmtId="2" fontId="0" fillId="5" borderId="4" xfId="0" applyNumberFormat="1" applyFill="1" applyBorder="1" applyAlignment="1">
      <alignment horizontal="center"/>
    </xf>
    <xf numFmtId="166" fontId="0" fillId="5" borderId="4" xfId="0" applyNumberFormat="1" applyFill="1" applyBorder="1" applyAlignment="1">
      <alignment horizontal="center"/>
    </xf>
    <xf numFmtId="0" fontId="0" fillId="2" borderId="1" xfId="0" applyFill="1" applyBorder="1" applyAlignment="1">
      <alignment horizontal="center"/>
    </xf>
    <xf numFmtId="0" fontId="0" fillId="0" borderId="2" xfId="0" applyBorder="1" applyAlignment="1">
      <alignment horizontal="center"/>
    </xf>
    <xf numFmtId="0" fontId="0" fillId="0" borderId="0" xfId="0" applyFill="1" applyBorder="1" applyAlignment="1">
      <alignment horizontal="center"/>
    </xf>
    <xf numFmtId="0" fontId="0" fillId="6" borderId="0" xfId="0" applyFill="1"/>
    <xf numFmtId="2" fontId="0" fillId="0" borderId="0" xfId="0" applyNumberFormat="1"/>
    <xf numFmtId="0" fontId="0" fillId="0" borderId="5" xfId="0" applyBorder="1" applyAlignment="1">
      <alignment horizontal="center"/>
    </xf>
    <xf numFmtId="0" fontId="7" fillId="0" borderId="0" xfId="0" applyFont="1"/>
    <xf numFmtId="0" fontId="7" fillId="0" borderId="6" xfId="0" applyFont="1" applyBorder="1"/>
    <xf numFmtId="0" fontId="7" fillId="0" borderId="7" xfId="0" applyFont="1" applyBorder="1"/>
    <xf numFmtId="0" fontId="7" fillId="5" borderId="2" xfId="0" applyFont="1" applyFill="1" applyBorder="1" applyAlignment="1">
      <alignment horizontal="center"/>
    </xf>
    <xf numFmtId="0" fontId="0" fillId="5" borderId="8" xfId="0" applyFill="1" applyBorder="1" applyAlignment="1">
      <alignment horizontal="center"/>
    </xf>
    <xf numFmtId="0" fontId="7" fillId="7" borderId="2" xfId="0" applyFont="1" applyFill="1" applyBorder="1" applyAlignment="1">
      <alignment horizontal="center"/>
    </xf>
    <xf numFmtId="0" fontId="0" fillId="7" borderId="8" xfId="0" applyFill="1" applyBorder="1" applyAlignment="1">
      <alignment horizontal="center"/>
    </xf>
    <xf numFmtId="0" fontId="7" fillId="6" borderId="9" xfId="0" applyFont="1" applyFill="1" applyBorder="1"/>
    <xf numFmtId="0" fontId="0" fillId="0" borderId="10" xfId="0" applyBorder="1"/>
    <xf numFmtId="0" fontId="0" fillId="0" borderId="11" xfId="0" applyBorder="1"/>
    <xf numFmtId="0" fontId="7" fillId="0" borderId="11" xfId="0" applyFont="1" applyBorder="1"/>
    <xf numFmtId="0" fontId="0" fillId="0" borderId="12" xfId="0" applyBorder="1"/>
    <xf numFmtId="0" fontId="0" fillId="0" borderId="13" xfId="0" applyBorder="1"/>
    <xf numFmtId="0" fontId="12" fillId="0" borderId="14" xfId="0" applyFont="1" applyBorder="1" applyAlignment="1">
      <alignment horizontal="center"/>
    </xf>
    <xf numFmtId="0" fontId="0" fillId="0" borderId="14" xfId="0" applyBorder="1"/>
    <xf numFmtId="0" fontId="0" fillId="0" borderId="15" xfId="0" applyBorder="1"/>
    <xf numFmtId="2" fontId="0" fillId="0" borderId="0" xfId="0" applyNumberFormat="1" applyBorder="1" applyAlignment="1">
      <alignment horizontal="center"/>
    </xf>
    <xf numFmtId="2" fontId="0" fillId="0" borderId="16" xfId="0" applyNumberFormat="1" applyBorder="1" applyAlignment="1">
      <alignment horizontal="center"/>
    </xf>
    <xf numFmtId="2" fontId="11" fillId="0" borderId="0" xfId="0" applyNumberFormat="1" applyFont="1" applyBorder="1" applyAlignment="1">
      <alignment horizontal="center"/>
    </xf>
    <xf numFmtId="2" fontId="11" fillId="0" borderId="16" xfId="0" applyNumberFormat="1" applyFont="1" applyBorder="1" applyAlignment="1">
      <alignment horizontal="center"/>
    </xf>
    <xf numFmtId="2" fontId="11" fillId="0" borderId="1" xfId="0" applyNumberFormat="1" applyFont="1" applyBorder="1" applyAlignment="1">
      <alignment horizontal="center"/>
    </xf>
    <xf numFmtId="2" fontId="11" fillId="0" borderId="17" xfId="0" applyNumberFormat="1" applyFont="1" applyBorder="1" applyAlignment="1">
      <alignment horizontal="center"/>
    </xf>
    <xf numFmtId="0" fontId="13" fillId="0" borderId="0" xfId="0" applyFont="1"/>
    <xf numFmtId="0" fontId="16" fillId="0" borderId="0" xfId="0" applyFont="1" applyAlignment="1">
      <alignment horizontal="center"/>
    </xf>
    <xf numFmtId="0" fontId="0" fillId="0" borderId="0" xfId="0" applyBorder="1" applyAlignment="1">
      <alignment horizontal="center"/>
    </xf>
    <xf numFmtId="1" fontId="0" fillId="5" borderId="2" xfId="0" applyNumberFormat="1" applyFill="1" applyBorder="1"/>
    <xf numFmtId="0" fontId="0" fillId="8" borderId="0" xfId="0" applyFill="1" applyAlignment="1">
      <alignment horizontal="right"/>
    </xf>
    <xf numFmtId="0" fontId="3" fillId="8" borderId="18" xfId="0" applyFont="1" applyFill="1" applyBorder="1" applyAlignment="1">
      <alignment horizontal="center"/>
    </xf>
    <xf numFmtId="0" fontId="0" fillId="0" borderId="0" xfId="0" applyAlignment="1">
      <alignment horizontal="left"/>
    </xf>
    <xf numFmtId="0" fontId="4" fillId="8" borderId="18" xfId="0" applyFont="1" applyFill="1" applyBorder="1" applyAlignment="1">
      <alignment horizontal="center"/>
    </xf>
    <xf numFmtId="0" fontId="3" fillId="4" borderId="0" xfId="0" applyFont="1" applyFill="1" applyBorder="1" applyAlignment="1">
      <alignment horizontal="center" vertical="top" wrapText="1"/>
    </xf>
    <xf numFmtId="0" fontId="0" fillId="0" borderId="1" xfId="0" applyBorder="1" applyAlignment="1">
      <alignment horizontal="center"/>
    </xf>
    <xf numFmtId="0" fontId="0" fillId="4" borderId="20" xfId="0" applyFill="1" applyBorder="1"/>
    <xf numFmtId="0" fontId="0" fillId="0" borderId="21" xfId="0" applyBorder="1"/>
    <xf numFmtId="0" fontId="0" fillId="4" borderId="22" xfId="0" applyFill="1" applyBorder="1" applyAlignment="1">
      <alignment horizontal="right"/>
    </xf>
    <xf numFmtId="0" fontId="0" fillId="0" borderId="23" xfId="0" applyBorder="1"/>
    <xf numFmtId="0" fontId="0" fillId="0" borderId="24" xfId="0" applyBorder="1"/>
    <xf numFmtId="0" fontId="0" fillId="9" borderId="23" xfId="0" applyFill="1" applyBorder="1"/>
    <xf numFmtId="0" fontId="0" fillId="9" borderId="24" xfId="0" applyFill="1" applyBorder="1"/>
    <xf numFmtId="0" fontId="14" fillId="9" borderId="21" xfId="0" applyFont="1" applyFill="1" applyBorder="1"/>
    <xf numFmtId="0" fontId="20" fillId="4" borderId="22" xfId="0" applyFont="1" applyFill="1" applyBorder="1" applyAlignment="1">
      <alignment horizontal="right"/>
    </xf>
    <xf numFmtId="0" fontId="21" fillId="4" borderId="20" xfId="0" applyFont="1" applyFill="1" applyBorder="1"/>
    <xf numFmtId="0" fontId="0" fillId="6" borderId="2" xfId="0" applyFill="1" applyBorder="1"/>
    <xf numFmtId="2" fontId="22" fillId="0" borderId="0" xfId="0" applyNumberFormat="1" applyFont="1" applyBorder="1" applyAlignment="1">
      <alignment horizontal="center"/>
    </xf>
    <xf numFmtId="2" fontId="22" fillId="0" borderId="16" xfId="0" applyNumberFormat="1" applyFont="1" applyBorder="1" applyAlignment="1">
      <alignment horizontal="center"/>
    </xf>
    <xf numFmtId="2" fontId="22" fillId="0" borderId="1" xfId="0" applyNumberFormat="1" applyFont="1" applyBorder="1" applyAlignment="1">
      <alignment horizontal="center"/>
    </xf>
    <xf numFmtId="2" fontId="22" fillId="0" borderId="17" xfId="0" applyNumberFormat="1" applyFont="1" applyBorder="1" applyAlignment="1">
      <alignment horizontal="center"/>
    </xf>
    <xf numFmtId="2" fontId="23" fillId="0" borderId="0" xfId="0" applyNumberFormat="1" applyFont="1" applyBorder="1" applyAlignment="1">
      <alignment horizontal="center"/>
    </xf>
    <xf numFmtId="2" fontId="23" fillId="0" borderId="16" xfId="0" applyNumberFormat="1" applyFont="1" applyBorder="1" applyAlignment="1">
      <alignment horizontal="center"/>
    </xf>
    <xf numFmtId="2" fontId="23" fillId="0" borderId="1" xfId="0" applyNumberFormat="1" applyFont="1" applyBorder="1" applyAlignment="1">
      <alignment horizontal="center"/>
    </xf>
    <xf numFmtId="2" fontId="23" fillId="0" borderId="17" xfId="0" applyNumberFormat="1" applyFont="1" applyBorder="1" applyAlignment="1">
      <alignment horizontal="center"/>
    </xf>
    <xf numFmtId="2" fontId="2" fillId="0" borderId="0" xfId="0" applyNumberFormat="1" applyFont="1" applyBorder="1" applyAlignment="1">
      <alignment horizontal="center"/>
    </xf>
    <xf numFmtId="2" fontId="2" fillId="0" borderId="16" xfId="0" applyNumberFormat="1" applyFont="1" applyBorder="1" applyAlignment="1">
      <alignment horizontal="center"/>
    </xf>
    <xf numFmtId="2" fontId="2" fillId="0" borderId="1" xfId="0" applyNumberFormat="1" applyFont="1" applyBorder="1" applyAlignment="1">
      <alignment horizontal="center"/>
    </xf>
    <xf numFmtId="2" fontId="2" fillId="0" borderId="17" xfId="0" applyNumberFormat="1" applyFont="1" applyBorder="1" applyAlignment="1">
      <alignment horizontal="center"/>
    </xf>
    <xf numFmtId="0" fontId="0" fillId="5" borderId="25" xfId="0" applyFill="1" applyBorder="1" applyAlignment="1">
      <alignment horizontal="center"/>
    </xf>
    <xf numFmtId="0" fontId="0" fillId="4" borderId="26" xfId="0" applyFill="1" applyBorder="1" applyAlignment="1">
      <alignment horizontal="center"/>
    </xf>
    <xf numFmtId="2" fontId="0" fillId="4" borderId="27" xfId="0" applyNumberFormat="1" applyFill="1" applyBorder="1" applyAlignment="1">
      <alignment horizontal="center"/>
    </xf>
    <xf numFmtId="0" fontId="26" fillId="0" borderId="0" xfId="0" applyFont="1"/>
    <xf numFmtId="0" fontId="26" fillId="0" borderId="0" xfId="0" applyFont="1" applyAlignment="1">
      <alignment horizontal="center"/>
    </xf>
    <xf numFmtId="0" fontId="26" fillId="0" borderId="1" xfId="0" applyFont="1" applyBorder="1"/>
    <xf numFmtId="0" fontId="27" fillId="0" borderId="0" xfId="0" applyFont="1" applyFill="1" applyBorder="1" applyAlignment="1">
      <alignment horizontal="center"/>
    </xf>
    <xf numFmtId="0" fontId="26" fillId="0" borderId="0" xfId="0" applyFont="1" applyFill="1" applyBorder="1" applyAlignment="1">
      <alignment horizontal="center"/>
    </xf>
    <xf numFmtId="0" fontId="26" fillId="0" borderId="0" xfId="0" applyFont="1" applyBorder="1"/>
    <xf numFmtId="0" fontId="26" fillId="0" borderId="0" xfId="0" applyFont="1" applyBorder="1" applyAlignment="1">
      <alignment horizontal="center"/>
    </xf>
    <xf numFmtId="1" fontId="37" fillId="0" borderId="0" xfId="0" applyNumberFormat="1" applyFont="1" applyFill="1" applyBorder="1" applyAlignment="1" applyProtection="1">
      <alignment horizontal="center"/>
      <protection hidden="1"/>
    </xf>
    <xf numFmtId="0" fontId="26" fillId="0" borderId="17" xfId="0" applyFont="1" applyFill="1" applyBorder="1" applyAlignment="1" applyProtection="1">
      <alignment horizontal="center"/>
      <protection locked="0"/>
    </xf>
    <xf numFmtId="0" fontId="26" fillId="0" borderId="15" xfId="0" applyFont="1" applyFill="1" applyBorder="1" applyAlignment="1" applyProtection="1">
      <alignment horizontal="center"/>
      <protection locked="0"/>
    </xf>
    <xf numFmtId="0" fontId="39" fillId="7" borderId="18" xfId="0" applyFont="1" applyFill="1" applyBorder="1"/>
    <xf numFmtId="0" fontId="26" fillId="7" borderId="18" xfId="0" applyFont="1" applyFill="1" applyBorder="1" applyAlignment="1">
      <alignment horizontal="center"/>
    </xf>
    <xf numFmtId="0" fontId="26" fillId="7" borderId="14" xfId="0" applyFont="1" applyFill="1" applyBorder="1" applyAlignment="1">
      <alignment horizontal="center"/>
    </xf>
    <xf numFmtId="0" fontId="26" fillId="0" borderId="0" xfId="0" applyFont="1" applyFill="1" applyBorder="1" applyAlignment="1" applyProtection="1">
      <alignment horizontal="center"/>
      <protection locked="0"/>
    </xf>
    <xf numFmtId="0" fontId="41" fillId="0" borderId="0" xfId="0" applyFont="1" applyAlignment="1">
      <alignment horizontal="center"/>
    </xf>
    <xf numFmtId="0" fontId="42" fillId="0" borderId="0" xfId="0" applyFont="1" applyAlignment="1">
      <alignment horizontal="center"/>
    </xf>
    <xf numFmtId="0" fontId="32" fillId="0" borderId="0" xfId="0" applyFont="1" applyFill="1" applyBorder="1" applyAlignment="1">
      <alignment horizontal="center"/>
    </xf>
    <xf numFmtId="0" fontId="32" fillId="0" borderId="0" xfId="0" applyFont="1" applyFill="1" applyBorder="1"/>
    <xf numFmtId="0" fontId="26" fillId="7" borderId="18" xfId="0" applyFont="1" applyFill="1" applyBorder="1"/>
    <xf numFmtId="0" fontId="26" fillId="7" borderId="28" xfId="0" applyFont="1" applyFill="1" applyBorder="1" applyAlignment="1">
      <alignment horizontal="center"/>
    </xf>
    <xf numFmtId="0" fontId="32" fillId="0" borderId="29" xfId="0" applyFont="1" applyBorder="1" applyAlignment="1">
      <alignment horizontal="center"/>
    </xf>
    <xf numFmtId="0" fontId="26" fillId="0" borderId="0" xfId="0" applyFont="1" applyBorder="1" applyAlignment="1" applyProtection="1">
      <alignment horizontal="center"/>
      <protection locked="0"/>
    </xf>
    <xf numFmtId="0" fontId="37" fillId="0" borderId="0" xfId="0" applyFont="1" applyFill="1" applyBorder="1" applyAlignment="1">
      <alignment horizontal="center"/>
    </xf>
    <xf numFmtId="0" fontId="26" fillId="0" borderId="29" xfId="0" applyFont="1" applyBorder="1" applyAlignment="1">
      <alignment horizontal="center"/>
    </xf>
    <xf numFmtId="0" fontId="32" fillId="0" borderId="0" xfId="0" applyFont="1" applyBorder="1"/>
    <xf numFmtId="0" fontId="26" fillId="0" borderId="29" xfId="0" applyFont="1" applyFill="1" applyBorder="1" applyAlignment="1">
      <alignment horizontal="center"/>
    </xf>
    <xf numFmtId="167" fontId="26" fillId="0" borderId="0" xfId="0" applyNumberFormat="1" applyFont="1" applyFill="1" applyBorder="1" applyAlignment="1">
      <alignment horizontal="center"/>
    </xf>
    <xf numFmtId="165" fontId="26" fillId="0" borderId="0" xfId="0" applyNumberFormat="1" applyFont="1" applyFill="1" applyBorder="1" applyAlignment="1">
      <alignment horizontal="center"/>
    </xf>
    <xf numFmtId="164" fontId="26" fillId="0" borderId="0" xfId="1" applyFont="1" applyFill="1" applyBorder="1"/>
    <xf numFmtId="1" fontId="26" fillId="0" borderId="0" xfId="0" applyNumberFormat="1" applyFont="1" applyFill="1" applyBorder="1" applyAlignment="1">
      <alignment horizontal="center"/>
    </xf>
    <xf numFmtId="2" fontId="26" fillId="0" borderId="0" xfId="0" applyNumberFormat="1" applyFont="1" applyFill="1" applyBorder="1" applyAlignment="1">
      <alignment horizontal="center"/>
    </xf>
    <xf numFmtId="165" fontId="26" fillId="0" borderId="21" xfId="0" applyNumberFormat="1" applyFont="1" applyBorder="1" applyAlignment="1">
      <alignment horizontal="center"/>
    </xf>
    <xf numFmtId="167" fontId="42" fillId="0" borderId="0" xfId="0" applyNumberFormat="1" applyFont="1" applyBorder="1" applyAlignment="1">
      <alignment horizontal="center"/>
    </xf>
    <xf numFmtId="168" fontId="37" fillId="0" borderId="0" xfId="1" applyNumberFormat="1" applyFont="1" applyFill="1" applyBorder="1"/>
    <xf numFmtId="1" fontId="42" fillId="0" borderId="0" xfId="0" applyNumberFormat="1" applyFont="1" applyBorder="1" applyAlignment="1">
      <alignment horizontal="center"/>
    </xf>
    <xf numFmtId="2" fontId="37" fillId="0" borderId="0" xfId="0" applyNumberFormat="1" applyFont="1" applyBorder="1" applyAlignment="1">
      <alignment horizontal="center"/>
    </xf>
    <xf numFmtId="167" fontId="26" fillId="0" borderId="0" xfId="0" applyNumberFormat="1" applyFont="1" applyBorder="1" applyAlignment="1">
      <alignment horizontal="center"/>
    </xf>
    <xf numFmtId="0" fontId="37" fillId="0" borderId="0" xfId="0" applyFont="1" applyBorder="1"/>
    <xf numFmtId="0" fontId="26" fillId="0" borderId="0" xfId="0" applyFont="1" applyFill="1" applyBorder="1"/>
    <xf numFmtId="0" fontId="44" fillId="0" borderId="0" xfId="0" applyNumberFormat="1" applyFont="1" applyFill="1" applyAlignment="1">
      <alignment horizontal="center"/>
    </xf>
    <xf numFmtId="0" fontId="45" fillId="0" borderId="30" xfId="0" applyNumberFormat="1" applyFont="1" applyFill="1" applyBorder="1" applyAlignment="1">
      <alignment horizontal="left"/>
    </xf>
    <xf numFmtId="0" fontId="45" fillId="0" borderId="31" xfId="0" applyNumberFormat="1" applyFont="1" applyFill="1" applyBorder="1" applyAlignment="1">
      <alignment horizontal="center"/>
    </xf>
    <xf numFmtId="0" fontId="45" fillId="0" borderId="30" xfId="0" applyNumberFormat="1" applyFont="1" applyFill="1" applyBorder="1" applyAlignment="1">
      <alignment horizontal="center"/>
    </xf>
    <xf numFmtId="0" fontId="45" fillId="0" borderId="32" xfId="0" applyNumberFormat="1" applyFont="1" applyFill="1" applyBorder="1" applyAlignment="1">
      <alignment horizontal="center"/>
    </xf>
    <xf numFmtId="0" fontId="45" fillId="0" borderId="0" xfId="0" applyNumberFormat="1" applyFont="1" applyFill="1" applyBorder="1" applyAlignment="1">
      <alignment horizontal="center"/>
    </xf>
    <xf numFmtId="0" fontId="45" fillId="0" borderId="31" xfId="0" applyNumberFormat="1" applyFont="1" applyFill="1" applyBorder="1" applyAlignment="1">
      <alignment horizontal="left"/>
    </xf>
    <xf numFmtId="0" fontId="45" fillId="0" borderId="33" xfId="0" applyNumberFormat="1" applyFont="1" applyFill="1" applyBorder="1" applyAlignment="1">
      <alignment horizontal="center"/>
    </xf>
    <xf numFmtId="0" fontId="45" fillId="0" borderId="34" xfId="0" applyNumberFormat="1" applyFont="1" applyBorder="1" applyAlignment="1">
      <alignment horizontal="center"/>
    </xf>
    <xf numFmtId="0" fontId="45" fillId="0" borderId="35" xfId="0" applyNumberFormat="1" applyFont="1" applyBorder="1" applyAlignment="1">
      <alignment horizontal="center"/>
    </xf>
    <xf numFmtId="0" fontId="45" fillId="0" borderId="36" xfId="0" applyNumberFormat="1" applyFont="1" applyBorder="1" applyAlignment="1">
      <alignment horizontal="center"/>
    </xf>
    <xf numFmtId="0" fontId="45" fillId="0" borderId="0" xfId="0" applyNumberFormat="1" applyFont="1" applyFill="1" applyBorder="1" applyAlignment="1">
      <alignment horizontal="left"/>
    </xf>
    <xf numFmtId="0" fontId="45" fillId="0" borderId="37" xfId="0" applyNumberFormat="1" applyFont="1" applyFill="1" applyBorder="1" applyAlignment="1">
      <alignment horizontal="center"/>
    </xf>
    <xf numFmtId="0" fontId="45" fillId="0" borderId="38" xfId="0" applyNumberFormat="1" applyFont="1" applyFill="1" applyBorder="1" applyAlignment="1">
      <alignment horizontal="center"/>
    </xf>
    <xf numFmtId="0" fontId="45" fillId="0" borderId="37" xfId="0" applyNumberFormat="1" applyFont="1" applyFill="1" applyBorder="1" applyAlignment="1">
      <alignment horizontal="left"/>
    </xf>
    <xf numFmtId="0" fontId="45" fillId="0" borderId="39" xfId="0" applyNumberFormat="1" applyFont="1" applyFill="1" applyBorder="1" applyAlignment="1">
      <alignment horizontal="center"/>
    </xf>
    <xf numFmtId="0" fontId="45" fillId="0" borderId="6" xfId="0" applyNumberFormat="1" applyFont="1" applyBorder="1"/>
    <xf numFmtId="0" fontId="45" fillId="0" borderId="0" xfId="0" applyNumberFormat="1" applyFont="1"/>
    <xf numFmtId="0" fontId="45" fillId="0" borderId="38" xfId="0" applyNumberFormat="1" applyFont="1" applyBorder="1"/>
    <xf numFmtId="0" fontId="45" fillId="0" borderId="39" xfId="0" applyNumberFormat="1" applyFont="1" applyBorder="1"/>
    <xf numFmtId="0" fontId="45" fillId="0" borderId="0" xfId="1" applyNumberFormat="1" applyFont="1" applyFill="1" applyBorder="1" applyAlignment="1">
      <alignment horizontal="center"/>
    </xf>
    <xf numFmtId="0" fontId="45" fillId="0" borderId="6" xfId="0" applyNumberFormat="1" applyFont="1" applyBorder="1" applyAlignment="1">
      <alignment horizontal="center"/>
    </xf>
    <xf numFmtId="0" fontId="47" fillId="0" borderId="0" xfId="0" applyNumberFormat="1" applyFont="1" applyBorder="1" applyAlignment="1">
      <alignment horizontal="center"/>
    </xf>
    <xf numFmtId="0" fontId="47" fillId="0" borderId="38" xfId="0" applyNumberFormat="1" applyFont="1" applyBorder="1" applyAlignment="1">
      <alignment horizontal="center"/>
    </xf>
    <xf numFmtId="0" fontId="45" fillId="0" borderId="39" xfId="0" applyNumberFormat="1" applyFont="1" applyBorder="1" applyAlignment="1">
      <alignment horizontal="center"/>
    </xf>
    <xf numFmtId="0" fontId="50" fillId="0" borderId="39" xfId="0" applyNumberFormat="1" applyFont="1" applyFill="1" applyBorder="1" applyAlignment="1">
      <alignment horizontal="center"/>
    </xf>
    <xf numFmtId="0" fontId="45" fillId="0" borderId="40" xfId="0" applyNumberFormat="1" applyFont="1" applyBorder="1" applyAlignment="1">
      <alignment horizontal="center"/>
    </xf>
    <xf numFmtId="0" fontId="47" fillId="0" borderId="41" xfId="0" applyNumberFormat="1" applyFont="1" applyBorder="1" applyAlignment="1">
      <alignment horizontal="center"/>
    </xf>
    <xf numFmtId="0" fontId="47" fillId="0" borderId="42" xfId="0" applyNumberFormat="1" applyFont="1" applyBorder="1" applyAlignment="1">
      <alignment horizontal="center"/>
    </xf>
    <xf numFmtId="0" fontId="45" fillId="0" borderId="43" xfId="0" applyNumberFormat="1" applyFont="1" applyBorder="1" applyAlignment="1">
      <alignment horizontal="center"/>
    </xf>
    <xf numFmtId="0" fontId="45" fillId="0" borderId="5" xfId="0" applyNumberFormat="1" applyFont="1" applyFill="1" applyBorder="1" applyAlignment="1">
      <alignment horizontal="left"/>
    </xf>
    <xf numFmtId="0" fontId="45" fillId="0" borderId="44" xfId="0" applyNumberFormat="1" applyFont="1" applyFill="1" applyBorder="1" applyAlignment="1">
      <alignment horizontal="center"/>
    </xf>
    <xf numFmtId="0" fontId="45" fillId="0" borderId="5" xfId="0" applyNumberFormat="1" applyFont="1" applyFill="1" applyBorder="1" applyAlignment="1">
      <alignment horizontal="center"/>
    </xf>
    <xf numFmtId="0" fontId="45" fillId="0" borderId="45" xfId="0" applyNumberFormat="1" applyFont="1" applyFill="1" applyBorder="1" applyAlignment="1">
      <alignment horizontal="center"/>
    </xf>
    <xf numFmtId="0" fontId="45" fillId="0" borderId="5" xfId="0" applyNumberFormat="1" applyFont="1" applyFill="1" applyBorder="1" applyAlignment="1">
      <alignment horizontal="center" vertical="center"/>
    </xf>
    <xf numFmtId="0" fontId="45" fillId="0" borderId="45" xfId="0" applyNumberFormat="1" applyFont="1" applyFill="1" applyBorder="1" applyAlignment="1">
      <alignment horizontal="center" vertical="center"/>
    </xf>
    <xf numFmtId="0" fontId="45" fillId="0" borderId="46" xfId="0" applyFont="1" applyBorder="1" applyAlignment="1">
      <alignment horizontal="center"/>
    </xf>
    <xf numFmtId="0" fontId="47" fillId="0" borderId="45" xfId="0" applyNumberFormat="1" applyFont="1" applyBorder="1" applyAlignment="1">
      <alignment horizontal="center"/>
    </xf>
    <xf numFmtId="0" fontId="47" fillId="0" borderId="44" xfId="0" applyNumberFormat="1" applyFont="1" applyBorder="1" applyAlignment="1">
      <alignment horizontal="center"/>
    </xf>
    <xf numFmtId="0" fontId="47" fillId="0" borderId="47" xfId="0" applyNumberFormat="1" applyFont="1" applyBorder="1" applyAlignment="1">
      <alignment horizontal="center"/>
    </xf>
    <xf numFmtId="0" fontId="51" fillId="0" borderId="0" xfId="0" applyNumberFormat="1" applyFont="1" applyBorder="1"/>
    <xf numFmtId="0" fontId="51" fillId="0" borderId="0" xfId="0" applyNumberFormat="1" applyFont="1"/>
    <xf numFmtId="0" fontId="45" fillId="0" borderId="0" xfId="0" applyNumberFormat="1" applyFont="1" applyAlignment="1">
      <alignment horizontal="center"/>
    </xf>
    <xf numFmtId="0" fontId="47" fillId="0" borderId="41" xfId="0" applyNumberFormat="1" applyFont="1" applyFill="1" applyBorder="1" applyAlignment="1">
      <alignment horizontal="left"/>
    </xf>
    <xf numFmtId="0" fontId="47" fillId="0" borderId="41" xfId="0" applyNumberFormat="1" applyFont="1" applyFill="1" applyBorder="1" applyAlignment="1">
      <alignment horizontal="center"/>
    </xf>
    <xf numFmtId="0" fontId="47" fillId="0" borderId="42" xfId="0" applyNumberFormat="1" applyFont="1" applyFill="1" applyBorder="1" applyAlignment="1">
      <alignment horizontal="center"/>
    </xf>
    <xf numFmtId="2" fontId="47" fillId="0" borderId="42" xfId="0" applyNumberFormat="1" applyFont="1" applyFill="1" applyBorder="1" applyAlignment="1">
      <alignment horizontal="center"/>
    </xf>
    <xf numFmtId="165" fontId="47" fillId="0" borderId="41" xfId="0" applyNumberFormat="1" applyFont="1" applyFill="1" applyBorder="1" applyAlignment="1">
      <alignment horizontal="center"/>
    </xf>
    <xf numFmtId="0" fontId="47" fillId="0" borderId="43" xfId="0" applyNumberFormat="1" applyFont="1" applyBorder="1" applyAlignment="1">
      <alignment horizontal="center"/>
    </xf>
    <xf numFmtId="0" fontId="47" fillId="0" borderId="48" xfId="0" applyNumberFormat="1" applyFont="1" applyFill="1" applyBorder="1" applyAlignment="1">
      <alignment horizontal="left"/>
    </xf>
    <xf numFmtId="167" fontId="47" fillId="0" borderId="42" xfId="0" applyNumberFormat="1" applyFont="1" applyFill="1" applyBorder="1" applyAlignment="1">
      <alignment horizontal="center"/>
    </xf>
    <xf numFmtId="0" fontId="47" fillId="0" borderId="48" xfId="0" applyNumberFormat="1" applyFont="1" applyBorder="1" applyAlignment="1">
      <alignment horizontal="center"/>
    </xf>
    <xf numFmtId="0" fontId="47" fillId="0" borderId="43" xfId="0" applyNumberFormat="1" applyFont="1" applyFill="1" applyBorder="1" applyAlignment="1">
      <alignment horizontal="center"/>
    </xf>
    <xf numFmtId="0" fontId="47" fillId="0" borderId="49" xfId="0" applyNumberFormat="1" applyFont="1" applyFill="1" applyBorder="1" applyAlignment="1">
      <alignment horizontal="center"/>
    </xf>
    <xf numFmtId="0" fontId="47" fillId="0" borderId="0" xfId="0" applyNumberFormat="1" applyFont="1" applyFill="1" applyBorder="1" applyAlignment="1">
      <alignment horizontal="center"/>
    </xf>
    <xf numFmtId="0" fontId="47" fillId="0" borderId="50" xfId="0" applyNumberFormat="1" applyFont="1" applyFill="1" applyBorder="1" applyAlignment="1">
      <alignment horizontal="center"/>
    </xf>
    <xf numFmtId="0" fontId="47" fillId="0" borderId="51" xfId="0" applyNumberFormat="1" applyFont="1" applyFill="1" applyBorder="1" applyAlignment="1">
      <alignment horizontal="center"/>
    </xf>
    <xf numFmtId="0" fontId="52" fillId="0" borderId="0" xfId="0" applyNumberFormat="1" applyFont="1" applyAlignment="1">
      <alignment horizontal="center"/>
    </xf>
    <xf numFmtId="0" fontId="54" fillId="0" borderId="0" xfId="0" applyNumberFormat="1" applyFont="1" applyFill="1" applyAlignment="1">
      <alignment horizontal="center"/>
    </xf>
    <xf numFmtId="0" fontId="52" fillId="0" borderId="0" xfId="0" applyNumberFormat="1" applyFont="1" applyBorder="1" applyAlignment="1">
      <alignment horizontal="center"/>
    </xf>
    <xf numFmtId="0" fontId="52" fillId="0" borderId="0" xfId="0" applyNumberFormat="1" applyFont="1" applyBorder="1"/>
    <xf numFmtId="0" fontId="55" fillId="0" borderId="0" xfId="0" applyNumberFormat="1" applyFont="1" applyBorder="1" applyAlignment="1">
      <alignment horizontal="center"/>
    </xf>
    <xf numFmtId="0" fontId="53" fillId="0" borderId="0" xfId="0" applyNumberFormat="1" applyFont="1" applyFill="1"/>
    <xf numFmtId="0" fontId="53" fillId="0" borderId="0" xfId="0" applyNumberFormat="1" applyFont="1"/>
    <xf numFmtId="0" fontId="55" fillId="0" borderId="41" xfId="0" applyNumberFormat="1" applyFont="1" applyFill="1" applyBorder="1" applyAlignment="1">
      <alignment horizontal="left"/>
    </xf>
    <xf numFmtId="0" fontId="55" fillId="0" borderId="52" xfId="0" applyNumberFormat="1" applyFont="1" applyFill="1" applyBorder="1" applyAlignment="1">
      <alignment horizontal="center"/>
    </xf>
    <xf numFmtId="0" fontId="55" fillId="0" borderId="41" xfId="0" applyNumberFormat="1" applyFont="1" applyFill="1" applyBorder="1" applyAlignment="1">
      <alignment horizontal="center"/>
    </xf>
    <xf numFmtId="167" fontId="55" fillId="0" borderId="41" xfId="0" applyNumberFormat="1" applyFont="1" applyFill="1" applyBorder="1" applyAlignment="1">
      <alignment horizontal="center"/>
    </xf>
    <xf numFmtId="0" fontId="55" fillId="0" borderId="42" xfId="0" applyNumberFormat="1" applyFont="1" applyFill="1" applyBorder="1" applyAlignment="1">
      <alignment horizontal="center"/>
    </xf>
    <xf numFmtId="167" fontId="55" fillId="0" borderId="42" xfId="0" applyNumberFormat="1" applyFont="1" applyFill="1" applyBorder="1" applyAlignment="1">
      <alignment horizontal="center"/>
    </xf>
    <xf numFmtId="165" fontId="55" fillId="0" borderId="41" xfId="0" applyNumberFormat="1" applyFont="1" applyFill="1" applyBorder="1" applyAlignment="1">
      <alignment horizontal="center"/>
    </xf>
    <xf numFmtId="0" fontId="55" fillId="0" borderId="53" xfId="0" applyNumberFormat="1" applyFont="1" applyFill="1" applyBorder="1" applyAlignment="1">
      <alignment horizontal="center"/>
    </xf>
    <xf numFmtId="0" fontId="55" fillId="0" borderId="52" xfId="0" applyNumberFormat="1" applyFont="1" applyFill="1" applyBorder="1" applyAlignment="1">
      <alignment horizontal="left"/>
    </xf>
    <xf numFmtId="2" fontId="55" fillId="0" borderId="41" xfId="0" applyNumberFormat="1" applyFont="1" applyFill="1" applyBorder="1" applyAlignment="1">
      <alignment horizontal="center"/>
    </xf>
    <xf numFmtId="2" fontId="55" fillId="0" borderId="42" xfId="0" applyNumberFormat="1" applyFont="1" applyFill="1" applyBorder="1" applyAlignment="1">
      <alignment horizontal="center"/>
    </xf>
    <xf numFmtId="0" fontId="55" fillId="0" borderId="43" xfId="0" applyNumberFormat="1" applyFont="1" applyFill="1" applyBorder="1" applyAlignment="1">
      <alignment horizontal="center"/>
    </xf>
    <xf numFmtId="0" fontId="47" fillId="0" borderId="54" xfId="0" applyNumberFormat="1" applyFont="1" applyFill="1" applyBorder="1" applyAlignment="1">
      <alignment horizontal="center"/>
    </xf>
    <xf numFmtId="0" fontId="47" fillId="0" borderId="52" xfId="0" applyNumberFormat="1" applyFont="1" applyFill="1" applyBorder="1" applyAlignment="1">
      <alignment horizontal="center"/>
    </xf>
    <xf numFmtId="167" fontId="47" fillId="0" borderId="41" xfId="0" applyNumberFormat="1" applyFont="1" applyFill="1" applyBorder="1" applyAlignment="1">
      <alignment horizontal="center"/>
    </xf>
    <xf numFmtId="0" fontId="47" fillId="0" borderId="53" xfId="0" applyNumberFormat="1" applyFont="1" applyFill="1" applyBorder="1" applyAlignment="1">
      <alignment horizontal="center"/>
    </xf>
    <xf numFmtId="0" fontId="47" fillId="0" borderId="52" xfId="0" applyNumberFormat="1" applyFont="1" applyFill="1" applyBorder="1" applyAlignment="1">
      <alignment horizontal="left"/>
    </xf>
    <xf numFmtId="2" fontId="47" fillId="0" borderId="41" xfId="0" applyNumberFormat="1" applyFont="1" applyFill="1" applyBorder="1" applyAlignment="1">
      <alignment horizontal="center"/>
    </xf>
    <xf numFmtId="2" fontId="55" fillId="0" borderId="53" xfId="0" applyNumberFormat="1" applyFont="1" applyFill="1" applyBorder="1" applyAlignment="1">
      <alignment horizontal="center"/>
    </xf>
    <xf numFmtId="165" fontId="55" fillId="0" borderId="42" xfId="0" applyNumberFormat="1" applyFont="1" applyFill="1" applyBorder="1" applyAlignment="1">
      <alignment horizontal="center"/>
    </xf>
    <xf numFmtId="165" fontId="55" fillId="0" borderId="53" xfId="0" applyNumberFormat="1" applyFont="1" applyFill="1" applyBorder="1" applyAlignment="1">
      <alignment horizontal="center"/>
    </xf>
    <xf numFmtId="0" fontId="52" fillId="0" borderId="52" xfId="0" applyNumberFormat="1" applyFont="1" applyBorder="1" applyAlignment="1">
      <alignment horizontal="center"/>
    </xf>
    <xf numFmtId="0" fontId="55" fillId="0" borderId="0" xfId="0" applyNumberFormat="1" applyFont="1" applyFill="1" applyAlignment="1">
      <alignment horizontal="left"/>
    </xf>
    <xf numFmtId="2" fontId="47" fillId="0" borderId="53" xfId="0" applyNumberFormat="1" applyFont="1" applyFill="1" applyBorder="1" applyAlignment="1">
      <alignment horizontal="center"/>
    </xf>
    <xf numFmtId="167" fontId="55" fillId="0" borderId="43" xfId="0" applyNumberFormat="1" applyFont="1" applyFill="1" applyBorder="1" applyAlignment="1">
      <alignment horizontal="center"/>
    </xf>
    <xf numFmtId="0" fontId="56" fillId="0" borderId="0" xfId="0" applyFont="1"/>
    <xf numFmtId="0" fontId="56" fillId="0" borderId="0" xfId="0" applyFont="1" applyFill="1" applyBorder="1" applyAlignment="1">
      <alignment horizontal="center"/>
    </xf>
    <xf numFmtId="0" fontId="58" fillId="7" borderId="0" xfId="0" applyFont="1" applyFill="1"/>
    <xf numFmtId="0" fontId="30" fillId="10" borderId="0" xfId="0" applyFont="1" applyFill="1" applyBorder="1" applyAlignment="1">
      <alignment horizontal="center"/>
    </xf>
    <xf numFmtId="0" fontId="31" fillId="7" borderId="14" xfId="0" applyFont="1" applyFill="1" applyBorder="1" applyAlignment="1">
      <alignment horizontal="center"/>
    </xf>
    <xf numFmtId="0" fontId="6" fillId="7" borderId="14" xfId="0" applyFont="1" applyFill="1" applyBorder="1" applyAlignment="1">
      <alignment horizontal="center"/>
    </xf>
    <xf numFmtId="1" fontId="37" fillId="0" borderId="0" xfId="0" applyNumberFormat="1" applyFont="1" applyFill="1" applyBorder="1" applyAlignment="1" applyProtection="1">
      <alignment horizontal="center"/>
    </xf>
    <xf numFmtId="0" fontId="26" fillId="7" borderId="5" xfId="0" applyFont="1" applyFill="1" applyBorder="1" applyAlignment="1">
      <alignment horizontal="center"/>
    </xf>
    <xf numFmtId="0" fontId="34" fillId="0" borderId="0" xfId="0" applyFont="1" applyBorder="1" applyAlignment="1">
      <alignment horizontal="center"/>
    </xf>
    <xf numFmtId="0" fontId="65" fillId="0" borderId="0" xfId="0" applyFont="1" applyBorder="1" applyAlignment="1">
      <alignment horizontal="center"/>
    </xf>
    <xf numFmtId="0" fontId="35" fillId="0" borderId="17" xfId="0" applyFont="1" applyFill="1" applyBorder="1" applyAlignment="1" applyProtection="1">
      <alignment horizontal="center"/>
      <protection locked="0"/>
    </xf>
    <xf numFmtId="0" fontId="26" fillId="0" borderId="0" xfId="0" applyFont="1" applyBorder="1" applyAlignment="1">
      <alignment horizontal="left"/>
    </xf>
    <xf numFmtId="0" fontId="66" fillId="7" borderId="18" xfId="0" applyFont="1" applyFill="1" applyBorder="1" applyAlignment="1">
      <alignment horizontal="center"/>
    </xf>
    <xf numFmtId="0" fontId="35" fillId="7" borderId="18" xfId="0" applyFont="1" applyFill="1" applyBorder="1" applyAlignment="1">
      <alignment horizontal="center"/>
    </xf>
    <xf numFmtId="168" fontId="26" fillId="0" borderId="0" xfId="1" applyNumberFormat="1" applyFont="1" applyFill="1" applyBorder="1" applyAlignment="1">
      <alignment horizontal="center"/>
    </xf>
    <xf numFmtId="0" fontId="27" fillId="7" borderId="55" xfId="0" applyFont="1" applyFill="1" applyBorder="1" applyAlignment="1">
      <alignment horizontal="center"/>
    </xf>
    <xf numFmtId="1" fontId="26" fillId="0" borderId="0" xfId="0" applyNumberFormat="1" applyFont="1" applyFill="1" applyBorder="1" applyAlignment="1" applyProtection="1">
      <alignment horizontal="center"/>
    </xf>
    <xf numFmtId="1" fontId="60" fillId="0" borderId="0" xfId="0" applyNumberFormat="1" applyFont="1" applyFill="1" applyBorder="1" applyAlignment="1">
      <alignment horizontal="center"/>
    </xf>
    <xf numFmtId="0" fontId="67" fillId="0" borderId="18" xfId="0" applyFont="1" applyBorder="1" applyAlignment="1">
      <alignment horizontal="center"/>
    </xf>
    <xf numFmtId="0" fontId="38" fillId="0" borderId="0" xfId="0" applyFont="1"/>
    <xf numFmtId="0" fontId="68" fillId="0" borderId="0" xfId="0" applyFont="1"/>
    <xf numFmtId="0" fontId="42" fillId="0" borderId="0" xfId="0" applyFont="1"/>
    <xf numFmtId="0" fontId="68" fillId="7" borderId="56" xfId="0" applyFont="1" applyFill="1" applyBorder="1" applyAlignment="1">
      <alignment horizontal="center"/>
    </xf>
    <xf numFmtId="0" fontId="69" fillId="7" borderId="56" xfId="0" applyFont="1" applyFill="1" applyBorder="1" applyAlignment="1">
      <alignment horizontal="center"/>
    </xf>
    <xf numFmtId="0" fontId="73" fillId="3" borderId="14" xfId="0" applyFont="1" applyFill="1" applyBorder="1" applyAlignment="1">
      <alignment horizontal="center"/>
    </xf>
    <xf numFmtId="0" fontId="70" fillId="0" borderId="0" xfId="0" applyFont="1" applyAlignment="1">
      <alignment horizontal="center"/>
    </xf>
    <xf numFmtId="0" fontId="3" fillId="0" borderId="0" xfId="0" applyFont="1" applyAlignment="1">
      <alignment horizontal="center"/>
    </xf>
    <xf numFmtId="0" fontId="71" fillId="7" borderId="18" xfId="0" applyFont="1" applyFill="1" applyBorder="1" applyAlignment="1">
      <alignment horizontal="center"/>
    </xf>
    <xf numFmtId="0" fontId="31" fillId="7" borderId="18" xfId="0" applyFont="1" applyFill="1" applyBorder="1" applyAlignment="1">
      <alignment horizontal="center"/>
    </xf>
    <xf numFmtId="0" fontId="43" fillId="7" borderId="18" xfId="0" applyFont="1" applyFill="1" applyBorder="1" applyAlignment="1">
      <alignment horizontal="center"/>
    </xf>
    <xf numFmtId="0" fontId="3" fillId="0" borderId="0" xfId="0" applyFont="1" applyFill="1" applyBorder="1" applyAlignment="1">
      <alignment horizontal="center" vertical="top" wrapText="1"/>
    </xf>
    <xf numFmtId="0" fontId="4" fillId="0" borderId="0" xfId="0" applyFont="1" applyFill="1" applyBorder="1" applyAlignment="1">
      <alignment horizontal="center"/>
    </xf>
    <xf numFmtId="0" fontId="18" fillId="0" borderId="0" xfId="0" applyFont="1" applyFill="1" applyBorder="1" applyAlignment="1">
      <alignment horizontal="center"/>
    </xf>
    <xf numFmtId="0" fontId="6" fillId="0" borderId="0" xfId="0" applyFont="1" applyFill="1" applyBorder="1"/>
    <xf numFmtId="0" fontId="19" fillId="0" borderId="0" xfId="0" applyFont="1" applyFill="1" applyBorder="1" applyAlignment="1">
      <alignment horizontal="center" vertical="top" wrapText="1"/>
    </xf>
    <xf numFmtId="2" fontId="0" fillId="0" borderId="0" xfId="0" applyNumberFormat="1" applyFill="1" applyBorder="1" applyAlignment="1">
      <alignment horizontal="center"/>
    </xf>
    <xf numFmtId="165" fontId="0" fillId="0" borderId="0" xfId="0" applyNumberFormat="1" applyFill="1" applyBorder="1" applyAlignment="1">
      <alignment horizontal="center"/>
    </xf>
    <xf numFmtId="1" fontId="0" fillId="0" borderId="0" xfId="0" applyNumberFormat="1" applyFill="1" applyBorder="1" applyAlignment="1">
      <alignment horizontal="center"/>
    </xf>
    <xf numFmtId="0" fontId="14" fillId="0" borderId="0" xfId="0" applyFont="1" applyFill="1" applyBorder="1"/>
    <xf numFmtId="167" fontId="0" fillId="0" borderId="0" xfId="0" applyNumberFormat="1" applyFill="1" applyBorder="1"/>
    <xf numFmtId="167" fontId="22" fillId="0" borderId="0" xfId="0" applyNumberFormat="1" applyFont="1" applyFill="1" applyBorder="1"/>
    <xf numFmtId="167" fontId="3" fillId="0" borderId="0" xfId="0" applyNumberFormat="1" applyFont="1" applyFill="1" applyBorder="1" applyAlignment="1">
      <alignment horizontal="center"/>
    </xf>
    <xf numFmtId="167" fontId="0" fillId="0" borderId="0" xfId="0" applyNumberFormat="1"/>
    <xf numFmtId="0" fontId="74" fillId="0" borderId="0" xfId="0" applyFont="1" applyAlignment="1">
      <alignment horizontal="center"/>
    </xf>
    <xf numFmtId="167" fontId="0" fillId="0" borderId="0" xfId="0" applyNumberFormat="1" applyAlignment="1">
      <alignment horizontal="center"/>
    </xf>
    <xf numFmtId="2" fontId="26" fillId="0" borderId="0" xfId="0" applyNumberFormat="1" applyFont="1" applyFill="1" applyBorder="1" applyAlignment="1" applyProtection="1">
      <alignment horizontal="center"/>
    </xf>
    <xf numFmtId="2" fontId="60" fillId="0" borderId="0" xfId="0" applyNumberFormat="1" applyFont="1" applyFill="1" applyBorder="1" applyAlignment="1" applyProtection="1">
      <alignment horizontal="center"/>
    </xf>
    <xf numFmtId="0" fontId="6" fillId="7" borderId="18" xfId="0" applyFont="1" applyFill="1" applyBorder="1" applyAlignment="1">
      <alignment horizontal="center"/>
    </xf>
    <xf numFmtId="0" fontId="27" fillId="7" borderId="18" xfId="0" applyFont="1" applyFill="1" applyBorder="1" applyAlignment="1">
      <alignment horizontal="center"/>
    </xf>
    <xf numFmtId="0" fontId="75" fillId="7" borderId="18" xfId="0" applyFont="1" applyFill="1" applyBorder="1"/>
    <xf numFmtId="0" fontId="28" fillId="0" borderId="0" xfId="0" applyFont="1" applyBorder="1" applyAlignment="1">
      <alignment horizontal="center"/>
    </xf>
    <xf numFmtId="0" fontId="38" fillId="0" borderId="0" xfId="0" applyFont="1" applyFill="1" applyBorder="1" applyAlignment="1">
      <alignment horizontal="center"/>
    </xf>
    <xf numFmtId="0" fontId="26" fillId="4" borderId="57" xfId="0" applyFont="1" applyFill="1" applyBorder="1" applyAlignment="1">
      <alignment horizontal="center"/>
    </xf>
    <xf numFmtId="0" fontId="60" fillId="4" borderId="58" xfId="0" applyFont="1" applyFill="1" applyBorder="1"/>
    <xf numFmtId="0" fontId="60" fillId="4" borderId="59" xfId="0" applyFont="1" applyFill="1" applyBorder="1"/>
    <xf numFmtId="0" fontId="60" fillId="4" borderId="6" xfId="0" applyFont="1" applyFill="1" applyBorder="1" applyAlignment="1">
      <alignment horizontal="center"/>
    </xf>
    <xf numFmtId="0" fontId="60" fillId="4" borderId="0" xfId="0" applyFont="1" applyFill="1" applyBorder="1"/>
    <xf numFmtId="0" fontId="80" fillId="7" borderId="56" xfId="0" applyFont="1" applyFill="1" applyBorder="1" applyAlignment="1">
      <alignment horizontal="center"/>
    </xf>
    <xf numFmtId="0" fontId="60" fillId="4" borderId="16" xfId="0" applyFont="1" applyFill="1" applyBorder="1"/>
    <xf numFmtId="0" fontId="60" fillId="4" borderId="6" xfId="0" applyFont="1" applyFill="1" applyBorder="1"/>
    <xf numFmtId="0" fontId="60" fillId="4" borderId="7" xfId="0" applyFont="1" applyFill="1" applyBorder="1" applyAlignment="1">
      <alignment horizontal="center"/>
    </xf>
    <xf numFmtId="0" fontId="60" fillId="4" borderId="1" xfId="0" applyFont="1" applyFill="1" applyBorder="1"/>
    <xf numFmtId="0" fontId="60" fillId="4" borderId="17" xfId="0" applyFont="1" applyFill="1" applyBorder="1"/>
    <xf numFmtId="0" fontId="30" fillId="0" borderId="0" xfId="0" applyFont="1" applyFill="1" applyBorder="1"/>
    <xf numFmtId="0" fontId="30" fillId="0" borderId="0" xfId="0" applyFont="1" applyFill="1" applyBorder="1" applyAlignment="1">
      <alignment horizontal="center"/>
    </xf>
    <xf numFmtId="0" fontId="6" fillId="0" borderId="0" xfId="0" applyFont="1" applyFill="1" applyBorder="1" applyAlignment="1">
      <alignment horizontal="center"/>
    </xf>
    <xf numFmtId="0" fontId="26" fillId="0" borderId="0" xfId="0" applyFont="1" applyFill="1"/>
    <xf numFmtId="0" fontId="26" fillId="0" borderId="0" xfId="0" applyFont="1" applyFill="1" applyBorder="1" applyAlignment="1" applyProtection="1">
      <alignment horizontal="center"/>
    </xf>
    <xf numFmtId="0" fontId="56" fillId="0" borderId="0" xfId="0" applyFont="1" applyFill="1"/>
    <xf numFmtId="0" fontId="56" fillId="0" borderId="0" xfId="0" applyFont="1" applyFill="1" applyAlignment="1">
      <alignment horizontal="center"/>
    </xf>
    <xf numFmtId="2" fontId="56" fillId="0" borderId="0" xfId="0" applyNumberFormat="1" applyFont="1" applyFill="1"/>
    <xf numFmtId="0" fontId="40" fillId="0" borderId="60" xfId="0" applyFont="1" applyBorder="1" applyAlignment="1" applyProtection="1">
      <alignment horizontal="center"/>
    </xf>
    <xf numFmtId="0" fontId="0" fillId="0" borderId="57" xfId="0" applyBorder="1" applyAlignment="1">
      <alignment horizontal="center"/>
    </xf>
    <xf numFmtId="0" fontId="0" fillId="0" borderId="58" xfId="0" applyBorder="1" applyAlignment="1">
      <alignment horizontal="center"/>
    </xf>
    <xf numFmtId="0" fontId="24" fillId="0" borderId="59" xfId="0" applyFont="1" applyBorder="1" applyAlignment="1">
      <alignment horizontal="center"/>
    </xf>
    <xf numFmtId="0" fontId="0" fillId="0" borderId="6" xfId="0" applyBorder="1" applyAlignment="1">
      <alignment horizontal="center"/>
    </xf>
    <xf numFmtId="0" fontId="0" fillId="0" borderId="16" xfId="0" applyBorder="1" applyAlignment="1">
      <alignment horizontal="center"/>
    </xf>
    <xf numFmtId="0" fontId="0" fillId="0" borderId="7" xfId="0" applyBorder="1" applyAlignment="1">
      <alignment horizontal="center"/>
    </xf>
    <xf numFmtId="0" fontId="0" fillId="0" borderId="17" xfId="0" applyBorder="1" applyAlignment="1">
      <alignment horizontal="center"/>
    </xf>
    <xf numFmtId="0" fontId="22" fillId="0" borderId="6" xfId="0" applyFont="1" applyFill="1" applyBorder="1" applyAlignment="1">
      <alignment horizontal="center"/>
    </xf>
    <xf numFmtId="0" fontId="8" fillId="0" borderId="0" xfId="0" applyFont="1" applyFill="1" applyBorder="1" applyAlignment="1">
      <alignment horizontal="center"/>
    </xf>
    <xf numFmtId="0" fontId="16" fillId="0" borderId="0" xfId="0" applyFont="1" applyFill="1" applyBorder="1" applyAlignment="1">
      <alignment horizontal="center"/>
    </xf>
    <xf numFmtId="0" fontId="17" fillId="0" borderId="0" xfId="0" applyFont="1" applyFill="1" applyBorder="1" applyAlignment="1">
      <alignment horizontal="center"/>
    </xf>
    <xf numFmtId="0" fontId="15" fillId="0" borderId="0" xfId="0" applyFont="1" applyFill="1" applyBorder="1" applyAlignment="1">
      <alignment horizontal="center"/>
    </xf>
    <xf numFmtId="0" fontId="3" fillId="7" borderId="5" xfId="0" applyFont="1" applyFill="1" applyBorder="1" applyAlignment="1">
      <alignment horizontal="center"/>
    </xf>
    <xf numFmtId="0" fontId="3" fillId="7" borderId="5" xfId="0" applyFont="1" applyFill="1" applyBorder="1" applyAlignment="1">
      <alignment horizontal="left"/>
    </xf>
    <xf numFmtId="0" fontId="81" fillId="0" borderId="0" xfId="0" applyFont="1" applyAlignment="1" applyProtection="1">
      <alignment horizontal="center"/>
      <protection locked="0"/>
    </xf>
    <xf numFmtId="0" fontId="18" fillId="11" borderId="0" xfId="0" applyFont="1" applyFill="1"/>
    <xf numFmtId="0" fontId="83" fillId="11" borderId="0" xfId="0" applyFont="1" applyFill="1"/>
    <xf numFmtId="0" fontId="26" fillId="11" borderId="0" xfId="0" applyFont="1" applyFill="1"/>
    <xf numFmtId="0" fontId="28" fillId="11" borderId="0" xfId="0" applyFont="1" applyFill="1"/>
    <xf numFmtId="0" fontId="84" fillId="0" borderId="0" xfId="0" applyFont="1" applyAlignment="1" applyProtection="1">
      <alignment horizontal="center"/>
      <protection locked="0"/>
    </xf>
    <xf numFmtId="0" fontId="0" fillId="0" borderId="0" xfId="0" applyAlignment="1">
      <alignment horizontal="right"/>
    </xf>
    <xf numFmtId="165" fontId="0" fillId="0" borderId="0" xfId="0" applyNumberFormat="1" applyFill="1" applyAlignment="1">
      <alignment horizontal="center"/>
    </xf>
    <xf numFmtId="1" fontId="27" fillId="0" borderId="0" xfId="0" applyNumberFormat="1" applyFont="1" applyFill="1" applyBorder="1" applyAlignment="1">
      <alignment horizontal="center"/>
    </xf>
    <xf numFmtId="0" fontId="28" fillId="0" borderId="0" xfId="0" applyFont="1" applyFill="1" applyBorder="1"/>
    <xf numFmtId="0" fontId="61" fillId="0" borderId="0" xfId="0" applyFont="1" applyFill="1" applyBorder="1" applyAlignment="1" applyProtection="1">
      <alignment horizontal="right"/>
    </xf>
    <xf numFmtId="0" fontId="60" fillId="0" borderId="0" xfId="0" applyFont="1" applyBorder="1" applyAlignment="1" applyProtection="1">
      <alignment horizontal="center"/>
    </xf>
    <xf numFmtId="0" fontId="26" fillId="0" borderId="0" xfId="0" applyFont="1" applyFill="1" applyBorder="1" applyProtection="1"/>
    <xf numFmtId="0" fontId="62" fillId="0" borderId="5" xfId="0" applyFont="1" applyFill="1" applyBorder="1" applyAlignment="1" applyProtection="1">
      <alignment horizontal="center"/>
    </xf>
    <xf numFmtId="1" fontId="26" fillId="0" borderId="0" xfId="0" applyNumberFormat="1" applyFont="1" applyBorder="1" applyAlignment="1" applyProtection="1">
      <alignment horizontal="center"/>
    </xf>
    <xf numFmtId="0" fontId="78" fillId="0" borderId="45" xfId="0" applyNumberFormat="1" applyFont="1" applyFill="1" applyBorder="1" applyAlignment="1" applyProtection="1">
      <alignment horizontal="center"/>
    </xf>
    <xf numFmtId="0" fontId="68" fillId="0" borderId="0" xfId="0" applyFont="1" applyFill="1" applyBorder="1" applyAlignment="1" applyProtection="1">
      <alignment horizontal="left"/>
    </xf>
    <xf numFmtId="0" fontId="68" fillId="0" borderId="0" xfId="0" applyFont="1" applyFill="1" applyBorder="1" applyAlignment="1" applyProtection="1">
      <alignment horizontal="center"/>
    </xf>
    <xf numFmtId="0" fontId="6" fillId="0" borderId="0" xfId="0" applyFont="1" applyFill="1" applyBorder="1" applyAlignment="1" applyProtection="1">
      <alignment horizontal="center"/>
    </xf>
    <xf numFmtId="0" fontId="31" fillId="0" borderId="0" xfId="0" applyFont="1" applyFill="1" applyBorder="1" applyProtection="1"/>
    <xf numFmtId="0" fontId="43" fillId="0" borderId="0" xfId="0" applyFont="1" applyFill="1" applyBorder="1" applyAlignment="1" applyProtection="1">
      <alignment horizontal="center"/>
    </xf>
    <xf numFmtId="0" fontId="30" fillId="0" borderId="0" xfId="0" applyFont="1"/>
    <xf numFmtId="0" fontId="30" fillId="0" borderId="0" xfId="0" applyFont="1" applyFill="1" applyBorder="1" applyAlignment="1" applyProtection="1">
      <alignment horizontal="center"/>
    </xf>
    <xf numFmtId="0" fontId="18" fillId="0" borderId="0" xfId="0" applyFont="1"/>
    <xf numFmtId="0" fontId="30" fillId="0" borderId="0" xfId="0" applyFont="1" applyBorder="1"/>
    <xf numFmtId="0" fontId="30" fillId="0" borderId="0" xfId="0" applyFont="1" applyBorder="1" applyAlignment="1">
      <alignment horizontal="center"/>
    </xf>
    <xf numFmtId="0" fontId="89" fillId="0" borderId="0" xfId="0" applyFont="1" applyFill="1" applyBorder="1" applyAlignment="1">
      <alignment horizontal="center"/>
    </xf>
    <xf numFmtId="0" fontId="26" fillId="0" borderId="6" xfId="0" applyFont="1" applyBorder="1"/>
    <xf numFmtId="0" fontId="26" fillId="0" borderId="16" xfId="0" applyFont="1" applyBorder="1"/>
    <xf numFmtId="0" fontId="6" fillId="0" borderId="6" xfId="0" applyFont="1" applyFill="1" applyBorder="1" applyAlignment="1">
      <alignment horizontal="center"/>
    </xf>
    <xf numFmtId="0" fontId="62" fillId="0" borderId="0" xfId="0" applyFont="1" applyFill="1" applyBorder="1" applyAlignment="1">
      <alignment horizontal="center"/>
    </xf>
    <xf numFmtId="0" fontId="26" fillId="0" borderId="6" xfId="0" applyFont="1" applyFill="1" applyBorder="1"/>
    <xf numFmtId="0" fontId="26" fillId="0" borderId="16" xfId="0" applyFont="1" applyFill="1" applyBorder="1"/>
    <xf numFmtId="0" fontId="26" fillId="0" borderId="0" xfId="0" applyFont="1" applyBorder="1" applyAlignment="1" applyProtection="1">
      <alignment horizontal="center"/>
    </xf>
    <xf numFmtId="0" fontId="90" fillId="0" borderId="0" xfId="0" applyFont="1"/>
    <xf numFmtId="0" fontId="91" fillId="0" borderId="0" xfId="0" applyNumberFormat="1" applyFont="1" applyFill="1" applyAlignment="1">
      <alignment horizontal="center"/>
    </xf>
    <xf numFmtId="0" fontId="92" fillId="0" borderId="0" xfId="0" applyNumberFormat="1" applyFont="1" applyFill="1" applyBorder="1" applyAlignment="1">
      <alignment horizontal="left"/>
    </xf>
    <xf numFmtId="0" fontId="92" fillId="0" borderId="37" xfId="0" applyNumberFormat="1" applyFont="1" applyFill="1" applyBorder="1" applyAlignment="1">
      <alignment horizontal="center"/>
    </xf>
    <xf numFmtId="0" fontId="92" fillId="0" borderId="0" xfId="0" applyNumberFormat="1" applyFont="1" applyFill="1" applyBorder="1" applyAlignment="1">
      <alignment horizontal="center"/>
    </xf>
    <xf numFmtId="0" fontId="92" fillId="0" borderId="38" xfId="0" applyNumberFormat="1" applyFont="1" applyFill="1" applyBorder="1" applyAlignment="1">
      <alignment horizontal="center"/>
    </xf>
    <xf numFmtId="0" fontId="92" fillId="0" borderId="0" xfId="1" applyNumberFormat="1" applyFont="1" applyFill="1" applyBorder="1" applyAlignment="1">
      <alignment horizontal="center"/>
    </xf>
    <xf numFmtId="0" fontId="92" fillId="0" borderId="5" xfId="0" applyNumberFormat="1" applyFont="1" applyFill="1" applyBorder="1" applyAlignment="1">
      <alignment horizontal="left"/>
    </xf>
    <xf numFmtId="0" fontId="92" fillId="0" borderId="44" xfId="0" applyNumberFormat="1" applyFont="1" applyFill="1" applyBorder="1" applyAlignment="1">
      <alignment horizontal="center"/>
    </xf>
    <xf numFmtId="0" fontId="92" fillId="0" borderId="5" xfId="0" applyNumberFormat="1" applyFont="1" applyFill="1" applyBorder="1" applyAlignment="1">
      <alignment horizontal="center"/>
    </xf>
    <xf numFmtId="0" fontId="92" fillId="0" borderId="45" xfId="0" applyNumberFormat="1" applyFont="1" applyFill="1" applyBorder="1" applyAlignment="1">
      <alignment horizontal="center"/>
    </xf>
    <xf numFmtId="0" fontId="96" fillId="0" borderId="0" xfId="0" applyFont="1"/>
    <xf numFmtId="0" fontId="92" fillId="0" borderId="37" xfId="0" applyNumberFormat="1" applyFont="1" applyFill="1" applyBorder="1" applyAlignment="1">
      <alignment horizontal="left"/>
    </xf>
    <xf numFmtId="0" fontId="92" fillId="0" borderId="39" xfId="0" applyNumberFormat="1" applyFont="1" applyFill="1" applyBorder="1" applyAlignment="1">
      <alignment horizontal="center"/>
    </xf>
    <xf numFmtId="0" fontId="97" fillId="0" borderId="39" xfId="0" applyNumberFormat="1" applyFont="1" applyFill="1" applyBorder="1" applyAlignment="1">
      <alignment horizontal="center"/>
    </xf>
    <xf numFmtId="0" fontId="92" fillId="0" borderId="5" xfId="0" applyNumberFormat="1" applyFont="1" applyFill="1" applyBorder="1" applyAlignment="1">
      <alignment horizontal="center" vertical="center"/>
    </xf>
    <xf numFmtId="0" fontId="92" fillId="0" borderId="45" xfId="0" applyNumberFormat="1" applyFont="1" applyFill="1" applyBorder="1" applyAlignment="1">
      <alignment horizontal="center" vertical="center"/>
    </xf>
    <xf numFmtId="0" fontId="92" fillId="0" borderId="46" xfId="0" applyFont="1" applyBorder="1" applyAlignment="1">
      <alignment horizontal="center"/>
    </xf>
    <xf numFmtId="2" fontId="0" fillId="0" borderId="0" xfId="0" applyNumberFormat="1" applyAlignment="1">
      <alignment horizontal="center"/>
    </xf>
    <xf numFmtId="0" fontId="0" fillId="0" borderId="6" xfId="0" applyBorder="1"/>
    <xf numFmtId="0" fontId="0" fillId="0" borderId="16" xfId="0" applyBorder="1"/>
    <xf numFmtId="0" fontId="150" fillId="0" borderId="0" xfId="0" applyFont="1" applyAlignment="1" applyProtection="1">
      <alignment horizontal="center"/>
    </xf>
    <xf numFmtId="167" fontId="26" fillId="0" borderId="0" xfId="0" applyNumberFormat="1" applyFont="1" applyBorder="1"/>
    <xf numFmtId="1" fontId="26" fillId="0" borderId="0" xfId="0" applyNumberFormat="1" applyFont="1" applyBorder="1"/>
    <xf numFmtId="1" fontId="26" fillId="0" borderId="0" xfId="0" applyNumberFormat="1" applyFont="1" applyBorder="1" applyAlignment="1">
      <alignment horizontal="center"/>
    </xf>
    <xf numFmtId="169" fontId="26" fillId="0" borderId="0" xfId="1" applyNumberFormat="1" applyFont="1" applyFill="1" applyBorder="1"/>
    <xf numFmtId="0" fontId="151" fillId="0" borderId="0" xfId="0" applyFont="1"/>
    <xf numFmtId="0" fontId="151" fillId="0" borderId="0" xfId="0" applyFont="1" applyFill="1" applyBorder="1" applyAlignment="1" applyProtection="1">
      <alignment horizontal="center"/>
    </xf>
    <xf numFmtId="0" fontId="151" fillId="0" borderId="0" xfId="0" applyFont="1" applyBorder="1" applyProtection="1"/>
    <xf numFmtId="0" fontId="152" fillId="0" borderId="0" xfId="0" applyFont="1" applyBorder="1" applyAlignment="1" applyProtection="1">
      <alignment horizontal="center"/>
    </xf>
    <xf numFmtId="0" fontId="151" fillId="0" borderId="0" xfId="0" applyFont="1" applyBorder="1" applyAlignment="1" applyProtection="1">
      <alignment horizontal="center"/>
    </xf>
    <xf numFmtId="0" fontId="151" fillId="0" borderId="0" xfId="0" applyFont="1" applyAlignment="1" applyProtection="1">
      <alignment horizontal="center"/>
    </xf>
    <xf numFmtId="0" fontId="153" fillId="0" borderId="0" xfId="0" applyNumberFormat="1" applyFont="1" applyFill="1" applyAlignment="1">
      <alignment horizontal="center"/>
    </xf>
    <xf numFmtId="0" fontId="151" fillId="0" borderId="0" xfId="0" applyFont="1" applyFill="1" applyBorder="1" applyAlignment="1">
      <alignment horizontal="center"/>
    </xf>
    <xf numFmtId="0" fontId="151" fillId="0" borderId="0" xfId="0" applyFont="1" applyBorder="1"/>
    <xf numFmtId="0" fontId="151" fillId="0" borderId="0" xfId="0" applyFont="1" applyBorder="1" applyAlignment="1">
      <alignment horizontal="center"/>
    </xf>
    <xf numFmtId="0" fontId="154" fillId="0" borderId="61" xfId="0" applyNumberFormat="1" applyFont="1" applyFill="1" applyBorder="1" applyAlignment="1" applyProtection="1">
      <alignment horizontal="left"/>
    </xf>
    <xf numFmtId="0" fontId="154" fillId="0" borderId="62" xfId="0" applyNumberFormat="1" applyFont="1" applyFill="1" applyBorder="1" applyAlignment="1" applyProtection="1">
      <alignment horizontal="left"/>
    </xf>
    <xf numFmtId="0" fontId="154" fillId="0" borderId="48" xfId="0" applyNumberFormat="1" applyFont="1" applyFill="1" applyBorder="1" applyAlignment="1" applyProtection="1">
      <alignment horizontal="left"/>
    </xf>
    <xf numFmtId="0" fontId="151" fillId="0" borderId="0" xfId="0" applyFont="1" applyFill="1" applyBorder="1"/>
    <xf numFmtId="0" fontId="154" fillId="0" borderId="49" xfId="0" applyNumberFormat="1" applyFont="1" applyFill="1" applyBorder="1" applyAlignment="1" applyProtection="1">
      <alignment horizontal="left"/>
    </xf>
    <xf numFmtId="0" fontId="154" fillId="0" borderId="41" xfId="0" applyNumberFormat="1" applyFont="1" applyFill="1" applyBorder="1" applyAlignment="1" applyProtection="1">
      <alignment horizontal="left"/>
    </xf>
    <xf numFmtId="0" fontId="154" fillId="0" borderId="42" xfId="0" applyNumberFormat="1" applyFont="1" applyFill="1" applyBorder="1" applyAlignment="1" applyProtection="1">
      <alignment horizontal="left"/>
    </xf>
    <xf numFmtId="0" fontId="155" fillId="0" borderId="0" xfId="0" applyFont="1" applyFill="1" applyBorder="1" applyAlignment="1">
      <alignment horizontal="center"/>
    </xf>
    <xf numFmtId="0" fontId="151" fillId="0" borderId="53" xfId="0" applyFont="1" applyFill="1" applyBorder="1" applyAlignment="1" applyProtection="1">
      <alignment horizontal="center"/>
    </xf>
    <xf numFmtId="0" fontId="151" fillId="0" borderId="53" xfId="0" applyFont="1" applyBorder="1" applyProtection="1"/>
    <xf numFmtId="0" fontId="151" fillId="0" borderId="51" xfId="0" applyFont="1" applyFill="1" applyBorder="1" applyAlignment="1" applyProtection="1">
      <alignment horizontal="center"/>
    </xf>
    <xf numFmtId="0" fontId="151" fillId="0" borderId="41" xfId="0" applyFont="1" applyBorder="1" applyProtection="1"/>
    <xf numFmtId="0" fontId="151" fillId="0" borderId="42" xfId="0" applyFont="1" applyBorder="1" applyProtection="1"/>
    <xf numFmtId="0" fontId="2" fillId="0" borderId="58" xfId="0" applyFont="1" applyBorder="1" applyAlignment="1">
      <alignment horizontal="center"/>
    </xf>
    <xf numFmtId="0" fontId="26" fillId="0" borderId="0" xfId="0" applyFont="1" applyAlignment="1">
      <alignment horizontal="center" vertical="center"/>
    </xf>
    <xf numFmtId="1" fontId="26" fillId="0" borderId="0" xfId="0" applyNumberFormat="1" applyFont="1"/>
    <xf numFmtId="1" fontId="26" fillId="0" borderId="0" xfId="0" applyNumberFormat="1" applyFont="1" applyAlignment="1">
      <alignment horizontal="center" vertical="center"/>
    </xf>
    <xf numFmtId="167" fontId="26" fillId="0" borderId="0" xfId="0" applyNumberFormat="1" applyFont="1"/>
    <xf numFmtId="0" fontId="26" fillId="15" borderId="0" xfId="0" applyFont="1" applyFill="1"/>
    <xf numFmtId="0" fontId="26" fillId="16" borderId="2" xfId="0" applyFont="1" applyFill="1" applyBorder="1" applyProtection="1">
      <protection locked="0"/>
    </xf>
    <xf numFmtId="0" fontId="26" fillId="16" borderId="2" xfId="0" applyFont="1" applyFill="1" applyBorder="1" applyAlignment="1" applyProtection="1">
      <alignment horizontal="center" vertical="center"/>
      <protection locked="0"/>
    </xf>
    <xf numFmtId="170" fontId="26" fillId="0" borderId="0" xfId="0" applyNumberFormat="1" applyFont="1"/>
    <xf numFmtId="0" fontId="156" fillId="0" borderId="0" xfId="0" applyFont="1" applyFill="1" applyBorder="1" applyProtection="1"/>
    <xf numFmtId="0" fontId="157" fillId="0" borderId="0" xfId="0" applyFont="1" applyFill="1" applyBorder="1" applyProtection="1"/>
    <xf numFmtId="0" fontId="157" fillId="0" borderId="0" xfId="0" applyFont="1" applyFill="1" applyBorder="1" applyAlignment="1" applyProtection="1">
      <alignment horizontal="center"/>
    </xf>
    <xf numFmtId="0" fontId="158" fillId="0" borderId="6" xfId="0" applyNumberFormat="1" applyFont="1" applyBorder="1" applyAlignment="1">
      <alignment horizontal="center"/>
    </xf>
    <xf numFmtId="0" fontId="159" fillId="0" borderId="0" xfId="0" applyNumberFormat="1" applyFont="1" applyBorder="1" applyAlignment="1">
      <alignment horizontal="center"/>
    </xf>
    <xf numFmtId="0" fontId="159" fillId="0" borderId="38" xfId="0" applyNumberFormat="1" applyFont="1" applyBorder="1" applyAlignment="1">
      <alignment horizontal="center"/>
    </xf>
    <xf numFmtId="0" fontId="158" fillId="0" borderId="39" xfId="0" applyNumberFormat="1" applyFont="1" applyBorder="1" applyAlignment="1">
      <alignment horizontal="center"/>
    </xf>
    <xf numFmtId="0" fontId="158" fillId="0" borderId="40" xfId="0" applyNumberFormat="1" applyFont="1" applyBorder="1" applyAlignment="1">
      <alignment horizontal="center"/>
    </xf>
    <xf numFmtId="0" fontId="159" fillId="0" borderId="41" xfId="0" applyNumberFormat="1" applyFont="1" applyBorder="1" applyAlignment="1">
      <alignment horizontal="center"/>
    </xf>
    <xf numFmtId="0" fontId="159" fillId="0" borderId="42" xfId="0" applyNumberFormat="1" applyFont="1" applyBorder="1" applyAlignment="1">
      <alignment horizontal="center"/>
    </xf>
    <xf numFmtId="0" fontId="158" fillId="0" borderId="43" xfId="0" applyNumberFormat="1" applyFont="1" applyBorder="1" applyAlignment="1">
      <alignment horizontal="center"/>
    </xf>
    <xf numFmtId="0" fontId="159" fillId="0" borderId="45" xfId="0" applyNumberFormat="1" applyFont="1" applyBorder="1" applyAlignment="1">
      <alignment horizontal="center"/>
    </xf>
    <xf numFmtId="0" fontId="159" fillId="0" borderId="44" xfId="0" applyNumberFormat="1" applyFont="1" applyBorder="1" applyAlignment="1">
      <alignment horizontal="center"/>
    </xf>
    <xf numFmtId="0" fontId="159" fillId="0" borderId="47" xfId="0" applyNumberFormat="1" applyFont="1" applyBorder="1" applyAlignment="1">
      <alignment horizontal="center"/>
    </xf>
    <xf numFmtId="0" fontId="160" fillId="0" borderId="0" xfId="0" applyFont="1"/>
    <xf numFmtId="0" fontId="156" fillId="0" borderId="0" xfId="0" applyFont="1" applyBorder="1" applyAlignment="1">
      <alignment horizontal="center"/>
    </xf>
    <xf numFmtId="0" fontId="157" fillId="0" borderId="0" xfId="0" applyFont="1" applyBorder="1"/>
    <xf numFmtId="0" fontId="62" fillId="0" borderId="69" xfId="0" applyFont="1" applyFill="1" applyBorder="1" applyAlignment="1" applyProtection="1">
      <alignment horizontal="center"/>
    </xf>
    <xf numFmtId="0" fontId="98" fillId="0" borderId="69" xfId="0" applyFont="1" applyFill="1" applyBorder="1" applyAlignment="1" applyProtection="1">
      <alignment horizontal="center"/>
    </xf>
    <xf numFmtId="167" fontId="26" fillId="0" borderId="0" xfId="0" applyNumberFormat="1" applyFont="1" applyFill="1" applyBorder="1" applyAlignment="1" applyProtection="1">
      <alignment horizontal="center" vertical="center"/>
    </xf>
    <xf numFmtId="2" fontId="26" fillId="0" borderId="0" xfId="0" applyNumberFormat="1" applyFont="1" applyFill="1" applyBorder="1" applyAlignment="1" applyProtection="1">
      <alignment horizontal="center" vertical="center"/>
    </xf>
    <xf numFmtId="0" fontId="26" fillId="0" borderId="0" xfId="0" applyFont="1" applyFill="1" applyBorder="1" applyAlignment="1">
      <alignment horizontal="center" vertical="center"/>
    </xf>
    <xf numFmtId="0" fontId="27" fillId="0" borderId="69" xfId="0" applyFont="1" applyFill="1" applyBorder="1" applyAlignment="1">
      <alignment horizontal="center"/>
    </xf>
    <xf numFmtId="0" fontId="161" fillId="0" borderId="69" xfId="0" applyFont="1" applyFill="1" applyBorder="1" applyAlignment="1">
      <alignment horizontal="center"/>
    </xf>
    <xf numFmtId="0" fontId="62" fillId="0" borderId="69" xfId="0" applyFont="1" applyFill="1" applyBorder="1" applyAlignment="1">
      <alignment horizontal="center"/>
    </xf>
    <xf numFmtId="0" fontId="104" fillId="0" borderId="69" xfId="0" applyFont="1" applyFill="1" applyBorder="1" applyAlignment="1" applyProtection="1">
      <alignment horizontal="center"/>
    </xf>
    <xf numFmtId="0" fontId="62" fillId="0" borderId="69" xfId="0" applyNumberFormat="1" applyFont="1" applyFill="1" applyBorder="1" applyAlignment="1">
      <alignment horizontal="center"/>
    </xf>
    <xf numFmtId="0" fontId="79" fillId="0" borderId="69" xfId="0" applyFont="1" applyFill="1" applyBorder="1" applyAlignment="1">
      <alignment horizontal="center"/>
    </xf>
    <xf numFmtId="0" fontId="26" fillId="0" borderId="70" xfId="0" applyFont="1" applyFill="1" applyBorder="1" applyAlignment="1">
      <alignment horizontal="center"/>
    </xf>
    <xf numFmtId="0" fontId="26" fillId="0" borderId="70" xfId="0" applyFont="1" applyBorder="1" applyAlignment="1">
      <alignment horizontal="center"/>
    </xf>
    <xf numFmtId="0" fontId="26" fillId="0" borderId="70" xfId="0" applyFont="1" applyBorder="1"/>
    <xf numFmtId="0" fontId="26" fillId="17" borderId="69" xfId="0" applyFont="1" applyFill="1" applyBorder="1"/>
    <xf numFmtId="0" fontId="69" fillId="0" borderId="0" xfId="0" applyFont="1" applyFill="1" applyBorder="1" applyAlignment="1">
      <alignment horizontal="left"/>
    </xf>
    <xf numFmtId="0" fontId="27" fillId="0" borderId="69" xfId="0" applyNumberFormat="1" applyFont="1" applyFill="1" applyBorder="1" applyAlignment="1">
      <alignment horizontal="center"/>
    </xf>
    <xf numFmtId="0" fontId="27" fillId="0" borderId="71" xfId="0" applyNumberFormat="1" applyFont="1" applyFill="1" applyBorder="1" applyAlignment="1">
      <alignment horizontal="center"/>
    </xf>
    <xf numFmtId="0" fontId="26" fillId="0" borderId="72" xfId="0" applyFont="1" applyBorder="1"/>
    <xf numFmtId="0" fontId="83" fillId="18" borderId="73" xfId="0" applyFont="1" applyFill="1" applyBorder="1"/>
    <xf numFmtId="0" fontId="83" fillId="18" borderId="0" xfId="0" applyFont="1" applyFill="1" applyBorder="1"/>
    <xf numFmtId="0" fontId="62" fillId="0" borderId="76" xfId="0" applyFont="1" applyFill="1" applyBorder="1" applyAlignment="1">
      <alignment horizontal="center"/>
    </xf>
    <xf numFmtId="0" fontId="26" fillId="0" borderId="74" xfId="0" applyFont="1" applyBorder="1"/>
    <xf numFmtId="0" fontId="26" fillId="0" borderId="73" xfId="0" applyFont="1" applyBorder="1"/>
    <xf numFmtId="0" fontId="83" fillId="11" borderId="73" xfId="0" applyFont="1" applyFill="1" applyBorder="1"/>
    <xf numFmtId="0" fontId="83" fillId="11" borderId="0" xfId="0" applyFont="1" applyFill="1" applyBorder="1"/>
    <xf numFmtId="0" fontId="83" fillId="11" borderId="74" xfId="0" applyFont="1" applyFill="1" applyBorder="1"/>
    <xf numFmtId="0" fontId="18" fillId="11" borderId="73" xfId="0" applyFont="1" applyFill="1" applyBorder="1"/>
    <xf numFmtId="0" fontId="18" fillId="11" borderId="0" xfId="0" applyFont="1" applyFill="1" applyBorder="1"/>
    <xf numFmtId="0" fontId="28" fillId="0" borderId="75" xfId="0" applyFont="1" applyBorder="1" applyAlignment="1">
      <alignment horizontal="center"/>
    </xf>
    <xf numFmtId="0" fontId="27" fillId="0" borderId="73" xfId="0" applyFont="1" applyFill="1" applyBorder="1" applyAlignment="1">
      <alignment horizontal="center" vertical="center"/>
    </xf>
    <xf numFmtId="0" fontId="18" fillId="18" borderId="73" xfId="0" applyFont="1" applyFill="1" applyBorder="1"/>
    <xf numFmtId="0" fontId="18" fillId="18" borderId="0" xfId="0" applyFont="1" applyFill="1" applyBorder="1"/>
    <xf numFmtId="0" fontId="18" fillId="18" borderId="74" xfId="0" applyFont="1" applyFill="1" applyBorder="1"/>
    <xf numFmtId="0" fontId="26" fillId="0" borderId="75" xfId="0" applyFont="1" applyBorder="1"/>
    <xf numFmtId="0" fontId="79" fillId="0" borderId="76" xfId="0" applyFont="1" applyFill="1" applyBorder="1" applyAlignment="1">
      <alignment horizontal="center"/>
    </xf>
    <xf numFmtId="0" fontId="26" fillId="0" borderId="74" xfId="0" applyFont="1" applyFill="1" applyBorder="1" applyAlignment="1" applyProtection="1">
      <alignment horizontal="center"/>
    </xf>
    <xf numFmtId="0" fontId="28" fillId="0" borderId="73" xfId="0" applyFont="1" applyBorder="1"/>
    <xf numFmtId="0" fontId="28" fillId="0" borderId="77" xfId="0" applyNumberFormat="1" applyFont="1" applyFill="1" applyBorder="1" applyAlignment="1">
      <alignment horizontal="center"/>
    </xf>
    <xf numFmtId="0" fontId="52" fillId="0" borderId="73" xfId="0" applyNumberFormat="1" applyFont="1" applyFill="1" applyBorder="1" applyAlignment="1">
      <alignment horizontal="center"/>
    </xf>
    <xf numFmtId="0" fontId="26" fillId="0" borderId="78" xfId="0" applyFont="1" applyBorder="1" applyAlignment="1">
      <alignment horizontal="center"/>
    </xf>
    <xf numFmtId="0" fontId="26" fillId="0" borderId="79" xfId="0" applyFont="1" applyBorder="1"/>
    <xf numFmtId="0" fontId="26" fillId="0" borderId="80" xfId="0" applyFont="1" applyFill="1" applyBorder="1" applyAlignment="1">
      <alignment horizontal="center"/>
    </xf>
    <xf numFmtId="0" fontId="26" fillId="0" borderId="81" xfId="0" applyFont="1" applyFill="1" applyBorder="1" applyAlignment="1">
      <alignment horizontal="center"/>
    </xf>
    <xf numFmtId="0" fontId="3" fillId="0" borderId="82" xfId="0" applyFont="1" applyFill="1" applyBorder="1" applyAlignment="1" applyProtection="1">
      <alignment horizontal="center"/>
    </xf>
    <xf numFmtId="0" fontId="35" fillId="0" borderId="69" xfId="0" applyFont="1" applyFill="1" applyBorder="1" applyAlignment="1">
      <alignment horizontal="center"/>
    </xf>
    <xf numFmtId="0" fontId="28" fillId="19" borderId="85" xfId="0" applyFont="1" applyFill="1" applyBorder="1" applyAlignment="1" applyProtection="1">
      <alignment horizontal="center"/>
      <protection locked="0"/>
    </xf>
    <xf numFmtId="0" fontId="26" fillId="0" borderId="73" xfId="0" applyFont="1" applyBorder="1" applyProtection="1">
      <protection locked="0"/>
    </xf>
    <xf numFmtId="0" fontId="62" fillId="0" borderId="83" xfId="0" applyFont="1" applyFill="1" applyBorder="1" applyAlignment="1">
      <alignment horizontal="center"/>
    </xf>
    <xf numFmtId="0" fontId="165" fillId="0" borderId="87" xfId="0" applyFont="1" applyFill="1" applyBorder="1" applyAlignment="1" applyProtection="1">
      <alignment horizontal="center"/>
    </xf>
    <xf numFmtId="0" fontId="30" fillId="0" borderId="0" xfId="0" applyFont="1" applyFill="1" applyBorder="1" applyAlignment="1" applyProtection="1">
      <alignment horizontal="left"/>
    </xf>
    <xf numFmtId="0" fontId="30" fillId="0" borderId="74" xfId="0" applyFont="1" applyFill="1" applyBorder="1" applyAlignment="1" applyProtection="1">
      <alignment horizontal="center"/>
    </xf>
    <xf numFmtId="0" fontId="26" fillId="0" borderId="73" xfId="0" applyFont="1" applyFill="1" applyBorder="1" applyAlignment="1">
      <alignment horizontal="center"/>
    </xf>
    <xf numFmtId="0" fontId="119" fillId="18" borderId="0" xfId="0" applyFont="1" applyFill="1" applyBorder="1"/>
    <xf numFmtId="0" fontId="7" fillId="0" borderId="0" xfId="0" applyFont="1" applyAlignment="1" applyProtection="1">
      <alignment horizontal="center"/>
      <protection hidden="1"/>
    </xf>
    <xf numFmtId="2" fontId="7" fillId="0" borderId="0" xfId="0" applyNumberFormat="1" applyFont="1" applyAlignment="1" applyProtection="1">
      <alignment horizontal="center"/>
      <protection hidden="1"/>
    </xf>
    <xf numFmtId="2" fontId="2" fillId="13" borderId="0" xfId="0" applyNumberFormat="1" applyFont="1" applyFill="1" applyBorder="1" applyAlignment="1" applyProtection="1">
      <alignment horizontal="center" vertical="center"/>
      <protection hidden="1"/>
    </xf>
    <xf numFmtId="2" fontId="2" fillId="13" borderId="0" xfId="0" applyNumberFormat="1" applyFont="1" applyFill="1" applyBorder="1" applyAlignment="1" applyProtection="1">
      <alignment horizontal="center"/>
      <protection hidden="1"/>
    </xf>
    <xf numFmtId="0" fontId="0" fillId="13" borderId="0" xfId="0" applyFill="1" applyAlignment="1" applyProtection="1">
      <alignment horizontal="center"/>
      <protection hidden="1"/>
    </xf>
    <xf numFmtId="2" fontId="0" fillId="14" borderId="0" xfId="0" applyNumberFormat="1" applyFill="1" applyAlignment="1" applyProtection="1">
      <alignment horizontal="center"/>
      <protection hidden="1"/>
    </xf>
    <xf numFmtId="0" fontId="0" fillId="14" borderId="0" xfId="0" applyFill="1" applyAlignment="1" applyProtection="1">
      <alignment horizontal="center"/>
      <protection hidden="1"/>
    </xf>
    <xf numFmtId="2" fontId="2" fillId="2" borderId="0" xfId="0" applyNumberFormat="1" applyFont="1" applyFill="1" applyBorder="1" applyAlignment="1" applyProtection="1">
      <alignment horizontal="center"/>
      <protection hidden="1"/>
    </xf>
    <xf numFmtId="0" fontId="2" fillId="2" borderId="0" xfId="0" applyNumberFormat="1" applyFont="1" applyFill="1" applyBorder="1" applyAlignment="1" applyProtection="1">
      <alignment horizontal="center"/>
      <protection hidden="1"/>
    </xf>
    <xf numFmtId="2" fontId="0" fillId="13" borderId="0" xfId="0" applyNumberFormat="1" applyFill="1" applyBorder="1" applyAlignment="1" applyProtection="1">
      <alignment horizontal="center"/>
      <protection hidden="1"/>
    </xf>
    <xf numFmtId="2" fontId="0" fillId="2" borderId="0" xfId="0" applyNumberFormat="1" applyFill="1" applyAlignment="1" applyProtection="1">
      <alignment horizontal="center"/>
      <protection hidden="1"/>
    </xf>
    <xf numFmtId="0" fontId="0" fillId="2" borderId="0" xfId="0" applyFill="1" applyAlignment="1" applyProtection="1">
      <alignment horizontal="center"/>
      <protection hidden="1"/>
    </xf>
    <xf numFmtId="0" fontId="0" fillId="0" borderId="0" xfId="0" applyAlignment="1" applyProtection="1">
      <alignment horizontal="center"/>
      <protection hidden="1"/>
    </xf>
    <xf numFmtId="2" fontId="0" fillId="0" borderId="0" xfId="0" applyNumberFormat="1" applyBorder="1" applyAlignment="1" applyProtection="1">
      <alignment horizontal="center"/>
      <protection hidden="1"/>
    </xf>
    <xf numFmtId="2" fontId="2" fillId="0" borderId="0" xfId="0" applyNumberFormat="1" applyFont="1" applyFill="1" applyBorder="1" applyAlignment="1" applyProtection="1">
      <alignment horizontal="center"/>
      <protection hidden="1"/>
    </xf>
    <xf numFmtId="2" fontId="2" fillId="0" borderId="0" xfId="0" applyNumberFormat="1" applyFont="1" applyFill="1" applyBorder="1" applyAlignment="1" applyProtection="1">
      <alignment horizontal="center" vertical="center"/>
      <protection hidden="1"/>
    </xf>
    <xf numFmtId="2" fontId="0" fillId="0" borderId="0" xfId="0" applyNumberFormat="1" applyBorder="1" applyAlignment="1" applyProtection="1">
      <alignment horizontal="center"/>
    </xf>
    <xf numFmtId="2" fontId="2" fillId="0" borderId="0" xfId="0" applyNumberFormat="1" applyFont="1" applyFill="1" applyBorder="1" applyAlignment="1" applyProtection="1">
      <alignment horizontal="center"/>
      <protection locked="0"/>
    </xf>
    <xf numFmtId="0" fontId="0" fillId="20" borderId="0" xfId="0" applyFill="1"/>
    <xf numFmtId="0" fontId="0" fillId="21" borderId="0" xfId="0" applyFill="1" applyAlignment="1">
      <alignment horizontal="center"/>
    </xf>
    <xf numFmtId="0" fontId="0" fillId="15" borderId="0" xfId="0" applyFill="1" applyAlignment="1">
      <alignment horizontal="center"/>
    </xf>
    <xf numFmtId="0" fontId="26" fillId="0" borderId="57" xfId="0" applyFont="1" applyBorder="1"/>
    <xf numFmtId="0" fontId="26" fillId="0" borderId="58" xfId="0" applyFont="1" applyBorder="1"/>
    <xf numFmtId="0" fontId="26" fillId="0" borderId="59" xfId="0" applyFont="1" applyBorder="1"/>
    <xf numFmtId="0" fontId="28" fillId="0" borderId="6" xfId="0" applyFont="1" applyBorder="1"/>
    <xf numFmtId="0" fontId="28" fillId="0" borderId="0" xfId="0" applyFont="1" applyBorder="1"/>
    <xf numFmtId="0" fontId="3" fillId="0" borderId="0" xfId="0" applyFont="1" applyBorder="1"/>
    <xf numFmtId="0" fontId="6" fillId="0" borderId="16" xfId="0" applyFont="1" applyFill="1" applyBorder="1" applyAlignment="1">
      <alignment horizontal="center"/>
    </xf>
    <xf numFmtId="2" fontId="26" fillId="0" borderId="16" xfId="0" applyNumberFormat="1" applyFont="1" applyFill="1" applyBorder="1" applyAlignment="1">
      <alignment horizontal="center"/>
    </xf>
    <xf numFmtId="0" fontId="69" fillId="0" borderId="16" xfId="0" applyFont="1" applyFill="1" applyBorder="1" applyAlignment="1">
      <alignment horizontal="left"/>
    </xf>
    <xf numFmtId="0" fontId="26" fillId="0" borderId="7" xfId="0" applyFont="1" applyBorder="1"/>
    <xf numFmtId="0" fontId="26" fillId="0" borderId="17" xfId="0" applyFont="1" applyBorder="1"/>
    <xf numFmtId="2" fontId="164" fillId="0" borderId="89" xfId="0" applyNumberFormat="1" applyFont="1" applyBorder="1" applyAlignment="1">
      <alignment horizontal="center"/>
    </xf>
    <xf numFmtId="0" fontId="27" fillId="23" borderId="90" xfId="0" applyFont="1" applyFill="1" applyBorder="1" applyAlignment="1">
      <alignment horizontal="center"/>
    </xf>
    <xf numFmtId="0" fontId="62" fillId="23" borderId="90" xfId="0" applyFont="1" applyFill="1" applyBorder="1" applyAlignment="1">
      <alignment horizontal="center"/>
    </xf>
    <xf numFmtId="0" fontId="28" fillId="22" borderId="90" xfId="0" applyFont="1" applyFill="1" applyBorder="1" applyAlignment="1">
      <alignment horizontal="center"/>
    </xf>
    <xf numFmtId="0" fontId="6" fillId="0" borderId="90" xfId="0" applyFont="1" applyBorder="1" applyAlignment="1">
      <alignment horizontal="center"/>
    </xf>
    <xf numFmtId="0" fontId="31" fillId="24" borderId="90" xfId="0" applyFont="1" applyFill="1" applyBorder="1"/>
    <xf numFmtId="0" fontId="27" fillId="24" borderId="90" xfId="0" applyFont="1" applyFill="1" applyBorder="1"/>
    <xf numFmtId="0" fontId="121" fillId="23" borderId="90" xfId="0" applyFont="1" applyFill="1" applyBorder="1" applyAlignment="1">
      <alignment horizontal="center"/>
    </xf>
    <xf numFmtId="0" fontId="6" fillId="23" borderId="90" xfId="0" applyFont="1" applyFill="1" applyBorder="1" applyAlignment="1">
      <alignment horizontal="center"/>
    </xf>
    <xf numFmtId="0" fontId="6" fillId="25" borderId="90" xfId="0" applyFont="1" applyFill="1" applyBorder="1" applyAlignment="1">
      <alignment horizontal="center"/>
    </xf>
    <xf numFmtId="0" fontId="26" fillId="25" borderId="90" xfId="0" applyFont="1" applyFill="1" applyBorder="1" applyAlignment="1">
      <alignment horizontal="center"/>
    </xf>
    <xf numFmtId="0" fontId="6" fillId="25" borderId="91" xfId="0" applyFont="1" applyFill="1" applyBorder="1" applyAlignment="1">
      <alignment horizontal="center"/>
    </xf>
    <xf numFmtId="0" fontId="6" fillId="0" borderId="0" xfId="0" applyFont="1" applyBorder="1" applyAlignment="1" applyProtection="1">
      <alignment horizontal="center"/>
      <protection locked="0"/>
    </xf>
    <xf numFmtId="0" fontId="2" fillId="0" borderId="0" xfId="0" applyFont="1"/>
    <xf numFmtId="0" fontId="2" fillId="0" borderId="0" xfId="0" applyFont="1" applyAlignment="1">
      <alignment horizontal="center"/>
    </xf>
    <xf numFmtId="0" fontId="2" fillId="20" borderId="0" xfId="0" applyFont="1" applyFill="1" applyAlignment="1">
      <alignment horizontal="center"/>
    </xf>
    <xf numFmtId="0" fontId="166" fillId="0" borderId="0" xfId="0" applyFont="1" applyAlignment="1">
      <alignment horizontal="center"/>
    </xf>
    <xf numFmtId="0" fontId="2" fillId="0" borderId="0" xfId="0" applyFont="1" applyAlignment="1">
      <alignment horizontal="right"/>
    </xf>
    <xf numFmtId="0" fontId="26" fillId="0" borderId="0" xfId="0" applyFont="1" applyFill="1" applyBorder="1" applyProtection="1">
      <protection locked="0"/>
    </xf>
    <xf numFmtId="165" fontId="26" fillId="0" borderId="0" xfId="0" applyNumberFormat="1" applyFont="1" applyBorder="1" applyAlignment="1">
      <alignment horizontal="center"/>
    </xf>
    <xf numFmtId="1" fontId="0" fillId="0" borderId="0" xfId="0" applyNumberFormat="1" applyAlignment="1">
      <alignment horizontal="center"/>
    </xf>
    <xf numFmtId="0" fontId="0" fillId="20" borderId="0" xfId="0" applyFill="1" applyAlignment="1">
      <alignment horizontal="center"/>
    </xf>
    <xf numFmtId="0" fontId="0" fillId="20" borderId="0" xfId="0" applyFill="1" applyBorder="1"/>
    <xf numFmtId="1" fontId="0" fillId="0" borderId="0" xfId="0" applyNumberFormat="1"/>
    <xf numFmtId="172" fontId="0" fillId="0" borderId="2" xfId="0" applyNumberFormat="1" applyBorder="1"/>
    <xf numFmtId="0" fontId="168" fillId="0" borderId="0" xfId="0" applyFont="1" applyAlignment="1">
      <alignment horizontal="center"/>
    </xf>
    <xf numFmtId="0" fontId="2" fillId="0" borderId="0" xfId="0" applyFont="1" applyAlignment="1">
      <alignment horizontal="center" vertical="center"/>
    </xf>
    <xf numFmtId="0" fontId="26" fillId="0" borderId="73" xfId="0" applyFont="1" applyFill="1" applyBorder="1" applyAlignment="1">
      <alignment horizontal="center" vertical="center"/>
    </xf>
    <xf numFmtId="0" fontId="2" fillId="0" borderId="2" xfId="0" applyFont="1" applyBorder="1"/>
    <xf numFmtId="0" fontId="52" fillId="0" borderId="0" xfId="0" applyFont="1"/>
    <xf numFmtId="0" fontId="0" fillId="0" borderId="0" xfId="0" applyAlignment="1">
      <alignment horizontal="center" vertical="center"/>
    </xf>
    <xf numFmtId="167" fontId="0" fillId="0" borderId="0" xfId="0" applyNumberFormat="1" applyAlignment="1">
      <alignment horizontal="center" vertical="center"/>
    </xf>
    <xf numFmtId="0" fontId="169" fillId="0" borderId="0" xfId="0" applyFont="1" applyAlignment="1">
      <alignment horizontal="center" vertical="center"/>
    </xf>
    <xf numFmtId="167" fontId="0" fillId="0" borderId="2" xfId="0" applyNumberFormat="1" applyBorder="1" applyAlignment="1">
      <alignment horizontal="center"/>
    </xf>
    <xf numFmtId="0" fontId="3" fillId="0" borderId="69" xfId="0" applyFont="1" applyFill="1" applyBorder="1" applyAlignment="1">
      <alignment horizontal="center"/>
    </xf>
    <xf numFmtId="0" fontId="54" fillId="0" borderId="63" xfId="0" applyFont="1" applyBorder="1"/>
    <xf numFmtId="0" fontId="54" fillId="0" borderId="64" xfId="0" applyFont="1" applyBorder="1"/>
    <xf numFmtId="0" fontId="54" fillId="0" borderId="19" xfId="0" applyFont="1" applyBorder="1"/>
    <xf numFmtId="0" fontId="54" fillId="26" borderId="63" xfId="0" applyFont="1" applyFill="1" applyBorder="1"/>
    <xf numFmtId="0" fontId="54" fillId="26" borderId="64" xfId="0" applyFont="1" applyFill="1" applyBorder="1"/>
    <xf numFmtId="0" fontId="54" fillId="26" borderId="19" xfId="0" applyFont="1" applyFill="1" applyBorder="1"/>
    <xf numFmtId="0" fontId="7" fillId="26" borderId="0" xfId="0" applyFont="1" applyFill="1"/>
    <xf numFmtId="0" fontId="0" fillId="0" borderId="19" xfId="0" applyBorder="1"/>
    <xf numFmtId="0" fontId="0" fillId="26" borderId="63" xfId="0" applyFill="1" applyBorder="1" applyAlignment="1">
      <alignment horizontal="center"/>
    </xf>
    <xf numFmtId="0" fontId="0" fillId="26" borderId="64" xfId="0" applyFill="1" applyBorder="1" applyAlignment="1">
      <alignment horizontal="center"/>
    </xf>
    <xf numFmtId="0" fontId="0" fillId="26" borderId="19" xfId="0" applyFill="1" applyBorder="1" applyAlignment="1">
      <alignment horizontal="center"/>
    </xf>
    <xf numFmtId="0" fontId="7" fillId="0" borderId="0" xfId="0" applyFont="1" applyAlignment="1">
      <alignment horizontal="center"/>
    </xf>
    <xf numFmtId="0" fontId="0" fillId="26" borderId="2" xfId="0" applyFill="1" applyBorder="1" applyAlignment="1">
      <alignment horizontal="center"/>
    </xf>
    <xf numFmtId="0" fontId="7" fillId="15" borderId="0" xfId="0" applyFont="1" applyFill="1"/>
    <xf numFmtId="0" fontId="0" fillId="15" borderId="0" xfId="0" applyFill="1"/>
    <xf numFmtId="0" fontId="7" fillId="21" borderId="0" xfId="0" applyFont="1" applyFill="1"/>
    <xf numFmtId="0" fontId="0" fillId="21" borderId="0" xfId="0" applyFill="1"/>
    <xf numFmtId="0" fontId="127" fillId="27" borderId="0" xfId="0" applyFont="1" applyFill="1"/>
    <xf numFmtId="0" fontId="0" fillId="27" borderId="0" xfId="0" applyFill="1"/>
    <xf numFmtId="167" fontId="0" fillId="15" borderId="0" xfId="0" applyNumberFormat="1" applyFill="1"/>
    <xf numFmtId="0" fontId="170" fillId="0" borderId="0" xfId="0" applyFont="1" applyAlignment="1">
      <alignment horizontal="center"/>
    </xf>
    <xf numFmtId="0" fontId="123" fillId="0" borderId="0" xfId="0" applyFont="1" applyAlignment="1">
      <alignment horizontal="center"/>
    </xf>
    <xf numFmtId="0" fontId="171" fillId="0" borderId="0" xfId="0" applyFont="1" applyAlignment="1">
      <alignment horizontal="center"/>
    </xf>
    <xf numFmtId="0" fontId="71" fillId="0" borderId="0" xfId="0" applyFont="1" applyFill="1" applyBorder="1" applyAlignment="1">
      <alignment horizontal="center"/>
    </xf>
    <xf numFmtId="0" fontId="0" fillId="26" borderId="13" xfId="0" applyFill="1" applyBorder="1"/>
    <xf numFmtId="167" fontId="0" fillId="26" borderId="15" xfId="0" applyNumberFormat="1" applyFill="1" applyBorder="1" applyAlignment="1">
      <alignment horizontal="center"/>
    </xf>
    <xf numFmtId="0" fontId="0" fillId="26" borderId="6" xfId="0" applyFill="1" applyBorder="1"/>
    <xf numFmtId="0" fontId="0" fillId="26" borderId="0" xfId="0" applyFill="1" applyBorder="1"/>
    <xf numFmtId="0" fontId="0" fillId="26" borderId="0" xfId="0" applyFill="1" applyBorder="1" applyAlignment="1">
      <alignment horizontal="center"/>
    </xf>
    <xf numFmtId="0" fontId="0" fillId="26" borderId="16" xfId="0" applyFill="1" applyBorder="1"/>
    <xf numFmtId="0" fontId="0" fillId="26" borderId="6" xfId="0" applyFill="1" applyBorder="1" applyAlignment="1">
      <alignment horizontal="center"/>
    </xf>
    <xf numFmtId="1" fontId="0" fillId="26" borderId="0" xfId="0" applyNumberFormat="1" applyFill="1" applyBorder="1" applyAlignment="1">
      <alignment horizontal="center"/>
    </xf>
    <xf numFmtId="0" fontId="26" fillId="26" borderId="16" xfId="0" applyFont="1" applyFill="1" applyBorder="1"/>
    <xf numFmtId="2" fontId="0" fillId="26" borderId="0" xfId="0" applyNumberFormat="1" applyFill="1" applyBorder="1" applyAlignment="1">
      <alignment horizontal="center"/>
    </xf>
    <xf numFmtId="0" fontId="26" fillId="26" borderId="16" xfId="0" applyFont="1" applyFill="1" applyBorder="1" applyAlignment="1">
      <alignment horizontal="center"/>
    </xf>
    <xf numFmtId="2" fontId="0" fillId="26" borderId="0" xfId="0" applyNumberFormat="1" applyFill="1" applyBorder="1"/>
    <xf numFmtId="0" fontId="0" fillId="26" borderId="7" xfId="0" applyFill="1" applyBorder="1"/>
    <xf numFmtId="0" fontId="0" fillId="26" borderId="1" xfId="0" applyFill="1" applyBorder="1"/>
    <xf numFmtId="0" fontId="0" fillId="26" borderId="1" xfId="0" applyFill="1" applyBorder="1" applyAlignment="1">
      <alignment horizontal="center"/>
    </xf>
    <xf numFmtId="0" fontId="26" fillId="26" borderId="17" xfId="0" applyFont="1" applyFill="1" applyBorder="1"/>
    <xf numFmtId="0" fontId="7" fillId="16" borderId="57" xfId="0" applyFont="1" applyFill="1" applyBorder="1"/>
    <xf numFmtId="0" fontId="7" fillId="16" borderId="58" xfId="0" applyFont="1" applyFill="1" applyBorder="1"/>
    <xf numFmtId="0" fontId="0" fillId="16" borderId="58" xfId="0" applyFill="1" applyBorder="1"/>
    <xf numFmtId="0" fontId="0" fillId="16" borderId="58" xfId="0" applyFill="1" applyBorder="1" applyAlignment="1">
      <alignment horizontal="center"/>
    </xf>
    <xf numFmtId="0" fontId="0" fillId="16" borderId="59" xfId="0" applyFill="1" applyBorder="1"/>
    <xf numFmtId="0" fontId="172" fillId="0" borderId="0" xfId="0" applyFont="1"/>
    <xf numFmtId="0" fontId="173" fillId="23" borderId="0" xfId="0" applyFont="1" applyFill="1" applyAlignment="1" applyProtection="1">
      <alignment horizontal="center" vertical="center"/>
      <protection locked="0"/>
    </xf>
    <xf numFmtId="0" fontId="174" fillId="0" borderId="0" xfId="0" applyFont="1" applyAlignment="1">
      <alignment horizontal="center"/>
    </xf>
    <xf numFmtId="0" fontId="0" fillId="21" borderId="0" xfId="0" applyFill="1" applyAlignment="1">
      <alignment horizontal="center" vertical="center"/>
    </xf>
    <xf numFmtId="0" fontId="52" fillId="26" borderId="19" xfId="0" applyFont="1" applyFill="1" applyBorder="1" applyAlignment="1">
      <alignment horizontal="center" vertical="center"/>
    </xf>
    <xf numFmtId="0" fontId="7" fillId="21" borderId="57" xfId="0" applyFont="1" applyFill="1" applyBorder="1"/>
    <xf numFmtId="0" fontId="0" fillId="21" borderId="58" xfId="0" applyFill="1" applyBorder="1"/>
    <xf numFmtId="0" fontId="0" fillId="21" borderId="59" xfId="0" applyFill="1" applyBorder="1"/>
    <xf numFmtId="0" fontId="71" fillId="0" borderId="6" xfId="0" applyFont="1" applyFill="1" applyBorder="1" applyAlignment="1">
      <alignment horizontal="center"/>
    </xf>
    <xf numFmtId="0" fontId="71" fillId="0" borderId="16" xfId="0" applyFont="1" applyFill="1" applyBorder="1" applyAlignment="1">
      <alignment horizontal="center"/>
    </xf>
    <xf numFmtId="0" fontId="171" fillId="0" borderId="7" xfId="0" applyFont="1" applyBorder="1" applyAlignment="1">
      <alignment horizontal="center" vertical="center"/>
    </xf>
    <xf numFmtId="0" fontId="171" fillId="0" borderId="1" xfId="0" applyFont="1" applyBorder="1" applyAlignment="1">
      <alignment horizontal="center" vertical="center"/>
    </xf>
    <xf numFmtId="0" fontId="171" fillId="0" borderId="17" xfId="0" applyFont="1" applyBorder="1" applyAlignment="1">
      <alignment horizontal="center" vertical="center"/>
    </xf>
    <xf numFmtId="0" fontId="129" fillId="15" borderId="13" xfId="0" applyFont="1" applyFill="1" applyBorder="1" applyAlignment="1">
      <alignment horizontal="center"/>
    </xf>
    <xf numFmtId="0" fontId="128" fillId="15" borderId="15" xfId="0" applyFont="1" applyFill="1" applyBorder="1"/>
    <xf numFmtId="0" fontId="7" fillId="28" borderId="0" xfId="0" applyFont="1" applyFill="1"/>
    <xf numFmtId="0" fontId="0" fillId="28" borderId="0" xfId="0" applyFill="1"/>
    <xf numFmtId="0" fontId="2" fillId="28" borderId="0" xfId="0" applyFont="1" applyFill="1"/>
    <xf numFmtId="0" fontId="175" fillId="28" borderId="0" xfId="0" applyFont="1" applyFill="1"/>
    <xf numFmtId="0" fontId="176" fillId="0" borderId="2" xfId="0" applyFont="1" applyBorder="1" applyAlignment="1">
      <alignment horizontal="center"/>
    </xf>
    <xf numFmtId="0" fontId="177" fillId="0" borderId="8" xfId="0" applyFont="1" applyBorder="1"/>
    <xf numFmtId="0" fontId="178" fillId="0" borderId="8" xfId="0" applyFont="1" applyBorder="1" applyAlignment="1">
      <alignment horizontal="center"/>
    </xf>
    <xf numFmtId="0" fontId="179" fillId="26" borderId="8" xfId="0" applyFont="1" applyFill="1" applyBorder="1" applyAlignment="1">
      <alignment horizontal="center"/>
    </xf>
    <xf numFmtId="0" fontId="130" fillId="18" borderId="0" xfId="0" applyFont="1" applyFill="1" applyBorder="1"/>
    <xf numFmtId="168" fontId="26" fillId="0" borderId="2" xfId="1" applyNumberFormat="1" applyFont="1" applyFill="1" applyBorder="1" applyAlignment="1">
      <alignment horizontal="center"/>
    </xf>
    <xf numFmtId="168" fontId="26" fillId="0" borderId="2" xfId="0" applyNumberFormat="1" applyFont="1" applyBorder="1"/>
    <xf numFmtId="168" fontId="26" fillId="0" borderId="65" xfId="0" applyNumberFormat="1" applyFont="1" applyBorder="1"/>
    <xf numFmtId="0" fontId="7" fillId="24" borderId="0" xfId="0" applyFont="1" applyFill="1"/>
    <xf numFmtId="0" fontId="7" fillId="24" borderId="0" xfId="0" applyFont="1" applyFill="1" applyAlignment="1">
      <alignment horizontal="center"/>
    </xf>
    <xf numFmtId="0" fontId="7" fillId="27" borderId="0" xfId="0" applyFont="1" applyFill="1"/>
    <xf numFmtId="0" fontId="2" fillId="29" borderId="0" xfId="0" applyFont="1" applyFill="1"/>
    <xf numFmtId="0" fontId="0" fillId="0" borderId="2" xfId="0" applyBorder="1" applyAlignment="1">
      <alignment horizontal="center" vertical="center"/>
    </xf>
    <xf numFmtId="0" fontId="0" fillId="29" borderId="0" xfId="0" applyFill="1"/>
    <xf numFmtId="0" fontId="2" fillId="29" borderId="0" xfId="0" applyFont="1" applyFill="1" applyAlignment="1">
      <alignment horizontal="left"/>
    </xf>
    <xf numFmtId="0" fontId="0" fillId="29" borderId="0" xfId="0" applyFill="1" applyAlignment="1">
      <alignment horizontal="left"/>
    </xf>
    <xf numFmtId="0" fontId="166" fillId="24" borderId="0" xfId="0" applyFont="1" applyFill="1"/>
    <xf numFmtId="0" fontId="30" fillId="0" borderId="0" xfId="0" applyFont="1" applyFill="1" applyBorder="1" applyProtection="1"/>
    <xf numFmtId="0" fontId="19" fillId="0" borderId="0" xfId="0" applyFont="1" applyFill="1" applyBorder="1" applyAlignment="1" applyProtection="1">
      <alignment horizontal="center"/>
    </xf>
    <xf numFmtId="0" fontId="88" fillId="0" borderId="0" xfId="0" applyNumberFormat="1" applyFont="1" applyFill="1" applyBorder="1" applyAlignment="1">
      <alignment horizontal="center"/>
    </xf>
    <xf numFmtId="0" fontId="69" fillId="0" borderId="0" xfId="0" applyFont="1" applyFill="1" applyBorder="1" applyAlignment="1">
      <alignment horizontal="center"/>
    </xf>
    <xf numFmtId="0" fontId="99" fillId="0" borderId="0" xfId="0" applyFont="1" applyFill="1" applyBorder="1"/>
    <xf numFmtId="0" fontId="28" fillId="0" borderId="0" xfId="0" applyFont="1" applyFill="1" applyBorder="1" applyAlignment="1">
      <alignment horizontal="center"/>
    </xf>
    <xf numFmtId="0" fontId="68" fillId="0" borderId="0" xfId="0" applyFont="1" applyFill="1" applyBorder="1" applyAlignment="1">
      <alignment horizontal="left"/>
    </xf>
    <xf numFmtId="0" fontId="100" fillId="0" borderId="0" xfId="0" applyFont="1" applyFill="1" applyBorder="1" applyAlignment="1">
      <alignment horizontal="center"/>
    </xf>
    <xf numFmtId="0" fontId="90" fillId="0" borderId="0" xfId="0" applyFont="1" applyFill="1" applyBorder="1"/>
    <xf numFmtId="0" fontId="87" fillId="0" borderId="0" xfId="0" applyNumberFormat="1" applyFont="1" applyFill="1" applyBorder="1" applyAlignment="1">
      <alignment horizontal="center"/>
    </xf>
    <xf numFmtId="0" fontId="18" fillId="0" borderId="0" xfId="0" applyFont="1" applyFill="1" applyBorder="1"/>
    <xf numFmtId="0" fontId="97" fillId="0" borderId="0" xfId="0" applyNumberFormat="1" applyFont="1" applyFill="1" applyBorder="1" applyAlignment="1">
      <alignment horizontal="center"/>
    </xf>
    <xf numFmtId="0" fontId="92" fillId="0" borderId="0" xfId="0" applyNumberFormat="1" applyFont="1" applyFill="1" applyBorder="1" applyAlignment="1">
      <alignment horizontal="center" vertical="center"/>
    </xf>
    <xf numFmtId="0" fontId="92" fillId="0" borderId="0" xfId="0" applyFont="1" applyFill="1" applyBorder="1" applyAlignment="1">
      <alignment horizontal="center"/>
    </xf>
    <xf numFmtId="0" fontId="88" fillId="0" borderId="0" xfId="0" applyNumberFormat="1" applyFont="1" applyFill="1" applyBorder="1" applyAlignment="1" applyProtection="1">
      <alignment horizontal="left"/>
    </xf>
    <xf numFmtId="0" fontId="36" fillId="0" borderId="0" xfId="0" applyFont="1" applyFill="1" applyBorder="1" applyAlignment="1" applyProtection="1">
      <alignment horizontal="left"/>
    </xf>
    <xf numFmtId="0" fontId="56" fillId="0" borderId="0" xfId="0" applyFont="1" applyFill="1" applyBorder="1" applyAlignment="1" applyProtection="1">
      <alignment horizontal="center"/>
    </xf>
    <xf numFmtId="0" fontId="56" fillId="0" borderId="0" xfId="0" applyFont="1" applyFill="1" applyBorder="1" applyProtection="1"/>
    <xf numFmtId="0" fontId="56" fillId="0" borderId="0" xfId="0" applyFont="1" applyFill="1" applyBorder="1"/>
    <xf numFmtId="0" fontId="40" fillId="0" borderId="0" xfId="0" applyFont="1" applyFill="1" applyBorder="1" applyAlignment="1" applyProtection="1">
      <alignment horizontal="center"/>
    </xf>
    <xf numFmtId="0" fontId="68" fillId="0" borderId="0" xfId="0" applyFont="1" applyFill="1" applyBorder="1" applyAlignment="1" applyProtection="1"/>
    <xf numFmtId="0" fontId="66" fillId="0" borderId="0" xfId="0" applyFont="1" applyFill="1" applyBorder="1" applyAlignment="1" applyProtection="1">
      <alignment horizontal="center"/>
    </xf>
    <xf numFmtId="0" fontId="57" fillId="0" borderId="0" xfId="0" applyFont="1" applyFill="1" applyBorder="1" applyAlignment="1">
      <alignment horizontal="center"/>
    </xf>
    <xf numFmtId="2" fontId="56" fillId="0" borderId="0" xfId="0" applyNumberFormat="1" applyFont="1" applyFill="1" applyBorder="1"/>
    <xf numFmtId="0" fontId="35" fillId="0" borderId="0" xfId="0" applyFont="1" applyFill="1" applyBorder="1" applyProtection="1"/>
    <xf numFmtId="0" fontId="0" fillId="0" borderId="57" xfId="0" applyBorder="1" applyProtection="1"/>
    <xf numFmtId="0" fontId="0" fillId="0" borderId="58" xfId="0" applyBorder="1" applyProtection="1"/>
    <xf numFmtId="0" fontId="0" fillId="0" borderId="59" xfId="0" applyBorder="1"/>
    <xf numFmtId="0" fontId="0" fillId="12" borderId="6" xfId="0" applyFill="1" applyBorder="1" applyProtection="1"/>
    <xf numFmtId="0" fontId="0" fillId="12" borderId="0" xfId="0" applyFill="1" applyBorder="1" applyProtection="1"/>
    <xf numFmtId="0" fontId="131" fillId="12" borderId="0" xfId="0" applyFont="1" applyFill="1" applyBorder="1" applyProtection="1"/>
    <xf numFmtId="0" fontId="0" fillId="12" borderId="16" xfId="0" applyFill="1" applyBorder="1"/>
    <xf numFmtId="0" fontId="0" fillId="0" borderId="6" xfId="0" applyBorder="1" applyProtection="1"/>
    <xf numFmtId="0" fontId="0" fillId="0" borderId="0" xfId="0" applyBorder="1" applyProtection="1"/>
    <xf numFmtId="0" fontId="131" fillId="0" borderId="0" xfId="0" applyFont="1" applyBorder="1" applyProtection="1"/>
    <xf numFmtId="0" fontId="132" fillId="0" borderId="6" xfId="0" applyFont="1" applyFill="1" applyBorder="1" applyProtection="1"/>
    <xf numFmtId="0" fontId="0" fillId="0" borderId="0" xfId="0" applyFill="1" applyBorder="1" applyProtection="1"/>
    <xf numFmtId="0" fontId="24" fillId="0" borderId="0" xfId="0" applyFont="1" applyBorder="1" applyAlignment="1" applyProtection="1">
      <alignment horizontal="right"/>
    </xf>
    <xf numFmtId="0" fontId="180" fillId="26" borderId="2" xfId="0" applyFont="1" applyFill="1" applyBorder="1" applyAlignment="1" applyProtection="1">
      <alignment horizontal="center"/>
      <protection locked="0"/>
    </xf>
    <xf numFmtId="0" fontId="18" fillId="0" borderId="0" xfId="0" applyFont="1" applyBorder="1" applyProtection="1"/>
    <xf numFmtId="0" fontId="133" fillId="0" borderId="0" xfId="0" applyFont="1" applyFill="1" applyBorder="1" applyAlignment="1">
      <alignment horizontal="center"/>
    </xf>
    <xf numFmtId="0" fontId="70" fillId="0" borderId="6" xfId="0" applyFont="1" applyBorder="1" applyProtection="1"/>
    <xf numFmtId="0" fontId="3" fillId="0" borderId="0" xfId="0" applyFont="1" applyBorder="1" applyAlignment="1">
      <alignment horizontal="center"/>
    </xf>
    <xf numFmtId="0" fontId="20" fillId="0" borderId="6" xfId="0" applyFont="1" applyFill="1" applyBorder="1" applyProtection="1"/>
    <xf numFmtId="1" fontId="181" fillId="15" borderId="0" xfId="0" applyNumberFormat="1" applyFont="1" applyFill="1" applyBorder="1" applyAlignment="1">
      <alignment horizontal="center"/>
    </xf>
    <xf numFmtId="0" fontId="181" fillId="15" borderId="0" xfId="0" applyFont="1" applyFill="1" applyBorder="1" applyAlignment="1">
      <alignment horizontal="center"/>
    </xf>
    <xf numFmtId="0" fontId="0" fillId="0" borderId="0" xfId="0" applyBorder="1" applyAlignment="1" applyProtection="1">
      <alignment horizontal="center"/>
    </xf>
    <xf numFmtId="0" fontId="8" fillId="25" borderId="0" xfId="0" applyFont="1" applyFill="1" applyBorder="1" applyAlignment="1" applyProtection="1">
      <alignment horizontal="left"/>
    </xf>
    <xf numFmtId="0" fontId="180" fillId="25" borderId="0" xfId="0" applyFont="1" applyFill="1" applyBorder="1" applyAlignment="1" applyProtection="1">
      <alignment horizontal="center"/>
    </xf>
    <xf numFmtId="0" fontId="8" fillId="15" borderId="0" xfId="0" applyFont="1" applyFill="1" applyBorder="1" applyAlignment="1" applyProtection="1">
      <alignment horizontal="left"/>
    </xf>
    <xf numFmtId="0" fontId="180" fillId="15" borderId="0" xfId="0" applyFont="1" applyFill="1" applyBorder="1" applyAlignment="1" applyProtection="1">
      <alignment horizontal="center"/>
    </xf>
    <xf numFmtId="0" fontId="182" fillId="0" borderId="6" xfId="0" applyFont="1" applyBorder="1" applyAlignment="1" applyProtection="1">
      <alignment horizontal="center"/>
    </xf>
    <xf numFmtId="0" fontId="8" fillId="0" borderId="0" xfId="0" applyFont="1" applyBorder="1" applyAlignment="1" applyProtection="1">
      <alignment horizontal="center"/>
    </xf>
    <xf numFmtId="167" fontId="0" fillId="0" borderId="0" xfId="0" applyNumberFormat="1" applyBorder="1" applyAlignment="1" applyProtection="1">
      <alignment horizontal="center"/>
    </xf>
    <xf numFmtId="0" fontId="182" fillId="0" borderId="0" xfId="0" applyFont="1" applyAlignment="1">
      <alignment horizontal="center"/>
    </xf>
    <xf numFmtId="0" fontId="183" fillId="0" borderId="0" xfId="0" applyFont="1" applyAlignment="1">
      <alignment horizontal="center"/>
    </xf>
    <xf numFmtId="0" fontId="182" fillId="0" borderId="0" xfId="0" applyFont="1" applyFill="1" applyBorder="1" applyAlignment="1">
      <alignment horizontal="center"/>
    </xf>
    <xf numFmtId="0" fontId="0" fillId="0" borderId="0" xfId="0" applyProtection="1">
      <protection locked="0"/>
    </xf>
    <xf numFmtId="167" fontId="0" fillId="0" borderId="0" xfId="0" applyNumberFormat="1" applyBorder="1" applyAlignment="1" applyProtection="1">
      <alignment horizontal="center"/>
      <protection locked="0"/>
    </xf>
    <xf numFmtId="0" fontId="54" fillId="0" borderId="0" xfId="0" applyFont="1" applyBorder="1" applyProtection="1"/>
    <xf numFmtId="0" fontId="2" fillId="0" borderId="0" xfId="0" applyFont="1" applyFill="1" applyBorder="1" applyAlignment="1">
      <alignment horizontal="center"/>
    </xf>
    <xf numFmtId="0" fontId="8" fillId="0" borderId="6" xfId="0" applyFont="1" applyBorder="1" applyAlignment="1" applyProtection="1">
      <alignment horizontal="right"/>
    </xf>
    <xf numFmtId="0" fontId="8" fillId="0" borderId="0" xfId="0" applyFont="1" applyBorder="1" applyAlignment="1" applyProtection="1">
      <alignment horizontal="right"/>
    </xf>
    <xf numFmtId="0" fontId="127" fillId="7" borderId="6" xfId="0" applyFont="1" applyFill="1" applyBorder="1" applyAlignment="1" applyProtection="1">
      <alignment vertical="center"/>
    </xf>
    <xf numFmtId="0" fontId="0" fillId="7" borderId="0" xfId="0" applyFill="1" applyBorder="1" applyAlignment="1" applyProtection="1">
      <alignment vertical="center"/>
    </xf>
    <xf numFmtId="0" fontId="0" fillId="7" borderId="16" xfId="0" applyFill="1" applyBorder="1" applyAlignment="1" applyProtection="1">
      <alignment vertical="center"/>
    </xf>
    <xf numFmtId="0" fontId="133" fillId="0" borderId="65" xfId="0" applyFont="1" applyBorder="1" applyAlignment="1">
      <alignment horizontal="center"/>
    </xf>
    <xf numFmtId="0" fontId="133" fillId="0" borderId="5" xfId="0" applyFont="1" applyBorder="1" applyAlignment="1">
      <alignment horizontal="center"/>
    </xf>
    <xf numFmtId="0" fontId="62" fillId="0" borderId="5" xfId="0" applyFont="1" applyBorder="1" applyAlignment="1">
      <alignment horizontal="center"/>
    </xf>
    <xf numFmtId="0" fontId="133" fillId="0" borderId="66" xfId="0" applyFont="1" applyBorder="1" applyAlignment="1">
      <alignment horizontal="center"/>
    </xf>
    <xf numFmtId="0" fontId="3" fillId="0" borderId="7" xfId="0" applyFont="1" applyBorder="1" applyAlignment="1">
      <alignment horizontal="center"/>
    </xf>
    <xf numFmtId="0" fontId="3" fillId="0" borderId="1" xfId="0" applyFont="1" applyBorder="1" applyAlignment="1">
      <alignment horizontal="center"/>
    </xf>
    <xf numFmtId="0" fontId="184" fillId="30" borderId="0" xfId="0" applyFont="1" applyFill="1" applyBorder="1" applyAlignment="1">
      <alignment horizontal="center"/>
    </xf>
    <xf numFmtId="0" fontId="3" fillId="0" borderId="1" xfId="0" applyFont="1" applyBorder="1" applyAlignment="1">
      <alignment horizontal="center" vertical="center"/>
    </xf>
    <xf numFmtId="173" fontId="0" fillId="0" borderId="0" xfId="0" applyNumberFormat="1" applyAlignment="1">
      <alignment horizontal="center"/>
    </xf>
    <xf numFmtId="0" fontId="0" fillId="0" borderId="16" xfId="0" applyBorder="1" applyAlignment="1">
      <alignment horizontal="center" vertical="center"/>
    </xf>
    <xf numFmtId="0" fontId="127" fillId="7" borderId="6" xfId="0" applyFont="1" applyFill="1" applyBorder="1" applyProtection="1"/>
    <xf numFmtId="0" fontId="0" fillId="7" borderId="0" xfId="0" applyFill="1" applyBorder="1" applyProtection="1"/>
    <xf numFmtId="0" fontId="0" fillId="7" borderId="16" xfId="0" applyFill="1" applyBorder="1" applyProtection="1"/>
    <xf numFmtId="0" fontId="133" fillId="0" borderId="0" xfId="0" applyFont="1" applyFill="1" applyBorder="1" applyAlignment="1">
      <alignment horizontal="right"/>
    </xf>
    <xf numFmtId="167" fontId="7" fillId="27" borderId="0" xfId="0" applyNumberFormat="1" applyFont="1" applyFill="1" applyBorder="1" applyAlignment="1" applyProtection="1">
      <alignment horizontal="center"/>
    </xf>
    <xf numFmtId="0" fontId="139" fillId="0" borderId="0" xfId="0" applyFont="1" applyFill="1" applyBorder="1" applyAlignment="1">
      <alignment horizontal="right"/>
    </xf>
    <xf numFmtId="2" fontId="7" fillId="27" borderId="0" xfId="0" applyNumberFormat="1" applyFont="1" applyFill="1" applyBorder="1" applyAlignment="1" applyProtection="1">
      <alignment horizontal="center"/>
    </xf>
    <xf numFmtId="0" fontId="133" fillId="0" borderId="0" xfId="0" applyFont="1" applyBorder="1"/>
    <xf numFmtId="1" fontId="0" fillId="0" borderId="0" xfId="0" applyNumberFormat="1" applyBorder="1" applyAlignment="1" applyProtection="1">
      <alignment horizontal="center"/>
    </xf>
    <xf numFmtId="0" fontId="142" fillId="0" borderId="0" xfId="0" applyFont="1" applyBorder="1" applyAlignment="1">
      <alignment horizontal="justify"/>
    </xf>
    <xf numFmtId="0" fontId="0" fillId="0" borderId="65" xfId="0" applyBorder="1" applyAlignment="1" applyProtection="1">
      <alignment horizontal="center"/>
    </xf>
    <xf numFmtId="0" fontId="8" fillId="0" borderId="5" xfId="0" applyFont="1" applyBorder="1" applyAlignment="1" applyProtection="1">
      <alignment horizontal="center"/>
    </xf>
    <xf numFmtId="0" fontId="27" fillId="0" borderId="5" xfId="0" applyFont="1" applyBorder="1" applyAlignment="1">
      <alignment horizontal="center"/>
    </xf>
    <xf numFmtId="0" fontId="133" fillId="0" borderId="18" xfId="0" applyFont="1" applyFill="1" applyBorder="1" applyAlignment="1">
      <alignment horizontal="center"/>
    </xf>
    <xf numFmtId="0" fontId="135" fillId="0" borderId="18" xfId="0" applyFont="1" applyFill="1" applyBorder="1" applyAlignment="1">
      <alignment horizontal="center"/>
    </xf>
    <xf numFmtId="0" fontId="143" fillId="0" borderId="28" xfId="0" applyFont="1" applyBorder="1" applyAlignment="1" applyProtection="1">
      <alignment horizontal="center"/>
    </xf>
    <xf numFmtId="0" fontId="52" fillId="0" borderId="6" xfId="0" applyFont="1" applyBorder="1" applyAlignment="1" applyProtection="1">
      <alignment horizontal="center"/>
    </xf>
    <xf numFmtId="1" fontId="0" fillId="0" borderId="0" xfId="0" applyNumberFormat="1" applyBorder="1" applyProtection="1"/>
    <xf numFmtId="0" fontId="185" fillId="0" borderId="16" xfId="0" applyFont="1" applyBorder="1" applyAlignment="1">
      <alignment horizontal="left"/>
    </xf>
    <xf numFmtId="0" fontId="144" fillId="0" borderId="6" xfId="0" applyFont="1" applyBorder="1" applyAlignment="1" applyProtection="1">
      <alignment horizontal="center"/>
    </xf>
    <xf numFmtId="1" fontId="2" fillId="17" borderId="0" xfId="0" applyNumberFormat="1" applyFont="1" applyFill="1" applyBorder="1" applyAlignment="1" applyProtection="1">
      <alignment horizontal="center"/>
    </xf>
    <xf numFmtId="167" fontId="0" fillId="17" borderId="0" xfId="0" applyNumberFormat="1" applyFill="1" applyBorder="1" applyAlignment="1" applyProtection="1">
      <alignment horizontal="center"/>
    </xf>
    <xf numFmtId="1" fontId="2" fillId="17" borderId="1" xfId="0" applyNumberFormat="1" applyFont="1" applyFill="1" applyBorder="1" applyAlignment="1" applyProtection="1">
      <alignment horizontal="center"/>
    </xf>
    <xf numFmtId="167" fontId="0" fillId="17" borderId="1" xfId="0" applyNumberFormat="1" applyFill="1" applyBorder="1" applyAlignment="1" applyProtection="1">
      <alignment horizontal="center"/>
    </xf>
    <xf numFmtId="0" fontId="185" fillId="0" borderId="17" xfId="0" applyFont="1" applyBorder="1" applyAlignment="1">
      <alignment horizontal="left"/>
    </xf>
    <xf numFmtId="2" fontId="18" fillId="0" borderId="0" xfId="0" applyNumberFormat="1" applyFont="1" applyBorder="1" applyAlignment="1">
      <alignment horizontal="center"/>
    </xf>
    <xf numFmtId="0" fontId="18" fillId="0" borderId="0" xfId="0" applyFont="1" applyBorder="1" applyAlignment="1" applyProtection="1">
      <alignment horizontal="center"/>
    </xf>
    <xf numFmtId="2" fontId="18" fillId="0" borderId="0" xfId="0" applyNumberFormat="1" applyFont="1" applyBorder="1" applyAlignment="1" applyProtection="1">
      <alignment horizontal="center"/>
    </xf>
    <xf numFmtId="0" fontId="0" fillId="0" borderId="0" xfId="0" applyBorder="1" applyAlignment="1">
      <alignment horizontal="left"/>
    </xf>
    <xf numFmtId="0" fontId="127" fillId="7" borderId="0" xfId="0" applyFont="1" applyFill="1" applyBorder="1" applyProtection="1"/>
    <xf numFmtId="2" fontId="0" fillId="0" borderId="0" xfId="0" applyNumberFormat="1" applyBorder="1" applyAlignment="1" applyProtection="1">
      <alignment horizontal="left"/>
    </xf>
    <xf numFmtId="0" fontId="145" fillId="0" borderId="0" xfId="0" applyFont="1" applyBorder="1" applyAlignment="1" applyProtection="1">
      <alignment horizontal="right"/>
    </xf>
    <xf numFmtId="0" fontId="2" fillId="0" borderId="0" xfId="0" applyFont="1" applyBorder="1" applyProtection="1"/>
    <xf numFmtId="0" fontId="2" fillId="17" borderId="7" xfId="0" applyFont="1" applyFill="1" applyBorder="1" applyProtection="1"/>
    <xf numFmtId="14" fontId="0" fillId="17" borderId="1" xfId="0" applyNumberFormat="1" applyFill="1" applyBorder="1" applyProtection="1"/>
    <xf numFmtId="0" fontId="0" fillId="17" borderId="1" xfId="0" applyFill="1" applyBorder="1" applyProtection="1"/>
    <xf numFmtId="0" fontId="0" fillId="17" borderId="17" xfId="0" applyFill="1" applyBorder="1"/>
    <xf numFmtId="0" fontId="146" fillId="0" borderId="0" xfId="0" applyFont="1" applyProtection="1"/>
    <xf numFmtId="0" fontId="0" fillId="0" borderId="0" xfId="0" applyProtection="1"/>
    <xf numFmtId="0" fontId="27" fillId="0" borderId="0" xfId="0" applyFont="1" applyFill="1" applyBorder="1" applyAlignment="1">
      <alignment horizontal="left"/>
    </xf>
    <xf numFmtId="0" fontId="2" fillId="0" borderId="0" xfId="0" applyFont="1" applyFill="1" applyBorder="1"/>
    <xf numFmtId="0" fontId="186" fillId="0" borderId="7" xfId="0" applyFont="1" applyBorder="1" applyAlignment="1">
      <alignment horizontal="center" vertical="center"/>
    </xf>
    <xf numFmtId="0" fontId="186" fillId="0" borderId="1" xfId="0" applyFont="1" applyBorder="1" applyAlignment="1">
      <alignment horizontal="center" vertical="center"/>
    </xf>
    <xf numFmtId="0" fontId="186" fillId="0" borderId="17" xfId="0" applyFont="1" applyBorder="1" applyAlignment="1">
      <alignment horizontal="center" vertical="center"/>
    </xf>
    <xf numFmtId="0" fontId="148" fillId="26" borderId="19" xfId="0" applyFont="1" applyFill="1" applyBorder="1" applyAlignment="1">
      <alignment horizontal="center" vertical="center"/>
    </xf>
    <xf numFmtId="1" fontId="28" fillId="0" borderId="92" xfId="0" applyNumberFormat="1" applyFont="1" applyBorder="1" applyAlignment="1" applyProtection="1">
      <alignment horizontal="center"/>
    </xf>
    <xf numFmtId="0" fontId="127" fillId="0" borderId="0" xfId="0" applyFont="1" applyAlignment="1">
      <alignment horizontal="center"/>
    </xf>
    <xf numFmtId="167" fontId="26" fillId="0" borderId="73" xfId="0" applyNumberFormat="1" applyFont="1" applyFill="1" applyBorder="1" applyAlignment="1">
      <alignment horizontal="center" vertical="center"/>
    </xf>
    <xf numFmtId="0" fontId="62" fillId="0" borderId="93" xfId="0" applyFont="1" applyFill="1" applyBorder="1" applyAlignment="1">
      <alignment horizontal="center"/>
    </xf>
    <xf numFmtId="0" fontId="171" fillId="26" borderId="2" xfId="0" applyFont="1" applyFill="1" applyBorder="1" applyAlignment="1">
      <alignment horizontal="center"/>
    </xf>
    <xf numFmtId="0" fontId="27" fillId="0" borderId="0" xfId="0" applyNumberFormat="1" applyFont="1" applyFill="1" applyBorder="1" applyAlignment="1">
      <alignment horizontal="center"/>
    </xf>
    <xf numFmtId="0" fontId="26" fillId="26" borderId="2" xfId="0" applyFont="1" applyFill="1" applyBorder="1" applyAlignment="1" applyProtection="1">
      <alignment horizontal="center"/>
      <protection locked="0"/>
    </xf>
    <xf numFmtId="0" fontId="7" fillId="24" borderId="13" xfId="0" applyFont="1" applyFill="1" applyBorder="1" applyAlignment="1">
      <alignment horizontal="center"/>
    </xf>
    <xf numFmtId="0" fontId="128" fillId="24" borderId="15" xfId="0" applyFont="1" applyFill="1" applyBorder="1" applyAlignment="1">
      <alignment horizontal="left"/>
    </xf>
    <xf numFmtId="0" fontId="0" fillId="24" borderId="0" xfId="0" applyFill="1"/>
    <xf numFmtId="1" fontId="0" fillId="24" borderId="13" xfId="0" applyNumberFormat="1" applyFill="1" applyBorder="1" applyAlignment="1">
      <alignment horizontal="center"/>
    </xf>
    <xf numFmtId="0" fontId="187" fillId="24" borderId="15" xfId="0" applyFont="1" applyFill="1" applyBorder="1"/>
    <xf numFmtId="1" fontId="26" fillId="24" borderId="13" xfId="0" applyNumberFormat="1" applyFont="1" applyFill="1" applyBorder="1" applyAlignment="1">
      <alignment horizontal="center"/>
    </xf>
    <xf numFmtId="1" fontId="187" fillId="24" borderId="15" xfId="0" applyNumberFormat="1" applyFont="1" applyFill="1" applyBorder="1" applyAlignment="1">
      <alignment horizontal="center"/>
    </xf>
    <xf numFmtId="0" fontId="26" fillId="0" borderId="2" xfId="0" applyFont="1" applyFill="1" applyBorder="1" applyAlignment="1" applyProtection="1">
      <alignment horizontal="center"/>
    </xf>
    <xf numFmtId="1" fontId="26" fillId="0" borderId="73" xfId="0" applyNumberFormat="1" applyFont="1" applyFill="1" applyBorder="1" applyAlignment="1">
      <alignment horizontal="center" vertical="center"/>
    </xf>
    <xf numFmtId="1" fontId="0" fillId="26" borderId="2" xfId="0" applyNumberFormat="1" applyFill="1" applyBorder="1" applyAlignment="1">
      <alignment horizontal="center"/>
    </xf>
    <xf numFmtId="0" fontId="26" fillId="20" borderId="0" xfId="0" applyFont="1" applyFill="1"/>
    <xf numFmtId="0" fontId="26" fillId="20" borderId="0" xfId="0" applyFont="1" applyFill="1" applyBorder="1" applyAlignment="1">
      <alignment horizontal="center" vertical="center"/>
    </xf>
    <xf numFmtId="171" fontId="26" fillId="0" borderId="2" xfId="0" applyNumberFormat="1" applyFont="1" applyBorder="1"/>
    <xf numFmtId="0" fontId="26" fillId="0" borderId="2" xfId="0" applyFont="1" applyBorder="1" applyAlignment="1">
      <alignment horizontal="center"/>
    </xf>
    <xf numFmtId="2" fontId="189" fillId="0" borderId="89" xfId="0" applyNumberFormat="1" applyFont="1" applyBorder="1" applyAlignment="1">
      <alignment horizontal="center"/>
    </xf>
    <xf numFmtId="2" fontId="189" fillId="0" borderId="88" xfId="0" applyNumberFormat="1" applyFont="1" applyBorder="1" applyAlignment="1">
      <alignment horizontal="center"/>
    </xf>
    <xf numFmtId="177" fontId="26" fillId="0" borderId="0" xfId="0" applyNumberFormat="1" applyFont="1" applyFill="1" applyBorder="1" applyAlignment="1" applyProtection="1">
      <alignment horizontal="center" vertical="center"/>
    </xf>
    <xf numFmtId="178" fontId="28" fillId="19" borderId="84" xfId="0" applyNumberFormat="1" applyFont="1" applyFill="1" applyBorder="1" applyAlignment="1" applyProtection="1">
      <alignment horizontal="center"/>
      <protection locked="0"/>
    </xf>
    <xf numFmtId="180" fontId="26" fillId="0" borderId="0" xfId="0" applyNumberFormat="1" applyFont="1" applyFill="1" applyBorder="1" applyAlignment="1" applyProtection="1">
      <alignment horizontal="center" vertical="center"/>
    </xf>
    <xf numFmtId="0" fontId="26" fillId="30" borderId="75" xfId="0" applyFont="1" applyFill="1" applyBorder="1"/>
    <xf numFmtId="179" fontId="26" fillId="30" borderId="0" xfId="0" applyNumberFormat="1" applyFont="1" applyFill="1" applyBorder="1" applyAlignment="1" applyProtection="1">
      <alignment horizontal="center"/>
    </xf>
    <xf numFmtId="0" fontId="190" fillId="30" borderId="73" xfId="0" applyFont="1" applyFill="1" applyBorder="1" applyAlignment="1">
      <alignment horizontal="center"/>
    </xf>
    <xf numFmtId="0" fontId="26" fillId="0" borderId="73" xfId="0" applyFont="1" applyFill="1" applyBorder="1"/>
    <xf numFmtId="0" fontId="26" fillId="0" borderId="74" xfId="0" applyFont="1" applyFill="1" applyBorder="1"/>
    <xf numFmtId="0" fontId="28" fillId="0" borderId="69" xfId="0" applyFont="1" applyFill="1" applyBorder="1"/>
    <xf numFmtId="179" fontId="26" fillId="0" borderId="0" xfId="0" applyNumberFormat="1" applyFont="1" applyFill="1" applyBorder="1" applyAlignment="1">
      <alignment horizontal="center"/>
    </xf>
    <xf numFmtId="0" fontId="60" fillId="0" borderId="0" xfId="0" applyFont="1" applyFill="1" applyBorder="1" applyAlignment="1">
      <alignment horizontal="center"/>
    </xf>
    <xf numFmtId="0" fontId="26" fillId="0" borderId="74" xfId="0" applyFont="1" applyFill="1" applyBorder="1" applyAlignment="1">
      <alignment horizontal="center"/>
    </xf>
    <xf numFmtId="0" fontId="56" fillId="0" borderId="0" xfId="0" applyFont="1" applyFill="1" applyBorder="1" applyAlignment="1" applyProtection="1">
      <alignment horizontal="center"/>
      <protection locked="0"/>
    </xf>
    <xf numFmtId="0" fontId="56" fillId="0" borderId="0" xfId="0" applyFont="1" applyFill="1" applyBorder="1" applyAlignment="1">
      <alignment horizontal="left"/>
    </xf>
    <xf numFmtId="0" fontId="191" fillId="0" borderId="75" xfId="0" applyFont="1" applyFill="1" applyBorder="1" applyAlignment="1">
      <alignment horizontal="center"/>
    </xf>
    <xf numFmtId="0" fontId="62" fillId="0" borderId="69" xfId="0" applyFont="1" applyFill="1" applyBorder="1" applyAlignment="1">
      <alignment horizontal="center" vertical="center"/>
    </xf>
    <xf numFmtId="0" fontId="35" fillId="0" borderId="69" xfId="0" applyFont="1" applyFill="1" applyBorder="1" applyAlignment="1">
      <alignment horizontal="center" vertical="top"/>
    </xf>
    <xf numFmtId="0" fontId="28" fillId="0" borderId="69" xfId="0" applyFont="1" applyFill="1" applyBorder="1" applyAlignment="1">
      <alignment horizontal="center"/>
    </xf>
    <xf numFmtId="167" fontId="105" fillId="0" borderId="0" xfId="0" applyNumberFormat="1" applyFont="1" applyFill="1" applyBorder="1" applyAlignment="1" applyProtection="1">
      <alignment horizontal="center"/>
    </xf>
    <xf numFmtId="164" fontId="26" fillId="0" borderId="0" xfId="0" applyNumberFormat="1" applyFont="1" applyFill="1" applyBorder="1" applyAlignment="1">
      <alignment horizontal="center" vertical="center"/>
    </xf>
    <xf numFmtId="0" fontId="28" fillId="0" borderId="95" xfId="0" applyFont="1" applyFill="1" applyBorder="1"/>
    <xf numFmtId="0" fontId="28" fillId="0" borderId="96" xfId="0" applyFont="1" applyFill="1" applyBorder="1"/>
    <xf numFmtId="0" fontId="28" fillId="0" borderId="86" xfId="0" applyFont="1" applyFill="1" applyBorder="1"/>
    <xf numFmtId="0" fontId="26" fillId="0" borderId="0" xfId="0" applyFont="1" applyProtection="1"/>
    <xf numFmtId="0" fontId="167" fillId="0" borderId="0" xfId="0" applyFont="1" applyProtection="1"/>
    <xf numFmtId="0" fontId="26" fillId="0" borderId="0" xfId="0" applyFont="1" applyAlignment="1">
      <alignment horizontal="right"/>
    </xf>
    <xf numFmtId="0" fontId="28" fillId="30" borderId="73" xfId="0" applyFont="1" applyFill="1" applyBorder="1" applyAlignment="1">
      <alignment horizontal="center" vertical="center"/>
    </xf>
    <xf numFmtId="0" fontId="62" fillId="30" borderId="0" xfId="0" applyFont="1" applyFill="1" applyBorder="1" applyAlignment="1">
      <alignment horizontal="center"/>
    </xf>
    <xf numFmtId="0" fontId="28" fillId="19" borderId="97" xfId="0" applyFont="1" applyFill="1" applyBorder="1" applyAlignment="1" applyProtection="1">
      <alignment horizontal="center"/>
      <protection locked="0"/>
    </xf>
    <xf numFmtId="182" fontId="28" fillId="19" borderId="97" xfId="0" applyNumberFormat="1" applyFont="1" applyFill="1" applyBorder="1" applyAlignment="1" applyProtection="1">
      <alignment horizontal="center"/>
      <protection locked="0"/>
    </xf>
    <xf numFmtId="2" fontId="118" fillId="30" borderId="97" xfId="0" applyNumberFormat="1" applyFont="1" applyFill="1" applyBorder="1" applyAlignment="1" applyProtection="1">
      <alignment horizontal="center"/>
    </xf>
    <xf numFmtId="0" fontId="35" fillId="0" borderId="0" xfId="0" applyFont="1" applyFill="1" applyBorder="1" applyAlignment="1">
      <alignment horizontal="center" vertical="top"/>
    </xf>
    <xf numFmtId="181" fontId="118" fillId="0" borderId="97" xfId="0" applyNumberFormat="1" applyFont="1" applyFill="1" applyBorder="1" applyAlignment="1" applyProtection="1">
      <alignment horizontal="center"/>
    </xf>
    <xf numFmtId="0" fontId="104" fillId="0" borderId="0" xfId="0" applyFont="1" applyFill="1" applyBorder="1" applyAlignment="1" applyProtection="1">
      <alignment horizontal="center"/>
    </xf>
    <xf numFmtId="2" fontId="26" fillId="0" borderId="97" xfId="0" applyNumberFormat="1" applyFont="1" applyFill="1" applyBorder="1" applyAlignment="1" applyProtection="1">
      <alignment horizontal="center" vertical="center"/>
    </xf>
    <xf numFmtId="0" fontId="28" fillId="0" borderId="74" xfId="0" applyFont="1" applyFill="1" applyBorder="1" applyAlignment="1" applyProtection="1">
      <alignment horizontal="center"/>
    </xf>
    <xf numFmtId="0" fontId="28" fillId="0" borderId="97" xfId="0" applyFont="1" applyBorder="1"/>
    <xf numFmtId="0" fontId="28" fillId="0" borderId="98" xfId="0" applyFont="1" applyFill="1" applyBorder="1" applyAlignment="1" applyProtection="1">
      <alignment horizontal="center"/>
    </xf>
    <xf numFmtId="0" fontId="28" fillId="0" borderId="73" xfId="0" applyFont="1" applyFill="1" applyBorder="1" applyAlignment="1">
      <alignment horizontal="center"/>
    </xf>
    <xf numFmtId="0" fontId="35" fillId="0" borderId="75" xfId="0" applyFont="1" applyFill="1" applyBorder="1" applyAlignment="1" applyProtection="1">
      <alignment horizontal="right"/>
    </xf>
    <xf numFmtId="0" fontId="28" fillId="19" borderId="99" xfId="0" applyFont="1" applyFill="1" applyBorder="1" applyAlignment="1" applyProtection="1">
      <alignment horizontal="center"/>
      <protection locked="0"/>
    </xf>
    <xf numFmtId="0" fontId="192" fillId="0" borderId="100" xfId="0" applyFont="1" applyFill="1" applyBorder="1" applyAlignment="1" applyProtection="1">
      <alignment horizontal="center"/>
    </xf>
    <xf numFmtId="2" fontId="164" fillId="0" borderId="100" xfId="0" applyNumberFormat="1" applyFont="1" applyBorder="1" applyAlignment="1">
      <alignment horizontal="center" vertical="center"/>
    </xf>
    <xf numFmtId="0" fontId="26" fillId="0" borderId="0" xfId="0" applyFont="1" applyBorder="1" applyProtection="1">
      <protection locked="0"/>
    </xf>
    <xf numFmtId="0" fontId="30" fillId="30" borderId="0" xfId="0" applyFont="1" applyFill="1"/>
    <xf numFmtId="165" fontId="35" fillId="0" borderId="0" xfId="0" applyNumberFormat="1" applyFont="1" applyAlignment="1">
      <alignment horizontal="center"/>
    </xf>
    <xf numFmtId="0" fontId="6" fillId="0" borderId="102" xfId="0" applyFont="1" applyFill="1" applyBorder="1" applyAlignment="1" applyProtection="1">
      <alignment horizontal="center"/>
    </xf>
    <xf numFmtId="0" fontId="26" fillId="0" borderId="1" xfId="0" applyFont="1" applyFill="1" applyBorder="1" applyAlignment="1" applyProtection="1">
      <alignment horizontal="center"/>
    </xf>
    <xf numFmtId="0" fontId="62" fillId="0" borderId="1" xfId="0" applyFont="1" applyFill="1" applyBorder="1" applyAlignment="1" applyProtection="1">
      <alignment horizontal="center"/>
    </xf>
    <xf numFmtId="0" fontId="71" fillId="0" borderId="1" xfId="0" applyFont="1" applyFill="1" applyBorder="1" applyAlignment="1">
      <alignment horizontal="left"/>
    </xf>
    <xf numFmtId="0" fontId="28" fillId="0" borderId="103" xfId="0" applyFont="1" applyFill="1" applyBorder="1" applyAlignment="1">
      <alignment horizontal="center" vertical="center"/>
    </xf>
    <xf numFmtId="0" fontId="27" fillId="0" borderId="1" xfId="0" applyFont="1" applyBorder="1" applyAlignment="1">
      <alignment horizontal="center" vertical="center"/>
    </xf>
    <xf numFmtId="0" fontId="28" fillId="19" borderId="14" xfId="0" applyFont="1" applyFill="1" applyBorder="1" applyAlignment="1" applyProtection="1">
      <alignment horizontal="center"/>
      <protection locked="0"/>
    </xf>
    <xf numFmtId="181" fontId="26" fillId="0" borderId="0" xfId="0" applyNumberFormat="1" applyFont="1" applyFill="1" applyBorder="1" applyAlignment="1">
      <alignment horizontal="center" vertical="center"/>
    </xf>
    <xf numFmtId="0" fontId="115" fillId="0" borderId="104" xfId="0" applyFont="1" applyBorder="1" applyAlignment="1">
      <alignment horizontal="center"/>
    </xf>
    <xf numFmtId="0" fontId="26" fillId="0" borderId="105" xfId="0" applyFont="1" applyBorder="1" applyAlignment="1">
      <alignment horizontal="center" vertical="center"/>
    </xf>
    <xf numFmtId="2" fontId="193" fillId="0" borderId="105" xfId="0" applyNumberFormat="1" applyFont="1" applyBorder="1" applyAlignment="1">
      <alignment horizontal="center" vertical="center"/>
    </xf>
    <xf numFmtId="2" fontId="26" fillId="0" borderId="105" xfId="0" applyNumberFormat="1" applyFont="1" applyBorder="1" applyAlignment="1">
      <alignment horizontal="center" vertical="center"/>
    </xf>
    <xf numFmtId="164" fontId="193" fillId="0" borderId="105" xfId="0" applyNumberFormat="1" applyFont="1" applyBorder="1" applyAlignment="1">
      <alignment horizontal="center" vertical="center"/>
    </xf>
    <xf numFmtId="164" fontId="26" fillId="0" borderId="105" xfId="0" applyNumberFormat="1" applyFont="1" applyBorder="1" applyAlignment="1">
      <alignment horizontal="center" vertical="center"/>
    </xf>
    <xf numFmtId="175" fontId="193" fillId="0" borderId="105" xfId="0" applyNumberFormat="1" applyFont="1" applyBorder="1" applyAlignment="1">
      <alignment horizontal="center" vertical="center"/>
    </xf>
    <xf numFmtId="0" fontId="188" fillId="0" borderId="105" xfId="0" applyFont="1" applyBorder="1" applyAlignment="1">
      <alignment horizontal="center"/>
    </xf>
    <xf numFmtId="174" fontId="188" fillId="0" borderId="105" xfId="0" applyNumberFormat="1" applyFont="1" applyBorder="1" applyAlignment="1">
      <alignment horizontal="center" vertical="center"/>
    </xf>
    <xf numFmtId="165" fontId="188" fillId="0" borderId="105" xfId="0" applyNumberFormat="1" applyFont="1" applyBorder="1" applyAlignment="1">
      <alignment horizontal="center" vertical="center"/>
    </xf>
    <xf numFmtId="0" fontId="26" fillId="0" borderId="105" xfId="0" applyFont="1" applyBorder="1"/>
    <xf numFmtId="176" fontId="26" fillId="0" borderId="105" xfId="0" applyNumberFormat="1" applyFont="1" applyBorder="1"/>
    <xf numFmtId="0" fontId="115" fillId="0" borderId="104" xfId="0" applyFont="1" applyFill="1" applyBorder="1" applyAlignment="1" applyProtection="1">
      <alignment horizontal="center"/>
    </xf>
    <xf numFmtId="0" fontId="71" fillId="0" borderId="82" xfId="0" applyFont="1" applyFill="1" applyBorder="1" applyAlignment="1" applyProtection="1">
      <alignment horizontal="center" vertical="center"/>
    </xf>
    <xf numFmtId="167" fontId="196" fillId="0" borderId="105" xfId="0" applyNumberFormat="1" applyFont="1" applyBorder="1" applyAlignment="1">
      <alignment horizontal="center" vertical="center"/>
    </xf>
    <xf numFmtId="2" fontId="164" fillId="0" borderId="106" xfId="0" applyNumberFormat="1" applyFont="1" applyFill="1" applyBorder="1" applyAlignment="1">
      <alignment horizontal="center"/>
    </xf>
    <xf numFmtId="0" fontId="26" fillId="20" borderId="0" xfId="0" applyFont="1" applyFill="1" applyBorder="1"/>
    <xf numFmtId="0" fontId="31" fillId="0" borderId="105" xfId="0" applyFont="1" applyBorder="1" applyAlignment="1">
      <alignment horizontal="center"/>
    </xf>
    <xf numFmtId="0" fontId="26" fillId="0" borderId="108" xfId="0" applyFont="1" applyBorder="1" applyAlignment="1">
      <alignment horizontal="center" vertical="center"/>
    </xf>
    <xf numFmtId="0" fontId="26" fillId="0" borderId="108" xfId="0" applyFont="1" applyBorder="1"/>
    <xf numFmtId="0" fontId="71" fillId="0" borderId="107" xfId="0" applyFont="1" applyFill="1" applyBorder="1" applyAlignment="1" applyProtection="1">
      <alignment horizontal="center"/>
    </xf>
    <xf numFmtId="2" fontId="26" fillId="0" borderId="107" xfId="0" applyNumberFormat="1" applyFont="1" applyBorder="1" applyAlignment="1">
      <alignment horizontal="center" vertical="center"/>
    </xf>
    <xf numFmtId="2" fontId="26" fillId="0" borderId="107" xfId="0" applyNumberFormat="1" applyFont="1" applyBorder="1"/>
    <xf numFmtId="0" fontId="26" fillId="0" borderId="108" xfId="0" applyFont="1" applyBorder="1" applyAlignment="1">
      <alignment horizontal="center"/>
    </xf>
    <xf numFmtId="0" fontId="26" fillId="0" borderId="109" xfId="0" applyFont="1" applyBorder="1"/>
    <xf numFmtId="0" fontId="162" fillId="0" borderId="0" xfId="0" applyFont="1"/>
    <xf numFmtId="0" fontId="162" fillId="26" borderId="107" xfId="0" applyFont="1" applyFill="1" applyBorder="1" applyAlignment="1">
      <alignment horizontal="center"/>
    </xf>
    <xf numFmtId="165" fontId="0" fillId="0" borderId="0" xfId="0" applyNumberFormat="1"/>
    <xf numFmtId="2" fontId="0" fillId="0" borderId="1" xfId="0" applyNumberFormat="1" applyBorder="1"/>
    <xf numFmtId="1" fontId="26" fillId="0" borderId="110" xfId="0" applyNumberFormat="1" applyFont="1" applyFill="1" applyBorder="1" applyAlignment="1" applyProtection="1">
      <alignment horizontal="center"/>
    </xf>
    <xf numFmtId="167" fontId="194" fillId="0" borderId="110" xfId="0" applyNumberFormat="1" applyFont="1" applyFill="1" applyBorder="1" applyAlignment="1">
      <alignment horizontal="center"/>
    </xf>
    <xf numFmtId="0" fontId="26" fillId="0" borderId="110" xfId="0" applyFont="1" applyBorder="1"/>
    <xf numFmtId="2" fontId="164" fillId="0" borderId="111" xfId="0" applyNumberFormat="1" applyFont="1" applyBorder="1" applyAlignment="1">
      <alignment horizontal="center" vertical="center"/>
    </xf>
    <xf numFmtId="0" fontId="27" fillId="0" borderId="98" xfId="0" applyFont="1" applyFill="1" applyBorder="1" applyAlignment="1">
      <alignment horizontal="center" vertical="center"/>
    </xf>
    <xf numFmtId="2" fontId="26" fillId="0" borderId="98" xfId="0" applyNumberFormat="1" applyFont="1" applyFill="1" applyBorder="1" applyAlignment="1">
      <alignment horizontal="center"/>
    </xf>
    <xf numFmtId="165" fontId="26" fillId="0" borderId="98" xfId="0" applyNumberFormat="1" applyFont="1" applyFill="1" applyBorder="1" applyAlignment="1" applyProtection="1">
      <alignment horizontal="center"/>
    </xf>
    <xf numFmtId="1" fontId="105" fillId="30" borderId="97" xfId="0" applyNumberFormat="1" applyFont="1" applyFill="1" applyBorder="1" applyAlignment="1" applyProtection="1">
      <alignment horizontal="center"/>
    </xf>
    <xf numFmtId="0" fontId="62" fillId="30" borderId="113" xfId="0" applyFont="1" applyFill="1" applyBorder="1" applyAlignment="1">
      <alignment horizontal="center"/>
    </xf>
    <xf numFmtId="0" fontId="35" fillId="30" borderId="113" xfId="0" applyFont="1" applyFill="1" applyBorder="1" applyAlignment="1">
      <alignment horizontal="center"/>
    </xf>
    <xf numFmtId="0" fontId="26" fillId="30" borderId="113" xfId="0" applyFont="1" applyFill="1" applyBorder="1"/>
    <xf numFmtId="0" fontId="104" fillId="30" borderId="114" xfId="0" applyFont="1" applyFill="1" applyBorder="1" applyAlignment="1">
      <alignment horizontal="center" vertical="center"/>
    </xf>
    <xf numFmtId="0" fontId="28" fillId="30" borderId="113" xfId="0" applyFont="1" applyFill="1" applyBorder="1"/>
    <xf numFmtId="0" fontId="26" fillId="24" borderId="90" xfId="0" applyFont="1" applyFill="1" applyBorder="1" applyAlignment="1">
      <alignment horizontal="center"/>
    </xf>
    <xf numFmtId="167" fontId="2" fillId="32" borderId="0" xfId="0" applyNumberFormat="1" applyFont="1" applyFill="1" applyBorder="1"/>
    <xf numFmtId="0" fontId="52" fillId="0" borderId="2" xfId="0" applyFont="1" applyBorder="1"/>
    <xf numFmtId="0" fontId="0" fillId="0" borderId="7" xfId="0" applyBorder="1"/>
    <xf numFmtId="0" fontId="2" fillId="0" borderId="0" xfId="0" applyFont="1" applyBorder="1"/>
    <xf numFmtId="0" fontId="2" fillId="0" borderId="0" xfId="0" applyFont="1" applyBorder="1" applyAlignment="1">
      <alignment horizontal="center"/>
    </xf>
    <xf numFmtId="0" fontId="0" fillId="0" borderId="0" xfId="0" applyFont="1" applyFill="1" applyBorder="1"/>
    <xf numFmtId="0" fontId="0" fillId="32" borderId="0" xfId="0" applyFill="1" applyBorder="1"/>
    <xf numFmtId="0" fontId="201" fillId="0" borderId="2" xfId="0" applyFont="1" applyBorder="1"/>
    <xf numFmtId="0" fontId="0" fillId="20" borderId="0" xfId="0" applyFill="1" applyBorder="1" applyAlignment="1">
      <alignment horizontal="center"/>
    </xf>
    <xf numFmtId="0" fontId="205" fillId="0" borderId="0" xfId="0" applyFont="1" applyBorder="1"/>
    <xf numFmtId="0" fontId="2" fillId="17" borderId="0" xfId="0" applyFont="1" applyFill="1" applyBorder="1" applyAlignment="1">
      <alignment horizontal="center"/>
    </xf>
    <xf numFmtId="0" fontId="2" fillId="17" borderId="0" xfId="0" applyFont="1" applyFill="1" applyBorder="1"/>
    <xf numFmtId="0" fontId="186" fillId="17" borderId="0" xfId="0" applyFont="1" applyFill="1" applyBorder="1"/>
    <xf numFmtId="0" fontId="186" fillId="17" borderId="0" xfId="0" applyFont="1" applyFill="1" applyBorder="1" applyAlignment="1">
      <alignment horizontal="center"/>
    </xf>
    <xf numFmtId="0" fontId="0" fillId="17" borderId="0" xfId="0" applyFill="1" applyBorder="1"/>
    <xf numFmtId="0" fontId="2" fillId="0" borderId="2" xfId="0" applyFont="1" applyBorder="1" applyAlignment="1">
      <alignment horizontal="center"/>
    </xf>
    <xf numFmtId="0" fontId="2" fillId="20" borderId="0" xfId="0" applyFont="1" applyFill="1" applyBorder="1"/>
    <xf numFmtId="0" fontId="211" fillId="0" borderId="0" xfId="0" applyFont="1" applyBorder="1"/>
    <xf numFmtId="0" fontId="212" fillId="0" borderId="2" xfId="0" applyFont="1" applyBorder="1"/>
    <xf numFmtId="0" fontId="183" fillId="0" borderId="2" xfId="0" applyFont="1" applyBorder="1"/>
    <xf numFmtId="0" fontId="0" fillId="21" borderId="2" xfId="0" applyFill="1" applyBorder="1"/>
    <xf numFmtId="0" fontId="2" fillId="21" borderId="2" xfId="0" applyFont="1" applyFill="1" applyBorder="1"/>
    <xf numFmtId="0" fontId="2" fillId="21" borderId="2" xfId="0" applyFont="1" applyFill="1" applyBorder="1" applyAlignment="1">
      <alignment horizontal="center"/>
    </xf>
    <xf numFmtId="0" fontId="0" fillId="15" borderId="2" xfId="0" applyFill="1" applyBorder="1"/>
    <xf numFmtId="0" fontId="0" fillId="21" borderId="19" xfId="0" applyFill="1" applyBorder="1"/>
    <xf numFmtId="0" fontId="0" fillId="15" borderId="19" xfId="0" applyFill="1" applyBorder="1"/>
    <xf numFmtId="0" fontId="2" fillId="21" borderId="19" xfId="0" applyFont="1" applyFill="1" applyBorder="1"/>
    <xf numFmtId="0" fontId="2" fillId="21" borderId="1" xfId="0" applyFont="1" applyFill="1" applyBorder="1"/>
    <xf numFmtId="0" fontId="0" fillId="21" borderId="1" xfId="0" applyFill="1" applyBorder="1"/>
    <xf numFmtId="0" fontId="2" fillId="15" borderId="1" xfId="0" applyFont="1" applyFill="1" applyBorder="1"/>
    <xf numFmtId="0" fontId="0" fillId="15" borderId="1" xfId="0" applyFill="1" applyBorder="1"/>
    <xf numFmtId="0" fontId="0" fillId="21" borderId="1" xfId="0" applyFill="1" applyBorder="1" applyAlignment="1">
      <alignment horizontal="center"/>
    </xf>
    <xf numFmtId="0" fontId="2" fillId="33" borderId="0" xfId="0" applyFont="1" applyFill="1" applyBorder="1"/>
    <xf numFmtId="0" fontId="0" fillId="33" borderId="0" xfId="0" applyFill="1" applyBorder="1"/>
    <xf numFmtId="0" fontId="0" fillId="33" borderId="0" xfId="0" applyFont="1" applyFill="1" applyBorder="1"/>
    <xf numFmtId="0" fontId="52" fillId="0" borderId="0" xfId="0" applyFont="1" applyBorder="1"/>
    <xf numFmtId="0" fontId="7" fillId="0" borderId="2" xfId="0" applyFont="1" applyBorder="1" applyAlignment="1">
      <alignment horizontal="center"/>
    </xf>
    <xf numFmtId="0" fontId="2" fillId="32" borderId="0" xfId="0" applyFont="1" applyFill="1" applyBorder="1"/>
    <xf numFmtId="0" fontId="0" fillId="33" borderId="0" xfId="0" applyFill="1" applyBorder="1" applyAlignment="1">
      <alignment horizontal="center"/>
    </xf>
    <xf numFmtId="0" fontId="115" fillId="0" borderId="0" xfId="0" applyFont="1" applyFill="1" applyBorder="1" applyAlignment="1">
      <alignment horizontal="center"/>
    </xf>
    <xf numFmtId="1" fontId="215" fillId="0" borderId="100" xfId="0" applyNumberFormat="1" applyFont="1" applyFill="1" applyBorder="1" applyAlignment="1" applyProtection="1">
      <alignment horizontal="center"/>
    </xf>
    <xf numFmtId="0" fontId="28" fillId="19" borderId="106" xfId="0" applyFont="1" applyFill="1" applyBorder="1" applyAlignment="1" applyProtection="1">
      <alignment horizontal="center"/>
      <protection locked="0"/>
    </xf>
    <xf numFmtId="0" fontId="163" fillId="30" borderId="106" xfId="0" applyFont="1" applyFill="1" applyBorder="1" applyAlignment="1">
      <alignment horizontal="center"/>
    </xf>
    <xf numFmtId="167" fontId="105" fillId="30" borderId="115" xfId="0" applyNumberFormat="1" applyFont="1" applyFill="1" applyBorder="1" applyAlignment="1" applyProtection="1">
      <alignment horizontal="center"/>
    </xf>
    <xf numFmtId="167" fontId="105" fillId="30" borderId="106" xfId="0" applyNumberFormat="1" applyFont="1" applyFill="1" applyBorder="1" applyAlignment="1" applyProtection="1">
      <alignment horizontal="center"/>
    </xf>
    <xf numFmtId="0" fontId="26" fillId="30" borderId="115" xfId="0" applyFont="1" applyFill="1" applyBorder="1"/>
    <xf numFmtId="0" fontId="7" fillId="20" borderId="0" xfId="0" applyFont="1" applyFill="1" applyBorder="1"/>
    <xf numFmtId="0" fontId="7" fillId="20" borderId="0" xfId="0" applyFont="1" applyFill="1" applyBorder="1" applyAlignment="1">
      <alignment horizontal="center"/>
    </xf>
    <xf numFmtId="0" fontId="7" fillId="0" borderId="0" xfId="0" applyFont="1" applyBorder="1" applyAlignment="1">
      <alignment horizontal="center"/>
    </xf>
    <xf numFmtId="0" fontId="7" fillId="0" borderId="0" xfId="0" applyFont="1" applyBorder="1"/>
    <xf numFmtId="0" fontId="7" fillId="0" borderId="0" xfId="0" applyFont="1" applyFill="1" applyBorder="1"/>
    <xf numFmtId="0" fontId="0" fillId="0" borderId="0" xfId="0" applyFill="1" applyBorder="1" applyAlignment="1">
      <alignment horizontal="center" vertical="center"/>
    </xf>
    <xf numFmtId="0" fontId="7" fillId="0" borderId="0" xfId="0" applyFont="1" applyFill="1" applyBorder="1" applyAlignment="1">
      <alignment horizontal="center"/>
    </xf>
    <xf numFmtId="0" fontId="127" fillId="0" borderId="0" xfId="0" applyFont="1" applyFill="1" applyBorder="1"/>
    <xf numFmtId="0" fontId="179" fillId="0" borderId="0" xfId="0" applyFont="1" applyFill="1" applyBorder="1" applyAlignment="1">
      <alignment horizontal="center"/>
    </xf>
    <xf numFmtId="0" fontId="166" fillId="0" borderId="0" xfId="0" applyFont="1" applyFill="1" applyBorder="1"/>
    <xf numFmtId="0" fontId="2" fillId="0" borderId="0" xfId="0" applyFont="1" applyFill="1" applyBorder="1" applyAlignment="1">
      <alignment horizontal="center" vertical="center"/>
    </xf>
    <xf numFmtId="0" fontId="2" fillId="0" borderId="0" xfId="0" applyFont="1" applyFill="1" applyBorder="1" applyAlignment="1">
      <alignment horizontal="left"/>
    </xf>
    <xf numFmtId="0" fontId="0" fillId="0" borderId="0" xfId="0" applyFill="1" applyBorder="1" applyAlignment="1">
      <alignment horizontal="left"/>
    </xf>
    <xf numFmtId="0" fontId="216" fillId="0" borderId="58" xfId="0" applyFont="1" applyBorder="1" applyAlignment="1">
      <alignment horizontal="center"/>
    </xf>
    <xf numFmtId="0" fontId="0" fillId="16" borderId="0" xfId="0" applyFill="1" applyBorder="1"/>
    <xf numFmtId="0" fontId="217" fillId="33" borderId="2" xfId="0" applyFont="1" applyFill="1" applyBorder="1" applyAlignment="1" applyProtection="1">
      <alignment horizontal="center" vertical="center"/>
      <protection locked="0"/>
    </xf>
    <xf numFmtId="0" fontId="27" fillId="30" borderId="120" xfId="0" applyFont="1" applyFill="1" applyBorder="1" applyAlignment="1">
      <alignment horizontal="center"/>
    </xf>
    <xf numFmtId="0" fontId="190" fillId="0" borderId="121" xfId="0" applyFont="1" applyFill="1" applyBorder="1" applyAlignment="1">
      <alignment horizontal="center"/>
    </xf>
    <xf numFmtId="0" fontId="197" fillId="0" borderId="118" xfId="0" applyFont="1" applyFill="1" applyBorder="1"/>
    <xf numFmtId="0" fontId="26" fillId="0" borderId="118" xfId="0" applyFont="1" applyFill="1" applyBorder="1"/>
    <xf numFmtId="0" fontId="218" fillId="0" borderId="122" xfId="0" applyFont="1" applyFill="1" applyBorder="1" applyAlignment="1">
      <alignment horizontal="center" vertical="center"/>
    </xf>
    <xf numFmtId="167" fontId="197" fillId="0" borderId="119" xfId="0" applyNumberFormat="1" applyFont="1" applyFill="1" applyBorder="1" applyAlignment="1">
      <alignment horizontal="center"/>
    </xf>
    <xf numFmtId="167" fontId="197" fillId="0" borderId="94" xfId="0" applyNumberFormat="1" applyFont="1" applyFill="1" applyBorder="1" applyAlignment="1">
      <alignment horizontal="center"/>
    </xf>
    <xf numFmtId="167" fontId="197" fillId="0" borderId="123" xfId="0" applyNumberFormat="1" applyFont="1" applyFill="1" applyBorder="1" applyAlignment="1">
      <alignment horizontal="center"/>
    </xf>
    <xf numFmtId="0" fontId="26" fillId="0" borderId="74" xfId="0" applyFont="1" applyBorder="1" applyAlignment="1">
      <alignment horizontal="center"/>
    </xf>
    <xf numFmtId="183" fontId="26" fillId="0" borderId="74" xfId="0" applyNumberFormat="1" applyFont="1" applyBorder="1" applyAlignment="1">
      <alignment horizontal="center"/>
    </xf>
    <xf numFmtId="165" fontId="193" fillId="33" borderId="105" xfId="0" applyNumberFormat="1" applyFont="1" applyFill="1" applyBorder="1" applyAlignment="1">
      <alignment horizontal="center" vertical="center"/>
    </xf>
    <xf numFmtId="184" fontId="26" fillId="0" borderId="0" xfId="0" applyNumberFormat="1" applyFont="1" applyFill="1" applyBorder="1" applyAlignment="1" applyProtection="1">
      <alignment horizontal="center" vertical="center"/>
    </xf>
    <xf numFmtId="184" fontId="223" fillId="0" borderId="0" xfId="0" applyNumberFormat="1" applyFont="1" applyFill="1" applyBorder="1" applyAlignment="1" applyProtection="1">
      <alignment horizontal="center" vertical="center"/>
    </xf>
    <xf numFmtId="0" fontId="224" fillId="0" borderId="73" xfId="0" applyFont="1" applyFill="1" applyBorder="1" applyAlignment="1">
      <alignment horizontal="center"/>
    </xf>
    <xf numFmtId="0" fontId="127" fillId="24" borderId="125" xfId="0" applyFont="1" applyFill="1" applyBorder="1"/>
    <xf numFmtId="0" fontId="127" fillId="24" borderId="126" xfId="0" applyFont="1" applyFill="1" applyBorder="1"/>
    <xf numFmtId="0" fontId="127" fillId="24" borderId="127" xfId="0" applyFont="1" applyFill="1" applyBorder="1"/>
    <xf numFmtId="0" fontId="127" fillId="24" borderId="127" xfId="0" applyFont="1" applyFill="1" applyBorder="1" applyAlignment="1">
      <alignment horizontal="center"/>
    </xf>
    <xf numFmtId="0" fontId="127" fillId="24" borderId="128" xfId="0" applyFont="1" applyFill="1" applyBorder="1"/>
    <xf numFmtId="0" fontId="0" fillId="0" borderId="129" xfId="0" applyBorder="1"/>
    <xf numFmtId="0" fontId="2" fillId="0" borderId="0" xfId="0" applyFont="1" applyBorder="1" applyAlignment="1">
      <alignment horizontal="center" vertical="center"/>
    </xf>
    <xf numFmtId="0" fontId="0" fillId="0" borderId="130" xfId="0" applyBorder="1" applyAlignment="1">
      <alignment horizontal="center"/>
    </xf>
    <xf numFmtId="0" fontId="7" fillId="20" borderId="129" xfId="0" applyFont="1" applyFill="1" applyBorder="1"/>
    <xf numFmtId="0" fontId="0" fillId="20" borderId="131" xfId="0" applyFill="1" applyBorder="1"/>
    <xf numFmtId="0" fontId="0" fillId="0" borderId="131" xfId="0" applyBorder="1"/>
    <xf numFmtId="0" fontId="7" fillId="0" borderId="129" xfId="0" applyFont="1" applyBorder="1"/>
    <xf numFmtId="0" fontId="2" fillId="0" borderId="131" xfId="0" applyFont="1" applyBorder="1"/>
    <xf numFmtId="0" fontId="201" fillId="0" borderId="131" xfId="0" applyFont="1" applyBorder="1"/>
    <xf numFmtId="0" fontId="7" fillId="15" borderId="129" xfId="0" applyFont="1" applyFill="1" applyBorder="1"/>
    <xf numFmtId="0" fontId="0" fillId="15" borderId="0" xfId="0" applyFill="1" applyBorder="1"/>
    <xf numFmtId="0" fontId="204" fillId="15" borderId="0" xfId="0" applyFont="1" applyFill="1" applyBorder="1"/>
    <xf numFmtId="0" fontId="2" fillId="15" borderId="0" xfId="0" applyFont="1" applyFill="1" applyBorder="1"/>
    <xf numFmtId="0" fontId="2" fillId="15" borderId="131" xfId="0" applyFont="1" applyFill="1" applyBorder="1"/>
    <xf numFmtId="0" fontId="2" fillId="0" borderId="129" xfId="0" applyFont="1" applyBorder="1"/>
    <xf numFmtId="167" fontId="0" fillId="0" borderId="0" xfId="0" applyNumberFormat="1" applyBorder="1" applyAlignment="1">
      <alignment horizontal="center" vertical="center"/>
    </xf>
    <xf numFmtId="167" fontId="0" fillId="0" borderId="0" xfId="0" applyNumberFormat="1" applyBorder="1"/>
    <xf numFmtId="0" fontId="2" fillId="31" borderId="129" xfId="0" applyFont="1" applyFill="1" applyBorder="1"/>
    <xf numFmtId="0" fontId="0" fillId="33" borderId="131" xfId="0" applyFill="1" applyBorder="1"/>
    <xf numFmtId="0" fontId="2" fillId="15" borderId="132" xfId="0" applyFont="1" applyFill="1" applyBorder="1"/>
    <xf numFmtId="0" fontId="2" fillId="21" borderId="0" xfId="0" applyFont="1" applyFill="1" applyBorder="1"/>
    <xf numFmtId="0" fontId="0" fillId="21" borderId="0" xfId="0" applyFill="1" applyBorder="1" applyAlignment="1">
      <alignment horizontal="center"/>
    </xf>
    <xf numFmtId="0" fontId="3" fillId="21" borderId="0" xfId="0" applyFont="1" applyFill="1" applyBorder="1"/>
    <xf numFmtId="0" fontId="2" fillId="0" borderId="129" xfId="0" applyFont="1" applyFill="1" applyBorder="1"/>
    <xf numFmtId="0" fontId="52" fillId="21" borderId="0" xfId="0" applyFont="1" applyFill="1" applyBorder="1"/>
    <xf numFmtId="0" fontId="2" fillId="33" borderId="129" xfId="0" applyFont="1" applyFill="1" applyBorder="1"/>
    <xf numFmtId="0" fontId="171" fillId="32" borderId="0" xfId="0" applyFont="1" applyFill="1" applyBorder="1" applyAlignment="1">
      <alignment horizontal="center" vertical="center"/>
    </xf>
    <xf numFmtId="0" fontId="2" fillId="20" borderId="131" xfId="0" applyFont="1" applyFill="1" applyBorder="1"/>
    <xf numFmtId="0" fontId="54" fillId="0" borderId="129" xfId="0" applyFont="1" applyBorder="1" applyAlignment="1">
      <alignment horizontal="right"/>
    </xf>
    <xf numFmtId="0" fontId="2" fillId="0" borderId="129" xfId="0" applyFont="1" applyBorder="1" applyAlignment="1">
      <alignment horizontal="right"/>
    </xf>
    <xf numFmtId="0" fontId="54" fillId="0" borderId="129" xfId="0" applyFont="1" applyFill="1" applyBorder="1" applyAlignment="1">
      <alignment horizontal="right"/>
    </xf>
    <xf numFmtId="0" fontId="54" fillId="0" borderId="0" xfId="0" applyFont="1" applyBorder="1"/>
    <xf numFmtId="0" fontId="0" fillId="24" borderId="133" xfId="0" applyFill="1" applyBorder="1"/>
    <xf numFmtId="0" fontId="0" fillId="24" borderId="134" xfId="0" applyFill="1" applyBorder="1"/>
    <xf numFmtId="0" fontId="0" fillId="24" borderId="134" xfId="0" applyFill="1" applyBorder="1" applyAlignment="1">
      <alignment horizontal="center"/>
    </xf>
    <xf numFmtId="0" fontId="0" fillId="24" borderId="135" xfId="0" applyFill="1" applyBorder="1"/>
    <xf numFmtId="165" fontId="0" fillId="0" borderId="136" xfId="0" applyNumberFormat="1" applyBorder="1"/>
    <xf numFmtId="0" fontId="2" fillId="34" borderId="0" xfId="0" applyFont="1" applyFill="1"/>
    <xf numFmtId="0" fontId="0" fillId="34" borderId="0" xfId="0" applyFill="1"/>
    <xf numFmtId="0" fontId="0" fillId="34" borderId="0" xfId="0" applyFill="1" applyAlignment="1">
      <alignment horizontal="center"/>
    </xf>
    <xf numFmtId="165" fontId="2" fillId="0" borderId="0" xfId="0" applyNumberFormat="1" applyFont="1" applyBorder="1"/>
    <xf numFmtId="165" fontId="0" fillId="0" borderId="0" xfId="0" applyNumberFormat="1" applyBorder="1"/>
    <xf numFmtId="0" fontId="225" fillId="0" borderId="0" xfId="0" applyFont="1" applyBorder="1" applyAlignment="1">
      <alignment horizontal="center"/>
    </xf>
    <xf numFmtId="167" fontId="2" fillId="0" borderId="0" xfId="0" applyNumberFormat="1" applyFont="1" applyBorder="1"/>
    <xf numFmtId="0" fontId="0" fillId="0" borderId="138" xfId="0" applyBorder="1"/>
    <xf numFmtId="0" fontId="2" fillId="0" borderId="139" xfId="0" applyFont="1" applyBorder="1"/>
    <xf numFmtId="0" fontId="0" fillId="0" borderId="139" xfId="0" applyBorder="1"/>
    <xf numFmtId="0" fontId="0" fillId="0" borderId="139" xfId="0" applyBorder="1" applyAlignment="1">
      <alignment horizontal="center"/>
    </xf>
    <xf numFmtId="0" fontId="0" fillId="0" borderId="140" xfId="0" applyBorder="1"/>
    <xf numFmtId="0" fontId="0" fillId="0" borderId="141" xfId="0" applyBorder="1"/>
    <xf numFmtId="0" fontId="0" fillId="0" borderId="142" xfId="0" applyBorder="1"/>
    <xf numFmtId="0" fontId="2" fillId="0" borderId="141" xfId="0" applyFont="1" applyBorder="1"/>
    <xf numFmtId="0" fontId="2" fillId="0" borderId="142" xfId="0" applyFont="1" applyBorder="1"/>
    <xf numFmtId="0" fontId="226" fillId="0" borderId="142" xfId="0" applyFont="1" applyBorder="1" applyAlignment="1">
      <alignment horizontal="center"/>
    </xf>
    <xf numFmtId="0" fontId="0" fillId="34" borderId="143" xfId="0" applyFill="1" applyBorder="1"/>
    <xf numFmtId="167" fontId="0" fillId="34" borderId="144" xfId="0" applyNumberFormat="1" applyFill="1" applyBorder="1"/>
    <xf numFmtId="0" fontId="0" fillId="34" borderId="144" xfId="0" applyFill="1" applyBorder="1"/>
    <xf numFmtId="0" fontId="0" fillId="34" borderId="144" xfId="0" applyFill="1" applyBorder="1" applyAlignment="1">
      <alignment horizontal="center"/>
    </xf>
    <xf numFmtId="0" fontId="0" fillId="34" borderId="145" xfId="0" applyFill="1" applyBorder="1"/>
    <xf numFmtId="0" fontId="2" fillId="31" borderId="0" xfId="0" applyFont="1" applyFill="1"/>
    <xf numFmtId="0" fontId="0" fillId="31" borderId="0" xfId="0" applyFill="1"/>
    <xf numFmtId="0" fontId="0" fillId="31" borderId="0" xfId="0" applyFill="1" applyAlignment="1">
      <alignment horizontal="center"/>
    </xf>
    <xf numFmtId="0" fontId="26" fillId="20" borderId="0" xfId="0" applyFont="1" applyFill="1" applyAlignment="1">
      <alignment horizontal="justify" vertical="center"/>
    </xf>
    <xf numFmtId="0" fontId="225" fillId="0" borderId="137" xfId="0" applyFont="1" applyBorder="1" applyAlignment="1">
      <alignment horizontal="center"/>
    </xf>
    <xf numFmtId="0" fontId="0" fillId="0" borderId="137" xfId="0" applyBorder="1"/>
    <xf numFmtId="167" fontId="0" fillId="0" borderId="137" xfId="0" applyNumberFormat="1" applyBorder="1"/>
    <xf numFmtId="0" fontId="2" fillId="26" borderId="137" xfId="0" applyFont="1" applyFill="1" applyBorder="1"/>
    <xf numFmtId="0" fontId="2" fillId="19" borderId="139" xfId="0" applyFont="1" applyFill="1" applyBorder="1"/>
    <xf numFmtId="0" fontId="0" fillId="19" borderId="0" xfId="0" applyFill="1" applyBorder="1"/>
    <xf numFmtId="0" fontId="0" fillId="0" borderId="144" xfId="0" applyBorder="1"/>
    <xf numFmtId="0" fontId="0" fillId="0" borderId="146" xfId="0" applyBorder="1"/>
    <xf numFmtId="0" fontId="0" fillId="0" borderId="125" xfId="0" applyBorder="1"/>
    <xf numFmtId="0" fontId="0" fillId="0" borderId="127" xfId="0" applyBorder="1"/>
    <xf numFmtId="0" fontId="0" fillId="0" borderId="127" xfId="0" applyBorder="1" applyAlignment="1">
      <alignment horizontal="center"/>
    </xf>
    <xf numFmtId="0" fontId="0" fillId="0" borderId="128" xfId="0" applyBorder="1"/>
    <xf numFmtId="0" fontId="0" fillId="0" borderId="133" xfId="0" applyBorder="1"/>
    <xf numFmtId="0" fontId="0" fillId="0" borderId="134" xfId="0" applyBorder="1"/>
    <xf numFmtId="0" fontId="228" fillId="27" borderId="137" xfId="0" applyFont="1" applyFill="1" applyBorder="1"/>
    <xf numFmtId="0" fontId="228" fillId="27" borderId="147" xfId="0" applyFont="1" applyFill="1" applyBorder="1"/>
    <xf numFmtId="0" fontId="7" fillId="0" borderId="125" xfId="0" applyFont="1" applyBorder="1"/>
    <xf numFmtId="0" fontId="229" fillId="27" borderId="147" xfId="0" applyFont="1" applyFill="1" applyBorder="1"/>
    <xf numFmtId="0" fontId="7" fillId="0" borderId="133" xfId="0" applyFont="1" applyBorder="1"/>
    <xf numFmtId="0" fontId="0" fillId="19" borderId="127" xfId="0" applyFill="1" applyBorder="1"/>
    <xf numFmtId="0" fontId="2" fillId="19" borderId="127" xfId="0" applyFont="1" applyFill="1" applyBorder="1"/>
    <xf numFmtId="0" fontId="0" fillId="26" borderId="127" xfId="0" applyFill="1" applyBorder="1" applyAlignment="1">
      <alignment horizontal="center"/>
    </xf>
    <xf numFmtId="0" fontId="0" fillId="26" borderId="127" xfId="0" applyFill="1" applyBorder="1"/>
    <xf numFmtId="0" fontId="0" fillId="26" borderId="128" xfId="0" applyFill="1" applyBorder="1"/>
    <xf numFmtId="0" fontId="0" fillId="26" borderId="131" xfId="0" applyFill="1" applyBorder="1"/>
    <xf numFmtId="0" fontId="0" fillId="19" borderId="129" xfId="0" applyFill="1" applyBorder="1"/>
    <xf numFmtId="0" fontId="0" fillId="19" borderId="134" xfId="0" applyFill="1" applyBorder="1"/>
    <xf numFmtId="0" fontId="0" fillId="26" borderId="134" xfId="0" applyFill="1" applyBorder="1" applyAlignment="1">
      <alignment horizontal="center"/>
    </xf>
    <xf numFmtId="0" fontId="0" fillId="26" borderId="134" xfId="0" applyFill="1" applyBorder="1"/>
    <xf numFmtId="0" fontId="0" fillId="26" borderId="135" xfId="0" applyFill="1" applyBorder="1"/>
    <xf numFmtId="0" fontId="0" fillId="35" borderId="148" xfId="0" applyFill="1" applyBorder="1"/>
    <xf numFmtId="0" fontId="0" fillId="15" borderId="129" xfId="0" applyFill="1" applyBorder="1"/>
    <xf numFmtId="0" fontId="7" fillId="26" borderId="0" xfId="0" applyFont="1" applyFill="1" applyBorder="1"/>
    <xf numFmtId="0" fontId="7" fillId="26" borderId="137" xfId="0" applyFont="1" applyFill="1" applyBorder="1"/>
    <xf numFmtId="0" fontId="7" fillId="26" borderId="0" xfId="0" applyFont="1" applyFill="1" applyBorder="1" applyAlignment="1">
      <alignment horizontal="center"/>
    </xf>
    <xf numFmtId="0" fontId="7" fillId="26" borderId="134" xfId="0" applyFont="1" applyFill="1" applyBorder="1"/>
    <xf numFmtId="0" fontId="7" fillId="26" borderId="134" xfId="0" applyFont="1" applyFill="1" applyBorder="1" applyAlignment="1">
      <alignment horizontal="center"/>
    </xf>
    <xf numFmtId="0" fontId="7" fillId="26" borderId="127" xfId="0" applyFont="1" applyFill="1" applyBorder="1"/>
    <xf numFmtId="0" fontId="7" fillId="26" borderId="127" xfId="0" applyFont="1" applyFill="1" applyBorder="1" applyAlignment="1">
      <alignment horizontal="center"/>
    </xf>
    <xf numFmtId="0" fontId="7" fillId="0" borderId="127" xfId="0" applyFont="1" applyFill="1" applyBorder="1"/>
    <xf numFmtId="0" fontId="7" fillId="0" borderId="134" xfId="0" applyFont="1" applyFill="1" applyBorder="1"/>
    <xf numFmtId="0" fontId="225" fillId="0" borderId="0" xfId="0" applyFont="1" applyFill="1" applyBorder="1" applyAlignment="1">
      <alignment horizontal="center"/>
    </xf>
    <xf numFmtId="0" fontId="230" fillId="0" borderId="0" xfId="0" applyFont="1" applyFill="1" applyBorder="1" applyAlignment="1">
      <alignment horizontal="left"/>
    </xf>
    <xf numFmtId="0" fontId="225" fillId="31" borderId="0" xfId="0" applyFont="1" applyFill="1" applyBorder="1" applyAlignment="1">
      <alignment horizontal="center"/>
    </xf>
    <xf numFmtId="16" fontId="2" fillId="31" borderId="0" xfId="0" applyNumberFormat="1" applyFont="1" applyFill="1"/>
    <xf numFmtId="165" fontId="232" fillId="0" borderId="137" xfId="0" applyNumberFormat="1" applyFont="1" applyBorder="1"/>
    <xf numFmtId="185" fontId="212" fillId="0" borderId="0" xfId="0" applyNumberFormat="1" applyFont="1"/>
    <xf numFmtId="0" fontId="233" fillId="0" borderId="0" xfId="0" applyFont="1" applyAlignment="1">
      <alignment horizontal="left"/>
    </xf>
    <xf numFmtId="0" fontId="0" fillId="21" borderId="137" xfId="0" applyFill="1" applyBorder="1"/>
    <xf numFmtId="2" fontId="59" fillId="0" borderId="137" xfId="0" applyNumberFormat="1" applyFont="1" applyBorder="1"/>
    <xf numFmtId="2" fontId="59" fillId="21" borderId="137" xfId="0" applyNumberFormat="1" applyFont="1" applyFill="1" applyBorder="1"/>
    <xf numFmtId="0" fontId="59" fillId="0" borderId="137" xfId="0" applyFont="1" applyBorder="1"/>
    <xf numFmtId="0" fontId="0" fillId="0" borderId="137" xfId="0" applyBorder="1" applyAlignment="1">
      <alignment horizontal="center"/>
    </xf>
    <xf numFmtId="165" fontId="0" fillId="0" borderId="137" xfId="0" applyNumberFormat="1" applyBorder="1"/>
    <xf numFmtId="165" fontId="234" fillId="0" borderId="137" xfId="0" applyNumberFormat="1" applyFont="1" applyBorder="1" applyAlignment="1">
      <alignment horizontal="center"/>
    </xf>
    <xf numFmtId="165" fontId="235" fillId="0" borderId="137" xfId="0" applyNumberFormat="1" applyFont="1" applyBorder="1"/>
    <xf numFmtId="0" fontId="162" fillId="0" borderId="0" xfId="0" applyFont="1" applyBorder="1"/>
    <xf numFmtId="2" fontId="26" fillId="0" borderId="0" xfId="0" applyNumberFormat="1" applyFont="1"/>
    <xf numFmtId="2" fontId="26" fillId="0" borderId="149" xfId="0" applyNumberFormat="1" applyFont="1" applyBorder="1"/>
    <xf numFmtId="2" fontId="26" fillId="0" borderId="144" xfId="0" applyNumberFormat="1" applyFont="1" applyBorder="1" applyAlignment="1">
      <alignment horizontal="center"/>
    </xf>
    <xf numFmtId="0" fontId="26" fillId="0" borderId="144" xfId="0" applyFont="1" applyBorder="1" applyAlignment="1">
      <alignment horizontal="right"/>
    </xf>
    <xf numFmtId="165" fontId="26" fillId="0" borderId="144" xfId="0" applyNumberFormat="1" applyFont="1" applyBorder="1"/>
    <xf numFmtId="0" fontId="26" fillId="0" borderId="150" xfId="0" applyFont="1" applyBorder="1"/>
    <xf numFmtId="0" fontId="18" fillId="11" borderId="150" xfId="0" applyFont="1" applyFill="1" applyBorder="1"/>
    <xf numFmtId="0" fontId="28" fillId="19" borderId="152" xfId="0" applyFont="1" applyFill="1" applyBorder="1" applyAlignment="1" applyProtection="1">
      <alignment horizontal="center"/>
      <protection locked="0"/>
    </xf>
    <xf numFmtId="165" fontId="26" fillId="0" borderId="153" xfId="0" applyNumberFormat="1" applyFont="1" applyBorder="1"/>
    <xf numFmtId="2" fontId="26" fillId="0" borderId="153" xfId="0" applyNumberFormat="1" applyFont="1" applyBorder="1" applyAlignment="1">
      <alignment horizontal="center"/>
    </xf>
    <xf numFmtId="0" fontId="0" fillId="0" borderId="156" xfId="0" applyBorder="1"/>
    <xf numFmtId="0" fontId="26" fillId="0" borderId="155" xfId="0" applyFont="1" applyBorder="1"/>
    <xf numFmtId="2" fontId="231" fillId="0" borderId="124" xfId="0" applyNumberFormat="1" applyFont="1" applyBorder="1"/>
    <xf numFmtId="0" fontId="62" fillId="30" borderId="157" xfId="0" applyFont="1" applyFill="1" applyBorder="1" applyAlignment="1">
      <alignment horizontal="center"/>
    </xf>
    <xf numFmtId="182" fontId="28" fillId="19" borderId="158" xfId="0" applyNumberFormat="1" applyFont="1" applyFill="1" applyBorder="1" applyAlignment="1" applyProtection="1">
      <alignment horizontal="center"/>
      <protection locked="0"/>
    </xf>
    <xf numFmtId="0" fontId="220" fillId="0" borderId="76" xfId="0" applyFont="1" applyFill="1" applyBorder="1" applyAlignment="1">
      <alignment horizontal="center"/>
    </xf>
    <xf numFmtId="0" fontId="26" fillId="17" borderId="76" xfId="0" applyFont="1" applyFill="1" applyBorder="1"/>
    <xf numFmtId="167" fontId="26" fillId="0" borderId="81" xfId="0" applyNumberFormat="1" applyFont="1" applyBorder="1" applyAlignment="1">
      <alignment horizontal="center"/>
    </xf>
    <xf numFmtId="0" fontId="0" fillId="0" borderId="159" xfId="0" applyBorder="1"/>
    <xf numFmtId="0" fontId="0" fillId="0" borderId="160" xfId="0" applyBorder="1"/>
    <xf numFmtId="0" fontId="0" fillId="0" borderId="161" xfId="0" applyBorder="1"/>
    <xf numFmtId="0" fontId="27" fillId="31" borderId="144" xfId="0" applyFont="1" applyFill="1" applyBorder="1" applyAlignment="1">
      <alignment horizontal="center" vertical="top"/>
    </xf>
    <xf numFmtId="0" fontId="27" fillId="31" borderId="153" xfId="0" applyFont="1" applyFill="1" applyBorder="1" applyAlignment="1">
      <alignment horizontal="center" vertical="top"/>
    </xf>
    <xf numFmtId="0" fontId="27" fillId="36" borderId="104" xfId="0" applyFont="1" applyFill="1" applyBorder="1" applyAlignment="1">
      <alignment horizontal="center" vertical="top"/>
    </xf>
    <xf numFmtId="0" fontId="27" fillId="36" borderId="154" xfId="0" applyFont="1" applyFill="1" applyBorder="1" applyAlignment="1">
      <alignment horizontal="center" vertical="top"/>
    </xf>
    <xf numFmtId="0" fontId="26" fillId="15" borderId="156" xfId="0" applyFont="1" applyFill="1" applyBorder="1" applyAlignment="1">
      <alignment horizontal="justify" vertical="center"/>
    </xf>
    <xf numFmtId="0" fontId="226" fillId="15" borderId="0" xfId="0" applyFont="1" applyFill="1" applyAlignment="1">
      <alignment horizontal="center"/>
    </xf>
    <xf numFmtId="0" fontId="26" fillId="15" borderId="144" xfId="0" applyFont="1" applyFill="1" applyBorder="1" applyAlignment="1">
      <alignment horizontal="center"/>
    </xf>
    <xf numFmtId="0" fontId="26" fillId="26" borderId="156" xfId="0" applyFont="1" applyFill="1" applyBorder="1" applyAlignment="1">
      <alignment horizontal="justify" vertical="center"/>
    </xf>
    <xf numFmtId="0" fontId="226" fillId="26" borderId="0" xfId="0" applyFont="1" applyFill="1" applyAlignment="1">
      <alignment horizontal="center"/>
    </xf>
    <xf numFmtId="0" fontId="0" fillId="26" borderId="0" xfId="0" applyFill="1"/>
    <xf numFmtId="0" fontId="26" fillId="26" borderId="144" xfId="0" applyFont="1" applyFill="1" applyBorder="1" applyAlignment="1">
      <alignment horizontal="center"/>
    </xf>
    <xf numFmtId="0" fontId="26" fillId="0" borderId="162" xfId="0" applyFont="1" applyBorder="1"/>
    <xf numFmtId="0" fontId="28" fillId="0" borderId="163" xfId="0" applyFont="1" applyBorder="1" applyAlignment="1">
      <alignment horizontal="center"/>
    </xf>
    <xf numFmtId="0" fontId="27" fillId="0" borderId="164" xfId="0" applyFont="1" applyBorder="1" applyAlignment="1">
      <alignment horizontal="center" vertical="top"/>
    </xf>
    <xf numFmtId="0" fontId="115" fillId="0" borderId="164" xfId="0" applyFont="1" applyBorder="1" applyAlignment="1">
      <alignment horizontal="center"/>
    </xf>
    <xf numFmtId="0" fontId="115" fillId="0" borderId="164" xfId="0" applyFont="1" applyFill="1" applyBorder="1" applyAlignment="1" applyProtection="1">
      <alignment horizontal="center"/>
    </xf>
    <xf numFmtId="0" fontId="197" fillId="0" borderId="165" xfId="0" applyFont="1" applyBorder="1"/>
    <xf numFmtId="0" fontId="162" fillId="0" borderId="166" xfId="0" applyFont="1" applyBorder="1"/>
    <xf numFmtId="2" fontId="26" fillId="0" borderId="0" xfId="0" applyNumberFormat="1" applyFont="1" applyBorder="1" applyAlignment="1">
      <alignment horizontal="center"/>
    </xf>
    <xf numFmtId="2" fontId="164" fillId="0" borderId="0" xfId="0" applyNumberFormat="1" applyFont="1" applyBorder="1" applyAlignment="1">
      <alignment horizontal="center"/>
    </xf>
    <xf numFmtId="0" fontId="197" fillId="0" borderId="167" xfId="0" applyFont="1" applyBorder="1"/>
    <xf numFmtId="0" fontId="26" fillId="0" borderId="166" xfId="0" applyFont="1" applyBorder="1"/>
    <xf numFmtId="0" fontId="26" fillId="0" borderId="167" xfId="0" applyFont="1" applyBorder="1"/>
    <xf numFmtId="0" fontId="198" fillId="0" borderId="167" xfId="0" applyFont="1" applyBorder="1"/>
    <xf numFmtId="0" fontId="26" fillId="0" borderId="168" xfId="0" applyFont="1" applyBorder="1"/>
    <xf numFmtId="0" fontId="26" fillId="0" borderId="169" xfId="0" applyFont="1" applyBorder="1"/>
    <xf numFmtId="0" fontId="26" fillId="0" borderId="170" xfId="0" applyFont="1" applyBorder="1"/>
    <xf numFmtId="0" fontId="28" fillId="31" borderId="98" xfId="0" applyFont="1" applyFill="1" applyBorder="1" applyAlignment="1">
      <alignment horizontal="center"/>
    </xf>
    <xf numFmtId="0" fontId="28" fillId="31" borderId="151" xfId="0" applyFont="1" applyFill="1" applyBorder="1" applyAlignment="1">
      <alignment horizontal="center"/>
    </xf>
    <xf numFmtId="0" fontId="28" fillId="15" borderId="171" xfId="0" applyFont="1" applyFill="1" applyBorder="1" applyAlignment="1">
      <alignment horizontal="center"/>
    </xf>
    <xf numFmtId="0" fontId="28" fillId="26" borderId="171" xfId="0" applyFont="1" applyFill="1" applyBorder="1" applyAlignment="1">
      <alignment horizontal="center"/>
    </xf>
    <xf numFmtId="0" fontId="225" fillId="0" borderId="0" xfId="0" applyFont="1" applyBorder="1" applyAlignment="1">
      <alignment horizontal="right"/>
    </xf>
    <xf numFmtId="0" fontId="3" fillId="0" borderId="0" xfId="0" applyFont="1" applyFill="1" applyBorder="1" applyAlignment="1">
      <alignment horizontal="center"/>
    </xf>
    <xf numFmtId="0" fontId="237" fillId="0" borderId="73" xfId="0" applyFont="1" applyFill="1" applyBorder="1" applyAlignment="1" applyProtection="1">
      <alignment horizontal="center"/>
      <protection locked="0"/>
    </xf>
    <xf numFmtId="184" fontId="238" fillId="0" borderId="0" xfId="0" applyNumberFormat="1" applyFont="1" applyFill="1" applyBorder="1" applyAlignment="1" applyProtection="1">
      <alignment horizontal="center" vertical="center"/>
    </xf>
    <xf numFmtId="2" fontId="239" fillId="0" borderId="112" xfId="0" applyNumberFormat="1" applyFont="1" applyFill="1" applyBorder="1" applyAlignment="1" applyProtection="1">
      <alignment horizontal="center"/>
    </xf>
    <xf numFmtId="2" fontId="240" fillId="0" borderId="112" xfId="0" applyNumberFormat="1" applyFont="1" applyFill="1" applyBorder="1" applyAlignment="1" applyProtection="1">
      <alignment horizontal="center"/>
    </xf>
    <xf numFmtId="0" fontId="0" fillId="0" borderId="172" xfId="0" applyBorder="1"/>
    <xf numFmtId="167" fontId="0" fillId="0" borderId="172" xfId="0" applyNumberFormat="1" applyBorder="1"/>
    <xf numFmtId="1" fontId="0" fillId="0" borderId="172" xfId="0" applyNumberFormat="1" applyBorder="1"/>
    <xf numFmtId="0" fontId="0" fillId="0" borderId="172" xfId="0" applyBorder="1" applyAlignment="1">
      <alignment horizontal="center"/>
    </xf>
    <xf numFmtId="0" fontId="62" fillId="0" borderId="172" xfId="0" applyFont="1" applyFill="1" applyBorder="1" applyAlignment="1">
      <alignment horizontal="center"/>
    </xf>
    <xf numFmtId="2" fontId="187" fillId="0" borderId="172" xfId="0" applyNumberFormat="1" applyFont="1" applyBorder="1"/>
    <xf numFmtId="0" fontId="7" fillId="0" borderId="172" xfId="0" applyFont="1" applyBorder="1" applyAlignment="1">
      <alignment horizontal="center"/>
    </xf>
    <xf numFmtId="0" fontId="0" fillId="0" borderId="173" xfId="0" applyBorder="1"/>
    <xf numFmtId="167" fontId="0" fillId="26" borderId="174" xfId="0" applyNumberFormat="1" applyFill="1" applyBorder="1"/>
    <xf numFmtId="0" fontId="0" fillId="26" borderId="175" xfId="0" applyFill="1" applyBorder="1"/>
    <xf numFmtId="0" fontId="0" fillId="26" borderId="176" xfId="0" applyFill="1" applyBorder="1" applyAlignment="1">
      <alignment horizontal="center"/>
    </xf>
    <xf numFmtId="167" fontId="0" fillId="0" borderId="177" xfId="0" applyNumberFormat="1" applyBorder="1"/>
    <xf numFmtId="0" fontId="0" fillId="0" borderId="178" xfId="0" applyBorder="1" applyAlignment="1">
      <alignment horizontal="center"/>
    </xf>
    <xf numFmtId="0" fontId="225" fillId="0" borderId="177" xfId="0" applyFont="1" applyBorder="1"/>
    <xf numFmtId="0" fontId="0" fillId="26" borderId="179" xfId="0" applyFill="1" applyBorder="1"/>
    <xf numFmtId="0" fontId="0" fillId="26" borderId="180" xfId="0" applyFill="1" applyBorder="1"/>
    <xf numFmtId="0" fontId="0" fillId="26" borderId="181" xfId="0" applyFill="1" applyBorder="1" applyAlignment="1">
      <alignment horizontal="center"/>
    </xf>
    <xf numFmtId="165" fontId="226" fillId="0" borderId="172" xfId="0" applyNumberFormat="1" applyFont="1" applyBorder="1" applyAlignment="1">
      <alignment horizontal="center"/>
    </xf>
    <xf numFmtId="0" fontId="225" fillId="0" borderId="182" xfId="0" applyFont="1" applyBorder="1" applyAlignment="1">
      <alignment horizontal="center"/>
    </xf>
    <xf numFmtId="0" fontId="225" fillId="0" borderId="183" xfId="0" applyFont="1" applyBorder="1" applyAlignment="1">
      <alignment horizontal="center"/>
    </xf>
    <xf numFmtId="0" fontId="2" fillId="0" borderId="183" xfId="0" applyFont="1" applyBorder="1"/>
    <xf numFmtId="0" fontId="0" fillId="0" borderId="183" xfId="0" applyBorder="1" applyAlignment="1">
      <alignment horizontal="center"/>
    </xf>
    <xf numFmtId="0" fontId="0" fillId="0" borderId="184" xfId="0" applyBorder="1" applyAlignment="1">
      <alignment horizontal="center"/>
    </xf>
    <xf numFmtId="165" fontId="0" fillId="0" borderId="172" xfId="0" applyNumberFormat="1" applyBorder="1"/>
    <xf numFmtId="167" fontId="52" fillId="0" borderId="172" xfId="0" applyNumberFormat="1" applyFont="1" applyBorder="1"/>
    <xf numFmtId="0" fontId="225" fillId="0" borderId="183" xfId="0" applyFont="1" applyBorder="1"/>
    <xf numFmtId="0" fontId="0" fillId="26" borderId="144" xfId="0" applyFill="1" applyBorder="1" applyAlignment="1">
      <alignment horizontal="center"/>
    </xf>
    <xf numFmtId="0" fontId="0" fillId="26" borderId="144" xfId="0" applyFill="1" applyBorder="1"/>
    <xf numFmtId="0" fontId="0" fillId="26" borderId="137" xfId="0" applyFill="1" applyBorder="1"/>
    <xf numFmtId="0" fontId="7" fillId="26" borderId="128" xfId="0" applyFont="1" applyFill="1" applyBorder="1"/>
    <xf numFmtId="0" fontId="7" fillId="26" borderId="131" xfId="0" applyFont="1" applyFill="1" applyBorder="1"/>
    <xf numFmtId="0" fontId="7" fillId="26" borderId="135" xfId="0" applyFont="1" applyFill="1" applyBorder="1"/>
    <xf numFmtId="0" fontId="227" fillId="30" borderId="0" xfId="0" applyFont="1" applyFill="1" applyBorder="1" applyAlignment="1">
      <alignment horizontal="right"/>
    </xf>
    <xf numFmtId="0" fontId="7" fillId="19" borderId="127" xfId="0" applyFont="1" applyFill="1" applyBorder="1"/>
    <xf numFmtId="0" fontId="7" fillId="19" borderId="0" xfId="0" applyFont="1" applyFill="1" applyBorder="1"/>
    <xf numFmtId="0" fontId="7" fillId="19" borderId="137" xfId="0" applyFont="1" applyFill="1" applyBorder="1"/>
    <xf numFmtId="0" fontId="7" fillId="19" borderId="134" xfId="0" applyFont="1" applyFill="1" applyBorder="1"/>
    <xf numFmtId="0" fontId="0" fillId="19" borderId="137" xfId="0" applyFill="1" applyBorder="1"/>
    <xf numFmtId="0" fontId="0" fillId="19" borderId="144" xfId="0" applyFill="1" applyBorder="1"/>
    <xf numFmtId="0" fontId="172" fillId="30" borderId="0" xfId="0" applyFont="1" applyFill="1" applyBorder="1" applyAlignment="1">
      <alignment horizontal="right"/>
    </xf>
    <xf numFmtId="0" fontId="27" fillId="22" borderId="90" xfId="0" applyFont="1" applyFill="1" applyBorder="1" applyAlignment="1">
      <alignment horizontal="center"/>
    </xf>
    <xf numFmtId="0" fontId="27" fillId="22" borderId="90" xfId="0" applyFont="1" applyFill="1" applyBorder="1"/>
    <xf numFmtId="0" fontId="28" fillId="23" borderId="90" xfId="0" applyFont="1" applyFill="1" applyBorder="1" applyAlignment="1">
      <alignment horizontal="center"/>
    </xf>
    <xf numFmtId="186" fontId="164" fillId="0" borderId="101" xfId="0" applyNumberFormat="1" applyFont="1" applyBorder="1" applyAlignment="1">
      <alignment vertical="center"/>
    </xf>
    <xf numFmtId="0" fontId="27" fillId="0" borderId="185" xfId="0" applyFont="1" applyBorder="1" applyAlignment="1">
      <alignment horizontal="center" vertical="center"/>
    </xf>
    <xf numFmtId="2" fontId="26" fillId="0" borderId="186" xfId="0" applyNumberFormat="1" applyFont="1" applyFill="1" applyBorder="1" applyAlignment="1">
      <alignment horizontal="center"/>
    </xf>
    <xf numFmtId="0" fontId="27" fillId="0" borderId="187" xfId="0" applyFont="1" applyBorder="1" applyAlignment="1">
      <alignment horizontal="center" vertical="center"/>
    </xf>
    <xf numFmtId="2" fontId="26" fillId="0" borderId="188" xfId="0" applyNumberFormat="1" applyFont="1" applyFill="1" applyBorder="1" applyAlignment="1">
      <alignment horizontal="center"/>
    </xf>
    <xf numFmtId="2" fontId="0" fillId="19" borderId="137" xfId="0" applyNumberFormat="1" applyFill="1" applyBorder="1"/>
    <xf numFmtId="0" fontId="243" fillId="0" borderId="0" xfId="0" applyFont="1"/>
    <xf numFmtId="0" fontId="151" fillId="0" borderId="0" xfId="0" applyFont="1" applyAlignment="1">
      <alignment horizontal="right"/>
    </xf>
    <xf numFmtId="0" fontId="153" fillId="0" borderId="0" xfId="0" applyNumberFormat="1" applyFont="1" applyFill="1" applyAlignment="1">
      <alignment horizontal="right"/>
    </xf>
    <xf numFmtId="0" fontId="26" fillId="19" borderId="72" xfId="0" applyFont="1" applyFill="1" applyBorder="1" applyProtection="1">
      <protection locked="0"/>
    </xf>
    <xf numFmtId="0" fontId="26" fillId="19" borderId="72" xfId="0" applyFont="1" applyFill="1" applyBorder="1"/>
    <xf numFmtId="0" fontId="90" fillId="0" borderId="58" xfId="0" applyFont="1" applyBorder="1"/>
    <xf numFmtId="0" fontId="26" fillId="0" borderId="0" xfId="0" applyFont="1" applyAlignment="1">
      <alignment horizontal="left" vertical="center"/>
    </xf>
    <xf numFmtId="0" fontId="28" fillId="19" borderId="189" xfId="0" applyFont="1" applyFill="1" applyBorder="1" applyAlignment="1" applyProtection="1">
      <alignment horizontal="center"/>
      <protection locked="0"/>
    </xf>
    <xf numFmtId="0" fontId="28" fillId="19" borderId="190" xfId="0" applyFont="1" applyFill="1" applyBorder="1" applyAlignment="1" applyProtection="1">
      <alignment horizontal="center"/>
      <protection locked="0"/>
    </xf>
    <xf numFmtId="0" fontId="26" fillId="26" borderId="1" xfId="0" applyFont="1" applyFill="1" applyBorder="1" applyAlignment="1">
      <alignment horizontal="left" vertical="center"/>
    </xf>
    <xf numFmtId="0" fontId="2" fillId="26" borderId="1" xfId="0" applyFont="1" applyFill="1" applyBorder="1"/>
    <xf numFmtId="0" fontId="26" fillId="26" borderId="1" xfId="0" applyFont="1" applyFill="1" applyBorder="1" applyAlignment="1">
      <alignment horizontal="center" vertical="center"/>
    </xf>
    <xf numFmtId="0" fontId="3" fillId="0" borderId="0" xfId="0" applyFont="1"/>
    <xf numFmtId="167" fontId="71" fillId="0" borderId="0" xfId="0" applyNumberFormat="1" applyFont="1"/>
    <xf numFmtId="0" fontId="169" fillId="26" borderId="1" xfId="0" applyNumberFormat="1" applyFont="1" applyFill="1" applyBorder="1" applyAlignment="1">
      <alignment horizontal="center"/>
    </xf>
    <xf numFmtId="0" fontId="104" fillId="0" borderId="0" xfId="0" applyFont="1"/>
    <xf numFmtId="0" fontId="176" fillId="21" borderId="1" xfId="0" applyFont="1" applyFill="1" applyBorder="1"/>
    <xf numFmtId="0" fontId="244" fillId="0" borderId="0" xfId="0" applyFont="1" applyAlignment="1">
      <alignment horizontal="center"/>
    </xf>
    <xf numFmtId="0" fontId="151" fillId="0" borderId="57" xfId="0" applyFont="1" applyFill="1" applyBorder="1" applyAlignment="1">
      <alignment horizontal="center"/>
    </xf>
    <xf numFmtId="0" fontId="151" fillId="0" borderId="58" xfId="0" applyFont="1" applyFill="1" applyBorder="1" applyAlignment="1">
      <alignment horizontal="center"/>
    </xf>
    <xf numFmtId="0" fontId="2" fillId="0" borderId="58" xfId="0" applyFont="1" applyBorder="1"/>
    <xf numFmtId="0" fontId="2" fillId="0" borderId="59" xfId="0" applyFont="1" applyBorder="1"/>
    <xf numFmtId="0" fontId="151" fillId="0" borderId="6" xfId="0" applyFont="1" applyFill="1" applyBorder="1" applyAlignment="1">
      <alignment horizontal="center"/>
    </xf>
    <xf numFmtId="0" fontId="0" fillId="0" borderId="17" xfId="0" applyBorder="1"/>
    <xf numFmtId="0" fontId="2" fillId="21" borderId="1" xfId="0" applyFont="1" applyFill="1" applyBorder="1" applyAlignment="1">
      <alignment horizontal="center"/>
    </xf>
    <xf numFmtId="0" fontId="2" fillId="26" borderId="1" xfId="0" applyFont="1" applyFill="1" applyBorder="1" applyAlignment="1">
      <alignment horizontal="center"/>
    </xf>
    <xf numFmtId="2" fontId="245" fillId="0" borderId="0" xfId="0" applyNumberFormat="1" applyFont="1" applyAlignment="1">
      <alignment horizontal="center"/>
    </xf>
    <xf numFmtId="0" fontId="246" fillId="0" borderId="0" xfId="0" applyFont="1" applyAlignment="1">
      <alignment horizontal="left" vertical="center"/>
    </xf>
    <xf numFmtId="0" fontId="246" fillId="19" borderId="99" xfId="0" applyFont="1" applyFill="1" applyBorder="1" applyAlignment="1" applyProtection="1">
      <alignment horizontal="left" vertical="center"/>
      <protection locked="0"/>
    </xf>
    <xf numFmtId="0" fontId="92" fillId="0" borderId="57" xfId="0" applyNumberFormat="1" applyFont="1" applyFill="1" applyBorder="1" applyAlignment="1">
      <alignment horizontal="left"/>
    </xf>
    <xf numFmtId="0" fontId="92" fillId="0" borderId="191" xfId="0" applyNumberFormat="1" applyFont="1" applyFill="1" applyBorder="1" applyAlignment="1">
      <alignment horizontal="center"/>
    </xf>
    <xf numFmtId="0" fontId="92" fillId="0" borderId="59" xfId="0" applyNumberFormat="1" applyFont="1" applyFill="1" applyBorder="1" applyAlignment="1">
      <alignment horizontal="center"/>
    </xf>
    <xf numFmtId="0" fontId="92" fillId="0" borderId="6" xfId="0" applyNumberFormat="1" applyFont="1" applyFill="1" applyBorder="1" applyAlignment="1">
      <alignment horizontal="left"/>
    </xf>
    <xf numFmtId="0" fontId="92" fillId="0" borderId="16" xfId="0" applyNumberFormat="1" applyFont="1" applyFill="1" applyBorder="1" applyAlignment="1">
      <alignment horizontal="center"/>
    </xf>
    <xf numFmtId="0" fontId="96" fillId="0" borderId="57" xfId="0" applyFont="1" applyBorder="1"/>
    <xf numFmtId="0" fontId="90" fillId="0" borderId="59" xfId="0" applyFont="1" applyBorder="1"/>
    <xf numFmtId="0" fontId="96" fillId="0" borderId="13" xfId="0" applyFont="1" applyBorder="1"/>
    <xf numFmtId="0" fontId="90" fillId="0" borderId="15" xfId="0" applyFont="1" applyBorder="1"/>
    <xf numFmtId="0" fontId="92" fillId="26" borderId="0" xfId="0" applyNumberFormat="1" applyFont="1" applyFill="1" applyBorder="1" applyAlignment="1">
      <alignment horizontal="center"/>
    </xf>
    <xf numFmtId="0" fontId="90" fillId="26" borderId="0" xfId="0" applyFont="1" applyFill="1"/>
    <xf numFmtId="0" fontId="30" fillId="26" borderId="0" xfId="0" applyFont="1" applyFill="1"/>
    <xf numFmtId="0" fontId="151" fillId="26" borderId="0" xfId="0" applyFont="1" applyFill="1"/>
    <xf numFmtId="0" fontId="26" fillId="26" borderId="0" xfId="0" applyFont="1" applyFill="1"/>
    <xf numFmtId="0" fontId="92" fillId="0" borderId="63" xfId="0" applyNumberFormat="1" applyFont="1" applyFill="1" applyBorder="1" applyAlignment="1">
      <alignment horizontal="center"/>
    </xf>
    <xf numFmtId="0" fontId="92" fillId="0" borderId="64" xfId="0" applyNumberFormat="1" applyFont="1" applyFill="1" applyBorder="1" applyAlignment="1">
      <alignment horizontal="center"/>
    </xf>
    <xf numFmtId="0" fontId="92" fillId="0" borderId="19" xfId="0" applyNumberFormat="1" applyFont="1" applyFill="1" applyBorder="1" applyAlignment="1">
      <alignment horizontal="center"/>
    </xf>
    <xf numFmtId="0" fontId="26" fillId="0" borderId="1" xfId="0" applyFont="1" applyBorder="1" applyAlignment="1">
      <alignment horizontal="left" vertical="center"/>
    </xf>
    <xf numFmtId="0" fontId="28" fillId="19" borderId="192" xfId="0" applyFont="1" applyFill="1" applyBorder="1" applyAlignment="1" applyProtection="1">
      <alignment horizontal="center"/>
      <protection locked="0"/>
    </xf>
    <xf numFmtId="0" fontId="28" fillId="19" borderId="193" xfId="0" applyFont="1" applyFill="1" applyBorder="1" applyAlignment="1" applyProtection="1">
      <alignment horizontal="center"/>
      <protection locked="0"/>
    </xf>
    <xf numFmtId="0" fontId="3" fillId="0" borderId="1" xfId="0" applyFont="1" applyBorder="1"/>
    <xf numFmtId="167" fontId="71" fillId="0" borderId="1" xfId="0" applyNumberFormat="1" applyFont="1" applyBorder="1"/>
    <xf numFmtId="0" fontId="0" fillId="15" borderId="0" xfId="0" applyFill="1" applyProtection="1">
      <protection locked="0"/>
    </xf>
    <xf numFmtId="165" fontId="189" fillId="19" borderId="99" xfId="0" applyNumberFormat="1" applyFont="1" applyFill="1" applyBorder="1" applyAlignment="1" applyProtection="1">
      <alignment horizontal="center"/>
      <protection locked="0"/>
    </xf>
    <xf numFmtId="2" fontId="247" fillId="0" borderId="0" xfId="0" applyNumberFormat="1" applyFont="1" applyAlignment="1">
      <alignment horizontal="center"/>
    </xf>
    <xf numFmtId="0" fontId="104" fillId="19" borderId="99" xfId="0" applyFont="1" applyFill="1" applyBorder="1" applyAlignment="1" applyProtection="1">
      <alignment horizontal="center"/>
      <protection locked="0"/>
    </xf>
    <xf numFmtId="187" fontId="237" fillId="0" borderId="94" xfId="0" applyNumberFormat="1" applyFont="1" applyFill="1" applyBorder="1" applyAlignment="1" applyProtection="1">
      <alignment horizontal="center" vertical="center"/>
    </xf>
    <xf numFmtId="187" fontId="224" fillId="0" borderId="94" xfId="0" applyNumberFormat="1" applyFont="1" applyFill="1" applyBorder="1" applyAlignment="1" applyProtection="1">
      <alignment horizontal="center" vertical="center"/>
    </xf>
    <xf numFmtId="0" fontId="28" fillId="37" borderId="116" xfId="0" applyFont="1" applyFill="1" applyBorder="1" applyAlignment="1">
      <alignment horizontal="center"/>
    </xf>
    <xf numFmtId="0" fontId="33" fillId="37" borderId="117" xfId="0" applyFont="1" applyFill="1" applyBorder="1" applyAlignment="1">
      <alignment horizontal="center" vertical="center"/>
    </xf>
    <xf numFmtId="0" fontId="219" fillId="37" borderId="118" xfId="0" applyFont="1" applyFill="1" applyBorder="1" applyAlignment="1">
      <alignment horizontal="center"/>
    </xf>
    <xf numFmtId="0" fontId="213" fillId="37" borderId="119" xfId="0" applyFont="1" applyFill="1" applyBorder="1" applyAlignment="1">
      <alignment horizontal="center"/>
    </xf>
    <xf numFmtId="0" fontId="28" fillId="21" borderId="57" xfId="0" applyFont="1" applyFill="1" applyBorder="1"/>
    <xf numFmtId="0" fontId="26" fillId="0" borderId="58" xfId="0" applyFont="1" applyBorder="1" applyAlignment="1">
      <alignment horizontal="center"/>
    </xf>
    <xf numFmtId="0" fontId="26" fillId="21" borderId="0" xfId="0" applyFont="1" applyFill="1" applyBorder="1"/>
    <xf numFmtId="167" fontId="42" fillId="0" borderId="1" xfId="0" applyNumberFormat="1" applyFont="1" applyBorder="1" applyAlignment="1">
      <alignment horizontal="center"/>
    </xf>
    <xf numFmtId="0" fontId="26" fillId="0" borderId="1" xfId="0" applyFont="1" applyFill="1" applyBorder="1" applyAlignment="1">
      <alignment horizontal="center"/>
    </xf>
    <xf numFmtId="165" fontId="26" fillId="21" borderId="0" xfId="0" applyNumberFormat="1" applyFont="1" applyFill="1" applyBorder="1"/>
    <xf numFmtId="0" fontId="26" fillId="27" borderId="0" xfId="0" applyFont="1" applyFill="1"/>
    <xf numFmtId="0" fontId="26" fillId="27" borderId="0" xfId="0" applyFont="1" applyFill="1" applyBorder="1"/>
    <xf numFmtId="0" fontId="26" fillId="17" borderId="69" xfId="0" applyFont="1" applyFill="1" applyBorder="1" applyAlignment="1">
      <alignment horizontal="center"/>
    </xf>
    <xf numFmtId="0" fontId="207" fillId="0" borderId="0" xfId="0" applyFont="1"/>
    <xf numFmtId="178" fontId="28" fillId="0" borderId="0" xfId="0" applyNumberFormat="1" applyFont="1" applyFill="1" applyBorder="1" applyAlignment="1" applyProtection="1">
      <alignment horizontal="center"/>
    </xf>
    <xf numFmtId="187" fontId="79" fillId="19" borderId="97" xfId="0" applyNumberFormat="1" applyFont="1" applyFill="1" applyBorder="1" applyAlignment="1" applyProtection="1">
      <alignment horizontal="center"/>
      <protection locked="0"/>
    </xf>
    <xf numFmtId="14" fontId="0" fillId="0" borderId="0" xfId="0" applyNumberFormat="1"/>
    <xf numFmtId="0" fontId="248" fillId="0" borderId="178" xfId="0" applyFont="1" applyBorder="1" applyAlignment="1">
      <alignment horizontal="center"/>
    </xf>
    <xf numFmtId="0" fontId="28" fillId="0" borderId="194" xfId="0" applyFont="1" applyFill="1" applyBorder="1" applyProtection="1"/>
    <xf numFmtId="0" fontId="62" fillId="0" borderId="195" xfId="0" applyFont="1" applyFill="1" applyBorder="1" applyAlignment="1" applyProtection="1">
      <alignment horizontal="center"/>
    </xf>
    <xf numFmtId="0" fontId="35" fillId="0" borderId="195" xfId="0" applyFont="1" applyFill="1" applyBorder="1" applyAlignment="1" applyProtection="1">
      <alignment horizontal="center"/>
    </xf>
    <xf numFmtId="0" fontId="98" fillId="0" borderId="195" xfId="0" applyFont="1" applyFill="1" applyBorder="1" applyAlignment="1" applyProtection="1">
      <alignment horizontal="center"/>
    </xf>
    <xf numFmtId="0" fontId="62" fillId="0" borderId="58" xfId="0" applyFont="1" applyFill="1" applyBorder="1" applyAlignment="1" applyProtection="1">
      <alignment horizontal="center"/>
    </xf>
    <xf numFmtId="0" fontId="28" fillId="0" borderId="58" xfId="0" applyFont="1" applyFill="1" applyBorder="1" applyAlignment="1" applyProtection="1">
      <alignment horizontal="center"/>
    </xf>
    <xf numFmtId="0" fontId="225" fillId="0" borderId="0" xfId="0" applyFont="1" applyFill="1" applyBorder="1" applyAlignment="1">
      <alignment horizontal="right"/>
    </xf>
    <xf numFmtId="165" fontId="231" fillId="0" borderId="124" xfId="0" applyNumberFormat="1" applyFont="1" applyBorder="1"/>
    <xf numFmtId="165" fontId="26" fillId="0" borderId="149" xfId="0" applyNumberFormat="1" applyFont="1" applyBorder="1"/>
    <xf numFmtId="14" fontId="33" fillId="0" borderId="0" xfId="0" applyNumberFormat="1" applyFont="1"/>
    <xf numFmtId="0" fontId="249" fillId="0" borderId="0" xfId="0" applyFont="1"/>
    <xf numFmtId="0" fontId="30" fillId="18" borderId="0" xfId="0" applyFont="1" applyFill="1" applyBorder="1"/>
    <xf numFmtId="14" fontId="30" fillId="18" borderId="0" xfId="0" applyNumberFormat="1" applyFont="1" applyFill="1" applyBorder="1"/>
    <xf numFmtId="0" fontId="30" fillId="18" borderId="74" xfId="0" applyFont="1" applyFill="1" applyBorder="1"/>
    <xf numFmtId="187" fontId="28" fillId="19" borderId="112" xfId="0" applyNumberFormat="1" applyFont="1" applyFill="1" applyBorder="1" applyAlignment="1" applyProtection="1">
      <alignment horizontal="center"/>
      <protection locked="0"/>
    </xf>
    <xf numFmtId="14" fontId="26" fillId="0" borderId="0" xfId="0" applyNumberFormat="1" applyFont="1" applyProtection="1">
      <protection locked="0"/>
    </xf>
    <xf numFmtId="14" fontId="26" fillId="0" borderId="72" xfId="0" applyNumberFormat="1" applyFont="1" applyBorder="1" applyProtection="1">
      <protection locked="0"/>
    </xf>
    <xf numFmtId="0" fontId="12" fillId="0" borderId="13" xfId="0" applyFont="1" applyBorder="1" applyAlignment="1">
      <alignment horizontal="center"/>
    </xf>
    <xf numFmtId="0" fontId="12" fillId="0" borderId="14" xfId="0" applyFont="1" applyBorder="1" applyAlignment="1">
      <alignment horizontal="center"/>
    </xf>
    <xf numFmtId="0" fontId="12" fillId="0" borderId="15" xfId="0" applyFont="1" applyBorder="1" applyAlignment="1">
      <alignment horizontal="center"/>
    </xf>
    <xf numFmtId="0" fontId="0" fillId="0" borderId="23" xfId="0" applyBorder="1" applyAlignment="1">
      <alignment horizontal="center"/>
    </xf>
    <xf numFmtId="0" fontId="47" fillId="0" borderId="37" xfId="0" applyNumberFormat="1" applyFont="1" applyBorder="1" applyAlignment="1">
      <alignment horizontal="center" textRotation="90"/>
    </xf>
    <xf numFmtId="0" fontId="47" fillId="0" borderId="52" xfId="0" applyNumberFormat="1" applyFont="1" applyBorder="1" applyAlignment="1">
      <alignment horizontal="center" textRotation="90"/>
    </xf>
    <xf numFmtId="0" fontId="45" fillId="0" borderId="67" xfId="0" applyNumberFormat="1" applyFont="1" applyBorder="1" applyAlignment="1">
      <alignment horizontal="center"/>
    </xf>
    <xf numFmtId="0" fontId="45" fillId="0" borderId="35" xfId="0" applyNumberFormat="1" applyFont="1" applyBorder="1" applyAlignment="1">
      <alignment horizontal="center"/>
    </xf>
    <xf numFmtId="0" fontId="45" fillId="0" borderId="36" xfId="0" applyNumberFormat="1" applyFont="1" applyBorder="1" applyAlignment="1">
      <alignment horizontal="center"/>
    </xf>
    <xf numFmtId="0" fontId="47" fillId="0" borderId="68" xfId="0" applyNumberFormat="1" applyFont="1" applyBorder="1" applyAlignment="1">
      <alignment horizontal="center" textRotation="90"/>
    </xf>
    <xf numFmtId="0" fontId="47" fillId="0" borderId="54" xfId="0" applyNumberFormat="1" applyFont="1" applyBorder="1" applyAlignment="1">
      <alignment horizontal="center" textRotation="90"/>
    </xf>
  </cellXfs>
  <cellStyles count="2">
    <cellStyle name="Millares" xfId="1" builtinId="3"/>
    <cellStyle name="Normal" xfId="0" builtinId="0"/>
  </cellStyles>
  <dxfs count="37">
    <dxf>
      <fill>
        <patternFill>
          <bgColor indexed="50"/>
        </patternFill>
      </fill>
    </dxf>
    <dxf>
      <fill>
        <patternFill>
          <bgColor indexed="10"/>
        </patternFill>
      </fill>
    </dxf>
    <dxf>
      <font>
        <condense val="0"/>
        <extend val="0"/>
        <color rgb="FF9C0006"/>
      </font>
      <fill>
        <patternFill>
          <bgColor rgb="FFFFC7CE"/>
        </patternFill>
      </fill>
    </dxf>
    <dxf>
      <font>
        <condense val="0"/>
        <extend val="0"/>
        <color rgb="FF9C0006"/>
      </font>
      <fill>
        <patternFill>
          <bgColor rgb="FFFFC7CE"/>
        </patternFill>
      </fill>
    </dxf>
    <dxf>
      <font>
        <b val="0"/>
        <i val="0"/>
        <strike val="0"/>
        <condense val="0"/>
        <extend val="0"/>
        <outline val="0"/>
        <shadow val="0"/>
        <u val="none"/>
        <vertAlign val="baseline"/>
        <sz val="10"/>
        <color auto="1"/>
        <name val="Times New Roman"/>
        <scheme val="none"/>
      </font>
    </dxf>
    <dxf>
      <font>
        <b val="0"/>
        <i val="0"/>
        <strike val="0"/>
        <condense val="0"/>
        <extend val="0"/>
        <outline val="0"/>
        <shadow val="0"/>
        <u val="none"/>
        <vertAlign val="baseline"/>
        <sz val="10"/>
        <color auto="1"/>
        <name val="Times New Roman"/>
        <scheme val="none"/>
      </font>
    </dxf>
    <dxf>
      <font>
        <b val="0"/>
        <i val="0"/>
        <strike val="0"/>
        <condense val="0"/>
        <extend val="0"/>
        <outline val="0"/>
        <shadow val="0"/>
        <u val="none"/>
        <vertAlign val="baseline"/>
        <sz val="10"/>
        <color auto="1"/>
        <name val="Times New Roman"/>
        <scheme val="none"/>
      </font>
    </dxf>
    <dxf>
      <font>
        <b val="0"/>
        <i val="0"/>
        <strike val="0"/>
        <condense val="0"/>
        <extend val="0"/>
        <outline val="0"/>
        <shadow val="0"/>
        <u val="none"/>
        <vertAlign val="baseline"/>
        <sz val="10"/>
        <color auto="1"/>
        <name val="Times New Roman"/>
        <scheme val="none"/>
      </font>
    </dxf>
    <dxf>
      <font>
        <b val="0"/>
        <i val="0"/>
        <strike val="0"/>
        <condense val="0"/>
        <extend val="0"/>
        <outline val="0"/>
        <shadow val="0"/>
        <u val="none"/>
        <vertAlign val="baseline"/>
        <sz val="10"/>
        <color auto="1"/>
        <name val="Times New Roman"/>
        <scheme val="none"/>
      </font>
    </dxf>
    <dxf>
      <font>
        <b val="0"/>
        <i val="0"/>
        <strike val="0"/>
        <condense val="0"/>
        <extend val="0"/>
        <outline val="0"/>
        <shadow val="0"/>
        <u val="none"/>
        <vertAlign val="baseline"/>
        <sz val="10"/>
        <color auto="1"/>
        <name val="Times New Roman"/>
        <scheme val="none"/>
      </font>
    </dxf>
    <dxf>
      <font>
        <b val="0"/>
        <i val="0"/>
        <strike val="0"/>
        <condense val="0"/>
        <extend val="0"/>
        <outline val="0"/>
        <shadow val="0"/>
        <u val="none"/>
        <vertAlign val="baseline"/>
        <sz val="10"/>
        <color auto="1"/>
        <name val="Times New Roman"/>
        <scheme val="none"/>
      </font>
    </dxf>
    <dxf>
      <font>
        <color rgb="FF9C0006"/>
      </font>
      <fill>
        <patternFill>
          <bgColor rgb="FFFFC7CE"/>
        </patternFill>
      </fill>
    </dxf>
    <dxf>
      <font>
        <color rgb="FF9C0006"/>
      </font>
      <fill>
        <patternFill>
          <bgColor rgb="FFFFC7CE"/>
        </patternFill>
      </fill>
    </dxf>
    <dxf>
      <font>
        <color rgb="FF9C0006"/>
      </font>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ndense val="0"/>
        <extend val="0"/>
        <color rgb="FF006100"/>
      </font>
      <fill>
        <patternFill>
          <bgColor rgb="FFC6EFCE"/>
        </patternFill>
      </fill>
    </dxf>
    <dxf>
      <font>
        <condense val="0"/>
        <extend val="0"/>
        <color rgb="FF006100"/>
      </font>
      <fill>
        <patternFill>
          <bgColor rgb="FFC6EFCE"/>
        </patternFill>
      </fill>
    </dxf>
    <dxf>
      <font>
        <color rgb="FF9C0006"/>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dxf>
    <dxf>
      <font>
        <color rgb="FF9C0006"/>
      </font>
    </dxf>
    <dxf>
      <font>
        <color rgb="FF006100"/>
      </font>
      <fill>
        <patternFill>
          <bgColor rgb="FFC6EFCE"/>
        </patternFill>
      </fill>
    </dxf>
    <dxf>
      <font>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ill>
        <patternFill>
          <bgColor indexed="50"/>
        </patternFill>
      </fill>
    </dxf>
    <dxf>
      <fill>
        <patternFill>
          <bgColor indexed="10"/>
        </patternFill>
      </fill>
    </dxf>
  </dxfs>
  <tableStyles count="0" defaultTableStyle="TableStyleMedium9" defaultPivotStyle="PivotStyleLight16"/>
  <colors>
    <mruColors>
      <color rgb="FFF3FAFF"/>
      <color rgb="FFCAEFFA"/>
      <color rgb="FFE5DAB5"/>
      <color rgb="FFCCECFF"/>
      <color rgb="FF79390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400"/>
              <a:t>Diversos criterios de interacción </a:t>
            </a:r>
          </a:p>
          <a:p>
            <a:pPr>
              <a:defRPr/>
            </a:pPr>
            <a:r>
              <a:rPr lang="en-US" sz="1200" b="1" i="1"/>
              <a:t>Ned</a:t>
            </a:r>
            <a:r>
              <a:rPr lang="en-US" sz="1200" b="0" i="0"/>
              <a:t> variable,</a:t>
            </a:r>
            <a:r>
              <a:rPr lang="en-US" sz="1200" b="0" i="0" baseline="0"/>
              <a:t> </a:t>
            </a:r>
            <a:r>
              <a:rPr lang="en-US" sz="1200" b="1" i="1" u="none" strike="noStrike" kern="1200" baseline="0">
                <a:solidFill>
                  <a:sysClr val="windowText" lastClr="000000"/>
                </a:solidFill>
                <a:latin typeface="+mn-lt"/>
                <a:ea typeface="+mn-ea"/>
                <a:cs typeface="+mn-cs"/>
              </a:rPr>
              <a:t>My</a:t>
            </a:r>
            <a:r>
              <a:rPr lang="en-US" sz="1200" b="0" i="0"/>
              <a:t>=20 y </a:t>
            </a:r>
            <a:r>
              <a:rPr lang="en-US" sz="1200" b="1" i="1" u="none" strike="noStrike" kern="1200" baseline="0">
                <a:solidFill>
                  <a:sysClr val="windowText" lastClr="000000"/>
                </a:solidFill>
                <a:latin typeface="+mn-lt"/>
                <a:ea typeface="+mn-ea"/>
                <a:cs typeface="+mn-cs"/>
              </a:rPr>
              <a:t>Mz</a:t>
            </a:r>
            <a:r>
              <a:rPr lang="en-US" sz="1200" b="0" i="0"/>
              <a:t>= 5 kNm (IPE-200 S275)</a:t>
            </a:r>
          </a:p>
        </c:rich>
      </c:tx>
      <c:overlay val="0"/>
    </c:title>
    <c:autoTitleDeleted val="0"/>
    <c:plotArea>
      <c:layout/>
      <c:scatterChart>
        <c:scatterStyle val="smoothMarker"/>
        <c:varyColors val="0"/>
        <c:ser>
          <c:idx val="0"/>
          <c:order val="0"/>
          <c:tx>
            <c:strRef>
              <c:f>Hoja3!$G$4</c:f>
              <c:strCache>
                <c:ptCount val="1"/>
                <c:pt idx="0">
                  <c:v>inter EC3</c:v>
                </c:pt>
              </c:strCache>
            </c:strRef>
          </c:tx>
          <c:marker>
            <c:symbol val="none"/>
          </c:marker>
          <c:xVal>
            <c:numRef>
              <c:f>Hoja3!$A$5:$A$12</c:f>
              <c:numCache>
                <c:formatCode>General</c:formatCode>
                <c:ptCount val="8"/>
                <c:pt idx="0">
                  <c:v>100</c:v>
                </c:pt>
                <c:pt idx="1">
                  <c:v>200</c:v>
                </c:pt>
                <c:pt idx="2">
                  <c:v>300</c:v>
                </c:pt>
                <c:pt idx="3">
                  <c:v>350</c:v>
                </c:pt>
                <c:pt idx="4">
                  <c:v>373.2</c:v>
                </c:pt>
                <c:pt idx="5">
                  <c:v>400</c:v>
                </c:pt>
                <c:pt idx="6">
                  <c:v>500</c:v>
                </c:pt>
                <c:pt idx="7">
                  <c:v>524</c:v>
                </c:pt>
              </c:numCache>
            </c:numRef>
          </c:xVal>
          <c:yVal>
            <c:numRef>
              <c:f>Hoja3!$H$5:$H$12</c:f>
              <c:numCache>
                <c:formatCode>General</c:formatCode>
                <c:ptCount val="8"/>
                <c:pt idx="0">
                  <c:v>0.77</c:v>
                </c:pt>
                <c:pt idx="1">
                  <c:v>0.81</c:v>
                </c:pt>
                <c:pt idx="2">
                  <c:v>0.89</c:v>
                </c:pt>
                <c:pt idx="3">
                  <c:v>0.95</c:v>
                </c:pt>
                <c:pt idx="4">
                  <c:v>0.99</c:v>
                </c:pt>
                <c:pt idx="5">
                  <c:v>1.05</c:v>
                </c:pt>
                <c:pt idx="6">
                  <c:v>1.37</c:v>
                </c:pt>
                <c:pt idx="7">
                  <c:v>1.5</c:v>
                </c:pt>
              </c:numCache>
            </c:numRef>
          </c:yVal>
          <c:smooth val="1"/>
          <c:extLst>
            <c:ext xmlns:c16="http://schemas.microsoft.com/office/drawing/2014/chart" uri="{C3380CC4-5D6E-409C-BE32-E72D297353CC}">
              <c16:uniqueId val="{00000000-7C0F-4D52-87CE-92BF13EE3C29}"/>
            </c:ext>
          </c:extLst>
        </c:ser>
        <c:ser>
          <c:idx val="1"/>
          <c:order val="1"/>
          <c:tx>
            <c:strRef>
              <c:f>Hoja3!$H$4</c:f>
              <c:strCache>
                <c:ptCount val="1"/>
                <c:pt idx="0">
                  <c:v>Inter EC3*</c:v>
                </c:pt>
              </c:strCache>
            </c:strRef>
          </c:tx>
          <c:marker>
            <c:symbol val="none"/>
          </c:marker>
          <c:xVal>
            <c:numRef>
              <c:f>Hoja3!$A$5:$A$12</c:f>
              <c:numCache>
                <c:formatCode>General</c:formatCode>
                <c:ptCount val="8"/>
                <c:pt idx="0">
                  <c:v>100</c:v>
                </c:pt>
                <c:pt idx="1">
                  <c:v>200</c:v>
                </c:pt>
                <c:pt idx="2">
                  <c:v>300</c:v>
                </c:pt>
                <c:pt idx="3">
                  <c:v>350</c:v>
                </c:pt>
                <c:pt idx="4">
                  <c:v>373.2</c:v>
                </c:pt>
                <c:pt idx="5">
                  <c:v>400</c:v>
                </c:pt>
                <c:pt idx="6">
                  <c:v>500</c:v>
                </c:pt>
                <c:pt idx="7">
                  <c:v>524</c:v>
                </c:pt>
              </c:numCache>
            </c:numRef>
          </c:xVal>
          <c:yVal>
            <c:numRef>
              <c:f>Hoja3!$G$5:$G$12</c:f>
              <c:numCache>
                <c:formatCode>General</c:formatCode>
                <c:ptCount val="8"/>
                <c:pt idx="0">
                  <c:v>0.55000000000000004</c:v>
                </c:pt>
                <c:pt idx="1">
                  <c:v>0.46</c:v>
                </c:pt>
                <c:pt idx="2">
                  <c:v>0.4</c:v>
                </c:pt>
                <c:pt idx="3">
                  <c:v>0.41</c:v>
                </c:pt>
                <c:pt idx="4">
                  <c:v>0.43</c:v>
                </c:pt>
                <c:pt idx="5">
                  <c:v>0.47</c:v>
                </c:pt>
                <c:pt idx="6">
                  <c:v>0.82</c:v>
                </c:pt>
                <c:pt idx="7">
                  <c:v>1</c:v>
                </c:pt>
              </c:numCache>
            </c:numRef>
          </c:yVal>
          <c:smooth val="1"/>
          <c:extLst>
            <c:ext xmlns:c16="http://schemas.microsoft.com/office/drawing/2014/chart" uri="{C3380CC4-5D6E-409C-BE32-E72D297353CC}">
              <c16:uniqueId val="{00000001-7C0F-4D52-87CE-92BF13EE3C29}"/>
            </c:ext>
          </c:extLst>
        </c:ser>
        <c:ser>
          <c:idx val="2"/>
          <c:order val="2"/>
          <c:tx>
            <c:strRef>
              <c:f>Hoja3!$I$4</c:f>
              <c:strCache>
                <c:ptCount val="1"/>
                <c:pt idx="0">
                  <c:v>Inter CTE</c:v>
                </c:pt>
              </c:strCache>
            </c:strRef>
          </c:tx>
          <c:marker>
            <c:symbol val="none"/>
          </c:marker>
          <c:xVal>
            <c:numRef>
              <c:f>Hoja3!$A$5:$A$12</c:f>
              <c:numCache>
                <c:formatCode>General</c:formatCode>
                <c:ptCount val="8"/>
                <c:pt idx="0">
                  <c:v>100</c:v>
                </c:pt>
                <c:pt idx="1">
                  <c:v>200</c:v>
                </c:pt>
                <c:pt idx="2">
                  <c:v>300</c:v>
                </c:pt>
                <c:pt idx="3">
                  <c:v>350</c:v>
                </c:pt>
                <c:pt idx="4">
                  <c:v>373.2</c:v>
                </c:pt>
                <c:pt idx="5">
                  <c:v>400</c:v>
                </c:pt>
                <c:pt idx="6">
                  <c:v>500</c:v>
                </c:pt>
                <c:pt idx="7">
                  <c:v>524</c:v>
                </c:pt>
              </c:numCache>
            </c:numRef>
          </c:xVal>
          <c:yVal>
            <c:numRef>
              <c:f>Hoja3!$I$5:$I$12</c:f>
              <c:numCache>
                <c:formatCode>General</c:formatCode>
                <c:ptCount val="8"/>
                <c:pt idx="0">
                  <c:v>0.91</c:v>
                </c:pt>
                <c:pt idx="1">
                  <c:v>1.04</c:v>
                </c:pt>
                <c:pt idx="2">
                  <c:v>1.18</c:v>
                </c:pt>
                <c:pt idx="3">
                  <c:v>1.24</c:v>
                </c:pt>
                <c:pt idx="4">
                  <c:v>1.27</c:v>
                </c:pt>
                <c:pt idx="5">
                  <c:v>1.31</c:v>
                </c:pt>
                <c:pt idx="6">
                  <c:v>1.44</c:v>
                </c:pt>
                <c:pt idx="7">
                  <c:v>1.48</c:v>
                </c:pt>
              </c:numCache>
            </c:numRef>
          </c:yVal>
          <c:smooth val="1"/>
          <c:extLst>
            <c:ext xmlns:c16="http://schemas.microsoft.com/office/drawing/2014/chart" uri="{C3380CC4-5D6E-409C-BE32-E72D297353CC}">
              <c16:uniqueId val="{00000002-7C0F-4D52-87CE-92BF13EE3C29}"/>
            </c:ext>
          </c:extLst>
        </c:ser>
        <c:dLbls>
          <c:showLegendKey val="0"/>
          <c:showVal val="0"/>
          <c:showCatName val="0"/>
          <c:showSerName val="0"/>
          <c:showPercent val="0"/>
          <c:showBubbleSize val="0"/>
        </c:dLbls>
        <c:axId val="276054592"/>
        <c:axId val="276055168"/>
      </c:scatterChart>
      <c:valAx>
        <c:axId val="276054592"/>
        <c:scaling>
          <c:orientation val="minMax"/>
        </c:scaling>
        <c:delete val="0"/>
        <c:axPos val="b"/>
        <c:minorGridlines/>
        <c:title>
          <c:tx>
            <c:rich>
              <a:bodyPr/>
              <a:lstStyle/>
              <a:p>
                <a:pPr>
                  <a:defRPr/>
                </a:pPr>
                <a:r>
                  <a:rPr lang="en-US" i="1"/>
                  <a:t>Ned</a:t>
                </a:r>
                <a:r>
                  <a:rPr lang="en-US"/>
                  <a:t> (kN)</a:t>
                </a:r>
              </a:p>
            </c:rich>
          </c:tx>
          <c:overlay val="0"/>
        </c:title>
        <c:numFmt formatCode="General" sourceLinked="1"/>
        <c:majorTickMark val="none"/>
        <c:minorTickMark val="none"/>
        <c:tickLblPos val="nextTo"/>
        <c:txPr>
          <a:bodyPr rot="0" vert="horz"/>
          <a:lstStyle/>
          <a:p>
            <a:pPr>
              <a:defRPr sz="1000" b="0" i="0" u="none" strike="noStrike" baseline="0">
                <a:solidFill>
                  <a:srgbClr val="000000"/>
                </a:solidFill>
                <a:latin typeface="Calibri"/>
                <a:ea typeface="Calibri"/>
                <a:cs typeface="Calibri"/>
              </a:defRPr>
            </a:pPr>
            <a:endParaRPr lang="es-ES"/>
          </a:p>
        </c:txPr>
        <c:crossAx val="276055168"/>
        <c:crosses val="autoZero"/>
        <c:crossBetween val="midCat"/>
      </c:valAx>
      <c:valAx>
        <c:axId val="276055168"/>
        <c:scaling>
          <c:orientation val="minMax"/>
        </c:scaling>
        <c:delete val="0"/>
        <c:axPos val="l"/>
        <c:majorGridlines/>
        <c:title>
          <c:tx>
            <c:rich>
              <a:bodyPr rot="-5400000" vert="horz"/>
              <a:lstStyle/>
              <a:p>
                <a:pPr>
                  <a:defRPr/>
                </a:pPr>
                <a:r>
                  <a:rPr lang="en-US"/>
                  <a:t>factor de interacción</a:t>
                </a:r>
              </a:p>
            </c:rich>
          </c:tx>
          <c:overlay val="0"/>
        </c:title>
        <c:numFmt formatCode="General" sourceLinked="1"/>
        <c:majorTickMark val="none"/>
        <c:minorTickMark val="none"/>
        <c:tickLblPos val="nextTo"/>
        <c:spPr>
          <a:ln w="6350">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a:ln>
        </c:spPr>
        <c:crossAx val="276054592"/>
        <c:crosses val="autoZero"/>
        <c:crossBetween val="midCat"/>
      </c:valAx>
    </c:plotArea>
    <c:legend>
      <c:legendPos val="r"/>
      <c:layout>
        <c:manualLayout>
          <c:xMode val="edge"/>
          <c:yMode val="edge"/>
          <c:x val="0.19308981415502371"/>
          <c:y val="0.90159009669548951"/>
          <c:w val="0.60975730785796867"/>
          <c:h val="7.6190712396801821E-2"/>
        </c:manualLayout>
      </c:layout>
      <c:overlay val="0"/>
    </c:legend>
    <c:plotVisOnly val="1"/>
    <c:dispBlanksAs val="gap"/>
    <c:showDLblsOverMax val="0"/>
  </c:chart>
  <c:spPr>
    <a:solidFill>
      <a:schemeClr val="lt1"/>
    </a:solidFill>
    <a:ln w="25400" cap="flat" cmpd="sng" algn="ctr">
      <a:solidFill>
        <a:schemeClr val="accent1"/>
      </a:solidFill>
      <a:prstDash val="solid"/>
    </a:ln>
    <a:effectLst/>
  </c:spPr>
  <c:txPr>
    <a:bodyPr/>
    <a:lstStyle/>
    <a:p>
      <a:pPr>
        <a:defRPr>
          <a:solidFill>
            <a:schemeClr val="dk1"/>
          </a:solidFill>
          <a:latin typeface="+mn-lt"/>
          <a:ea typeface="+mn-ea"/>
          <a:cs typeface="+mn-cs"/>
        </a:defRPr>
      </a:pPr>
      <a:endParaRPr lang="es-ES"/>
    </a:p>
  </c:txPr>
  <c:printSettings>
    <c:headerFooter/>
    <c:pageMargins b="0.75000000000000155" l="0.70000000000000062" r="0.70000000000000062" t="0.75000000000000155" header="0.30000000000000032" footer="0.30000000000000032"/>
    <c:pageSetup paperSize="9" orientation="landscape" horizontalDpi="-1" verticalDpi="0"/>
  </c:printSettings>
</c:chartSpace>
</file>

<file path=xl/drawings/_rels/drawing1.xml.rels><?xml version="1.0" encoding="UTF-8" standalone="yes"?>
<Relationships xmlns="http://schemas.openxmlformats.org/package/2006/relationships"><Relationship Id="rId3" Type="http://schemas.openxmlformats.org/officeDocument/2006/relationships/image" Target="../media/image6.png"/><Relationship Id="rId7" Type="http://schemas.openxmlformats.org/officeDocument/2006/relationships/image" Target="../media/image10.png"/><Relationship Id="rId2" Type="http://schemas.openxmlformats.org/officeDocument/2006/relationships/image" Target="../media/image5.png"/><Relationship Id="rId1" Type="http://schemas.openxmlformats.org/officeDocument/2006/relationships/image" Target="../media/image4.png"/><Relationship Id="rId6" Type="http://schemas.openxmlformats.org/officeDocument/2006/relationships/image" Target="../media/image9.png"/><Relationship Id="rId5" Type="http://schemas.openxmlformats.org/officeDocument/2006/relationships/image" Target="../media/image8.png"/><Relationship Id="rId4" Type="http://schemas.openxmlformats.org/officeDocument/2006/relationships/image" Target="../media/image7.png"/></Relationships>
</file>

<file path=xl/drawings/_rels/drawing2.xml.rels><?xml version="1.0" encoding="UTF-8" standalone="yes"?>
<Relationships xmlns="http://schemas.openxmlformats.org/package/2006/relationships"><Relationship Id="rId2" Type="http://schemas.openxmlformats.org/officeDocument/2006/relationships/image" Target="../media/image18.png"/><Relationship Id="rId1" Type="http://schemas.openxmlformats.org/officeDocument/2006/relationships/image" Target="../media/image17.emf"/></Relationships>
</file>

<file path=xl/drawings/_rels/drawing3.xml.rels><?xml version="1.0" encoding="UTF-8" standalone="yes"?>
<Relationships xmlns="http://schemas.openxmlformats.org/package/2006/relationships"><Relationship Id="rId13" Type="http://schemas.openxmlformats.org/officeDocument/2006/relationships/image" Target="../media/image34.png"/><Relationship Id="rId18" Type="http://schemas.openxmlformats.org/officeDocument/2006/relationships/image" Target="../media/image39.png"/><Relationship Id="rId26" Type="http://schemas.openxmlformats.org/officeDocument/2006/relationships/image" Target="../media/image46.png"/><Relationship Id="rId39" Type="http://schemas.openxmlformats.org/officeDocument/2006/relationships/image" Target="../media/image56.png"/><Relationship Id="rId21" Type="http://schemas.openxmlformats.org/officeDocument/2006/relationships/image" Target="../media/image42.png"/><Relationship Id="rId34" Type="http://schemas.openxmlformats.org/officeDocument/2006/relationships/image" Target="../media/image51.png"/><Relationship Id="rId42" Type="http://schemas.openxmlformats.org/officeDocument/2006/relationships/image" Target="../media/image59.png"/><Relationship Id="rId47" Type="http://schemas.openxmlformats.org/officeDocument/2006/relationships/image" Target="../media/image62.png"/><Relationship Id="rId7" Type="http://schemas.openxmlformats.org/officeDocument/2006/relationships/image" Target="../media/image28.png"/><Relationship Id="rId2" Type="http://schemas.openxmlformats.org/officeDocument/2006/relationships/image" Target="../media/image23.png"/><Relationship Id="rId16" Type="http://schemas.openxmlformats.org/officeDocument/2006/relationships/image" Target="../media/image37.png"/><Relationship Id="rId29" Type="http://schemas.openxmlformats.org/officeDocument/2006/relationships/image" Target="../media/image48.png"/><Relationship Id="rId11" Type="http://schemas.openxmlformats.org/officeDocument/2006/relationships/image" Target="../media/image32.png"/><Relationship Id="rId24" Type="http://schemas.openxmlformats.org/officeDocument/2006/relationships/image" Target="../media/image44.png"/><Relationship Id="rId32" Type="http://schemas.openxmlformats.org/officeDocument/2006/relationships/image" Target="../media/image49.png"/><Relationship Id="rId37" Type="http://schemas.openxmlformats.org/officeDocument/2006/relationships/image" Target="../media/image54.png"/><Relationship Id="rId40" Type="http://schemas.openxmlformats.org/officeDocument/2006/relationships/image" Target="../media/image57.png"/><Relationship Id="rId45" Type="http://schemas.openxmlformats.org/officeDocument/2006/relationships/image" Target="../media/image60.png"/><Relationship Id="rId5" Type="http://schemas.openxmlformats.org/officeDocument/2006/relationships/image" Target="../media/image26.png"/><Relationship Id="rId15" Type="http://schemas.openxmlformats.org/officeDocument/2006/relationships/image" Target="../media/image36.png"/><Relationship Id="rId23" Type="http://schemas.openxmlformats.org/officeDocument/2006/relationships/image" Target="../media/image7.png"/><Relationship Id="rId28" Type="http://schemas.openxmlformats.org/officeDocument/2006/relationships/image" Target="../media/image8.png"/><Relationship Id="rId36" Type="http://schemas.openxmlformats.org/officeDocument/2006/relationships/image" Target="../media/image53.png"/><Relationship Id="rId49" Type="http://schemas.openxmlformats.org/officeDocument/2006/relationships/image" Target="../media/image64.png"/><Relationship Id="rId10" Type="http://schemas.openxmlformats.org/officeDocument/2006/relationships/image" Target="../media/image31.png"/><Relationship Id="rId19" Type="http://schemas.openxmlformats.org/officeDocument/2006/relationships/image" Target="../media/image40.png"/><Relationship Id="rId31" Type="http://schemas.openxmlformats.org/officeDocument/2006/relationships/image" Target="../media/image9.png"/><Relationship Id="rId44" Type="http://schemas.openxmlformats.org/officeDocument/2006/relationships/image" Target="../media/image6.png"/><Relationship Id="rId4" Type="http://schemas.openxmlformats.org/officeDocument/2006/relationships/image" Target="../media/image25.png"/><Relationship Id="rId9" Type="http://schemas.openxmlformats.org/officeDocument/2006/relationships/image" Target="../media/image30.png"/><Relationship Id="rId14" Type="http://schemas.openxmlformats.org/officeDocument/2006/relationships/image" Target="../media/image35.png"/><Relationship Id="rId22" Type="http://schemas.openxmlformats.org/officeDocument/2006/relationships/image" Target="../media/image43.png"/><Relationship Id="rId27" Type="http://schemas.openxmlformats.org/officeDocument/2006/relationships/image" Target="../media/image47.png"/><Relationship Id="rId30" Type="http://schemas.openxmlformats.org/officeDocument/2006/relationships/image" Target="../media/image10.png"/><Relationship Id="rId35" Type="http://schemas.openxmlformats.org/officeDocument/2006/relationships/image" Target="../media/image52.png"/><Relationship Id="rId43" Type="http://schemas.openxmlformats.org/officeDocument/2006/relationships/image" Target="../media/image5.png"/><Relationship Id="rId48" Type="http://schemas.openxmlformats.org/officeDocument/2006/relationships/image" Target="../media/image63.png"/><Relationship Id="rId8" Type="http://schemas.openxmlformats.org/officeDocument/2006/relationships/image" Target="../media/image29.png"/><Relationship Id="rId3" Type="http://schemas.openxmlformats.org/officeDocument/2006/relationships/image" Target="../media/image24.png"/><Relationship Id="rId12" Type="http://schemas.openxmlformats.org/officeDocument/2006/relationships/image" Target="../media/image33.png"/><Relationship Id="rId17" Type="http://schemas.openxmlformats.org/officeDocument/2006/relationships/image" Target="../media/image38.png"/><Relationship Id="rId25" Type="http://schemas.openxmlformats.org/officeDocument/2006/relationships/image" Target="../media/image45.png"/><Relationship Id="rId33" Type="http://schemas.openxmlformats.org/officeDocument/2006/relationships/image" Target="../media/image50.png"/><Relationship Id="rId38" Type="http://schemas.openxmlformats.org/officeDocument/2006/relationships/image" Target="../media/image55.png"/><Relationship Id="rId46" Type="http://schemas.openxmlformats.org/officeDocument/2006/relationships/image" Target="../media/image61.png"/><Relationship Id="rId20" Type="http://schemas.openxmlformats.org/officeDocument/2006/relationships/image" Target="../media/image41.png"/><Relationship Id="rId41" Type="http://schemas.openxmlformats.org/officeDocument/2006/relationships/image" Target="../media/image58.png"/><Relationship Id="rId1" Type="http://schemas.openxmlformats.org/officeDocument/2006/relationships/image" Target="../media/image22.png"/><Relationship Id="rId6" Type="http://schemas.openxmlformats.org/officeDocument/2006/relationships/image" Target="../media/image27.png"/></Relationships>
</file>

<file path=xl/drawings/_rels/drawing4.xml.rels><?xml version="1.0" encoding="UTF-8" standalone="yes"?>
<Relationships xmlns="http://schemas.openxmlformats.org/package/2006/relationships"><Relationship Id="rId1" Type="http://schemas.openxmlformats.org/officeDocument/2006/relationships/image" Target="../media/image65.emf"/></Relationships>
</file>

<file path=xl/drawings/_rels/drawing5.xml.rels><?xml version="1.0" encoding="UTF-8" standalone="yes"?>
<Relationships xmlns="http://schemas.openxmlformats.org/package/2006/relationships"><Relationship Id="rId1" Type="http://schemas.openxmlformats.org/officeDocument/2006/relationships/image" Target="../media/image65.emf"/></Relationships>
</file>

<file path=xl/drawings/_rels/drawing6.xml.rels><?xml version="1.0" encoding="UTF-8" standalone="yes"?>
<Relationships xmlns="http://schemas.openxmlformats.org/package/2006/relationships"><Relationship Id="rId1" Type="http://schemas.openxmlformats.org/officeDocument/2006/relationships/image" Target="../media/image65.emf"/></Relationships>
</file>

<file path=xl/drawings/_rels/drawing7.xml.rels><?xml version="1.0" encoding="UTF-8" standalone="yes"?>
<Relationships xmlns="http://schemas.openxmlformats.org/package/2006/relationships"><Relationship Id="rId1" Type="http://schemas.openxmlformats.org/officeDocument/2006/relationships/image" Target="../media/image65.emf"/></Relationships>
</file>

<file path=xl/drawings/_rels/drawing8.xml.rels><?xml version="1.0" encoding="UTF-8" standalone="yes"?>
<Relationships xmlns="http://schemas.openxmlformats.org/package/2006/relationships"><Relationship Id="rId8" Type="http://schemas.openxmlformats.org/officeDocument/2006/relationships/image" Target="../media/image29.png"/><Relationship Id="rId13" Type="http://schemas.openxmlformats.org/officeDocument/2006/relationships/image" Target="../media/image34.png"/><Relationship Id="rId18" Type="http://schemas.openxmlformats.org/officeDocument/2006/relationships/image" Target="../media/image73.jpeg"/><Relationship Id="rId3" Type="http://schemas.openxmlformats.org/officeDocument/2006/relationships/image" Target="../media/image24.png"/><Relationship Id="rId7" Type="http://schemas.openxmlformats.org/officeDocument/2006/relationships/image" Target="../media/image28.png"/><Relationship Id="rId12" Type="http://schemas.openxmlformats.org/officeDocument/2006/relationships/image" Target="../media/image33.png"/><Relationship Id="rId17" Type="http://schemas.openxmlformats.org/officeDocument/2006/relationships/image" Target="../media/image72.jpeg"/><Relationship Id="rId2" Type="http://schemas.openxmlformats.org/officeDocument/2006/relationships/image" Target="../media/image23.png"/><Relationship Id="rId16" Type="http://schemas.openxmlformats.org/officeDocument/2006/relationships/image" Target="../media/image71.jpeg"/><Relationship Id="rId1" Type="http://schemas.openxmlformats.org/officeDocument/2006/relationships/image" Target="../media/image22.png"/><Relationship Id="rId6" Type="http://schemas.openxmlformats.org/officeDocument/2006/relationships/image" Target="../media/image27.png"/><Relationship Id="rId11" Type="http://schemas.openxmlformats.org/officeDocument/2006/relationships/image" Target="../media/image32.png"/><Relationship Id="rId5" Type="http://schemas.openxmlformats.org/officeDocument/2006/relationships/image" Target="../media/image26.png"/><Relationship Id="rId15" Type="http://schemas.openxmlformats.org/officeDocument/2006/relationships/image" Target="../media/image36.png"/><Relationship Id="rId10" Type="http://schemas.openxmlformats.org/officeDocument/2006/relationships/image" Target="../media/image31.png"/><Relationship Id="rId4" Type="http://schemas.openxmlformats.org/officeDocument/2006/relationships/image" Target="../media/image25.png"/><Relationship Id="rId9" Type="http://schemas.openxmlformats.org/officeDocument/2006/relationships/image" Target="../media/image30.png"/><Relationship Id="rId14" Type="http://schemas.openxmlformats.org/officeDocument/2006/relationships/image" Target="../media/image35.png"/></Relationships>
</file>

<file path=xl/drawings/_rels/drawing9.xml.rels><?xml version="1.0" encoding="UTF-8" standalone="yes"?>
<Relationships xmlns="http://schemas.openxmlformats.org/package/2006/relationships"><Relationship Id="rId1" Type="http://schemas.openxmlformats.org/officeDocument/2006/relationships/chart" Target="../charts/chart1.xml"/></Relationships>
</file>

<file path=xl/drawings/_rels/vmlDrawing1.vml.rels><?xml version="1.0" encoding="UTF-8" standalone="yes"?>
<Relationships xmlns="http://schemas.openxmlformats.org/package/2006/relationships"><Relationship Id="rId3" Type="http://schemas.openxmlformats.org/officeDocument/2006/relationships/image" Target="../media/image3.wmf"/><Relationship Id="rId2" Type="http://schemas.openxmlformats.org/officeDocument/2006/relationships/image" Target="../media/image2.wmf"/><Relationship Id="rId1" Type="http://schemas.openxmlformats.org/officeDocument/2006/relationships/image" Target="../media/image1.wmf"/></Relationships>
</file>

<file path=xl/drawings/_rels/vmlDrawing2.vml.rels><?xml version="1.0" encoding="UTF-8" standalone="yes"?>
<Relationships xmlns="http://schemas.openxmlformats.org/package/2006/relationships"><Relationship Id="rId3" Type="http://schemas.openxmlformats.org/officeDocument/2006/relationships/image" Target="../media/image13.wmf"/><Relationship Id="rId7" Type="http://schemas.openxmlformats.org/officeDocument/2006/relationships/image" Target="../media/image16.wmf"/><Relationship Id="rId2" Type="http://schemas.openxmlformats.org/officeDocument/2006/relationships/image" Target="../media/image12.wmf"/><Relationship Id="rId1" Type="http://schemas.openxmlformats.org/officeDocument/2006/relationships/image" Target="../media/image11.wmf"/><Relationship Id="rId6" Type="http://schemas.openxmlformats.org/officeDocument/2006/relationships/image" Target="../media/image15.wmf"/><Relationship Id="rId5" Type="http://schemas.openxmlformats.org/officeDocument/2006/relationships/image" Target="../media/image14.wmf"/><Relationship Id="rId4" Type="http://schemas.openxmlformats.org/officeDocument/2006/relationships/image" Target="../media/image3.wmf"/></Relationships>
</file>

<file path=xl/drawings/_rels/vmlDrawing3.vml.rels><?xml version="1.0" encoding="UTF-8" standalone="yes"?>
<Relationships xmlns="http://schemas.openxmlformats.org/package/2006/relationships"><Relationship Id="rId3" Type="http://schemas.openxmlformats.org/officeDocument/2006/relationships/image" Target="../media/image21.emf"/><Relationship Id="rId2" Type="http://schemas.openxmlformats.org/officeDocument/2006/relationships/image" Target="../media/image20.wmf"/><Relationship Id="rId1" Type="http://schemas.openxmlformats.org/officeDocument/2006/relationships/image" Target="../media/image19.emf"/></Relationships>
</file>

<file path=xl/drawings/_rels/vmlDrawing6.vml.rels><?xml version="1.0" encoding="UTF-8" standalone="yes"?>
<Relationships xmlns="http://schemas.openxmlformats.org/package/2006/relationships"><Relationship Id="rId3" Type="http://schemas.openxmlformats.org/officeDocument/2006/relationships/image" Target="../media/image68.wmf"/><Relationship Id="rId2" Type="http://schemas.openxmlformats.org/officeDocument/2006/relationships/image" Target="../media/image67.emf"/><Relationship Id="rId1" Type="http://schemas.openxmlformats.org/officeDocument/2006/relationships/image" Target="../media/image66.emf"/><Relationship Id="rId5" Type="http://schemas.openxmlformats.org/officeDocument/2006/relationships/image" Target="../media/image70.emf"/><Relationship Id="rId4" Type="http://schemas.openxmlformats.org/officeDocument/2006/relationships/image" Target="../media/image69.wmf"/></Relationships>
</file>

<file path=xl/drawings/_rels/vmlDrawing7.vml.rels><?xml version="1.0" encoding="UTF-8" standalone="yes"?>
<Relationships xmlns="http://schemas.openxmlformats.org/package/2006/relationships"><Relationship Id="rId1" Type="http://schemas.openxmlformats.org/officeDocument/2006/relationships/image" Target="../media/image11.wmf"/></Relationships>
</file>

<file path=xl/drawings/drawing1.xml><?xml version="1.0" encoding="utf-8"?>
<xdr:wsDr xmlns:xdr="http://schemas.openxmlformats.org/drawingml/2006/spreadsheetDrawing" xmlns:a="http://schemas.openxmlformats.org/drawingml/2006/main">
  <xdr:twoCellAnchor>
    <xdr:from>
      <xdr:col>8</xdr:col>
      <xdr:colOff>180975</xdr:colOff>
      <xdr:row>62</xdr:row>
      <xdr:rowOff>104775</xdr:rowOff>
    </xdr:from>
    <xdr:to>
      <xdr:col>10</xdr:col>
      <xdr:colOff>590550</xdr:colOff>
      <xdr:row>65</xdr:row>
      <xdr:rowOff>28575</xdr:rowOff>
    </xdr:to>
    <xdr:pic>
      <xdr:nvPicPr>
        <xdr:cNvPr id="4178" name="Picture 83">
          <a:extLst>
            <a:ext uri="{FF2B5EF4-FFF2-40B4-BE49-F238E27FC236}">
              <a16:creationId xmlns:a16="http://schemas.microsoft.com/office/drawing/2014/main" id="{00000000-0008-0000-0000-000052100000}"/>
            </a:ext>
          </a:extLst>
        </xdr:cNvPr>
        <xdr:cNvPicPr>
          <a:picLocks noChangeAspect="1" noChangeArrowheads="1"/>
        </xdr:cNvPicPr>
      </xdr:nvPicPr>
      <xdr:blipFill>
        <a:blip xmlns:r="http://schemas.openxmlformats.org/officeDocument/2006/relationships" r:embed="rId1" cstate="print">
          <a:clrChange>
            <a:clrFrom>
              <a:srgbClr val="FFFFFF"/>
            </a:clrFrom>
            <a:clrTo>
              <a:srgbClr val="FFFFFF">
                <a:alpha val="0"/>
              </a:srgbClr>
            </a:clrTo>
          </a:clrChange>
        </a:blip>
        <a:srcRect/>
        <a:stretch>
          <a:fillRect/>
        </a:stretch>
      </xdr:blipFill>
      <xdr:spPr bwMode="auto">
        <a:xfrm>
          <a:off x="4619625" y="11791950"/>
          <a:ext cx="1647825" cy="485775"/>
        </a:xfrm>
        <a:prstGeom prst="rect">
          <a:avLst/>
        </a:prstGeom>
        <a:noFill/>
        <a:ln w="9525">
          <a:noFill/>
          <a:miter lim="800000"/>
          <a:headEnd/>
          <a:tailEnd/>
        </a:ln>
      </xdr:spPr>
    </xdr:pic>
    <xdr:clientData/>
  </xdr:twoCellAnchor>
  <xdr:twoCellAnchor>
    <xdr:from>
      <xdr:col>1</xdr:col>
      <xdr:colOff>160020</xdr:colOff>
      <xdr:row>36</xdr:row>
      <xdr:rowOff>91440</xdr:rowOff>
    </xdr:from>
    <xdr:to>
      <xdr:col>3</xdr:col>
      <xdr:colOff>624840</xdr:colOff>
      <xdr:row>38</xdr:row>
      <xdr:rowOff>92850</xdr:rowOff>
    </xdr:to>
    <xdr:pic>
      <xdr:nvPicPr>
        <xdr:cNvPr id="7" name="6 Imagen">
          <a:extLst>
            <a:ext uri="{FF2B5EF4-FFF2-40B4-BE49-F238E27FC236}">
              <a16:creationId xmlns:a16="http://schemas.microsoft.com/office/drawing/2014/main" id="{00000000-0008-0000-0000-000007000000}"/>
            </a:ext>
          </a:extLst>
        </xdr:cNvPr>
        <xdr:cNvPicPr>
          <a:picLocks noChangeAspect="1" noChangeArrowheads="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335280" y="7124700"/>
          <a:ext cx="1790700" cy="3595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175260</xdr:colOff>
      <xdr:row>40</xdr:row>
      <xdr:rowOff>106680</xdr:rowOff>
    </xdr:from>
    <xdr:to>
      <xdr:col>3</xdr:col>
      <xdr:colOff>541020</xdr:colOff>
      <xdr:row>42</xdr:row>
      <xdr:rowOff>79744</xdr:rowOff>
    </xdr:to>
    <xdr:pic>
      <xdr:nvPicPr>
        <xdr:cNvPr id="8" name="7 Imagen">
          <a:extLst>
            <a:ext uri="{FF2B5EF4-FFF2-40B4-BE49-F238E27FC236}">
              <a16:creationId xmlns:a16="http://schemas.microsoft.com/office/drawing/2014/main" id="{00000000-0008-0000-0000-000008000000}"/>
            </a:ext>
          </a:extLst>
        </xdr:cNvPr>
        <xdr:cNvPicPr>
          <a:picLocks noChangeAspect="1" noChangeArrowheads="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350520" y="7856220"/>
          <a:ext cx="1691640" cy="35406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14</xdr:col>
      <xdr:colOff>373380</xdr:colOff>
      <xdr:row>66</xdr:row>
      <xdr:rowOff>137160</xdr:rowOff>
    </xdr:from>
    <xdr:to>
      <xdr:col>14</xdr:col>
      <xdr:colOff>563880</xdr:colOff>
      <xdr:row>68</xdr:row>
      <xdr:rowOff>0</xdr:rowOff>
    </xdr:to>
    <xdr:pic>
      <xdr:nvPicPr>
        <xdr:cNvPr id="9" name="8 Imagen">
          <a:extLst>
            <a:ext uri="{FF2B5EF4-FFF2-40B4-BE49-F238E27FC236}">
              <a16:creationId xmlns:a16="http://schemas.microsoft.com/office/drawing/2014/main" id="{00000000-0008-0000-0000-000009000000}"/>
            </a:ext>
          </a:extLst>
        </xdr:cNvPr>
        <xdr:cNvPicPr>
          <a:picLocks noChangeAspect="1" noChangeArrowheads="1"/>
        </xdr:cNvPicPr>
      </xdr:nvPicPr>
      <xdr:blipFill>
        <a:blip xmlns:r="http://schemas.openxmlformats.org/officeDocument/2006/relationships" r:embed="rId4"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5417820" y="29634180"/>
          <a:ext cx="190500" cy="1981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16</xdr:col>
      <xdr:colOff>358140</xdr:colOff>
      <xdr:row>66</xdr:row>
      <xdr:rowOff>106680</xdr:rowOff>
    </xdr:from>
    <xdr:to>
      <xdr:col>16</xdr:col>
      <xdr:colOff>541020</xdr:colOff>
      <xdr:row>67</xdr:row>
      <xdr:rowOff>137160</xdr:rowOff>
    </xdr:to>
    <xdr:pic>
      <xdr:nvPicPr>
        <xdr:cNvPr id="10" name="9 Imagen">
          <a:extLst>
            <a:ext uri="{FF2B5EF4-FFF2-40B4-BE49-F238E27FC236}">
              <a16:creationId xmlns:a16="http://schemas.microsoft.com/office/drawing/2014/main" id="{00000000-0008-0000-0000-00000A000000}"/>
            </a:ext>
          </a:extLst>
        </xdr:cNvPr>
        <xdr:cNvPicPr>
          <a:picLocks noChangeAspect="1" noChangeArrowheads="1"/>
        </xdr:cNvPicPr>
      </xdr:nvPicPr>
      <xdr:blipFill>
        <a:blip xmlns:r="http://schemas.openxmlformats.org/officeDocument/2006/relationships" r:embed="rId5"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6941820" y="29603700"/>
          <a:ext cx="182880" cy="1981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14</xdr:col>
      <xdr:colOff>312420</xdr:colOff>
      <xdr:row>61</xdr:row>
      <xdr:rowOff>137160</xdr:rowOff>
    </xdr:from>
    <xdr:to>
      <xdr:col>14</xdr:col>
      <xdr:colOff>495300</xdr:colOff>
      <xdr:row>62</xdr:row>
      <xdr:rowOff>160020</xdr:rowOff>
    </xdr:to>
    <xdr:pic>
      <xdr:nvPicPr>
        <xdr:cNvPr id="11" name="10 Imagen">
          <a:extLst>
            <a:ext uri="{FF2B5EF4-FFF2-40B4-BE49-F238E27FC236}">
              <a16:creationId xmlns:a16="http://schemas.microsoft.com/office/drawing/2014/main" id="{00000000-0008-0000-0000-00000B000000}"/>
            </a:ext>
          </a:extLst>
        </xdr:cNvPr>
        <xdr:cNvPicPr>
          <a:picLocks noChangeAspect="1" noChangeArrowheads="1"/>
        </xdr:cNvPicPr>
      </xdr:nvPicPr>
      <xdr:blipFill>
        <a:blip xmlns:r="http://schemas.openxmlformats.org/officeDocument/2006/relationships" r:embed="rId6"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5356860" y="28788360"/>
          <a:ext cx="182880"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16</xdr:col>
      <xdr:colOff>259080</xdr:colOff>
      <xdr:row>62</xdr:row>
      <xdr:rowOff>0</xdr:rowOff>
    </xdr:from>
    <xdr:to>
      <xdr:col>16</xdr:col>
      <xdr:colOff>426720</xdr:colOff>
      <xdr:row>63</xdr:row>
      <xdr:rowOff>7620</xdr:rowOff>
    </xdr:to>
    <xdr:pic>
      <xdr:nvPicPr>
        <xdr:cNvPr id="12" name="11 Imagen">
          <a:extLst>
            <a:ext uri="{FF2B5EF4-FFF2-40B4-BE49-F238E27FC236}">
              <a16:creationId xmlns:a16="http://schemas.microsoft.com/office/drawing/2014/main" id="{00000000-0008-0000-0000-00000C000000}"/>
            </a:ext>
          </a:extLst>
        </xdr:cNvPr>
        <xdr:cNvPicPr>
          <a:picLocks noChangeAspect="1" noChangeArrowheads="1"/>
        </xdr:cNvPicPr>
      </xdr:nvPicPr>
      <xdr:blipFill>
        <a:blip xmlns:r="http://schemas.openxmlformats.org/officeDocument/2006/relationships" r:embed="rId7"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6842760" y="28818840"/>
          <a:ext cx="167640" cy="1752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14</xdr:col>
      <xdr:colOff>312420</xdr:colOff>
      <xdr:row>62</xdr:row>
      <xdr:rowOff>137160</xdr:rowOff>
    </xdr:from>
    <xdr:to>
      <xdr:col>14</xdr:col>
      <xdr:colOff>495300</xdr:colOff>
      <xdr:row>63</xdr:row>
      <xdr:rowOff>160020</xdr:rowOff>
    </xdr:to>
    <xdr:pic>
      <xdr:nvPicPr>
        <xdr:cNvPr id="13" name="12 Imagen">
          <a:extLst>
            <a:ext uri="{FF2B5EF4-FFF2-40B4-BE49-F238E27FC236}">
              <a16:creationId xmlns:a16="http://schemas.microsoft.com/office/drawing/2014/main" id="{00000000-0008-0000-0000-00000D000000}"/>
            </a:ext>
          </a:extLst>
        </xdr:cNvPr>
        <xdr:cNvPicPr>
          <a:picLocks noChangeAspect="1" noChangeArrowheads="1"/>
        </xdr:cNvPicPr>
      </xdr:nvPicPr>
      <xdr:blipFill>
        <a:blip xmlns:r="http://schemas.openxmlformats.org/officeDocument/2006/relationships" r:embed="rId6"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4274820" y="14142720"/>
          <a:ext cx="182880"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14</xdr:col>
      <xdr:colOff>312420</xdr:colOff>
      <xdr:row>63</xdr:row>
      <xdr:rowOff>137160</xdr:rowOff>
    </xdr:from>
    <xdr:to>
      <xdr:col>14</xdr:col>
      <xdr:colOff>495300</xdr:colOff>
      <xdr:row>64</xdr:row>
      <xdr:rowOff>160020</xdr:rowOff>
    </xdr:to>
    <xdr:pic>
      <xdr:nvPicPr>
        <xdr:cNvPr id="14" name="13 Imagen">
          <a:extLst>
            <a:ext uri="{FF2B5EF4-FFF2-40B4-BE49-F238E27FC236}">
              <a16:creationId xmlns:a16="http://schemas.microsoft.com/office/drawing/2014/main" id="{00000000-0008-0000-0000-00000E000000}"/>
            </a:ext>
          </a:extLst>
        </xdr:cNvPr>
        <xdr:cNvPicPr>
          <a:picLocks noChangeAspect="1" noChangeArrowheads="1"/>
        </xdr:cNvPicPr>
      </xdr:nvPicPr>
      <xdr:blipFill>
        <a:blip xmlns:r="http://schemas.openxmlformats.org/officeDocument/2006/relationships" r:embed="rId6"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4274820" y="14142720"/>
          <a:ext cx="182880"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14</xdr:col>
      <xdr:colOff>312420</xdr:colOff>
      <xdr:row>64</xdr:row>
      <xdr:rowOff>137160</xdr:rowOff>
    </xdr:from>
    <xdr:to>
      <xdr:col>14</xdr:col>
      <xdr:colOff>495300</xdr:colOff>
      <xdr:row>65</xdr:row>
      <xdr:rowOff>160020</xdr:rowOff>
    </xdr:to>
    <xdr:pic>
      <xdr:nvPicPr>
        <xdr:cNvPr id="15" name="14 Imagen">
          <a:extLst>
            <a:ext uri="{FF2B5EF4-FFF2-40B4-BE49-F238E27FC236}">
              <a16:creationId xmlns:a16="http://schemas.microsoft.com/office/drawing/2014/main" id="{00000000-0008-0000-0000-00000F000000}"/>
            </a:ext>
          </a:extLst>
        </xdr:cNvPr>
        <xdr:cNvPicPr>
          <a:picLocks noChangeAspect="1" noChangeArrowheads="1"/>
        </xdr:cNvPicPr>
      </xdr:nvPicPr>
      <xdr:blipFill>
        <a:blip xmlns:r="http://schemas.openxmlformats.org/officeDocument/2006/relationships" r:embed="rId6"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4274820" y="14142720"/>
          <a:ext cx="182880"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14</xdr:col>
      <xdr:colOff>312420</xdr:colOff>
      <xdr:row>65</xdr:row>
      <xdr:rowOff>137160</xdr:rowOff>
    </xdr:from>
    <xdr:to>
      <xdr:col>14</xdr:col>
      <xdr:colOff>495300</xdr:colOff>
      <xdr:row>66</xdr:row>
      <xdr:rowOff>160020</xdr:rowOff>
    </xdr:to>
    <xdr:pic>
      <xdr:nvPicPr>
        <xdr:cNvPr id="16" name="15 Imagen">
          <a:extLst>
            <a:ext uri="{FF2B5EF4-FFF2-40B4-BE49-F238E27FC236}">
              <a16:creationId xmlns:a16="http://schemas.microsoft.com/office/drawing/2014/main" id="{00000000-0008-0000-0000-000010000000}"/>
            </a:ext>
          </a:extLst>
        </xdr:cNvPr>
        <xdr:cNvPicPr>
          <a:picLocks noChangeAspect="1" noChangeArrowheads="1"/>
        </xdr:cNvPicPr>
      </xdr:nvPicPr>
      <xdr:blipFill>
        <a:blip xmlns:r="http://schemas.openxmlformats.org/officeDocument/2006/relationships" r:embed="rId6"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4274820" y="14142720"/>
          <a:ext cx="182880"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14</xdr:col>
      <xdr:colOff>312420</xdr:colOff>
      <xdr:row>66</xdr:row>
      <xdr:rowOff>137160</xdr:rowOff>
    </xdr:from>
    <xdr:to>
      <xdr:col>14</xdr:col>
      <xdr:colOff>495300</xdr:colOff>
      <xdr:row>67</xdr:row>
      <xdr:rowOff>160020</xdr:rowOff>
    </xdr:to>
    <xdr:pic>
      <xdr:nvPicPr>
        <xdr:cNvPr id="17" name="16 Imagen">
          <a:extLst>
            <a:ext uri="{FF2B5EF4-FFF2-40B4-BE49-F238E27FC236}">
              <a16:creationId xmlns:a16="http://schemas.microsoft.com/office/drawing/2014/main" id="{00000000-0008-0000-0000-000011000000}"/>
            </a:ext>
          </a:extLst>
        </xdr:cNvPr>
        <xdr:cNvPicPr>
          <a:picLocks noChangeAspect="1" noChangeArrowheads="1"/>
        </xdr:cNvPicPr>
      </xdr:nvPicPr>
      <xdr:blipFill>
        <a:blip xmlns:r="http://schemas.openxmlformats.org/officeDocument/2006/relationships" r:embed="rId6"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4274820" y="14142720"/>
          <a:ext cx="182880"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14</xdr:col>
      <xdr:colOff>312420</xdr:colOff>
      <xdr:row>67</xdr:row>
      <xdr:rowOff>137160</xdr:rowOff>
    </xdr:from>
    <xdr:to>
      <xdr:col>14</xdr:col>
      <xdr:colOff>495300</xdr:colOff>
      <xdr:row>68</xdr:row>
      <xdr:rowOff>160020</xdr:rowOff>
    </xdr:to>
    <xdr:pic>
      <xdr:nvPicPr>
        <xdr:cNvPr id="18" name="17 Imagen">
          <a:extLst>
            <a:ext uri="{FF2B5EF4-FFF2-40B4-BE49-F238E27FC236}">
              <a16:creationId xmlns:a16="http://schemas.microsoft.com/office/drawing/2014/main" id="{00000000-0008-0000-0000-000012000000}"/>
            </a:ext>
          </a:extLst>
        </xdr:cNvPr>
        <xdr:cNvPicPr>
          <a:picLocks noChangeAspect="1" noChangeArrowheads="1"/>
        </xdr:cNvPicPr>
      </xdr:nvPicPr>
      <xdr:blipFill>
        <a:blip xmlns:r="http://schemas.openxmlformats.org/officeDocument/2006/relationships" r:embed="rId6"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4274820" y="14142720"/>
          <a:ext cx="182880"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14</xdr:col>
      <xdr:colOff>312420</xdr:colOff>
      <xdr:row>68</xdr:row>
      <xdr:rowOff>137160</xdr:rowOff>
    </xdr:from>
    <xdr:to>
      <xdr:col>14</xdr:col>
      <xdr:colOff>495300</xdr:colOff>
      <xdr:row>69</xdr:row>
      <xdr:rowOff>160020</xdr:rowOff>
    </xdr:to>
    <xdr:pic>
      <xdr:nvPicPr>
        <xdr:cNvPr id="19" name="18 Imagen">
          <a:extLst>
            <a:ext uri="{FF2B5EF4-FFF2-40B4-BE49-F238E27FC236}">
              <a16:creationId xmlns:a16="http://schemas.microsoft.com/office/drawing/2014/main" id="{00000000-0008-0000-0000-000013000000}"/>
            </a:ext>
          </a:extLst>
        </xdr:cNvPr>
        <xdr:cNvPicPr>
          <a:picLocks noChangeAspect="1" noChangeArrowheads="1"/>
        </xdr:cNvPicPr>
      </xdr:nvPicPr>
      <xdr:blipFill>
        <a:blip xmlns:r="http://schemas.openxmlformats.org/officeDocument/2006/relationships" r:embed="rId6"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4274820" y="14142720"/>
          <a:ext cx="182880"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14</xdr:col>
      <xdr:colOff>312420</xdr:colOff>
      <xdr:row>69</xdr:row>
      <xdr:rowOff>137160</xdr:rowOff>
    </xdr:from>
    <xdr:to>
      <xdr:col>14</xdr:col>
      <xdr:colOff>495300</xdr:colOff>
      <xdr:row>70</xdr:row>
      <xdr:rowOff>160020</xdr:rowOff>
    </xdr:to>
    <xdr:pic>
      <xdr:nvPicPr>
        <xdr:cNvPr id="20" name="19 Imagen">
          <a:extLst>
            <a:ext uri="{FF2B5EF4-FFF2-40B4-BE49-F238E27FC236}">
              <a16:creationId xmlns:a16="http://schemas.microsoft.com/office/drawing/2014/main" id="{00000000-0008-0000-0000-000014000000}"/>
            </a:ext>
          </a:extLst>
        </xdr:cNvPr>
        <xdr:cNvPicPr>
          <a:picLocks noChangeAspect="1" noChangeArrowheads="1"/>
        </xdr:cNvPicPr>
      </xdr:nvPicPr>
      <xdr:blipFill>
        <a:blip xmlns:r="http://schemas.openxmlformats.org/officeDocument/2006/relationships" r:embed="rId6"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4274820" y="14142720"/>
          <a:ext cx="182880"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xdr:from>
          <xdr:col>13</xdr:col>
          <xdr:colOff>400050</xdr:colOff>
          <xdr:row>1</xdr:row>
          <xdr:rowOff>76200</xdr:rowOff>
        </xdr:from>
        <xdr:to>
          <xdr:col>15</xdr:col>
          <xdr:colOff>209550</xdr:colOff>
          <xdr:row>2</xdr:row>
          <xdr:rowOff>123825</xdr:rowOff>
        </xdr:to>
        <xdr:sp macro="" textlink="">
          <xdr:nvSpPr>
            <xdr:cNvPr id="4134" name="Object 38" hidden="1">
              <a:extLst>
                <a:ext uri="{63B3BB69-23CF-44E3-9099-C40C66FF867C}">
                  <a14:compatExt spid="_x0000_s4134"/>
                </a:ext>
                <a:ext uri="{FF2B5EF4-FFF2-40B4-BE49-F238E27FC236}">
                  <a16:creationId xmlns:a16="http://schemas.microsoft.com/office/drawing/2014/main" id="{00000000-0008-0000-0000-000026100000}"/>
                </a:ext>
              </a:extLst>
            </xdr:cNvPr>
            <xdr:cNvSpPr/>
          </xdr:nvSpPr>
          <xdr:spPr bwMode="auto">
            <a:xfrm>
              <a:off x="0" y="0"/>
              <a:ext cx="0" cy="0"/>
            </a:xfrm>
            <a:prstGeom prst="rect">
              <a:avLst/>
            </a:prstGeom>
            <a:noFill/>
            <a:ln w="9525">
              <a:solidFill>
                <a:srgbClr val="FF6600" mc:Ignorable="a14" a14:legacySpreadsheetColorIndex="53"/>
              </a:solidFill>
              <a:miter lim="800000"/>
              <a:headEnd/>
              <a:tailEnd/>
            </a:ln>
            <a:extLst>
              <a:ext uri="{909E8E84-426E-40DD-AFC4-6F175D3DCCD1}">
                <a14:hiddenFill>
                  <a:solidFill>
                    <a:srgbClr val="FFCC99" mc:Ignorable="a14" a14:legacySpreadsheetColorIndex="47"/>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xdr:col>
          <xdr:colOff>323850</xdr:colOff>
          <xdr:row>14</xdr:row>
          <xdr:rowOff>57150</xdr:rowOff>
        </xdr:from>
        <xdr:to>
          <xdr:col>3</xdr:col>
          <xdr:colOff>66675</xdr:colOff>
          <xdr:row>17</xdr:row>
          <xdr:rowOff>9525</xdr:rowOff>
        </xdr:to>
        <xdr:sp macro="" textlink="">
          <xdr:nvSpPr>
            <xdr:cNvPr id="4137" name="Object 41" hidden="1">
              <a:extLst>
                <a:ext uri="{63B3BB69-23CF-44E3-9099-C40C66FF867C}">
                  <a14:compatExt spid="_x0000_s4137"/>
                </a:ext>
                <a:ext uri="{FF2B5EF4-FFF2-40B4-BE49-F238E27FC236}">
                  <a16:creationId xmlns:a16="http://schemas.microsoft.com/office/drawing/2014/main" id="{00000000-0008-0000-0000-000029100000}"/>
                </a:ext>
              </a:extLst>
            </xdr:cNvPr>
            <xdr:cNvSpPr/>
          </xdr:nvSpPr>
          <xdr:spPr bwMode="auto">
            <a:xfrm>
              <a:off x="0" y="0"/>
              <a:ext cx="0" cy="0"/>
            </a:xfrm>
            <a:prstGeom prst="rect">
              <a:avLst/>
            </a:prstGeom>
            <a:noFill/>
            <a:ln w="9525">
              <a:solidFill>
                <a:srgbClr val="FF6600" mc:Ignorable="a14" a14:legacySpreadsheetColorIndex="53"/>
              </a:solidFill>
              <a:miter lim="800000"/>
              <a:headEnd/>
              <a:tailEnd/>
            </a:ln>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xdr:col>
          <xdr:colOff>266700</xdr:colOff>
          <xdr:row>70</xdr:row>
          <xdr:rowOff>9525</xdr:rowOff>
        </xdr:from>
        <xdr:to>
          <xdr:col>5</xdr:col>
          <xdr:colOff>438150</xdr:colOff>
          <xdr:row>73</xdr:row>
          <xdr:rowOff>66675</xdr:rowOff>
        </xdr:to>
        <xdr:sp macro="" textlink="">
          <xdr:nvSpPr>
            <xdr:cNvPr id="4177" name="Object 81" hidden="1">
              <a:extLst>
                <a:ext uri="{63B3BB69-23CF-44E3-9099-C40C66FF867C}">
                  <a14:compatExt spid="_x0000_s4177"/>
                </a:ext>
                <a:ext uri="{FF2B5EF4-FFF2-40B4-BE49-F238E27FC236}">
                  <a16:creationId xmlns:a16="http://schemas.microsoft.com/office/drawing/2014/main" id="{00000000-0008-0000-0000-0000511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7</xdr:col>
          <xdr:colOff>95250</xdr:colOff>
          <xdr:row>10</xdr:row>
          <xdr:rowOff>0</xdr:rowOff>
        </xdr:from>
        <xdr:to>
          <xdr:col>7</xdr:col>
          <xdr:colOff>514350</xdr:colOff>
          <xdr:row>10</xdr:row>
          <xdr:rowOff>180975</xdr:rowOff>
        </xdr:to>
        <xdr:sp macro="" textlink="">
          <xdr:nvSpPr>
            <xdr:cNvPr id="4171" name="Object 75" hidden="1">
              <a:extLst>
                <a:ext uri="{63B3BB69-23CF-44E3-9099-C40C66FF867C}">
                  <a14:compatExt spid="_x0000_s4171"/>
                </a:ext>
                <a:ext uri="{FF2B5EF4-FFF2-40B4-BE49-F238E27FC236}">
                  <a16:creationId xmlns:a16="http://schemas.microsoft.com/office/drawing/2014/main" id="{00000000-0008-0000-0000-00004B100000}"/>
                </a:ext>
              </a:extLst>
            </xdr:cNvPr>
            <xdr:cNvSpPr/>
          </xdr:nvSpPr>
          <xdr:spPr bwMode="auto">
            <a:xfrm>
              <a:off x="0" y="0"/>
              <a:ext cx="0" cy="0"/>
            </a:xfrm>
            <a:prstGeom prst="rect">
              <a:avLst/>
            </a:prstGeom>
            <a:noFill/>
            <a:ln w="3175">
              <a:solidFill>
                <a:srgbClr val="FF6600" mc:Ignorable="a14" a14:legacySpreadsheetColorIndex="53"/>
              </a:solidFill>
              <a:miter lim="800000"/>
              <a:headEnd/>
              <a:tailEnd/>
            </a:ln>
            <a:extLst>
              <a:ext uri="{909E8E84-426E-40DD-AFC4-6F175D3DCCD1}">
                <a14:hiddenFill>
                  <a:solidFill>
                    <a:srgbClr val="FFFFFF"/>
                  </a:solidFill>
                </a14:hiddenFill>
              </a:ext>
            </a:extLst>
          </xdr:spPr>
        </xdr:sp>
        <xdr:clientData/>
      </xdr:twoCellAnchor>
    </mc:Choice>
    <mc:Fallback/>
  </mc:AlternateContent>
</xdr:wsDr>
</file>

<file path=xl/drawings/drawing10.xml><?xml version="1.0" encoding="utf-8"?>
<xdr:wsDr xmlns:xdr="http://schemas.openxmlformats.org/drawingml/2006/spreadsheetDrawing" xmlns:a="http://schemas.openxmlformats.org/drawingml/2006/main">
  <xdr:twoCellAnchor>
    <xdr:from>
      <xdr:col>0</xdr:col>
      <xdr:colOff>476250</xdr:colOff>
      <xdr:row>16</xdr:row>
      <xdr:rowOff>114300</xdr:rowOff>
    </xdr:from>
    <xdr:to>
      <xdr:col>4</xdr:col>
      <xdr:colOff>619125</xdr:colOff>
      <xdr:row>28</xdr:row>
      <xdr:rowOff>95250</xdr:rowOff>
    </xdr:to>
    <xdr:sp macro="" textlink="">
      <xdr:nvSpPr>
        <xdr:cNvPr id="2051" name="Text Box 3">
          <a:extLst>
            <a:ext uri="{FF2B5EF4-FFF2-40B4-BE49-F238E27FC236}">
              <a16:creationId xmlns:a16="http://schemas.microsoft.com/office/drawing/2014/main" id="{00000000-0008-0000-1000-000003080000}"/>
            </a:ext>
          </a:extLst>
        </xdr:cNvPr>
        <xdr:cNvSpPr txBox="1">
          <a:spLocks noChangeArrowheads="1"/>
        </xdr:cNvSpPr>
      </xdr:nvSpPr>
      <xdr:spPr bwMode="auto">
        <a:xfrm>
          <a:off x="495300" y="2752725"/>
          <a:ext cx="3200400" cy="1914525"/>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1">
            <a:defRPr sz="1000"/>
          </a:pPr>
          <a:r>
            <a:rPr lang="es-ES" sz="1200" b="1" i="0" u="sng" strike="noStrike">
              <a:solidFill>
                <a:srgbClr val="000000"/>
              </a:solidFill>
              <a:latin typeface="Times New Roman"/>
              <a:cs typeface="Times New Roman"/>
            </a:rPr>
            <a:t>Fórmulas para comprobar a flexión pura y simple y esviada la sección.</a:t>
          </a:r>
          <a:endParaRPr lang="es-ES" sz="1200" b="0" i="0" strike="noStrike">
            <a:solidFill>
              <a:srgbClr val="000000"/>
            </a:solidFill>
            <a:latin typeface="Times New Roman"/>
            <a:cs typeface="Times New Roman"/>
          </a:endParaRPr>
        </a:p>
        <a:p>
          <a:pPr algn="l" rtl="1">
            <a:defRPr sz="1000"/>
          </a:pPr>
          <a:r>
            <a:rPr lang="es-ES" sz="1200" b="0" i="0" strike="noStrike">
              <a:solidFill>
                <a:srgbClr val="000000"/>
              </a:solidFill>
              <a:latin typeface="Times New Roman"/>
              <a:cs typeface="Times New Roman"/>
            </a:rPr>
            <a:t>1.No se debe de rellenar ninguna casilla coloreada.</a:t>
          </a:r>
        </a:p>
        <a:p>
          <a:pPr algn="l" rtl="1">
            <a:defRPr sz="1000"/>
          </a:pPr>
          <a:r>
            <a:rPr lang="es-ES" sz="1200" b="0" i="0" strike="noStrike">
              <a:solidFill>
                <a:srgbClr val="000000"/>
              </a:solidFill>
              <a:latin typeface="Times New Roman"/>
              <a:cs typeface="Times New Roman"/>
            </a:rPr>
            <a:t>2.Las unidades en que deben de introducirse los datos están indicadas.</a:t>
          </a:r>
        </a:p>
        <a:p>
          <a:pPr algn="l" rtl="1">
            <a:defRPr sz="1000"/>
          </a:pPr>
          <a:r>
            <a:rPr lang="es-ES" sz="1200" b="0" i="0" strike="noStrike">
              <a:solidFill>
                <a:srgbClr val="000000"/>
              </a:solidFill>
              <a:latin typeface="Times New Roman"/>
              <a:cs typeface="Times New Roman"/>
            </a:rPr>
            <a:t>3.puede calcularse hasta tres perfiles</a:t>
          </a:r>
        </a:p>
        <a:p>
          <a:pPr algn="l" rtl="1">
            <a:defRPr sz="1000"/>
          </a:pPr>
          <a:r>
            <a:rPr lang="es-ES" sz="1200" b="0" i="0" strike="noStrike">
              <a:solidFill>
                <a:srgbClr val="000000"/>
              </a:solidFill>
              <a:latin typeface="Times New Roman"/>
              <a:cs typeface="Times New Roman"/>
            </a:rPr>
            <a:t>4.Cualquier valor menor o igual que 1 es válido</a:t>
          </a:r>
        </a:p>
        <a:p>
          <a:pPr algn="l" rtl="1">
            <a:defRPr sz="1000"/>
          </a:pPr>
          <a:endParaRPr lang="es-ES" sz="1200" b="0" i="0" strike="noStrike">
            <a:solidFill>
              <a:srgbClr val="000000"/>
            </a:solidFill>
            <a:latin typeface="Times New Roman"/>
            <a:cs typeface="Times New Roman"/>
          </a:endParaRPr>
        </a:p>
      </xdr:txBody>
    </xdr:sp>
    <xdr:clientData/>
  </xdr:twoCellAnchor>
  <mc:AlternateContent xmlns:mc="http://schemas.openxmlformats.org/markup-compatibility/2006">
    <mc:Choice xmlns:a14="http://schemas.microsoft.com/office/drawing/2010/main" Requires="a14">
      <xdr:twoCellAnchor>
        <xdr:from>
          <xdr:col>4</xdr:col>
          <xdr:colOff>114300</xdr:colOff>
          <xdr:row>2</xdr:row>
          <xdr:rowOff>19050</xdr:rowOff>
        </xdr:from>
        <xdr:to>
          <xdr:col>6</xdr:col>
          <xdr:colOff>114300</xdr:colOff>
          <xdr:row>5</xdr:row>
          <xdr:rowOff>85725</xdr:rowOff>
        </xdr:to>
        <xdr:sp macro="" textlink="">
          <xdr:nvSpPr>
            <xdr:cNvPr id="2049" name="Object 1" hidden="1">
              <a:extLst>
                <a:ext uri="{63B3BB69-23CF-44E3-9099-C40C66FF867C}">
                  <a14:compatExt spid="_x0000_s2049"/>
                </a:ext>
                <a:ext uri="{FF2B5EF4-FFF2-40B4-BE49-F238E27FC236}">
                  <a16:creationId xmlns:a16="http://schemas.microsoft.com/office/drawing/2014/main" id="{00000000-0008-0000-1000-00000108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11</xdr:col>
      <xdr:colOff>180975</xdr:colOff>
      <xdr:row>37</xdr:row>
      <xdr:rowOff>85725</xdr:rowOff>
    </xdr:from>
    <xdr:to>
      <xdr:col>19</xdr:col>
      <xdr:colOff>247650</xdr:colOff>
      <xdr:row>48</xdr:row>
      <xdr:rowOff>152400</xdr:rowOff>
    </xdr:to>
    <xdr:sp macro="" textlink="">
      <xdr:nvSpPr>
        <xdr:cNvPr id="3079" name="Text Box 7">
          <a:extLst>
            <a:ext uri="{FF2B5EF4-FFF2-40B4-BE49-F238E27FC236}">
              <a16:creationId xmlns:a16="http://schemas.microsoft.com/office/drawing/2014/main" id="{00000000-0008-0000-0100-0000070C0000}"/>
            </a:ext>
          </a:extLst>
        </xdr:cNvPr>
        <xdr:cNvSpPr txBox="1">
          <a:spLocks noChangeArrowheads="1"/>
        </xdr:cNvSpPr>
      </xdr:nvSpPr>
      <xdr:spPr bwMode="auto">
        <a:xfrm>
          <a:off x="6334125" y="6619875"/>
          <a:ext cx="5924550" cy="1857375"/>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1">
            <a:defRPr sz="1000"/>
          </a:pPr>
          <a:r>
            <a:rPr lang="es-ES" sz="1200" b="1" i="1" strike="noStrike">
              <a:solidFill>
                <a:srgbClr val="000000"/>
              </a:solidFill>
              <a:latin typeface="Times New Roman"/>
              <a:cs typeface="Times New Roman"/>
            </a:rPr>
            <a:t>Uso de la aplicación:</a:t>
          </a:r>
          <a:endParaRPr lang="es-ES" sz="1200" b="0" i="0" strike="noStrike">
            <a:solidFill>
              <a:srgbClr val="000000"/>
            </a:solidFill>
            <a:latin typeface="Times New Roman"/>
            <a:cs typeface="Times New Roman"/>
          </a:endParaRPr>
        </a:p>
        <a:p>
          <a:pPr algn="l" rtl="1">
            <a:defRPr sz="1000"/>
          </a:pPr>
          <a:r>
            <a:rPr lang="es-ES" sz="1200" b="0" i="0" strike="noStrike">
              <a:solidFill>
                <a:srgbClr val="000000"/>
              </a:solidFill>
              <a:latin typeface="Times New Roman"/>
              <a:cs typeface="Times New Roman"/>
            </a:rPr>
            <a:t>Se puede obtener la carga crítica, la resistencia de la sección y la de la barra, según el eje Y, además de las esbelteces y el coeficiente GI .</a:t>
          </a:r>
        </a:p>
        <a:p>
          <a:pPr algn="l" rtl="1">
            <a:defRPr sz="1000"/>
          </a:pPr>
          <a:r>
            <a:rPr lang="es-ES" sz="1200" b="0" i="0" strike="noStrike">
              <a:solidFill>
                <a:srgbClr val="FF9900"/>
              </a:solidFill>
              <a:latin typeface="Times New Roman"/>
              <a:cs typeface="Times New Roman"/>
            </a:rPr>
            <a:t>Se introducen datos</a:t>
          </a:r>
          <a:r>
            <a:rPr lang="es-ES" sz="1200" b="0" i="0" strike="noStrike">
              <a:solidFill>
                <a:srgbClr val="000000"/>
              </a:solidFill>
              <a:latin typeface="Times New Roman"/>
              <a:cs typeface="Times New Roman"/>
            </a:rPr>
            <a:t> </a:t>
          </a:r>
          <a:r>
            <a:rPr lang="es-ES" sz="1200" b="0" i="0" strike="noStrike">
              <a:solidFill>
                <a:srgbClr val="800080"/>
              </a:solidFill>
              <a:latin typeface="Times New Roman"/>
              <a:cs typeface="Times New Roman"/>
            </a:rPr>
            <a:t>únicamente</a:t>
          </a:r>
          <a:r>
            <a:rPr lang="es-ES" sz="1200" b="0" i="0" strike="noStrike">
              <a:solidFill>
                <a:srgbClr val="000000"/>
              </a:solidFill>
              <a:latin typeface="Times New Roman"/>
              <a:cs typeface="Times New Roman"/>
            </a:rPr>
            <a:t> donde no haya fómulas: En las casillas naranjas.</a:t>
          </a:r>
        </a:p>
        <a:p>
          <a:pPr algn="l" rtl="1">
            <a:defRPr sz="1000"/>
          </a:pPr>
          <a:r>
            <a:rPr lang="es-ES" sz="1200" b="0" i="0" strike="noStrike">
              <a:solidFill>
                <a:srgbClr val="00FFFF"/>
              </a:solidFill>
              <a:latin typeface="Times New Roman"/>
              <a:cs typeface="Times New Roman"/>
            </a:rPr>
            <a:t>Los resultados </a:t>
          </a:r>
          <a:r>
            <a:rPr lang="es-ES" sz="1200" b="0" i="0" strike="noStrike">
              <a:solidFill>
                <a:srgbClr val="000000"/>
              </a:solidFill>
              <a:latin typeface="Times New Roman"/>
              <a:cs typeface="Times New Roman"/>
            </a:rPr>
            <a:t>están en las casillas azul celeste</a:t>
          </a:r>
        </a:p>
        <a:p>
          <a:pPr algn="l" rtl="1">
            <a:defRPr sz="1000"/>
          </a:pPr>
          <a:r>
            <a:rPr lang="es-ES" sz="1200" b="0" i="0" strike="noStrike">
              <a:solidFill>
                <a:srgbClr val="000000"/>
              </a:solidFill>
              <a:latin typeface="Times New Roman"/>
              <a:cs typeface="Times New Roman"/>
            </a:rPr>
            <a:t>En la fila 12 se pueden meter los datos de un perfil y en la 24 aparcen los resultados.</a:t>
          </a:r>
        </a:p>
        <a:p>
          <a:pPr algn="l" rtl="1">
            <a:defRPr sz="1000"/>
          </a:pPr>
          <a:r>
            <a:rPr lang="es-ES" sz="1200" b="0" i="0" strike="noStrike">
              <a:solidFill>
                <a:srgbClr val="000000"/>
              </a:solidFill>
              <a:latin typeface="Times New Roman"/>
              <a:cs typeface="Times New Roman"/>
            </a:rPr>
            <a:t>Los datos de los HEB introducidos son correctos.</a:t>
          </a:r>
        </a:p>
        <a:p>
          <a:pPr algn="l" rtl="1">
            <a:defRPr sz="1000"/>
          </a:pPr>
          <a:r>
            <a:rPr lang="es-ES" sz="1200" b="0" i="0" strike="noStrike">
              <a:solidFill>
                <a:srgbClr val="000000"/>
              </a:solidFill>
              <a:latin typeface="Times New Roman"/>
              <a:cs typeface="Times New Roman"/>
            </a:rPr>
            <a:t>Las demás filas no calculan correctamene gi (y).</a:t>
          </a:r>
        </a:p>
        <a:p>
          <a:pPr algn="l" rtl="1">
            <a:defRPr sz="1000"/>
          </a:pPr>
          <a:endParaRPr lang="es-ES" sz="1200" b="0" i="0" strike="noStrike">
            <a:solidFill>
              <a:srgbClr val="000000"/>
            </a:solidFill>
            <a:latin typeface="Times New Roman"/>
            <a:cs typeface="Times New Roman"/>
          </a:endParaRPr>
        </a:p>
      </xdr:txBody>
    </xdr:sp>
    <xdr:clientData/>
  </xdr:twoCellAnchor>
  <xdr:twoCellAnchor editAs="oneCell">
    <xdr:from>
      <xdr:col>7</xdr:col>
      <xdr:colOff>466725</xdr:colOff>
      <xdr:row>49</xdr:row>
      <xdr:rowOff>19050</xdr:rowOff>
    </xdr:from>
    <xdr:to>
      <xdr:col>13</xdr:col>
      <xdr:colOff>760095</xdr:colOff>
      <xdr:row>71</xdr:row>
      <xdr:rowOff>114300</xdr:rowOff>
    </xdr:to>
    <xdr:pic>
      <xdr:nvPicPr>
        <xdr:cNvPr id="3096" name="2 Imagen">
          <a:extLst>
            <a:ext uri="{FF2B5EF4-FFF2-40B4-BE49-F238E27FC236}">
              <a16:creationId xmlns:a16="http://schemas.microsoft.com/office/drawing/2014/main" id="{00000000-0008-0000-0100-0000180C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5153025" y="8924925"/>
          <a:ext cx="3943350" cy="3924300"/>
        </a:xfrm>
        <a:prstGeom prst="rect">
          <a:avLst/>
        </a:prstGeom>
        <a:noFill/>
        <a:ln w="9525">
          <a:noFill/>
          <a:miter lim="800000"/>
          <a:headEnd/>
          <a:tailEnd/>
        </a:ln>
      </xdr:spPr>
    </xdr:pic>
    <xdr:clientData/>
  </xdr:twoCellAnchor>
  <mc:AlternateContent xmlns:mc="http://schemas.openxmlformats.org/markup-compatibility/2006">
    <mc:Choice xmlns:a14="http://schemas.microsoft.com/office/drawing/2010/main" Requires="a14">
      <xdr:twoCellAnchor>
        <xdr:from>
          <xdr:col>15</xdr:col>
          <xdr:colOff>209550</xdr:colOff>
          <xdr:row>7</xdr:row>
          <xdr:rowOff>19050</xdr:rowOff>
        </xdr:from>
        <xdr:to>
          <xdr:col>17</xdr:col>
          <xdr:colOff>95250</xdr:colOff>
          <xdr:row>10</xdr:row>
          <xdr:rowOff>76200</xdr:rowOff>
        </xdr:to>
        <xdr:sp macro="" textlink="">
          <xdr:nvSpPr>
            <xdr:cNvPr id="3073" name="Object 1" hidden="1">
              <a:extLst>
                <a:ext uri="{63B3BB69-23CF-44E3-9099-C40C66FF867C}">
                  <a14:compatExt spid="_x0000_s3073"/>
                </a:ext>
                <a:ext uri="{FF2B5EF4-FFF2-40B4-BE49-F238E27FC236}">
                  <a16:creationId xmlns:a16="http://schemas.microsoft.com/office/drawing/2014/main" id="{00000000-0008-0000-0100-0000010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xdr:col>
          <xdr:colOff>95250</xdr:colOff>
          <xdr:row>36</xdr:row>
          <xdr:rowOff>9525</xdr:rowOff>
        </xdr:from>
        <xdr:to>
          <xdr:col>4</xdr:col>
          <xdr:colOff>133350</xdr:colOff>
          <xdr:row>38</xdr:row>
          <xdr:rowOff>76200</xdr:rowOff>
        </xdr:to>
        <xdr:sp macro="" textlink="">
          <xdr:nvSpPr>
            <xdr:cNvPr id="3088" name="Object 16" hidden="1">
              <a:extLst>
                <a:ext uri="{63B3BB69-23CF-44E3-9099-C40C66FF867C}">
                  <a14:compatExt spid="_x0000_s3088"/>
                </a:ext>
                <a:ext uri="{FF2B5EF4-FFF2-40B4-BE49-F238E27FC236}">
                  <a16:creationId xmlns:a16="http://schemas.microsoft.com/office/drawing/2014/main" id="{00000000-0008-0000-0100-0000100C0000}"/>
                </a:ext>
              </a:extLst>
            </xdr:cNvPr>
            <xdr:cNvSpPr/>
          </xdr:nvSpPr>
          <xdr:spPr bwMode="auto">
            <a:xfrm>
              <a:off x="0" y="0"/>
              <a:ext cx="0" cy="0"/>
            </a:xfrm>
            <a:prstGeom prst="rect">
              <a:avLst/>
            </a:prstGeom>
            <a:solidFill>
              <a:srgbClr val="339966" mc:Ignorable="a14" a14:legacySpreadsheetColorIndex="57">
                <a:alpha val="10001"/>
              </a:srgbClr>
            </a:solidFill>
          </xdr:spPr>
        </xdr:sp>
        <xdr:clientData/>
      </xdr:twoCellAnchor>
    </mc:Choice>
    <mc:Fallback/>
  </mc:AlternateContent>
  <mc:AlternateContent xmlns:mc="http://schemas.openxmlformats.org/markup-compatibility/2006">
    <mc:Choice xmlns:a14="http://schemas.microsoft.com/office/drawing/2010/main" Requires="a14">
      <xdr:twoCellAnchor>
        <xdr:from>
          <xdr:col>5</xdr:col>
          <xdr:colOff>66675</xdr:colOff>
          <xdr:row>36</xdr:row>
          <xdr:rowOff>9525</xdr:rowOff>
        </xdr:from>
        <xdr:to>
          <xdr:col>7</xdr:col>
          <xdr:colOff>209550</xdr:colOff>
          <xdr:row>38</xdr:row>
          <xdr:rowOff>95250</xdr:rowOff>
        </xdr:to>
        <xdr:sp macro="" textlink="">
          <xdr:nvSpPr>
            <xdr:cNvPr id="3089" name="Object 17" hidden="1">
              <a:extLst>
                <a:ext uri="{63B3BB69-23CF-44E3-9099-C40C66FF867C}">
                  <a14:compatExt spid="_x0000_s3089"/>
                </a:ext>
                <a:ext uri="{FF2B5EF4-FFF2-40B4-BE49-F238E27FC236}">
                  <a16:creationId xmlns:a16="http://schemas.microsoft.com/office/drawing/2014/main" id="{00000000-0008-0000-0100-0000110C0000}"/>
                </a:ext>
              </a:extLst>
            </xdr:cNvPr>
            <xdr:cNvSpPr/>
          </xdr:nvSpPr>
          <xdr:spPr bwMode="auto">
            <a:xfrm>
              <a:off x="0" y="0"/>
              <a:ext cx="0" cy="0"/>
            </a:xfrm>
            <a:prstGeom prst="rect">
              <a:avLst/>
            </a:prstGeom>
            <a:solidFill>
              <a:srgbClr val="339966" mc:Ignorable="a14" a14:legacySpreadsheetColorIndex="57">
                <a:alpha val="10001"/>
              </a:srgbClr>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xdr:col>
          <xdr:colOff>47625</xdr:colOff>
          <xdr:row>47</xdr:row>
          <xdr:rowOff>47625</xdr:rowOff>
        </xdr:from>
        <xdr:to>
          <xdr:col>5</xdr:col>
          <xdr:colOff>352425</xdr:colOff>
          <xdr:row>51</xdr:row>
          <xdr:rowOff>38100</xdr:rowOff>
        </xdr:to>
        <xdr:sp macro="" textlink="">
          <xdr:nvSpPr>
            <xdr:cNvPr id="3091" name="Object 19" hidden="1">
              <a:extLst>
                <a:ext uri="{63B3BB69-23CF-44E3-9099-C40C66FF867C}">
                  <a14:compatExt spid="_x0000_s3091"/>
                </a:ext>
                <a:ext uri="{FF2B5EF4-FFF2-40B4-BE49-F238E27FC236}">
                  <a16:creationId xmlns:a16="http://schemas.microsoft.com/office/drawing/2014/main" id="{00000000-0008-0000-0100-0000130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476250</xdr:colOff>
          <xdr:row>53</xdr:row>
          <xdr:rowOff>57150</xdr:rowOff>
        </xdr:from>
        <xdr:to>
          <xdr:col>4</xdr:col>
          <xdr:colOff>285750</xdr:colOff>
          <xdr:row>55</xdr:row>
          <xdr:rowOff>95250</xdr:rowOff>
        </xdr:to>
        <xdr:sp macro="" textlink="">
          <xdr:nvSpPr>
            <xdr:cNvPr id="3092" name="Object 20" hidden="1">
              <a:extLst>
                <a:ext uri="{63B3BB69-23CF-44E3-9099-C40C66FF867C}">
                  <a14:compatExt spid="_x0000_s3092"/>
                </a:ext>
                <a:ext uri="{FF2B5EF4-FFF2-40B4-BE49-F238E27FC236}">
                  <a16:creationId xmlns:a16="http://schemas.microsoft.com/office/drawing/2014/main" id="{00000000-0008-0000-0100-0000140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2</xdr:col>
          <xdr:colOff>419100</xdr:colOff>
          <xdr:row>56</xdr:row>
          <xdr:rowOff>19050</xdr:rowOff>
        </xdr:from>
        <xdr:to>
          <xdr:col>4</xdr:col>
          <xdr:colOff>323850</xdr:colOff>
          <xdr:row>59</xdr:row>
          <xdr:rowOff>123825</xdr:rowOff>
        </xdr:to>
        <xdr:sp macro="" textlink="">
          <xdr:nvSpPr>
            <xdr:cNvPr id="3093" name="Object 21" hidden="1">
              <a:extLst>
                <a:ext uri="{63B3BB69-23CF-44E3-9099-C40C66FF867C}">
                  <a14:compatExt spid="_x0000_s3093"/>
                </a:ext>
                <a:ext uri="{FF2B5EF4-FFF2-40B4-BE49-F238E27FC236}">
                  <a16:creationId xmlns:a16="http://schemas.microsoft.com/office/drawing/2014/main" id="{00000000-0008-0000-0100-0000150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2</xdr:col>
          <xdr:colOff>438150</xdr:colOff>
          <xdr:row>60</xdr:row>
          <xdr:rowOff>19050</xdr:rowOff>
        </xdr:from>
        <xdr:to>
          <xdr:col>4</xdr:col>
          <xdr:colOff>323850</xdr:colOff>
          <xdr:row>64</xdr:row>
          <xdr:rowOff>0</xdr:rowOff>
        </xdr:to>
        <xdr:sp macro="" textlink="">
          <xdr:nvSpPr>
            <xdr:cNvPr id="3094" name="Object 22" hidden="1">
              <a:extLst>
                <a:ext uri="{63B3BB69-23CF-44E3-9099-C40C66FF867C}">
                  <a14:compatExt spid="_x0000_s3094"/>
                </a:ext>
                <a:ext uri="{FF2B5EF4-FFF2-40B4-BE49-F238E27FC236}">
                  <a16:creationId xmlns:a16="http://schemas.microsoft.com/office/drawing/2014/main" id="{00000000-0008-0000-0100-0000160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xdr:from>
      <xdr:col>12</xdr:col>
      <xdr:colOff>662940</xdr:colOff>
      <xdr:row>28</xdr:row>
      <xdr:rowOff>30480</xdr:rowOff>
    </xdr:from>
    <xdr:to>
      <xdr:col>14</xdr:col>
      <xdr:colOff>198120</xdr:colOff>
      <xdr:row>32</xdr:row>
      <xdr:rowOff>30480</xdr:rowOff>
    </xdr:to>
    <xdr:pic>
      <xdr:nvPicPr>
        <xdr:cNvPr id="11" name="10 Imagen">
          <a:extLst>
            <a:ext uri="{FF2B5EF4-FFF2-40B4-BE49-F238E27FC236}">
              <a16:creationId xmlns:a16="http://schemas.microsoft.com/office/drawing/2014/main" id="{00000000-0008-0000-0100-00000B000000}"/>
            </a:ext>
          </a:extLst>
        </xdr:cNvPr>
        <xdr:cNvPicPr>
          <a:picLocks noChangeAspect="1" noChangeArrowheads="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8237220" y="5196840"/>
          <a:ext cx="1135380" cy="7543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5</xdr:col>
      <xdr:colOff>47625</xdr:colOff>
      <xdr:row>13</xdr:row>
      <xdr:rowOff>142875</xdr:rowOff>
    </xdr:from>
    <xdr:to>
      <xdr:col>5</xdr:col>
      <xdr:colOff>504825</xdr:colOff>
      <xdr:row>15</xdr:row>
      <xdr:rowOff>152400</xdr:rowOff>
    </xdr:to>
    <xdr:pic>
      <xdr:nvPicPr>
        <xdr:cNvPr id="12310" name="Picture 1">
          <a:extLst>
            <a:ext uri="{FF2B5EF4-FFF2-40B4-BE49-F238E27FC236}">
              <a16:creationId xmlns:a16="http://schemas.microsoft.com/office/drawing/2014/main" id="{00000000-0008-0000-0200-000016300000}"/>
            </a:ext>
          </a:extLst>
        </xdr:cNvPr>
        <xdr:cNvPicPr>
          <a:picLocks noChangeAspect="1" noChangeArrowheads="1"/>
        </xdr:cNvPicPr>
      </xdr:nvPicPr>
      <xdr:blipFill>
        <a:blip xmlns:r="http://schemas.openxmlformats.org/officeDocument/2006/relationships" r:embed="rId1" cstate="print">
          <a:clrChange>
            <a:clrFrom>
              <a:srgbClr val="FFFFFF"/>
            </a:clrFrom>
            <a:clrTo>
              <a:srgbClr val="FFFFFF">
                <a:alpha val="0"/>
              </a:srgbClr>
            </a:clrTo>
          </a:clrChange>
        </a:blip>
        <a:srcRect/>
        <a:stretch>
          <a:fillRect/>
        </a:stretch>
      </xdr:blipFill>
      <xdr:spPr bwMode="auto">
        <a:xfrm>
          <a:off x="3324225" y="2476500"/>
          <a:ext cx="457200" cy="428625"/>
        </a:xfrm>
        <a:prstGeom prst="rect">
          <a:avLst/>
        </a:prstGeom>
        <a:noFill/>
        <a:ln w="9525">
          <a:noFill/>
          <a:miter lim="800000"/>
          <a:headEnd/>
          <a:tailEnd/>
        </a:ln>
      </xdr:spPr>
    </xdr:pic>
    <xdr:clientData/>
  </xdr:twoCellAnchor>
  <xdr:twoCellAnchor>
    <xdr:from>
      <xdr:col>10</xdr:col>
      <xdr:colOff>255270</xdr:colOff>
      <xdr:row>43</xdr:row>
      <xdr:rowOff>87630</xdr:rowOff>
    </xdr:from>
    <xdr:to>
      <xdr:col>11</xdr:col>
      <xdr:colOff>579120</xdr:colOff>
      <xdr:row>44</xdr:row>
      <xdr:rowOff>57150</xdr:rowOff>
    </xdr:to>
    <xdr:pic>
      <xdr:nvPicPr>
        <xdr:cNvPr id="12311" name="Picture 5">
          <a:extLst>
            <a:ext uri="{FF2B5EF4-FFF2-40B4-BE49-F238E27FC236}">
              <a16:creationId xmlns:a16="http://schemas.microsoft.com/office/drawing/2014/main" id="{00000000-0008-0000-0200-000017300000}"/>
            </a:ext>
          </a:extLst>
        </xdr:cNvPr>
        <xdr:cNvPicPr>
          <a:picLocks noChangeAspect="1" noChangeArrowheads="1"/>
        </xdr:cNvPicPr>
      </xdr:nvPicPr>
      <xdr:blipFill>
        <a:blip xmlns:r="http://schemas.openxmlformats.org/officeDocument/2006/relationships" r:embed="rId2" cstate="print">
          <a:clrChange>
            <a:clrFrom>
              <a:srgbClr val="FFFFFF"/>
            </a:clrFrom>
            <a:clrTo>
              <a:srgbClr val="FFFFFF">
                <a:alpha val="0"/>
              </a:srgbClr>
            </a:clrTo>
          </a:clrChange>
        </a:blip>
        <a:srcRect/>
        <a:stretch>
          <a:fillRect/>
        </a:stretch>
      </xdr:blipFill>
      <xdr:spPr bwMode="auto">
        <a:xfrm>
          <a:off x="7349490" y="8233410"/>
          <a:ext cx="1116330" cy="167640"/>
        </a:xfrm>
        <a:prstGeom prst="rect">
          <a:avLst/>
        </a:prstGeom>
        <a:noFill/>
        <a:ln w="9525">
          <a:noFill/>
          <a:miter lim="800000"/>
          <a:headEnd/>
          <a:tailEnd/>
        </a:ln>
      </xdr:spPr>
    </xdr:pic>
    <xdr:clientData/>
  </xdr:twoCellAnchor>
  <xdr:twoCellAnchor>
    <xdr:from>
      <xdr:col>13</xdr:col>
      <xdr:colOff>47625</xdr:colOff>
      <xdr:row>31</xdr:row>
      <xdr:rowOff>114300</xdr:rowOff>
    </xdr:from>
    <xdr:to>
      <xdr:col>14</xdr:col>
      <xdr:colOff>219075</xdr:colOff>
      <xdr:row>33</xdr:row>
      <xdr:rowOff>28575</xdr:rowOff>
    </xdr:to>
    <xdr:pic>
      <xdr:nvPicPr>
        <xdr:cNvPr id="12312" name="Picture 4">
          <a:extLst>
            <a:ext uri="{FF2B5EF4-FFF2-40B4-BE49-F238E27FC236}">
              <a16:creationId xmlns:a16="http://schemas.microsoft.com/office/drawing/2014/main" id="{00000000-0008-0000-0200-000018300000}"/>
            </a:ext>
          </a:extLst>
        </xdr:cNvPr>
        <xdr:cNvPicPr>
          <a:picLocks noChangeAspect="1" noChangeArrowheads="1"/>
        </xdr:cNvPicPr>
      </xdr:nvPicPr>
      <xdr:blipFill>
        <a:blip xmlns:r="http://schemas.openxmlformats.org/officeDocument/2006/relationships" r:embed="rId3" cstate="print">
          <a:clrChange>
            <a:clrFrom>
              <a:srgbClr val="FFFFFF"/>
            </a:clrFrom>
            <a:clrTo>
              <a:srgbClr val="FFFFFF">
                <a:alpha val="0"/>
              </a:srgbClr>
            </a:clrTo>
          </a:clrChange>
        </a:blip>
        <a:srcRect/>
        <a:stretch>
          <a:fillRect/>
        </a:stretch>
      </xdr:blipFill>
      <xdr:spPr bwMode="auto">
        <a:xfrm>
          <a:off x="9077325" y="6162675"/>
          <a:ext cx="933450" cy="238125"/>
        </a:xfrm>
        <a:prstGeom prst="rect">
          <a:avLst/>
        </a:prstGeom>
        <a:noFill/>
        <a:ln w="9525">
          <a:noFill/>
          <a:miter lim="800000"/>
          <a:headEnd/>
          <a:tailEnd/>
        </a:ln>
      </xdr:spPr>
    </xdr:pic>
    <xdr:clientData/>
  </xdr:twoCellAnchor>
  <xdr:twoCellAnchor>
    <xdr:from>
      <xdr:col>10</xdr:col>
      <xdr:colOff>297180</xdr:colOff>
      <xdr:row>46</xdr:row>
      <xdr:rowOff>137160</xdr:rowOff>
    </xdr:from>
    <xdr:to>
      <xdr:col>11</xdr:col>
      <xdr:colOff>544830</xdr:colOff>
      <xdr:row>48</xdr:row>
      <xdr:rowOff>95250</xdr:rowOff>
    </xdr:to>
    <xdr:pic>
      <xdr:nvPicPr>
        <xdr:cNvPr id="12313" name="Picture 8">
          <a:extLst>
            <a:ext uri="{FF2B5EF4-FFF2-40B4-BE49-F238E27FC236}">
              <a16:creationId xmlns:a16="http://schemas.microsoft.com/office/drawing/2014/main" id="{00000000-0008-0000-0200-000019300000}"/>
            </a:ext>
          </a:extLst>
        </xdr:cNvPr>
        <xdr:cNvPicPr>
          <a:picLocks noChangeAspect="1" noChangeArrowheads="1"/>
        </xdr:cNvPicPr>
      </xdr:nvPicPr>
      <xdr:blipFill>
        <a:blip xmlns:r="http://schemas.openxmlformats.org/officeDocument/2006/relationships" r:embed="rId4" cstate="print">
          <a:clrChange>
            <a:clrFrom>
              <a:srgbClr val="FFFFFF"/>
            </a:clrFrom>
            <a:clrTo>
              <a:srgbClr val="FFFFFF">
                <a:alpha val="0"/>
              </a:srgbClr>
            </a:clrTo>
          </a:clrChange>
        </a:blip>
        <a:srcRect/>
        <a:stretch>
          <a:fillRect/>
        </a:stretch>
      </xdr:blipFill>
      <xdr:spPr bwMode="auto">
        <a:xfrm>
          <a:off x="7391400" y="8846820"/>
          <a:ext cx="1040130" cy="293370"/>
        </a:xfrm>
        <a:prstGeom prst="rect">
          <a:avLst/>
        </a:prstGeom>
        <a:noFill/>
        <a:ln w="9525">
          <a:noFill/>
          <a:miter lim="800000"/>
          <a:headEnd/>
          <a:tailEnd/>
        </a:ln>
      </xdr:spPr>
    </xdr:pic>
    <xdr:clientData/>
  </xdr:twoCellAnchor>
  <xdr:twoCellAnchor>
    <xdr:from>
      <xdr:col>4</xdr:col>
      <xdr:colOff>419100</xdr:colOff>
      <xdr:row>33</xdr:row>
      <xdr:rowOff>76200</xdr:rowOff>
    </xdr:from>
    <xdr:to>
      <xdr:col>5</xdr:col>
      <xdr:colOff>552450</xdr:colOff>
      <xdr:row>35</xdr:row>
      <xdr:rowOff>0</xdr:rowOff>
    </xdr:to>
    <xdr:pic>
      <xdr:nvPicPr>
        <xdr:cNvPr id="12314" name="Picture 9">
          <a:extLst>
            <a:ext uri="{FF2B5EF4-FFF2-40B4-BE49-F238E27FC236}">
              <a16:creationId xmlns:a16="http://schemas.microsoft.com/office/drawing/2014/main" id="{00000000-0008-0000-0200-00001A300000}"/>
            </a:ext>
          </a:extLst>
        </xdr:cNvPr>
        <xdr:cNvPicPr>
          <a:picLocks noChangeAspect="1" noChangeArrowheads="1"/>
        </xdr:cNvPicPr>
      </xdr:nvPicPr>
      <xdr:blipFill>
        <a:blip xmlns:r="http://schemas.openxmlformats.org/officeDocument/2006/relationships" r:embed="rId5" cstate="print">
          <a:clrChange>
            <a:clrFrom>
              <a:srgbClr val="FFFFFF"/>
            </a:clrFrom>
            <a:clrTo>
              <a:srgbClr val="FFFFFF">
                <a:alpha val="0"/>
              </a:srgbClr>
            </a:clrTo>
          </a:clrChange>
        </a:blip>
        <a:srcRect/>
        <a:stretch>
          <a:fillRect/>
        </a:stretch>
      </xdr:blipFill>
      <xdr:spPr bwMode="auto">
        <a:xfrm>
          <a:off x="3000375" y="6448425"/>
          <a:ext cx="828675" cy="285750"/>
        </a:xfrm>
        <a:prstGeom prst="rect">
          <a:avLst/>
        </a:prstGeom>
        <a:noFill/>
        <a:ln w="9525">
          <a:noFill/>
          <a:miter lim="800000"/>
          <a:headEnd/>
          <a:tailEnd/>
        </a:ln>
      </xdr:spPr>
    </xdr:pic>
    <xdr:clientData/>
  </xdr:twoCellAnchor>
  <xdr:twoCellAnchor>
    <xdr:from>
      <xdr:col>10</xdr:col>
      <xdr:colOff>350520</xdr:colOff>
      <xdr:row>40</xdr:row>
      <xdr:rowOff>83820</xdr:rowOff>
    </xdr:from>
    <xdr:to>
      <xdr:col>10</xdr:col>
      <xdr:colOff>788670</xdr:colOff>
      <xdr:row>41</xdr:row>
      <xdr:rowOff>127635</xdr:rowOff>
    </xdr:to>
    <xdr:pic>
      <xdr:nvPicPr>
        <xdr:cNvPr id="12315" name="Picture 10">
          <a:extLst>
            <a:ext uri="{FF2B5EF4-FFF2-40B4-BE49-F238E27FC236}">
              <a16:creationId xmlns:a16="http://schemas.microsoft.com/office/drawing/2014/main" id="{00000000-0008-0000-0200-00001B300000}"/>
            </a:ext>
          </a:extLst>
        </xdr:cNvPr>
        <xdr:cNvPicPr>
          <a:picLocks noChangeAspect="1" noChangeArrowheads="1"/>
        </xdr:cNvPicPr>
      </xdr:nvPicPr>
      <xdr:blipFill>
        <a:blip xmlns:r="http://schemas.openxmlformats.org/officeDocument/2006/relationships" r:embed="rId6" cstate="print">
          <a:clrChange>
            <a:clrFrom>
              <a:srgbClr val="FFFFFF"/>
            </a:clrFrom>
            <a:clrTo>
              <a:srgbClr val="FFFFFF">
                <a:alpha val="0"/>
              </a:srgbClr>
            </a:clrTo>
          </a:clrChange>
        </a:blip>
        <a:srcRect/>
        <a:stretch>
          <a:fillRect/>
        </a:stretch>
      </xdr:blipFill>
      <xdr:spPr bwMode="auto">
        <a:xfrm>
          <a:off x="7444740" y="7719060"/>
          <a:ext cx="438150" cy="219075"/>
        </a:xfrm>
        <a:prstGeom prst="rect">
          <a:avLst/>
        </a:prstGeom>
        <a:noFill/>
        <a:ln w="9525">
          <a:noFill/>
          <a:miter lim="800000"/>
          <a:headEnd/>
          <a:tailEnd/>
        </a:ln>
      </xdr:spPr>
    </xdr:pic>
    <xdr:clientData/>
  </xdr:twoCellAnchor>
  <xdr:twoCellAnchor>
    <xdr:from>
      <xdr:col>10</xdr:col>
      <xdr:colOff>335280</xdr:colOff>
      <xdr:row>38</xdr:row>
      <xdr:rowOff>0</xdr:rowOff>
    </xdr:from>
    <xdr:to>
      <xdr:col>11</xdr:col>
      <xdr:colOff>182880</xdr:colOff>
      <xdr:row>38</xdr:row>
      <xdr:rowOff>171450</xdr:rowOff>
    </xdr:to>
    <xdr:pic>
      <xdr:nvPicPr>
        <xdr:cNvPr id="12316" name="Picture 13">
          <a:extLst>
            <a:ext uri="{FF2B5EF4-FFF2-40B4-BE49-F238E27FC236}">
              <a16:creationId xmlns:a16="http://schemas.microsoft.com/office/drawing/2014/main" id="{00000000-0008-0000-0200-00001C300000}"/>
            </a:ext>
          </a:extLst>
        </xdr:cNvPr>
        <xdr:cNvPicPr>
          <a:picLocks noChangeAspect="1" noChangeArrowheads="1"/>
        </xdr:cNvPicPr>
      </xdr:nvPicPr>
      <xdr:blipFill>
        <a:blip xmlns:r="http://schemas.openxmlformats.org/officeDocument/2006/relationships" r:embed="rId7" cstate="print">
          <a:clrChange>
            <a:clrFrom>
              <a:srgbClr val="FFFFFF"/>
            </a:clrFrom>
            <a:clrTo>
              <a:srgbClr val="FFFFFF">
                <a:alpha val="0"/>
              </a:srgbClr>
            </a:clrTo>
          </a:clrChange>
        </a:blip>
        <a:srcRect/>
        <a:stretch>
          <a:fillRect/>
        </a:stretch>
      </xdr:blipFill>
      <xdr:spPr bwMode="auto">
        <a:xfrm>
          <a:off x="7429500" y="7269480"/>
          <a:ext cx="640080" cy="171450"/>
        </a:xfrm>
        <a:prstGeom prst="rect">
          <a:avLst/>
        </a:prstGeom>
        <a:noFill/>
        <a:ln w="9525">
          <a:noFill/>
          <a:miter lim="800000"/>
          <a:headEnd/>
          <a:tailEnd/>
        </a:ln>
      </xdr:spPr>
    </xdr:pic>
    <xdr:clientData/>
  </xdr:twoCellAnchor>
  <xdr:twoCellAnchor>
    <xdr:from>
      <xdr:col>0</xdr:col>
      <xdr:colOff>0</xdr:colOff>
      <xdr:row>45</xdr:row>
      <xdr:rowOff>0</xdr:rowOff>
    </xdr:from>
    <xdr:to>
      <xdr:col>0</xdr:col>
      <xdr:colOff>457200</xdr:colOff>
      <xdr:row>46</xdr:row>
      <xdr:rowOff>0</xdr:rowOff>
    </xdr:to>
    <xdr:pic>
      <xdr:nvPicPr>
        <xdr:cNvPr id="12317" name="Picture 17">
          <a:extLst>
            <a:ext uri="{FF2B5EF4-FFF2-40B4-BE49-F238E27FC236}">
              <a16:creationId xmlns:a16="http://schemas.microsoft.com/office/drawing/2014/main" id="{00000000-0008-0000-0200-00001D300000}"/>
            </a:ext>
          </a:extLst>
        </xdr:cNvPr>
        <xdr:cNvPicPr>
          <a:picLocks noChangeAspect="1" noChangeArrowheads="1"/>
        </xdr:cNvPicPr>
      </xdr:nvPicPr>
      <xdr:blipFill>
        <a:blip xmlns:r="http://schemas.openxmlformats.org/officeDocument/2006/relationships" r:embed="rId8" cstate="print">
          <a:clrChange>
            <a:clrFrom>
              <a:srgbClr val="FFFFFF"/>
            </a:clrFrom>
            <a:clrTo>
              <a:srgbClr val="FFFFFF">
                <a:alpha val="0"/>
              </a:srgbClr>
            </a:clrTo>
          </a:clrChange>
        </a:blip>
        <a:srcRect/>
        <a:stretch>
          <a:fillRect/>
        </a:stretch>
      </xdr:blipFill>
      <xdr:spPr bwMode="auto">
        <a:xfrm>
          <a:off x="0" y="8620125"/>
          <a:ext cx="457200" cy="161925"/>
        </a:xfrm>
        <a:prstGeom prst="rect">
          <a:avLst/>
        </a:prstGeom>
        <a:noFill/>
        <a:ln w="9525">
          <a:noFill/>
          <a:miter lim="800000"/>
          <a:headEnd/>
          <a:tailEnd/>
        </a:ln>
      </xdr:spPr>
    </xdr:pic>
    <xdr:clientData/>
  </xdr:twoCellAnchor>
  <xdr:twoCellAnchor>
    <xdr:from>
      <xdr:col>1</xdr:col>
      <xdr:colOff>57150</xdr:colOff>
      <xdr:row>44</xdr:row>
      <xdr:rowOff>142875</xdr:rowOff>
    </xdr:from>
    <xdr:to>
      <xdr:col>1</xdr:col>
      <xdr:colOff>504825</xdr:colOff>
      <xdr:row>45</xdr:row>
      <xdr:rowOff>133350</xdr:rowOff>
    </xdr:to>
    <xdr:pic>
      <xdr:nvPicPr>
        <xdr:cNvPr id="12318" name="Picture 16">
          <a:extLst>
            <a:ext uri="{FF2B5EF4-FFF2-40B4-BE49-F238E27FC236}">
              <a16:creationId xmlns:a16="http://schemas.microsoft.com/office/drawing/2014/main" id="{00000000-0008-0000-0200-00001E300000}"/>
            </a:ext>
          </a:extLst>
        </xdr:cNvPr>
        <xdr:cNvPicPr>
          <a:picLocks noChangeAspect="1" noChangeArrowheads="1"/>
        </xdr:cNvPicPr>
      </xdr:nvPicPr>
      <xdr:blipFill>
        <a:blip xmlns:r="http://schemas.openxmlformats.org/officeDocument/2006/relationships" r:embed="rId9" cstate="print">
          <a:clrChange>
            <a:clrFrom>
              <a:srgbClr val="FFFFFF"/>
            </a:clrFrom>
            <a:clrTo>
              <a:srgbClr val="FFFFFF">
                <a:alpha val="0"/>
              </a:srgbClr>
            </a:clrTo>
          </a:clrChange>
        </a:blip>
        <a:srcRect/>
        <a:stretch>
          <a:fillRect/>
        </a:stretch>
      </xdr:blipFill>
      <xdr:spPr bwMode="auto">
        <a:xfrm>
          <a:off x="695325" y="8562975"/>
          <a:ext cx="447675" cy="190500"/>
        </a:xfrm>
        <a:prstGeom prst="rect">
          <a:avLst/>
        </a:prstGeom>
        <a:noFill/>
        <a:ln w="9525">
          <a:noFill/>
          <a:miter lim="800000"/>
          <a:headEnd/>
          <a:tailEnd/>
        </a:ln>
      </xdr:spPr>
    </xdr:pic>
    <xdr:clientData/>
  </xdr:twoCellAnchor>
  <xdr:twoCellAnchor>
    <xdr:from>
      <xdr:col>0</xdr:col>
      <xdr:colOff>28575</xdr:colOff>
      <xdr:row>46</xdr:row>
      <xdr:rowOff>9525</xdr:rowOff>
    </xdr:from>
    <xdr:to>
      <xdr:col>0</xdr:col>
      <xdr:colOff>485775</xdr:colOff>
      <xdr:row>47</xdr:row>
      <xdr:rowOff>9525</xdr:rowOff>
    </xdr:to>
    <xdr:pic>
      <xdr:nvPicPr>
        <xdr:cNvPr id="12319" name="Picture 15">
          <a:extLst>
            <a:ext uri="{FF2B5EF4-FFF2-40B4-BE49-F238E27FC236}">
              <a16:creationId xmlns:a16="http://schemas.microsoft.com/office/drawing/2014/main" id="{00000000-0008-0000-0200-00001F300000}"/>
            </a:ext>
          </a:extLst>
        </xdr:cNvPr>
        <xdr:cNvPicPr>
          <a:picLocks noChangeAspect="1" noChangeArrowheads="1"/>
        </xdr:cNvPicPr>
      </xdr:nvPicPr>
      <xdr:blipFill>
        <a:blip xmlns:r="http://schemas.openxmlformats.org/officeDocument/2006/relationships" r:embed="rId10" cstate="print">
          <a:clrChange>
            <a:clrFrom>
              <a:srgbClr val="FFFFFF"/>
            </a:clrFrom>
            <a:clrTo>
              <a:srgbClr val="FFFFFF">
                <a:alpha val="0"/>
              </a:srgbClr>
            </a:clrTo>
          </a:clrChange>
        </a:blip>
        <a:srcRect/>
        <a:stretch>
          <a:fillRect/>
        </a:stretch>
      </xdr:blipFill>
      <xdr:spPr bwMode="auto">
        <a:xfrm>
          <a:off x="28575" y="8791575"/>
          <a:ext cx="457200" cy="161925"/>
        </a:xfrm>
        <a:prstGeom prst="rect">
          <a:avLst/>
        </a:prstGeom>
        <a:noFill/>
        <a:ln w="9525">
          <a:noFill/>
          <a:miter lim="800000"/>
          <a:headEnd/>
          <a:tailEnd/>
        </a:ln>
      </xdr:spPr>
    </xdr:pic>
    <xdr:clientData/>
  </xdr:twoCellAnchor>
  <xdr:twoCellAnchor>
    <xdr:from>
      <xdr:col>1</xdr:col>
      <xdr:colOff>57150</xdr:colOff>
      <xdr:row>46</xdr:row>
      <xdr:rowOff>0</xdr:rowOff>
    </xdr:from>
    <xdr:to>
      <xdr:col>1</xdr:col>
      <xdr:colOff>504825</xdr:colOff>
      <xdr:row>47</xdr:row>
      <xdr:rowOff>0</xdr:rowOff>
    </xdr:to>
    <xdr:pic>
      <xdr:nvPicPr>
        <xdr:cNvPr id="12320" name="Picture 14">
          <a:extLst>
            <a:ext uri="{FF2B5EF4-FFF2-40B4-BE49-F238E27FC236}">
              <a16:creationId xmlns:a16="http://schemas.microsoft.com/office/drawing/2014/main" id="{00000000-0008-0000-0200-000020300000}"/>
            </a:ext>
          </a:extLst>
        </xdr:cNvPr>
        <xdr:cNvPicPr>
          <a:picLocks noChangeAspect="1" noChangeArrowheads="1"/>
        </xdr:cNvPicPr>
      </xdr:nvPicPr>
      <xdr:blipFill>
        <a:blip xmlns:r="http://schemas.openxmlformats.org/officeDocument/2006/relationships" r:embed="rId11" cstate="print">
          <a:clrChange>
            <a:clrFrom>
              <a:srgbClr val="FFFFFF"/>
            </a:clrFrom>
            <a:clrTo>
              <a:srgbClr val="FFFFFF">
                <a:alpha val="0"/>
              </a:srgbClr>
            </a:clrTo>
          </a:clrChange>
        </a:blip>
        <a:srcRect/>
        <a:stretch>
          <a:fillRect/>
        </a:stretch>
      </xdr:blipFill>
      <xdr:spPr bwMode="auto">
        <a:xfrm>
          <a:off x="695325" y="8782050"/>
          <a:ext cx="447675" cy="161925"/>
        </a:xfrm>
        <a:prstGeom prst="rect">
          <a:avLst/>
        </a:prstGeom>
        <a:noFill/>
        <a:ln w="9525">
          <a:noFill/>
          <a:miter lim="800000"/>
          <a:headEnd/>
          <a:tailEnd/>
        </a:ln>
      </xdr:spPr>
    </xdr:pic>
    <xdr:clientData/>
  </xdr:twoCellAnchor>
  <xdr:twoCellAnchor>
    <xdr:from>
      <xdr:col>10</xdr:col>
      <xdr:colOff>426720</xdr:colOff>
      <xdr:row>49</xdr:row>
      <xdr:rowOff>135255</xdr:rowOff>
    </xdr:from>
    <xdr:to>
      <xdr:col>11</xdr:col>
      <xdr:colOff>607695</xdr:colOff>
      <xdr:row>51</xdr:row>
      <xdr:rowOff>76200</xdr:rowOff>
    </xdr:to>
    <xdr:pic>
      <xdr:nvPicPr>
        <xdr:cNvPr id="12322" name="Picture 19">
          <a:extLst>
            <a:ext uri="{FF2B5EF4-FFF2-40B4-BE49-F238E27FC236}">
              <a16:creationId xmlns:a16="http://schemas.microsoft.com/office/drawing/2014/main" id="{00000000-0008-0000-0200-000022300000}"/>
            </a:ext>
          </a:extLst>
        </xdr:cNvPr>
        <xdr:cNvPicPr>
          <a:picLocks noChangeAspect="1" noChangeArrowheads="1"/>
        </xdr:cNvPicPr>
      </xdr:nvPicPr>
      <xdr:blipFill>
        <a:blip xmlns:r="http://schemas.openxmlformats.org/officeDocument/2006/relationships" r:embed="rId12" cstate="print">
          <a:clrChange>
            <a:clrFrom>
              <a:srgbClr val="FFFFFF"/>
            </a:clrFrom>
            <a:clrTo>
              <a:srgbClr val="FFFFFF">
                <a:alpha val="0"/>
              </a:srgbClr>
            </a:clrTo>
          </a:clrChange>
        </a:blip>
        <a:srcRect/>
        <a:stretch>
          <a:fillRect/>
        </a:stretch>
      </xdr:blipFill>
      <xdr:spPr bwMode="auto">
        <a:xfrm>
          <a:off x="7520940" y="9347835"/>
          <a:ext cx="973455" cy="283845"/>
        </a:xfrm>
        <a:prstGeom prst="rect">
          <a:avLst/>
        </a:prstGeom>
        <a:noFill/>
        <a:ln w="9525">
          <a:noFill/>
          <a:miter lim="800000"/>
          <a:headEnd/>
          <a:tailEnd/>
        </a:ln>
      </xdr:spPr>
    </xdr:pic>
    <xdr:clientData/>
  </xdr:twoCellAnchor>
  <xdr:twoCellAnchor>
    <xdr:from>
      <xdr:col>10</xdr:col>
      <xdr:colOff>363855</xdr:colOff>
      <xdr:row>56</xdr:row>
      <xdr:rowOff>9525</xdr:rowOff>
    </xdr:from>
    <xdr:to>
      <xdr:col>10</xdr:col>
      <xdr:colOff>668655</xdr:colOff>
      <xdr:row>57</xdr:row>
      <xdr:rowOff>45720</xdr:rowOff>
    </xdr:to>
    <xdr:pic>
      <xdr:nvPicPr>
        <xdr:cNvPr id="12323" name="Picture 20">
          <a:extLst>
            <a:ext uri="{FF2B5EF4-FFF2-40B4-BE49-F238E27FC236}">
              <a16:creationId xmlns:a16="http://schemas.microsoft.com/office/drawing/2014/main" id="{00000000-0008-0000-0200-000023300000}"/>
            </a:ext>
          </a:extLst>
        </xdr:cNvPr>
        <xdr:cNvPicPr>
          <a:picLocks noChangeAspect="1" noChangeArrowheads="1"/>
        </xdr:cNvPicPr>
      </xdr:nvPicPr>
      <xdr:blipFill>
        <a:blip xmlns:r="http://schemas.openxmlformats.org/officeDocument/2006/relationships" r:embed="rId13" cstate="print">
          <a:clrChange>
            <a:clrFrom>
              <a:srgbClr val="FFFFFF"/>
            </a:clrFrom>
            <a:clrTo>
              <a:srgbClr val="FFFFFF">
                <a:alpha val="0"/>
              </a:srgbClr>
            </a:clrTo>
          </a:clrChange>
        </a:blip>
        <a:srcRect/>
        <a:stretch>
          <a:fillRect/>
        </a:stretch>
      </xdr:blipFill>
      <xdr:spPr bwMode="auto">
        <a:xfrm>
          <a:off x="7458075" y="10418445"/>
          <a:ext cx="304800" cy="211455"/>
        </a:xfrm>
        <a:prstGeom prst="rect">
          <a:avLst/>
        </a:prstGeom>
        <a:noFill/>
        <a:ln w="9525">
          <a:noFill/>
          <a:miter lim="800000"/>
          <a:headEnd/>
          <a:tailEnd/>
        </a:ln>
      </xdr:spPr>
    </xdr:pic>
    <xdr:clientData/>
  </xdr:twoCellAnchor>
  <xdr:twoCellAnchor>
    <xdr:from>
      <xdr:col>10</xdr:col>
      <xdr:colOff>306705</xdr:colOff>
      <xdr:row>52</xdr:row>
      <xdr:rowOff>28575</xdr:rowOff>
    </xdr:from>
    <xdr:to>
      <xdr:col>11</xdr:col>
      <xdr:colOff>708660</xdr:colOff>
      <xdr:row>54</xdr:row>
      <xdr:rowOff>121920</xdr:rowOff>
    </xdr:to>
    <xdr:pic>
      <xdr:nvPicPr>
        <xdr:cNvPr id="12324" name="Picture 30">
          <a:extLst>
            <a:ext uri="{FF2B5EF4-FFF2-40B4-BE49-F238E27FC236}">
              <a16:creationId xmlns:a16="http://schemas.microsoft.com/office/drawing/2014/main" id="{00000000-0008-0000-0200-000024300000}"/>
            </a:ext>
          </a:extLst>
        </xdr:cNvPr>
        <xdr:cNvPicPr>
          <a:picLocks noChangeAspect="1" noChangeArrowheads="1"/>
        </xdr:cNvPicPr>
      </xdr:nvPicPr>
      <xdr:blipFill>
        <a:blip xmlns:r="http://schemas.openxmlformats.org/officeDocument/2006/relationships" r:embed="rId14" cstate="print">
          <a:clrChange>
            <a:clrFrom>
              <a:srgbClr val="FFFFFF"/>
            </a:clrFrom>
            <a:clrTo>
              <a:srgbClr val="FFFFFF">
                <a:alpha val="0"/>
              </a:srgbClr>
            </a:clrTo>
          </a:clrChange>
        </a:blip>
        <a:srcRect/>
        <a:stretch>
          <a:fillRect/>
        </a:stretch>
      </xdr:blipFill>
      <xdr:spPr bwMode="auto">
        <a:xfrm>
          <a:off x="7400925" y="9751695"/>
          <a:ext cx="1194435" cy="436245"/>
        </a:xfrm>
        <a:prstGeom prst="rect">
          <a:avLst/>
        </a:prstGeom>
        <a:noFill/>
        <a:ln w="9525">
          <a:noFill/>
          <a:miter lim="800000"/>
          <a:headEnd/>
          <a:tailEnd/>
        </a:ln>
      </xdr:spPr>
    </xdr:pic>
    <xdr:clientData/>
  </xdr:twoCellAnchor>
  <xdr:twoCellAnchor>
    <xdr:from>
      <xdr:col>10</xdr:col>
      <xdr:colOff>746760</xdr:colOff>
      <xdr:row>61</xdr:row>
      <xdr:rowOff>179070</xdr:rowOff>
    </xdr:from>
    <xdr:to>
      <xdr:col>11</xdr:col>
      <xdr:colOff>268605</xdr:colOff>
      <xdr:row>63</xdr:row>
      <xdr:rowOff>9525</xdr:rowOff>
    </xdr:to>
    <xdr:pic>
      <xdr:nvPicPr>
        <xdr:cNvPr id="12325" name="Picture 20">
          <a:extLst>
            <a:ext uri="{FF2B5EF4-FFF2-40B4-BE49-F238E27FC236}">
              <a16:creationId xmlns:a16="http://schemas.microsoft.com/office/drawing/2014/main" id="{00000000-0008-0000-0200-000025300000}"/>
            </a:ext>
          </a:extLst>
        </xdr:cNvPr>
        <xdr:cNvPicPr>
          <a:picLocks noChangeAspect="1" noChangeArrowheads="1"/>
        </xdr:cNvPicPr>
      </xdr:nvPicPr>
      <xdr:blipFill>
        <a:blip xmlns:r="http://schemas.openxmlformats.org/officeDocument/2006/relationships" r:embed="rId13" cstate="print">
          <a:clrChange>
            <a:clrFrom>
              <a:srgbClr val="FFFFFF"/>
            </a:clrFrom>
            <a:clrTo>
              <a:srgbClr val="FFFFFF">
                <a:alpha val="0"/>
              </a:srgbClr>
            </a:clrTo>
          </a:clrChange>
        </a:blip>
        <a:srcRect/>
        <a:stretch>
          <a:fillRect/>
        </a:stretch>
      </xdr:blipFill>
      <xdr:spPr bwMode="auto">
        <a:xfrm>
          <a:off x="7840980" y="11502390"/>
          <a:ext cx="314325" cy="196215"/>
        </a:xfrm>
        <a:prstGeom prst="rect">
          <a:avLst/>
        </a:prstGeom>
        <a:noFill/>
        <a:ln w="9525">
          <a:noFill/>
          <a:miter lim="800000"/>
          <a:headEnd/>
          <a:tailEnd/>
        </a:ln>
      </xdr:spPr>
    </xdr:pic>
    <xdr:clientData/>
  </xdr:twoCellAnchor>
  <xdr:twoCellAnchor>
    <xdr:from>
      <xdr:col>10</xdr:col>
      <xdr:colOff>381000</xdr:colOff>
      <xdr:row>59</xdr:row>
      <xdr:rowOff>45720</xdr:rowOff>
    </xdr:from>
    <xdr:to>
      <xdr:col>10</xdr:col>
      <xdr:colOff>561975</xdr:colOff>
      <xdr:row>60</xdr:row>
      <xdr:rowOff>133350</xdr:rowOff>
    </xdr:to>
    <xdr:pic>
      <xdr:nvPicPr>
        <xdr:cNvPr id="12326" name="Picture 31">
          <a:extLst>
            <a:ext uri="{FF2B5EF4-FFF2-40B4-BE49-F238E27FC236}">
              <a16:creationId xmlns:a16="http://schemas.microsoft.com/office/drawing/2014/main" id="{00000000-0008-0000-0200-000026300000}"/>
            </a:ext>
          </a:extLst>
        </xdr:cNvPr>
        <xdr:cNvPicPr>
          <a:picLocks noChangeAspect="1" noChangeArrowheads="1"/>
        </xdr:cNvPicPr>
      </xdr:nvPicPr>
      <xdr:blipFill>
        <a:blip xmlns:r="http://schemas.openxmlformats.org/officeDocument/2006/relationships" r:embed="rId15" cstate="print">
          <a:clrChange>
            <a:clrFrom>
              <a:srgbClr val="FFFFFF"/>
            </a:clrFrom>
            <a:clrTo>
              <a:srgbClr val="FFFFFF">
                <a:alpha val="0"/>
              </a:srgbClr>
            </a:clrTo>
          </a:clrChange>
        </a:blip>
        <a:srcRect/>
        <a:stretch>
          <a:fillRect/>
        </a:stretch>
      </xdr:blipFill>
      <xdr:spPr bwMode="auto">
        <a:xfrm>
          <a:off x="7475220" y="10988040"/>
          <a:ext cx="180975" cy="262890"/>
        </a:xfrm>
        <a:prstGeom prst="rect">
          <a:avLst/>
        </a:prstGeom>
        <a:noFill/>
        <a:ln w="9525">
          <a:noFill/>
          <a:miter lim="800000"/>
          <a:headEnd/>
          <a:tailEnd/>
        </a:ln>
      </xdr:spPr>
    </xdr:pic>
    <xdr:clientData/>
  </xdr:twoCellAnchor>
  <xdr:twoCellAnchor>
    <xdr:from>
      <xdr:col>10</xdr:col>
      <xdr:colOff>186690</xdr:colOff>
      <xdr:row>62</xdr:row>
      <xdr:rowOff>26670</xdr:rowOff>
    </xdr:from>
    <xdr:to>
      <xdr:col>10</xdr:col>
      <xdr:colOff>491490</xdr:colOff>
      <xdr:row>63</xdr:row>
      <xdr:rowOff>40005</xdr:rowOff>
    </xdr:to>
    <xdr:pic>
      <xdr:nvPicPr>
        <xdr:cNvPr id="12327" name="Picture 20">
          <a:extLst>
            <a:ext uri="{FF2B5EF4-FFF2-40B4-BE49-F238E27FC236}">
              <a16:creationId xmlns:a16="http://schemas.microsoft.com/office/drawing/2014/main" id="{00000000-0008-0000-0200-000027300000}"/>
            </a:ext>
          </a:extLst>
        </xdr:cNvPr>
        <xdr:cNvPicPr>
          <a:picLocks noChangeAspect="1" noChangeArrowheads="1"/>
        </xdr:cNvPicPr>
      </xdr:nvPicPr>
      <xdr:blipFill>
        <a:blip xmlns:r="http://schemas.openxmlformats.org/officeDocument/2006/relationships" r:embed="rId13" cstate="print">
          <a:clrChange>
            <a:clrFrom>
              <a:srgbClr val="FFFFFF"/>
            </a:clrFrom>
            <a:clrTo>
              <a:srgbClr val="FFFFFF">
                <a:alpha val="0"/>
              </a:srgbClr>
            </a:clrTo>
          </a:clrChange>
        </a:blip>
        <a:srcRect/>
        <a:stretch>
          <a:fillRect/>
        </a:stretch>
      </xdr:blipFill>
      <xdr:spPr bwMode="auto">
        <a:xfrm>
          <a:off x="7280910" y="11532870"/>
          <a:ext cx="304800" cy="196215"/>
        </a:xfrm>
        <a:prstGeom prst="rect">
          <a:avLst/>
        </a:prstGeom>
        <a:noFill/>
        <a:ln w="9525">
          <a:noFill/>
          <a:miter lim="800000"/>
          <a:headEnd/>
          <a:tailEnd/>
        </a:ln>
      </xdr:spPr>
    </xdr:pic>
    <xdr:clientData/>
  </xdr:twoCellAnchor>
  <xdr:twoCellAnchor>
    <xdr:from>
      <xdr:col>2</xdr:col>
      <xdr:colOff>228600</xdr:colOff>
      <xdr:row>94</xdr:row>
      <xdr:rowOff>7620</xdr:rowOff>
    </xdr:from>
    <xdr:to>
      <xdr:col>6</xdr:col>
      <xdr:colOff>342900</xdr:colOff>
      <xdr:row>98</xdr:row>
      <xdr:rowOff>146685</xdr:rowOff>
    </xdr:to>
    <xdr:pic>
      <xdr:nvPicPr>
        <xdr:cNvPr id="12332" name="Picture 44">
          <a:extLst>
            <a:ext uri="{FF2B5EF4-FFF2-40B4-BE49-F238E27FC236}">
              <a16:creationId xmlns:a16="http://schemas.microsoft.com/office/drawing/2014/main" id="{00000000-0008-0000-0200-00002C300000}"/>
            </a:ext>
          </a:extLst>
        </xdr:cNvPr>
        <xdr:cNvPicPr>
          <a:picLocks noChangeAspect="1" noChangeArrowheads="1"/>
        </xdr:cNvPicPr>
      </xdr:nvPicPr>
      <xdr:blipFill>
        <a:blip xmlns:r="http://schemas.openxmlformats.org/officeDocument/2006/relationships" r:embed="rId16" cstate="print">
          <a:clrChange>
            <a:clrFrom>
              <a:srgbClr val="FFFFFF"/>
            </a:clrFrom>
            <a:clrTo>
              <a:srgbClr val="FFFFFF">
                <a:alpha val="0"/>
              </a:srgbClr>
            </a:clrTo>
          </a:clrChange>
        </a:blip>
        <a:srcRect/>
        <a:stretch>
          <a:fillRect/>
        </a:stretch>
      </xdr:blipFill>
      <xdr:spPr bwMode="auto">
        <a:xfrm>
          <a:off x="1882140" y="17487900"/>
          <a:ext cx="2865120" cy="809625"/>
        </a:xfrm>
        <a:prstGeom prst="rect">
          <a:avLst/>
        </a:prstGeom>
        <a:noFill/>
      </xdr:spPr>
    </xdr:pic>
    <xdr:clientData/>
  </xdr:twoCellAnchor>
  <xdr:twoCellAnchor>
    <xdr:from>
      <xdr:col>0</xdr:col>
      <xdr:colOff>57150</xdr:colOff>
      <xdr:row>91</xdr:row>
      <xdr:rowOff>95250</xdr:rowOff>
    </xdr:from>
    <xdr:to>
      <xdr:col>0</xdr:col>
      <xdr:colOff>638175</xdr:colOff>
      <xdr:row>94</xdr:row>
      <xdr:rowOff>38100</xdr:rowOff>
    </xdr:to>
    <xdr:pic>
      <xdr:nvPicPr>
        <xdr:cNvPr id="12331" name="Picture 43">
          <a:extLst>
            <a:ext uri="{FF2B5EF4-FFF2-40B4-BE49-F238E27FC236}">
              <a16:creationId xmlns:a16="http://schemas.microsoft.com/office/drawing/2014/main" id="{00000000-0008-0000-0200-00002B300000}"/>
            </a:ext>
          </a:extLst>
        </xdr:cNvPr>
        <xdr:cNvPicPr>
          <a:picLocks noChangeAspect="1" noChangeArrowheads="1"/>
        </xdr:cNvPicPr>
      </xdr:nvPicPr>
      <xdr:blipFill>
        <a:blip xmlns:r="http://schemas.openxmlformats.org/officeDocument/2006/relationships" r:embed="rId17" cstate="print">
          <a:clrChange>
            <a:clrFrom>
              <a:srgbClr val="FFFFFF"/>
            </a:clrFrom>
            <a:clrTo>
              <a:srgbClr val="FFFFFF">
                <a:alpha val="0"/>
              </a:srgbClr>
            </a:clrTo>
          </a:clrChange>
        </a:blip>
        <a:srcRect/>
        <a:stretch>
          <a:fillRect/>
        </a:stretch>
      </xdr:blipFill>
      <xdr:spPr bwMode="auto">
        <a:xfrm>
          <a:off x="57150" y="16821150"/>
          <a:ext cx="581025" cy="428625"/>
        </a:xfrm>
        <a:prstGeom prst="rect">
          <a:avLst/>
        </a:prstGeom>
        <a:noFill/>
      </xdr:spPr>
    </xdr:pic>
    <xdr:clientData/>
  </xdr:twoCellAnchor>
  <xdr:twoCellAnchor>
    <xdr:from>
      <xdr:col>0</xdr:col>
      <xdr:colOff>295275</xdr:colOff>
      <xdr:row>94</xdr:row>
      <xdr:rowOff>104775</xdr:rowOff>
    </xdr:from>
    <xdr:to>
      <xdr:col>0</xdr:col>
      <xdr:colOff>628650</xdr:colOff>
      <xdr:row>97</xdr:row>
      <xdr:rowOff>66675</xdr:rowOff>
    </xdr:to>
    <xdr:pic>
      <xdr:nvPicPr>
        <xdr:cNvPr id="12330" name="Picture 42">
          <a:extLst>
            <a:ext uri="{FF2B5EF4-FFF2-40B4-BE49-F238E27FC236}">
              <a16:creationId xmlns:a16="http://schemas.microsoft.com/office/drawing/2014/main" id="{00000000-0008-0000-0200-00002A300000}"/>
            </a:ext>
          </a:extLst>
        </xdr:cNvPr>
        <xdr:cNvPicPr>
          <a:picLocks noChangeAspect="1" noChangeArrowheads="1"/>
        </xdr:cNvPicPr>
      </xdr:nvPicPr>
      <xdr:blipFill>
        <a:blip xmlns:r="http://schemas.openxmlformats.org/officeDocument/2006/relationships" r:embed="rId18" cstate="print">
          <a:clrChange>
            <a:clrFrom>
              <a:srgbClr val="FFFFFF"/>
            </a:clrFrom>
            <a:clrTo>
              <a:srgbClr val="FFFFFF">
                <a:alpha val="0"/>
              </a:srgbClr>
            </a:clrTo>
          </a:clrChange>
        </a:blip>
        <a:srcRect/>
        <a:stretch>
          <a:fillRect/>
        </a:stretch>
      </xdr:blipFill>
      <xdr:spPr bwMode="auto">
        <a:xfrm>
          <a:off x="295275" y="17316450"/>
          <a:ext cx="333375" cy="447675"/>
        </a:xfrm>
        <a:prstGeom prst="rect">
          <a:avLst/>
        </a:prstGeom>
        <a:noFill/>
      </xdr:spPr>
    </xdr:pic>
    <xdr:clientData/>
  </xdr:twoCellAnchor>
  <xdr:twoCellAnchor>
    <xdr:from>
      <xdr:col>0</xdr:col>
      <xdr:colOff>238125</xdr:colOff>
      <xdr:row>98</xdr:row>
      <xdr:rowOff>9525</xdr:rowOff>
    </xdr:from>
    <xdr:to>
      <xdr:col>0</xdr:col>
      <xdr:colOff>733425</xdr:colOff>
      <xdr:row>101</xdr:row>
      <xdr:rowOff>9525</xdr:rowOff>
    </xdr:to>
    <xdr:pic>
      <xdr:nvPicPr>
        <xdr:cNvPr id="12329" name="Picture 41">
          <a:extLst>
            <a:ext uri="{FF2B5EF4-FFF2-40B4-BE49-F238E27FC236}">
              <a16:creationId xmlns:a16="http://schemas.microsoft.com/office/drawing/2014/main" id="{00000000-0008-0000-0200-000029300000}"/>
            </a:ext>
          </a:extLst>
        </xdr:cNvPr>
        <xdr:cNvPicPr>
          <a:picLocks noChangeAspect="1" noChangeArrowheads="1"/>
        </xdr:cNvPicPr>
      </xdr:nvPicPr>
      <xdr:blipFill>
        <a:blip xmlns:r="http://schemas.openxmlformats.org/officeDocument/2006/relationships" r:embed="rId19" cstate="print">
          <a:clrChange>
            <a:clrFrom>
              <a:srgbClr val="FFFFFF"/>
            </a:clrFrom>
            <a:clrTo>
              <a:srgbClr val="FFFFFF">
                <a:alpha val="0"/>
              </a:srgbClr>
            </a:clrTo>
          </a:clrChange>
        </a:blip>
        <a:srcRect/>
        <a:stretch>
          <a:fillRect/>
        </a:stretch>
      </xdr:blipFill>
      <xdr:spPr bwMode="auto">
        <a:xfrm>
          <a:off x="238125" y="17868900"/>
          <a:ext cx="495300" cy="485775"/>
        </a:xfrm>
        <a:prstGeom prst="rect">
          <a:avLst/>
        </a:prstGeom>
        <a:noFill/>
      </xdr:spPr>
    </xdr:pic>
    <xdr:clientData/>
  </xdr:twoCellAnchor>
  <xdr:twoCellAnchor>
    <xdr:from>
      <xdr:col>0</xdr:col>
      <xdr:colOff>171450</xdr:colOff>
      <xdr:row>88</xdr:row>
      <xdr:rowOff>95250</xdr:rowOff>
    </xdr:from>
    <xdr:to>
      <xdr:col>0</xdr:col>
      <xdr:colOff>666750</xdr:colOff>
      <xdr:row>91</xdr:row>
      <xdr:rowOff>9525</xdr:rowOff>
    </xdr:to>
    <xdr:pic>
      <xdr:nvPicPr>
        <xdr:cNvPr id="12328" name="Picture 40">
          <a:extLst>
            <a:ext uri="{FF2B5EF4-FFF2-40B4-BE49-F238E27FC236}">
              <a16:creationId xmlns:a16="http://schemas.microsoft.com/office/drawing/2014/main" id="{00000000-0008-0000-0200-000028300000}"/>
            </a:ext>
          </a:extLst>
        </xdr:cNvPr>
        <xdr:cNvPicPr>
          <a:picLocks noChangeAspect="1" noChangeArrowheads="1"/>
        </xdr:cNvPicPr>
      </xdr:nvPicPr>
      <xdr:blipFill>
        <a:blip xmlns:r="http://schemas.openxmlformats.org/officeDocument/2006/relationships" r:embed="rId20" cstate="print">
          <a:clrChange>
            <a:clrFrom>
              <a:srgbClr val="FFFFFF"/>
            </a:clrFrom>
            <a:clrTo>
              <a:srgbClr val="FFFFFF">
                <a:alpha val="0"/>
              </a:srgbClr>
            </a:clrTo>
          </a:clrChange>
        </a:blip>
        <a:srcRect/>
        <a:stretch>
          <a:fillRect/>
        </a:stretch>
      </xdr:blipFill>
      <xdr:spPr bwMode="auto">
        <a:xfrm>
          <a:off x="171450" y="16335375"/>
          <a:ext cx="495300" cy="400050"/>
        </a:xfrm>
        <a:prstGeom prst="rect">
          <a:avLst/>
        </a:prstGeom>
        <a:noFill/>
      </xdr:spPr>
    </xdr:pic>
    <xdr:clientData/>
  </xdr:twoCellAnchor>
  <xdr:twoCellAnchor>
    <xdr:from>
      <xdr:col>2</xdr:col>
      <xdr:colOff>268605</xdr:colOff>
      <xdr:row>88</xdr:row>
      <xdr:rowOff>66675</xdr:rowOff>
    </xdr:from>
    <xdr:to>
      <xdr:col>6</xdr:col>
      <xdr:colOff>11430</xdr:colOff>
      <xdr:row>92</xdr:row>
      <xdr:rowOff>0</xdr:rowOff>
    </xdr:to>
    <xdr:pic>
      <xdr:nvPicPr>
        <xdr:cNvPr id="2" name="Picture 39">
          <a:extLst>
            <a:ext uri="{FF2B5EF4-FFF2-40B4-BE49-F238E27FC236}">
              <a16:creationId xmlns:a16="http://schemas.microsoft.com/office/drawing/2014/main" id="{00000000-0008-0000-0200-000002000000}"/>
            </a:ext>
          </a:extLst>
        </xdr:cNvPr>
        <xdr:cNvPicPr>
          <a:picLocks noChangeAspect="1" noChangeArrowheads="1"/>
        </xdr:cNvPicPr>
      </xdr:nvPicPr>
      <xdr:blipFill>
        <a:blip xmlns:r="http://schemas.openxmlformats.org/officeDocument/2006/relationships" r:embed="rId21" cstate="print">
          <a:clrChange>
            <a:clrFrom>
              <a:srgbClr val="FFFFFF"/>
            </a:clrFrom>
            <a:clrTo>
              <a:srgbClr val="FFFFFF">
                <a:alpha val="0"/>
              </a:srgbClr>
            </a:clrTo>
          </a:clrChange>
        </a:blip>
        <a:srcRect/>
        <a:stretch>
          <a:fillRect/>
        </a:stretch>
      </xdr:blipFill>
      <xdr:spPr bwMode="auto">
        <a:xfrm>
          <a:off x="1922145" y="16541115"/>
          <a:ext cx="2493645" cy="603885"/>
        </a:xfrm>
        <a:prstGeom prst="rect">
          <a:avLst/>
        </a:prstGeom>
        <a:noFill/>
      </xdr:spPr>
    </xdr:pic>
    <xdr:clientData/>
  </xdr:twoCellAnchor>
  <xdr:twoCellAnchor>
    <xdr:from>
      <xdr:col>0</xdr:col>
      <xdr:colOff>276225</xdr:colOff>
      <xdr:row>102</xdr:row>
      <xdr:rowOff>19050</xdr:rowOff>
    </xdr:from>
    <xdr:to>
      <xdr:col>0</xdr:col>
      <xdr:colOff>609600</xdr:colOff>
      <xdr:row>103</xdr:row>
      <xdr:rowOff>66675</xdr:rowOff>
    </xdr:to>
    <xdr:pic>
      <xdr:nvPicPr>
        <xdr:cNvPr id="12333" name="Picture 45">
          <a:extLst>
            <a:ext uri="{FF2B5EF4-FFF2-40B4-BE49-F238E27FC236}">
              <a16:creationId xmlns:a16="http://schemas.microsoft.com/office/drawing/2014/main" id="{00000000-0008-0000-0200-00002D300000}"/>
            </a:ext>
          </a:extLst>
        </xdr:cNvPr>
        <xdr:cNvPicPr>
          <a:picLocks noChangeAspect="1" noChangeArrowheads="1"/>
        </xdr:cNvPicPr>
      </xdr:nvPicPr>
      <xdr:blipFill>
        <a:blip xmlns:r="http://schemas.openxmlformats.org/officeDocument/2006/relationships" r:embed="rId22" cstate="print">
          <a:clrChange>
            <a:clrFrom>
              <a:srgbClr val="FFFFFF"/>
            </a:clrFrom>
            <a:clrTo>
              <a:srgbClr val="FFFFFF">
                <a:alpha val="0"/>
              </a:srgbClr>
            </a:clrTo>
          </a:clrChange>
        </a:blip>
        <a:srcRect/>
        <a:stretch>
          <a:fillRect/>
        </a:stretch>
      </xdr:blipFill>
      <xdr:spPr bwMode="auto">
        <a:xfrm>
          <a:off x="276225" y="18526125"/>
          <a:ext cx="333375" cy="209550"/>
        </a:xfrm>
        <a:prstGeom prst="rect">
          <a:avLst/>
        </a:prstGeom>
        <a:noFill/>
      </xdr:spPr>
    </xdr:pic>
    <xdr:clientData/>
  </xdr:twoCellAnchor>
  <xdr:twoCellAnchor>
    <xdr:from>
      <xdr:col>0</xdr:col>
      <xdr:colOff>304800</xdr:colOff>
      <xdr:row>130</xdr:row>
      <xdr:rowOff>137160</xdr:rowOff>
    </xdr:from>
    <xdr:to>
      <xdr:col>0</xdr:col>
      <xdr:colOff>495300</xdr:colOff>
      <xdr:row>132</xdr:row>
      <xdr:rowOff>0</xdr:rowOff>
    </xdr:to>
    <xdr:pic>
      <xdr:nvPicPr>
        <xdr:cNvPr id="28" name="27 Imagen">
          <a:extLst>
            <a:ext uri="{FF2B5EF4-FFF2-40B4-BE49-F238E27FC236}">
              <a16:creationId xmlns:a16="http://schemas.microsoft.com/office/drawing/2014/main" id="{00000000-0008-0000-0200-00001C000000}"/>
            </a:ext>
          </a:extLst>
        </xdr:cNvPr>
        <xdr:cNvPicPr>
          <a:picLocks noChangeAspect="1" noChangeArrowheads="1"/>
        </xdr:cNvPicPr>
      </xdr:nvPicPr>
      <xdr:blipFill>
        <a:blip xmlns:r="http://schemas.openxmlformats.org/officeDocument/2006/relationships" r:embed="rId23"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304800" y="23774400"/>
          <a:ext cx="190500" cy="1981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121920</xdr:colOff>
      <xdr:row>130</xdr:row>
      <xdr:rowOff>38100</xdr:rowOff>
    </xdr:from>
    <xdr:to>
      <xdr:col>2</xdr:col>
      <xdr:colOff>739140</xdr:colOff>
      <xdr:row>132</xdr:row>
      <xdr:rowOff>76200</xdr:rowOff>
    </xdr:to>
    <xdr:pic>
      <xdr:nvPicPr>
        <xdr:cNvPr id="29" name="28 Imagen">
          <a:extLst>
            <a:ext uri="{FF2B5EF4-FFF2-40B4-BE49-F238E27FC236}">
              <a16:creationId xmlns:a16="http://schemas.microsoft.com/office/drawing/2014/main" id="{00000000-0008-0000-0200-00001D000000}"/>
            </a:ext>
          </a:extLst>
        </xdr:cNvPr>
        <xdr:cNvPicPr>
          <a:picLocks noChangeAspect="1" noChangeArrowheads="1"/>
        </xdr:cNvPicPr>
      </xdr:nvPicPr>
      <xdr:blipFill>
        <a:blip xmlns:r="http://schemas.openxmlformats.org/officeDocument/2006/relationships" r:embed="rId24"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906780" y="23675340"/>
          <a:ext cx="1485900" cy="3733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502920</xdr:colOff>
      <xdr:row>132</xdr:row>
      <xdr:rowOff>45720</xdr:rowOff>
    </xdr:from>
    <xdr:to>
      <xdr:col>2</xdr:col>
      <xdr:colOff>731520</xdr:colOff>
      <xdr:row>134</xdr:row>
      <xdr:rowOff>91440</xdr:rowOff>
    </xdr:to>
    <xdr:pic>
      <xdr:nvPicPr>
        <xdr:cNvPr id="30" name="29 Imagen">
          <a:extLst>
            <a:ext uri="{FF2B5EF4-FFF2-40B4-BE49-F238E27FC236}">
              <a16:creationId xmlns:a16="http://schemas.microsoft.com/office/drawing/2014/main" id="{00000000-0008-0000-0200-00001E000000}"/>
            </a:ext>
          </a:extLst>
        </xdr:cNvPr>
        <xdr:cNvPicPr>
          <a:picLocks noChangeAspect="1" noChangeArrowheads="1"/>
        </xdr:cNvPicPr>
      </xdr:nvPicPr>
      <xdr:blipFill>
        <a:blip xmlns:r="http://schemas.openxmlformats.org/officeDocument/2006/relationships" r:embed="rId25"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1287780" y="24018240"/>
          <a:ext cx="1097280" cy="381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6</xdr:col>
      <xdr:colOff>106680</xdr:colOff>
      <xdr:row>130</xdr:row>
      <xdr:rowOff>45720</xdr:rowOff>
    </xdr:from>
    <xdr:to>
      <xdr:col>7</xdr:col>
      <xdr:colOff>693420</xdr:colOff>
      <xdr:row>132</xdr:row>
      <xdr:rowOff>91440</xdr:rowOff>
    </xdr:to>
    <xdr:pic>
      <xdr:nvPicPr>
        <xdr:cNvPr id="31" name="30 Imagen">
          <a:extLst>
            <a:ext uri="{FF2B5EF4-FFF2-40B4-BE49-F238E27FC236}">
              <a16:creationId xmlns:a16="http://schemas.microsoft.com/office/drawing/2014/main" id="{00000000-0008-0000-0200-00001F000000}"/>
            </a:ext>
          </a:extLst>
        </xdr:cNvPr>
        <xdr:cNvPicPr>
          <a:picLocks noChangeAspect="1" noChangeArrowheads="1"/>
        </xdr:cNvPicPr>
      </xdr:nvPicPr>
      <xdr:blipFill>
        <a:blip xmlns:r="http://schemas.openxmlformats.org/officeDocument/2006/relationships" r:embed="rId26"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4511040" y="23682960"/>
          <a:ext cx="1226820" cy="381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6</xdr:col>
      <xdr:colOff>358140</xdr:colOff>
      <xdr:row>132</xdr:row>
      <xdr:rowOff>91440</xdr:rowOff>
    </xdr:from>
    <xdr:to>
      <xdr:col>7</xdr:col>
      <xdr:colOff>678180</xdr:colOff>
      <xdr:row>134</xdr:row>
      <xdr:rowOff>82867</xdr:rowOff>
    </xdr:to>
    <xdr:pic>
      <xdr:nvPicPr>
        <xdr:cNvPr id="32" name="31 Imagen">
          <a:extLst>
            <a:ext uri="{FF2B5EF4-FFF2-40B4-BE49-F238E27FC236}">
              <a16:creationId xmlns:a16="http://schemas.microsoft.com/office/drawing/2014/main" id="{00000000-0008-0000-0200-000020000000}"/>
            </a:ext>
          </a:extLst>
        </xdr:cNvPr>
        <xdr:cNvPicPr>
          <a:picLocks noChangeAspect="1" noChangeArrowheads="1"/>
        </xdr:cNvPicPr>
      </xdr:nvPicPr>
      <xdr:blipFill>
        <a:blip xmlns:r="http://schemas.openxmlformats.org/officeDocument/2006/relationships" r:embed="rId27"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4762500" y="24063960"/>
          <a:ext cx="960120" cy="32670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419100</xdr:colOff>
      <xdr:row>136</xdr:row>
      <xdr:rowOff>137160</xdr:rowOff>
    </xdr:from>
    <xdr:to>
      <xdr:col>0</xdr:col>
      <xdr:colOff>601980</xdr:colOff>
      <xdr:row>138</xdr:row>
      <xdr:rowOff>0</xdr:rowOff>
    </xdr:to>
    <xdr:pic>
      <xdr:nvPicPr>
        <xdr:cNvPr id="33" name="32 Imagen">
          <a:extLst>
            <a:ext uri="{FF2B5EF4-FFF2-40B4-BE49-F238E27FC236}">
              <a16:creationId xmlns:a16="http://schemas.microsoft.com/office/drawing/2014/main" id="{00000000-0008-0000-0200-000021000000}"/>
            </a:ext>
          </a:extLst>
        </xdr:cNvPr>
        <xdr:cNvPicPr>
          <a:picLocks noChangeAspect="1" noChangeArrowheads="1"/>
        </xdr:cNvPicPr>
      </xdr:nvPicPr>
      <xdr:blipFill>
        <a:blip xmlns:r="http://schemas.openxmlformats.org/officeDocument/2006/relationships" r:embed="rId28"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419100" y="24780240"/>
          <a:ext cx="182880" cy="1981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xdr:col>
      <xdr:colOff>190500</xdr:colOff>
      <xdr:row>136</xdr:row>
      <xdr:rowOff>121920</xdr:rowOff>
    </xdr:from>
    <xdr:to>
      <xdr:col>3</xdr:col>
      <xdr:colOff>525780</xdr:colOff>
      <xdr:row>137</xdr:row>
      <xdr:rowOff>152400</xdr:rowOff>
    </xdr:to>
    <xdr:pic>
      <xdr:nvPicPr>
        <xdr:cNvPr id="34" name="33 Imagen">
          <a:extLst>
            <a:ext uri="{FF2B5EF4-FFF2-40B4-BE49-F238E27FC236}">
              <a16:creationId xmlns:a16="http://schemas.microsoft.com/office/drawing/2014/main" id="{00000000-0008-0000-0200-000022000000}"/>
            </a:ext>
          </a:extLst>
        </xdr:cNvPr>
        <xdr:cNvPicPr>
          <a:picLocks noChangeAspect="1" noChangeArrowheads="1"/>
        </xdr:cNvPicPr>
      </xdr:nvPicPr>
      <xdr:blipFill>
        <a:blip xmlns:r="http://schemas.openxmlformats.org/officeDocument/2006/relationships" r:embed="rId29"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598420" y="24765000"/>
          <a:ext cx="335280" cy="1981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411480</xdr:colOff>
      <xdr:row>154</xdr:row>
      <xdr:rowOff>160020</xdr:rowOff>
    </xdr:from>
    <xdr:to>
      <xdr:col>0</xdr:col>
      <xdr:colOff>579120</xdr:colOff>
      <xdr:row>156</xdr:row>
      <xdr:rowOff>0</xdr:rowOff>
    </xdr:to>
    <xdr:pic>
      <xdr:nvPicPr>
        <xdr:cNvPr id="35" name="34 Imagen">
          <a:extLst>
            <a:ext uri="{FF2B5EF4-FFF2-40B4-BE49-F238E27FC236}">
              <a16:creationId xmlns:a16="http://schemas.microsoft.com/office/drawing/2014/main" id="{00000000-0008-0000-0200-000023000000}"/>
            </a:ext>
          </a:extLst>
        </xdr:cNvPr>
        <xdr:cNvPicPr>
          <a:picLocks noChangeAspect="1" noChangeArrowheads="1"/>
        </xdr:cNvPicPr>
      </xdr:nvPicPr>
      <xdr:blipFill>
        <a:blip xmlns:r="http://schemas.openxmlformats.org/officeDocument/2006/relationships" r:embed="rId30"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411480" y="27652980"/>
          <a:ext cx="167640" cy="1752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388620</xdr:colOff>
      <xdr:row>142</xdr:row>
      <xdr:rowOff>114300</xdr:rowOff>
    </xdr:from>
    <xdr:to>
      <xdr:col>0</xdr:col>
      <xdr:colOff>571500</xdr:colOff>
      <xdr:row>143</xdr:row>
      <xdr:rowOff>137160</xdr:rowOff>
    </xdr:to>
    <xdr:pic>
      <xdr:nvPicPr>
        <xdr:cNvPr id="36" name="35 Imagen">
          <a:extLst>
            <a:ext uri="{FF2B5EF4-FFF2-40B4-BE49-F238E27FC236}">
              <a16:creationId xmlns:a16="http://schemas.microsoft.com/office/drawing/2014/main" id="{00000000-0008-0000-0200-000024000000}"/>
            </a:ext>
          </a:extLst>
        </xdr:cNvPr>
        <xdr:cNvPicPr>
          <a:picLocks noChangeAspect="1" noChangeArrowheads="1"/>
        </xdr:cNvPicPr>
      </xdr:nvPicPr>
      <xdr:blipFill>
        <a:blip xmlns:r="http://schemas.openxmlformats.org/officeDocument/2006/relationships" r:embed="rId31"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388620" y="25450800"/>
          <a:ext cx="182880"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152400</xdr:colOff>
      <xdr:row>139</xdr:row>
      <xdr:rowOff>144781</xdr:rowOff>
    </xdr:from>
    <xdr:to>
      <xdr:col>1</xdr:col>
      <xdr:colOff>617220</xdr:colOff>
      <xdr:row>141</xdr:row>
      <xdr:rowOff>1</xdr:rowOff>
    </xdr:to>
    <xdr:pic>
      <xdr:nvPicPr>
        <xdr:cNvPr id="37" name="36 Imagen">
          <a:extLst>
            <a:ext uri="{FF2B5EF4-FFF2-40B4-BE49-F238E27FC236}">
              <a16:creationId xmlns:a16="http://schemas.microsoft.com/office/drawing/2014/main" id="{00000000-0008-0000-0200-000025000000}"/>
            </a:ext>
          </a:extLst>
        </xdr:cNvPr>
        <xdr:cNvPicPr>
          <a:picLocks noChangeAspect="1" noChangeArrowheads="1"/>
        </xdr:cNvPicPr>
      </xdr:nvPicPr>
      <xdr:blipFill>
        <a:blip xmlns:r="http://schemas.openxmlformats.org/officeDocument/2006/relationships" r:embed="rId32"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937260" y="25123141"/>
          <a:ext cx="464820"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289560</xdr:colOff>
      <xdr:row>141</xdr:row>
      <xdr:rowOff>60960</xdr:rowOff>
    </xdr:from>
    <xdr:to>
      <xdr:col>2</xdr:col>
      <xdr:colOff>716280</xdr:colOff>
      <xdr:row>143</xdr:row>
      <xdr:rowOff>64176</xdr:rowOff>
    </xdr:to>
    <xdr:pic>
      <xdr:nvPicPr>
        <xdr:cNvPr id="38" name="37 Imagen">
          <a:extLst>
            <a:ext uri="{FF2B5EF4-FFF2-40B4-BE49-F238E27FC236}">
              <a16:creationId xmlns:a16="http://schemas.microsoft.com/office/drawing/2014/main" id="{00000000-0008-0000-0200-000026000000}"/>
            </a:ext>
          </a:extLst>
        </xdr:cNvPr>
        <xdr:cNvPicPr>
          <a:picLocks noChangeAspect="1" noChangeArrowheads="1"/>
        </xdr:cNvPicPr>
      </xdr:nvPicPr>
      <xdr:blipFill>
        <a:blip xmlns:r="http://schemas.openxmlformats.org/officeDocument/2006/relationships" r:embed="rId33"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1074420" y="25206960"/>
          <a:ext cx="1295400" cy="338496"/>
        </a:xfrm>
        <a:prstGeom prst="rect">
          <a:avLst/>
        </a:prstGeom>
        <a:noFill/>
        <a:ln>
          <a:solidFill>
            <a:schemeClr val="accent3">
              <a:lumMod val="20000"/>
              <a:lumOff val="80000"/>
            </a:schemeClr>
          </a:solidFill>
        </a:ln>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228600</xdr:colOff>
      <xdr:row>143</xdr:row>
      <xdr:rowOff>76200</xdr:rowOff>
    </xdr:from>
    <xdr:to>
      <xdr:col>2</xdr:col>
      <xdr:colOff>708660</xdr:colOff>
      <xdr:row>145</xdr:row>
      <xdr:rowOff>73022</xdr:rowOff>
    </xdr:to>
    <xdr:pic>
      <xdr:nvPicPr>
        <xdr:cNvPr id="39" name="38 Imagen">
          <a:extLst>
            <a:ext uri="{FF2B5EF4-FFF2-40B4-BE49-F238E27FC236}">
              <a16:creationId xmlns:a16="http://schemas.microsoft.com/office/drawing/2014/main" id="{00000000-0008-0000-0200-000027000000}"/>
            </a:ext>
          </a:extLst>
        </xdr:cNvPr>
        <xdr:cNvPicPr>
          <a:picLocks noChangeAspect="1" noChangeArrowheads="1"/>
        </xdr:cNvPicPr>
      </xdr:nvPicPr>
      <xdr:blipFill>
        <a:blip xmlns:r="http://schemas.openxmlformats.org/officeDocument/2006/relationships" r:embed="rId34"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1013460" y="25557480"/>
          <a:ext cx="1348740" cy="332102"/>
        </a:xfrm>
        <a:prstGeom prst="rect">
          <a:avLst/>
        </a:prstGeom>
        <a:noFill/>
        <a:ln>
          <a:solidFill>
            <a:schemeClr val="accent6">
              <a:lumMod val="20000"/>
              <a:lumOff val="80000"/>
            </a:schemeClr>
          </a:solidFill>
        </a:ln>
        <a:extLst>
          <a:ext uri="{909E8E84-426E-40DD-AFC4-6F175D3DCCD1}">
            <a14:hiddenFill xmlns:a14="http://schemas.microsoft.com/office/drawing/2010/main">
              <a:solidFill>
                <a:srgbClr val="FFFFFF"/>
              </a:solidFill>
            </a14:hiddenFill>
          </a:ext>
        </a:extLst>
      </xdr:spPr>
    </xdr:pic>
    <xdr:clientData/>
  </xdr:twoCellAnchor>
  <xdr:twoCellAnchor>
    <xdr:from>
      <xdr:col>6</xdr:col>
      <xdr:colOff>236220</xdr:colOff>
      <xdr:row>147</xdr:row>
      <xdr:rowOff>68580</xdr:rowOff>
    </xdr:from>
    <xdr:to>
      <xdr:col>7</xdr:col>
      <xdr:colOff>739140</xdr:colOff>
      <xdr:row>149</xdr:row>
      <xdr:rowOff>26230</xdr:rowOff>
    </xdr:to>
    <xdr:pic>
      <xdr:nvPicPr>
        <xdr:cNvPr id="40" name="39 Imagen">
          <a:extLst>
            <a:ext uri="{FF2B5EF4-FFF2-40B4-BE49-F238E27FC236}">
              <a16:creationId xmlns:a16="http://schemas.microsoft.com/office/drawing/2014/main" id="{00000000-0008-0000-0200-000028000000}"/>
            </a:ext>
          </a:extLst>
        </xdr:cNvPr>
        <xdr:cNvPicPr>
          <a:picLocks noChangeAspect="1" noChangeArrowheads="1"/>
        </xdr:cNvPicPr>
      </xdr:nvPicPr>
      <xdr:blipFill>
        <a:blip xmlns:r="http://schemas.openxmlformats.org/officeDocument/2006/relationships" r:embed="rId35"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4640580" y="26388060"/>
          <a:ext cx="1143000" cy="2929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6</xdr:col>
      <xdr:colOff>76200</xdr:colOff>
      <xdr:row>145</xdr:row>
      <xdr:rowOff>53340</xdr:rowOff>
    </xdr:from>
    <xdr:to>
      <xdr:col>7</xdr:col>
      <xdr:colOff>731520</xdr:colOff>
      <xdr:row>147</xdr:row>
      <xdr:rowOff>82595</xdr:rowOff>
    </xdr:to>
    <xdr:pic>
      <xdr:nvPicPr>
        <xdr:cNvPr id="41" name="40 Imagen">
          <a:extLst>
            <a:ext uri="{FF2B5EF4-FFF2-40B4-BE49-F238E27FC236}">
              <a16:creationId xmlns:a16="http://schemas.microsoft.com/office/drawing/2014/main" id="{00000000-0008-0000-0200-000029000000}"/>
            </a:ext>
          </a:extLst>
        </xdr:cNvPr>
        <xdr:cNvPicPr>
          <a:picLocks noChangeAspect="1" noChangeArrowheads="1"/>
        </xdr:cNvPicPr>
      </xdr:nvPicPr>
      <xdr:blipFill>
        <a:blip xmlns:r="http://schemas.openxmlformats.org/officeDocument/2006/relationships" r:embed="rId36"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4480560" y="26037540"/>
          <a:ext cx="1295400" cy="3645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205740</xdr:colOff>
      <xdr:row>146</xdr:row>
      <xdr:rowOff>106680</xdr:rowOff>
    </xdr:from>
    <xdr:to>
      <xdr:col>1</xdr:col>
      <xdr:colOff>693420</xdr:colOff>
      <xdr:row>147</xdr:row>
      <xdr:rowOff>137160</xdr:rowOff>
    </xdr:to>
    <xdr:pic>
      <xdr:nvPicPr>
        <xdr:cNvPr id="42" name="41 Imagen">
          <a:extLst>
            <a:ext uri="{FF2B5EF4-FFF2-40B4-BE49-F238E27FC236}">
              <a16:creationId xmlns:a16="http://schemas.microsoft.com/office/drawing/2014/main" id="{00000000-0008-0000-0200-00002A000000}"/>
            </a:ext>
          </a:extLst>
        </xdr:cNvPr>
        <xdr:cNvPicPr>
          <a:picLocks noChangeAspect="1" noChangeArrowheads="1"/>
        </xdr:cNvPicPr>
      </xdr:nvPicPr>
      <xdr:blipFill>
        <a:blip xmlns:r="http://schemas.openxmlformats.org/officeDocument/2006/relationships" r:embed="rId37"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990600" y="26258520"/>
          <a:ext cx="487680" cy="1981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76200</xdr:colOff>
      <xdr:row>147</xdr:row>
      <xdr:rowOff>152400</xdr:rowOff>
    </xdr:from>
    <xdr:to>
      <xdr:col>2</xdr:col>
      <xdr:colOff>586740</xdr:colOff>
      <xdr:row>149</xdr:row>
      <xdr:rowOff>0</xdr:rowOff>
    </xdr:to>
    <xdr:pic>
      <xdr:nvPicPr>
        <xdr:cNvPr id="43" name="42 Imagen">
          <a:extLst>
            <a:ext uri="{FF2B5EF4-FFF2-40B4-BE49-F238E27FC236}">
              <a16:creationId xmlns:a16="http://schemas.microsoft.com/office/drawing/2014/main" id="{00000000-0008-0000-0200-00002B000000}"/>
            </a:ext>
          </a:extLst>
        </xdr:cNvPr>
        <xdr:cNvPicPr>
          <a:picLocks noChangeAspect="1" noChangeArrowheads="1"/>
        </xdr:cNvPicPr>
      </xdr:nvPicPr>
      <xdr:blipFill>
        <a:blip xmlns:r="http://schemas.openxmlformats.org/officeDocument/2006/relationships" r:embed="rId38"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1729740" y="26471880"/>
          <a:ext cx="510540" cy="1828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76200</xdr:colOff>
      <xdr:row>149</xdr:row>
      <xdr:rowOff>60960</xdr:rowOff>
    </xdr:from>
    <xdr:to>
      <xdr:col>2</xdr:col>
      <xdr:colOff>723900</xdr:colOff>
      <xdr:row>151</xdr:row>
      <xdr:rowOff>76200</xdr:rowOff>
    </xdr:to>
    <xdr:pic>
      <xdr:nvPicPr>
        <xdr:cNvPr id="44" name="43 Imagen">
          <a:extLst>
            <a:ext uri="{FF2B5EF4-FFF2-40B4-BE49-F238E27FC236}">
              <a16:creationId xmlns:a16="http://schemas.microsoft.com/office/drawing/2014/main" id="{00000000-0008-0000-0200-00002C000000}"/>
            </a:ext>
          </a:extLst>
        </xdr:cNvPr>
        <xdr:cNvPicPr>
          <a:picLocks noChangeAspect="1" noChangeArrowheads="1"/>
        </xdr:cNvPicPr>
      </xdr:nvPicPr>
      <xdr:blipFill>
        <a:blip xmlns:r="http://schemas.openxmlformats.org/officeDocument/2006/relationships" r:embed="rId33"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861060" y="26715720"/>
          <a:ext cx="1516380" cy="3505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4</xdr:col>
      <xdr:colOff>289560</xdr:colOff>
      <xdr:row>153</xdr:row>
      <xdr:rowOff>121920</xdr:rowOff>
    </xdr:from>
    <xdr:to>
      <xdr:col>4</xdr:col>
      <xdr:colOff>457200</xdr:colOff>
      <xdr:row>154</xdr:row>
      <xdr:rowOff>144780</xdr:rowOff>
    </xdr:to>
    <xdr:pic>
      <xdr:nvPicPr>
        <xdr:cNvPr id="45" name="44 Imagen">
          <a:extLst>
            <a:ext uri="{FF2B5EF4-FFF2-40B4-BE49-F238E27FC236}">
              <a16:creationId xmlns:a16="http://schemas.microsoft.com/office/drawing/2014/main" id="{00000000-0008-0000-0200-00002D000000}"/>
            </a:ext>
          </a:extLst>
        </xdr:cNvPr>
        <xdr:cNvPicPr>
          <a:picLocks noChangeAspect="1" noChangeArrowheads="1"/>
        </xdr:cNvPicPr>
      </xdr:nvPicPr>
      <xdr:blipFill>
        <a:blip xmlns:r="http://schemas.openxmlformats.org/officeDocument/2006/relationships" r:embed="rId30"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3360420" y="27630120"/>
          <a:ext cx="167640"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175260</xdr:colOff>
      <xdr:row>153</xdr:row>
      <xdr:rowOff>60960</xdr:rowOff>
    </xdr:from>
    <xdr:to>
      <xdr:col>2</xdr:col>
      <xdr:colOff>685800</xdr:colOff>
      <xdr:row>155</xdr:row>
      <xdr:rowOff>68770</xdr:rowOff>
    </xdr:to>
    <xdr:pic>
      <xdr:nvPicPr>
        <xdr:cNvPr id="46" name="45 Imagen">
          <a:extLst>
            <a:ext uri="{FF2B5EF4-FFF2-40B4-BE49-F238E27FC236}">
              <a16:creationId xmlns:a16="http://schemas.microsoft.com/office/drawing/2014/main" id="{00000000-0008-0000-0200-00002E000000}"/>
            </a:ext>
          </a:extLst>
        </xdr:cNvPr>
        <xdr:cNvPicPr>
          <a:picLocks noChangeAspect="1" noChangeArrowheads="1"/>
        </xdr:cNvPicPr>
      </xdr:nvPicPr>
      <xdr:blipFill>
        <a:blip xmlns:r="http://schemas.openxmlformats.org/officeDocument/2006/relationships" r:embed="rId39"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960120" y="27599640"/>
          <a:ext cx="1379220" cy="34309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601980</xdr:colOff>
      <xdr:row>155</xdr:row>
      <xdr:rowOff>81458</xdr:rowOff>
    </xdr:from>
    <xdr:to>
      <xdr:col>2</xdr:col>
      <xdr:colOff>670560</xdr:colOff>
      <xdr:row>157</xdr:row>
      <xdr:rowOff>76199</xdr:rowOff>
    </xdr:to>
    <xdr:pic>
      <xdr:nvPicPr>
        <xdr:cNvPr id="47" name="46 Imagen">
          <a:extLst>
            <a:ext uri="{FF2B5EF4-FFF2-40B4-BE49-F238E27FC236}">
              <a16:creationId xmlns:a16="http://schemas.microsoft.com/office/drawing/2014/main" id="{00000000-0008-0000-0200-00002F000000}"/>
            </a:ext>
          </a:extLst>
        </xdr:cNvPr>
        <xdr:cNvPicPr>
          <a:picLocks noChangeAspect="1" noChangeArrowheads="1"/>
        </xdr:cNvPicPr>
      </xdr:nvPicPr>
      <xdr:blipFill>
        <a:blip xmlns:r="http://schemas.openxmlformats.org/officeDocument/2006/relationships" r:embed="rId40"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1386840" y="27742058"/>
          <a:ext cx="937260" cy="33002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6</xdr:col>
      <xdr:colOff>152400</xdr:colOff>
      <xdr:row>153</xdr:row>
      <xdr:rowOff>76200</xdr:rowOff>
    </xdr:from>
    <xdr:to>
      <xdr:col>7</xdr:col>
      <xdr:colOff>632460</xdr:colOff>
      <xdr:row>155</xdr:row>
      <xdr:rowOff>68446</xdr:rowOff>
    </xdr:to>
    <xdr:pic>
      <xdr:nvPicPr>
        <xdr:cNvPr id="48" name="47 Imagen">
          <a:extLst>
            <a:ext uri="{FF2B5EF4-FFF2-40B4-BE49-F238E27FC236}">
              <a16:creationId xmlns:a16="http://schemas.microsoft.com/office/drawing/2014/main" id="{00000000-0008-0000-0200-000030000000}"/>
            </a:ext>
          </a:extLst>
        </xdr:cNvPr>
        <xdr:cNvPicPr>
          <a:picLocks noChangeAspect="1" noChangeArrowheads="1"/>
        </xdr:cNvPicPr>
      </xdr:nvPicPr>
      <xdr:blipFill>
        <a:blip xmlns:r="http://schemas.openxmlformats.org/officeDocument/2006/relationships" r:embed="rId41"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4556760" y="27401520"/>
          <a:ext cx="1120140" cy="32752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6</xdr:col>
      <xdr:colOff>365760</xdr:colOff>
      <xdr:row>155</xdr:row>
      <xdr:rowOff>76200</xdr:rowOff>
    </xdr:from>
    <xdr:to>
      <xdr:col>7</xdr:col>
      <xdr:colOff>678180</xdr:colOff>
      <xdr:row>157</xdr:row>
      <xdr:rowOff>76307</xdr:rowOff>
    </xdr:to>
    <xdr:pic>
      <xdr:nvPicPr>
        <xdr:cNvPr id="49" name="48 Imagen">
          <a:extLst>
            <a:ext uri="{FF2B5EF4-FFF2-40B4-BE49-F238E27FC236}">
              <a16:creationId xmlns:a16="http://schemas.microsoft.com/office/drawing/2014/main" id="{00000000-0008-0000-0200-000031000000}"/>
            </a:ext>
          </a:extLst>
        </xdr:cNvPr>
        <xdr:cNvPicPr>
          <a:picLocks noChangeAspect="1" noChangeArrowheads="1"/>
        </xdr:cNvPicPr>
      </xdr:nvPicPr>
      <xdr:blipFill>
        <a:blip xmlns:r="http://schemas.openxmlformats.org/officeDocument/2006/relationships" r:embed="rId42"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4770120" y="27736800"/>
          <a:ext cx="952500" cy="33538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5</xdr:col>
      <xdr:colOff>0</xdr:colOff>
      <xdr:row>119</xdr:row>
      <xdr:rowOff>0</xdr:rowOff>
    </xdr:from>
    <xdr:to>
      <xdr:col>7</xdr:col>
      <xdr:colOff>609600</xdr:colOff>
      <xdr:row>121</xdr:row>
      <xdr:rowOff>30480</xdr:rowOff>
    </xdr:to>
    <xdr:pic>
      <xdr:nvPicPr>
        <xdr:cNvPr id="50" name="49 Imagen">
          <a:extLst>
            <a:ext uri="{FF2B5EF4-FFF2-40B4-BE49-F238E27FC236}">
              <a16:creationId xmlns:a16="http://schemas.microsoft.com/office/drawing/2014/main" id="{00000000-0008-0000-0200-000032000000}"/>
            </a:ext>
          </a:extLst>
        </xdr:cNvPr>
        <xdr:cNvPicPr>
          <a:picLocks noChangeAspect="1" noChangeArrowheads="1"/>
        </xdr:cNvPicPr>
      </xdr:nvPicPr>
      <xdr:blipFill>
        <a:blip xmlns:r="http://schemas.openxmlformats.org/officeDocument/2006/relationships" r:embed="rId43"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3787140" y="22463760"/>
          <a:ext cx="1866900" cy="3657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5</xdr:col>
      <xdr:colOff>15240</xdr:colOff>
      <xdr:row>122</xdr:row>
      <xdr:rowOff>152400</xdr:rowOff>
    </xdr:from>
    <xdr:to>
      <xdr:col>7</xdr:col>
      <xdr:colOff>655320</xdr:colOff>
      <xdr:row>125</xdr:row>
      <xdr:rowOff>15240</xdr:rowOff>
    </xdr:to>
    <xdr:pic>
      <xdr:nvPicPr>
        <xdr:cNvPr id="51" name="50 Imagen">
          <a:extLst>
            <a:ext uri="{FF2B5EF4-FFF2-40B4-BE49-F238E27FC236}">
              <a16:creationId xmlns:a16="http://schemas.microsoft.com/office/drawing/2014/main" id="{00000000-0008-0000-0200-000033000000}"/>
            </a:ext>
          </a:extLst>
        </xdr:cNvPr>
        <xdr:cNvPicPr>
          <a:picLocks noChangeAspect="1" noChangeArrowheads="1"/>
        </xdr:cNvPicPr>
      </xdr:nvPicPr>
      <xdr:blipFill>
        <a:blip xmlns:r="http://schemas.openxmlformats.org/officeDocument/2006/relationships" r:embed="rId44"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3802380" y="22448520"/>
          <a:ext cx="1897380" cy="3657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350520</xdr:colOff>
      <xdr:row>116</xdr:row>
      <xdr:rowOff>7620</xdr:rowOff>
    </xdr:from>
    <xdr:to>
      <xdr:col>2</xdr:col>
      <xdr:colOff>480060</xdr:colOff>
      <xdr:row>117</xdr:row>
      <xdr:rowOff>7620</xdr:rowOff>
    </xdr:to>
    <xdr:pic>
      <xdr:nvPicPr>
        <xdr:cNvPr id="52" name="51 Imagen">
          <a:extLst>
            <a:ext uri="{FF2B5EF4-FFF2-40B4-BE49-F238E27FC236}">
              <a16:creationId xmlns:a16="http://schemas.microsoft.com/office/drawing/2014/main" id="{00000000-0008-0000-0200-000034000000}"/>
            </a:ext>
          </a:extLst>
        </xdr:cNvPr>
        <xdr:cNvPicPr>
          <a:picLocks noChangeAspect="1" noChangeArrowheads="1"/>
        </xdr:cNvPicPr>
      </xdr:nvPicPr>
      <xdr:blipFill>
        <a:blip xmlns:r="http://schemas.openxmlformats.org/officeDocument/2006/relationships" r:embed="rId45"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004060" y="21633180"/>
          <a:ext cx="129540" cy="1676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373380</xdr:colOff>
      <xdr:row>117</xdr:row>
      <xdr:rowOff>7620</xdr:rowOff>
    </xdr:from>
    <xdr:to>
      <xdr:col>2</xdr:col>
      <xdr:colOff>495300</xdr:colOff>
      <xdr:row>117</xdr:row>
      <xdr:rowOff>160020</xdr:rowOff>
    </xdr:to>
    <xdr:pic>
      <xdr:nvPicPr>
        <xdr:cNvPr id="53" name="52 Imagen">
          <a:extLst>
            <a:ext uri="{FF2B5EF4-FFF2-40B4-BE49-F238E27FC236}">
              <a16:creationId xmlns:a16="http://schemas.microsoft.com/office/drawing/2014/main" id="{00000000-0008-0000-0200-000035000000}"/>
            </a:ext>
          </a:extLst>
        </xdr:cNvPr>
        <xdr:cNvPicPr>
          <a:picLocks noChangeAspect="1" noChangeArrowheads="1"/>
        </xdr:cNvPicPr>
      </xdr:nvPicPr>
      <xdr:blipFill>
        <a:blip xmlns:r="http://schemas.openxmlformats.org/officeDocument/2006/relationships" r:embed="rId46"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026920" y="21465540"/>
          <a:ext cx="12192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175260</xdr:colOff>
      <xdr:row>117</xdr:row>
      <xdr:rowOff>152400</xdr:rowOff>
    </xdr:from>
    <xdr:to>
      <xdr:col>2</xdr:col>
      <xdr:colOff>571500</xdr:colOff>
      <xdr:row>119</xdr:row>
      <xdr:rowOff>7620</xdr:rowOff>
    </xdr:to>
    <xdr:pic>
      <xdr:nvPicPr>
        <xdr:cNvPr id="54" name="53 Imagen">
          <a:extLst>
            <a:ext uri="{FF2B5EF4-FFF2-40B4-BE49-F238E27FC236}">
              <a16:creationId xmlns:a16="http://schemas.microsoft.com/office/drawing/2014/main" id="{00000000-0008-0000-0200-000036000000}"/>
            </a:ext>
          </a:extLst>
        </xdr:cNvPr>
        <xdr:cNvPicPr>
          <a:picLocks noChangeAspect="1" noChangeArrowheads="1"/>
        </xdr:cNvPicPr>
      </xdr:nvPicPr>
      <xdr:blipFill>
        <a:blip xmlns:r="http://schemas.openxmlformats.org/officeDocument/2006/relationships" r:embed="rId47"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1828800" y="21945600"/>
          <a:ext cx="396240"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198120</xdr:colOff>
      <xdr:row>118</xdr:row>
      <xdr:rowOff>137160</xdr:rowOff>
    </xdr:from>
    <xdr:to>
      <xdr:col>0</xdr:col>
      <xdr:colOff>541020</xdr:colOff>
      <xdr:row>120</xdr:row>
      <xdr:rowOff>0</xdr:rowOff>
    </xdr:to>
    <xdr:pic>
      <xdr:nvPicPr>
        <xdr:cNvPr id="55" name="54 Imagen">
          <a:extLst>
            <a:ext uri="{FF2B5EF4-FFF2-40B4-BE49-F238E27FC236}">
              <a16:creationId xmlns:a16="http://schemas.microsoft.com/office/drawing/2014/main" id="{00000000-0008-0000-0200-000037000000}"/>
            </a:ext>
          </a:extLst>
        </xdr:cNvPr>
        <xdr:cNvPicPr>
          <a:picLocks noChangeAspect="1" noChangeArrowheads="1"/>
        </xdr:cNvPicPr>
      </xdr:nvPicPr>
      <xdr:blipFill>
        <a:blip xmlns:r="http://schemas.openxmlformats.org/officeDocument/2006/relationships" r:embed="rId48"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198120" y="22098000"/>
          <a:ext cx="342900" cy="1981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198120</xdr:colOff>
      <xdr:row>118</xdr:row>
      <xdr:rowOff>137160</xdr:rowOff>
    </xdr:from>
    <xdr:to>
      <xdr:col>2</xdr:col>
      <xdr:colOff>533400</xdr:colOff>
      <xdr:row>119</xdr:row>
      <xdr:rowOff>160020</xdr:rowOff>
    </xdr:to>
    <xdr:pic>
      <xdr:nvPicPr>
        <xdr:cNvPr id="56" name="55 Imagen">
          <a:extLst>
            <a:ext uri="{FF2B5EF4-FFF2-40B4-BE49-F238E27FC236}">
              <a16:creationId xmlns:a16="http://schemas.microsoft.com/office/drawing/2014/main" id="{00000000-0008-0000-0200-000038000000}"/>
            </a:ext>
          </a:extLst>
        </xdr:cNvPr>
        <xdr:cNvPicPr>
          <a:picLocks noChangeAspect="1" noChangeArrowheads="1"/>
        </xdr:cNvPicPr>
      </xdr:nvPicPr>
      <xdr:blipFill>
        <a:blip xmlns:r="http://schemas.openxmlformats.org/officeDocument/2006/relationships" r:embed="rId49"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1851660" y="21762720"/>
          <a:ext cx="335280"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4</xdr:col>
      <xdr:colOff>251460</xdr:colOff>
      <xdr:row>129</xdr:row>
      <xdr:rowOff>144780</xdr:rowOff>
    </xdr:from>
    <xdr:to>
      <xdr:col>4</xdr:col>
      <xdr:colOff>441960</xdr:colOff>
      <xdr:row>131</xdr:row>
      <xdr:rowOff>7620</xdr:rowOff>
    </xdr:to>
    <xdr:pic>
      <xdr:nvPicPr>
        <xdr:cNvPr id="57" name="56 Imagen">
          <a:extLst>
            <a:ext uri="{FF2B5EF4-FFF2-40B4-BE49-F238E27FC236}">
              <a16:creationId xmlns:a16="http://schemas.microsoft.com/office/drawing/2014/main" id="{00000000-0008-0000-0200-000039000000}"/>
            </a:ext>
          </a:extLst>
        </xdr:cNvPr>
        <xdr:cNvPicPr>
          <a:picLocks noChangeAspect="1" noChangeArrowheads="1"/>
        </xdr:cNvPicPr>
      </xdr:nvPicPr>
      <xdr:blipFill>
        <a:blip xmlns:r="http://schemas.openxmlformats.org/officeDocument/2006/relationships" r:embed="rId23"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3322320" y="23614380"/>
          <a:ext cx="190500" cy="1981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4</xdr:col>
      <xdr:colOff>388620</xdr:colOff>
      <xdr:row>135</xdr:row>
      <xdr:rowOff>121920</xdr:rowOff>
    </xdr:from>
    <xdr:to>
      <xdr:col>4</xdr:col>
      <xdr:colOff>571500</xdr:colOff>
      <xdr:row>136</xdr:row>
      <xdr:rowOff>152400</xdr:rowOff>
    </xdr:to>
    <xdr:pic>
      <xdr:nvPicPr>
        <xdr:cNvPr id="58" name="57 Imagen">
          <a:extLst>
            <a:ext uri="{FF2B5EF4-FFF2-40B4-BE49-F238E27FC236}">
              <a16:creationId xmlns:a16="http://schemas.microsoft.com/office/drawing/2014/main" id="{00000000-0008-0000-0200-00003A000000}"/>
            </a:ext>
          </a:extLst>
        </xdr:cNvPr>
        <xdr:cNvPicPr>
          <a:picLocks noChangeAspect="1" noChangeArrowheads="1"/>
        </xdr:cNvPicPr>
      </xdr:nvPicPr>
      <xdr:blipFill>
        <a:blip xmlns:r="http://schemas.openxmlformats.org/officeDocument/2006/relationships" r:embed="rId28"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3459480" y="24597360"/>
          <a:ext cx="182880" cy="1981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9</xdr:col>
      <xdr:colOff>403860</xdr:colOff>
      <xdr:row>129</xdr:row>
      <xdr:rowOff>121920</xdr:rowOff>
    </xdr:from>
    <xdr:to>
      <xdr:col>9</xdr:col>
      <xdr:colOff>594360</xdr:colOff>
      <xdr:row>130</xdr:row>
      <xdr:rowOff>152400</xdr:rowOff>
    </xdr:to>
    <xdr:pic>
      <xdr:nvPicPr>
        <xdr:cNvPr id="59" name="58 Imagen">
          <a:extLst>
            <a:ext uri="{FF2B5EF4-FFF2-40B4-BE49-F238E27FC236}">
              <a16:creationId xmlns:a16="http://schemas.microsoft.com/office/drawing/2014/main" id="{00000000-0008-0000-0200-00003B000000}"/>
            </a:ext>
          </a:extLst>
        </xdr:cNvPr>
        <xdr:cNvPicPr>
          <a:picLocks noChangeAspect="1" noChangeArrowheads="1"/>
        </xdr:cNvPicPr>
      </xdr:nvPicPr>
      <xdr:blipFill>
        <a:blip xmlns:r="http://schemas.openxmlformats.org/officeDocument/2006/relationships" r:embed="rId23"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6987540" y="23591520"/>
          <a:ext cx="190500" cy="1981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9</xdr:col>
      <xdr:colOff>388620</xdr:colOff>
      <xdr:row>135</xdr:row>
      <xdr:rowOff>121920</xdr:rowOff>
    </xdr:from>
    <xdr:to>
      <xdr:col>9</xdr:col>
      <xdr:colOff>571500</xdr:colOff>
      <xdr:row>136</xdr:row>
      <xdr:rowOff>152400</xdr:rowOff>
    </xdr:to>
    <xdr:pic>
      <xdr:nvPicPr>
        <xdr:cNvPr id="60" name="59 Imagen">
          <a:extLst>
            <a:ext uri="{FF2B5EF4-FFF2-40B4-BE49-F238E27FC236}">
              <a16:creationId xmlns:a16="http://schemas.microsoft.com/office/drawing/2014/main" id="{00000000-0008-0000-0200-00003C000000}"/>
            </a:ext>
          </a:extLst>
        </xdr:cNvPr>
        <xdr:cNvPicPr>
          <a:picLocks noChangeAspect="1" noChangeArrowheads="1"/>
        </xdr:cNvPicPr>
      </xdr:nvPicPr>
      <xdr:blipFill>
        <a:blip xmlns:r="http://schemas.openxmlformats.org/officeDocument/2006/relationships" r:embed="rId28"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3459480" y="24597360"/>
          <a:ext cx="182880" cy="1981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4</xdr:col>
      <xdr:colOff>350520</xdr:colOff>
      <xdr:row>141</xdr:row>
      <xdr:rowOff>114300</xdr:rowOff>
    </xdr:from>
    <xdr:to>
      <xdr:col>4</xdr:col>
      <xdr:colOff>533400</xdr:colOff>
      <xdr:row>142</xdr:row>
      <xdr:rowOff>137160</xdr:rowOff>
    </xdr:to>
    <xdr:pic>
      <xdr:nvPicPr>
        <xdr:cNvPr id="61" name="60 Imagen">
          <a:extLst>
            <a:ext uri="{FF2B5EF4-FFF2-40B4-BE49-F238E27FC236}">
              <a16:creationId xmlns:a16="http://schemas.microsoft.com/office/drawing/2014/main" id="{00000000-0008-0000-0200-00003D000000}"/>
            </a:ext>
          </a:extLst>
        </xdr:cNvPr>
        <xdr:cNvPicPr>
          <a:picLocks noChangeAspect="1" noChangeArrowheads="1"/>
        </xdr:cNvPicPr>
      </xdr:nvPicPr>
      <xdr:blipFill>
        <a:blip xmlns:r="http://schemas.openxmlformats.org/officeDocument/2006/relationships" r:embed="rId31"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3421380" y="25260300"/>
          <a:ext cx="182880"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9</xdr:col>
      <xdr:colOff>441960</xdr:colOff>
      <xdr:row>145</xdr:row>
      <xdr:rowOff>129540</xdr:rowOff>
    </xdr:from>
    <xdr:to>
      <xdr:col>9</xdr:col>
      <xdr:colOff>624840</xdr:colOff>
      <xdr:row>146</xdr:row>
      <xdr:rowOff>152400</xdr:rowOff>
    </xdr:to>
    <xdr:pic>
      <xdr:nvPicPr>
        <xdr:cNvPr id="62" name="61 Imagen">
          <a:extLst>
            <a:ext uri="{FF2B5EF4-FFF2-40B4-BE49-F238E27FC236}">
              <a16:creationId xmlns:a16="http://schemas.microsoft.com/office/drawing/2014/main" id="{00000000-0008-0000-0200-00003E000000}"/>
            </a:ext>
          </a:extLst>
        </xdr:cNvPr>
        <xdr:cNvPicPr>
          <a:picLocks noChangeAspect="1" noChangeArrowheads="1"/>
        </xdr:cNvPicPr>
      </xdr:nvPicPr>
      <xdr:blipFill>
        <a:blip xmlns:r="http://schemas.openxmlformats.org/officeDocument/2006/relationships" r:embed="rId31"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7025640" y="25275540"/>
          <a:ext cx="182880"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4</xdr:col>
      <xdr:colOff>350520</xdr:colOff>
      <xdr:row>147</xdr:row>
      <xdr:rowOff>137160</xdr:rowOff>
    </xdr:from>
    <xdr:to>
      <xdr:col>4</xdr:col>
      <xdr:colOff>533400</xdr:colOff>
      <xdr:row>148</xdr:row>
      <xdr:rowOff>160020</xdr:rowOff>
    </xdr:to>
    <xdr:pic>
      <xdr:nvPicPr>
        <xdr:cNvPr id="63" name="62 Imagen">
          <a:extLst>
            <a:ext uri="{FF2B5EF4-FFF2-40B4-BE49-F238E27FC236}">
              <a16:creationId xmlns:a16="http://schemas.microsoft.com/office/drawing/2014/main" id="{00000000-0008-0000-0200-00003F000000}"/>
            </a:ext>
          </a:extLst>
        </xdr:cNvPr>
        <xdr:cNvPicPr>
          <a:picLocks noChangeAspect="1" noChangeArrowheads="1"/>
        </xdr:cNvPicPr>
      </xdr:nvPicPr>
      <xdr:blipFill>
        <a:blip xmlns:r="http://schemas.openxmlformats.org/officeDocument/2006/relationships" r:embed="rId31"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3421380" y="26456640"/>
          <a:ext cx="182880"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403860</xdr:colOff>
      <xdr:row>148</xdr:row>
      <xdr:rowOff>137160</xdr:rowOff>
    </xdr:from>
    <xdr:to>
      <xdr:col>0</xdr:col>
      <xdr:colOff>586740</xdr:colOff>
      <xdr:row>149</xdr:row>
      <xdr:rowOff>160020</xdr:rowOff>
    </xdr:to>
    <xdr:pic>
      <xdr:nvPicPr>
        <xdr:cNvPr id="64" name="63 Imagen">
          <a:extLst>
            <a:ext uri="{FF2B5EF4-FFF2-40B4-BE49-F238E27FC236}">
              <a16:creationId xmlns:a16="http://schemas.microsoft.com/office/drawing/2014/main" id="{00000000-0008-0000-0200-000040000000}"/>
            </a:ext>
          </a:extLst>
        </xdr:cNvPr>
        <xdr:cNvPicPr>
          <a:picLocks noChangeAspect="1" noChangeArrowheads="1"/>
        </xdr:cNvPicPr>
      </xdr:nvPicPr>
      <xdr:blipFill>
        <a:blip xmlns:r="http://schemas.openxmlformats.org/officeDocument/2006/relationships" r:embed="rId31"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403860" y="26624280"/>
          <a:ext cx="182880"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9</xdr:col>
      <xdr:colOff>373380</xdr:colOff>
      <xdr:row>153</xdr:row>
      <xdr:rowOff>106680</xdr:rowOff>
    </xdr:from>
    <xdr:to>
      <xdr:col>9</xdr:col>
      <xdr:colOff>541020</xdr:colOff>
      <xdr:row>154</xdr:row>
      <xdr:rowOff>129540</xdr:rowOff>
    </xdr:to>
    <xdr:pic>
      <xdr:nvPicPr>
        <xdr:cNvPr id="66" name="65 Imagen">
          <a:extLst>
            <a:ext uri="{FF2B5EF4-FFF2-40B4-BE49-F238E27FC236}">
              <a16:creationId xmlns:a16="http://schemas.microsoft.com/office/drawing/2014/main" id="{00000000-0008-0000-0200-000042000000}"/>
            </a:ext>
          </a:extLst>
        </xdr:cNvPr>
        <xdr:cNvPicPr>
          <a:picLocks noChangeAspect="1" noChangeArrowheads="1"/>
        </xdr:cNvPicPr>
      </xdr:nvPicPr>
      <xdr:blipFill>
        <a:blip xmlns:r="http://schemas.openxmlformats.org/officeDocument/2006/relationships" r:embed="rId30"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6957060" y="27614880"/>
          <a:ext cx="167640"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160020</xdr:colOff>
      <xdr:row>122</xdr:row>
      <xdr:rowOff>144780</xdr:rowOff>
    </xdr:from>
    <xdr:to>
      <xdr:col>2</xdr:col>
      <xdr:colOff>624840</xdr:colOff>
      <xdr:row>124</xdr:row>
      <xdr:rowOff>0</xdr:rowOff>
    </xdr:to>
    <xdr:pic>
      <xdr:nvPicPr>
        <xdr:cNvPr id="68" name="67 Imagen">
          <a:extLst>
            <a:ext uri="{FF2B5EF4-FFF2-40B4-BE49-F238E27FC236}">
              <a16:creationId xmlns:a16="http://schemas.microsoft.com/office/drawing/2014/main" id="{00000000-0008-0000-0200-000044000000}"/>
            </a:ext>
          </a:extLst>
        </xdr:cNvPr>
        <xdr:cNvPicPr>
          <a:picLocks noChangeAspect="1" noChangeArrowheads="1"/>
        </xdr:cNvPicPr>
      </xdr:nvPicPr>
      <xdr:blipFill>
        <a:blip xmlns:r="http://schemas.openxmlformats.org/officeDocument/2006/relationships" r:embed="rId32"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1813560" y="22440900"/>
          <a:ext cx="464820"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137160</xdr:colOff>
      <xdr:row>123</xdr:row>
      <xdr:rowOff>152400</xdr:rowOff>
    </xdr:from>
    <xdr:to>
      <xdr:col>2</xdr:col>
      <xdr:colOff>624840</xdr:colOff>
      <xdr:row>125</xdr:row>
      <xdr:rowOff>15240</xdr:rowOff>
    </xdr:to>
    <xdr:pic>
      <xdr:nvPicPr>
        <xdr:cNvPr id="69" name="68 Imagen">
          <a:extLst>
            <a:ext uri="{FF2B5EF4-FFF2-40B4-BE49-F238E27FC236}">
              <a16:creationId xmlns:a16="http://schemas.microsoft.com/office/drawing/2014/main" id="{00000000-0008-0000-0200-000045000000}"/>
            </a:ext>
          </a:extLst>
        </xdr:cNvPr>
        <xdr:cNvPicPr>
          <a:picLocks noChangeAspect="1" noChangeArrowheads="1"/>
        </xdr:cNvPicPr>
      </xdr:nvPicPr>
      <xdr:blipFill>
        <a:blip xmlns:r="http://schemas.openxmlformats.org/officeDocument/2006/relationships" r:embed="rId37"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1790700" y="22616160"/>
          <a:ext cx="487680" cy="1981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8</xdr:col>
      <xdr:colOff>373380</xdr:colOff>
      <xdr:row>121</xdr:row>
      <xdr:rowOff>137160</xdr:rowOff>
    </xdr:from>
    <xdr:to>
      <xdr:col>8</xdr:col>
      <xdr:colOff>563880</xdr:colOff>
      <xdr:row>123</xdr:row>
      <xdr:rowOff>0</xdr:rowOff>
    </xdr:to>
    <xdr:pic>
      <xdr:nvPicPr>
        <xdr:cNvPr id="70" name="69 Imagen">
          <a:extLst>
            <a:ext uri="{FF2B5EF4-FFF2-40B4-BE49-F238E27FC236}">
              <a16:creationId xmlns:a16="http://schemas.microsoft.com/office/drawing/2014/main" id="{00000000-0008-0000-0200-000046000000}"/>
            </a:ext>
          </a:extLst>
        </xdr:cNvPr>
        <xdr:cNvPicPr>
          <a:picLocks noChangeAspect="1" noChangeArrowheads="1"/>
        </xdr:cNvPicPr>
      </xdr:nvPicPr>
      <xdr:blipFill>
        <a:blip xmlns:r="http://schemas.openxmlformats.org/officeDocument/2006/relationships" r:embed="rId23"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6164580" y="22265640"/>
          <a:ext cx="190500" cy="1981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9</xdr:col>
      <xdr:colOff>358140</xdr:colOff>
      <xdr:row>121</xdr:row>
      <xdr:rowOff>106680</xdr:rowOff>
    </xdr:from>
    <xdr:to>
      <xdr:col>9</xdr:col>
      <xdr:colOff>541020</xdr:colOff>
      <xdr:row>122</xdr:row>
      <xdr:rowOff>137160</xdr:rowOff>
    </xdr:to>
    <xdr:pic>
      <xdr:nvPicPr>
        <xdr:cNvPr id="71" name="70 Imagen">
          <a:extLst>
            <a:ext uri="{FF2B5EF4-FFF2-40B4-BE49-F238E27FC236}">
              <a16:creationId xmlns:a16="http://schemas.microsoft.com/office/drawing/2014/main" id="{00000000-0008-0000-0200-000047000000}"/>
            </a:ext>
          </a:extLst>
        </xdr:cNvPr>
        <xdr:cNvPicPr>
          <a:picLocks noChangeAspect="1" noChangeArrowheads="1"/>
        </xdr:cNvPicPr>
      </xdr:nvPicPr>
      <xdr:blipFill>
        <a:blip xmlns:r="http://schemas.openxmlformats.org/officeDocument/2006/relationships" r:embed="rId28"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6941820" y="22235160"/>
          <a:ext cx="182880" cy="1981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8</xdr:col>
      <xdr:colOff>358140</xdr:colOff>
      <xdr:row>117</xdr:row>
      <xdr:rowOff>137160</xdr:rowOff>
    </xdr:from>
    <xdr:to>
      <xdr:col>8</xdr:col>
      <xdr:colOff>541020</xdr:colOff>
      <xdr:row>118</xdr:row>
      <xdr:rowOff>160020</xdr:rowOff>
    </xdr:to>
    <xdr:pic>
      <xdr:nvPicPr>
        <xdr:cNvPr id="72" name="71 Imagen">
          <a:extLst>
            <a:ext uri="{FF2B5EF4-FFF2-40B4-BE49-F238E27FC236}">
              <a16:creationId xmlns:a16="http://schemas.microsoft.com/office/drawing/2014/main" id="{00000000-0008-0000-0200-000048000000}"/>
            </a:ext>
          </a:extLst>
        </xdr:cNvPr>
        <xdr:cNvPicPr>
          <a:picLocks noChangeAspect="1" noChangeArrowheads="1"/>
        </xdr:cNvPicPr>
      </xdr:nvPicPr>
      <xdr:blipFill>
        <a:blip xmlns:r="http://schemas.openxmlformats.org/officeDocument/2006/relationships" r:embed="rId31"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6149340" y="21595080"/>
          <a:ext cx="182880"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9</xdr:col>
      <xdr:colOff>350520</xdr:colOff>
      <xdr:row>117</xdr:row>
      <xdr:rowOff>137160</xdr:rowOff>
    </xdr:from>
    <xdr:to>
      <xdr:col>9</xdr:col>
      <xdr:colOff>518160</xdr:colOff>
      <xdr:row>118</xdr:row>
      <xdr:rowOff>144780</xdr:rowOff>
    </xdr:to>
    <xdr:pic>
      <xdr:nvPicPr>
        <xdr:cNvPr id="73" name="72 Imagen">
          <a:extLst>
            <a:ext uri="{FF2B5EF4-FFF2-40B4-BE49-F238E27FC236}">
              <a16:creationId xmlns:a16="http://schemas.microsoft.com/office/drawing/2014/main" id="{00000000-0008-0000-0200-000049000000}"/>
            </a:ext>
          </a:extLst>
        </xdr:cNvPr>
        <xdr:cNvPicPr>
          <a:picLocks noChangeAspect="1" noChangeArrowheads="1"/>
        </xdr:cNvPicPr>
      </xdr:nvPicPr>
      <xdr:blipFill>
        <a:blip xmlns:r="http://schemas.openxmlformats.org/officeDocument/2006/relationships" r:embed="rId30"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6934200" y="21595080"/>
          <a:ext cx="167640" cy="1752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7</xdr:col>
      <xdr:colOff>685800</xdr:colOff>
      <xdr:row>121</xdr:row>
      <xdr:rowOff>7620</xdr:rowOff>
    </xdr:from>
    <xdr:to>
      <xdr:col>8</xdr:col>
      <xdr:colOff>297180</xdr:colOff>
      <xdr:row>121</xdr:row>
      <xdr:rowOff>153114</xdr:rowOff>
    </xdr:to>
    <xdr:pic>
      <xdr:nvPicPr>
        <xdr:cNvPr id="74" name="73 Imagen">
          <a:extLst>
            <a:ext uri="{FF2B5EF4-FFF2-40B4-BE49-F238E27FC236}">
              <a16:creationId xmlns:a16="http://schemas.microsoft.com/office/drawing/2014/main" id="{00000000-0008-0000-0200-00004A000000}"/>
            </a:ext>
          </a:extLst>
        </xdr:cNvPr>
        <xdr:cNvPicPr>
          <a:picLocks noChangeAspect="1" noChangeArrowheads="1"/>
        </xdr:cNvPicPr>
      </xdr:nvPicPr>
      <xdr:blipFill>
        <a:blip xmlns:r="http://schemas.openxmlformats.org/officeDocument/2006/relationships" r:embed="rId37"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5730240" y="22143720"/>
          <a:ext cx="358140" cy="14549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7</xdr:col>
      <xdr:colOff>739140</xdr:colOff>
      <xdr:row>120</xdr:row>
      <xdr:rowOff>15240</xdr:rowOff>
    </xdr:from>
    <xdr:to>
      <xdr:col>8</xdr:col>
      <xdr:colOff>320040</xdr:colOff>
      <xdr:row>120</xdr:row>
      <xdr:rowOff>149527</xdr:rowOff>
    </xdr:to>
    <xdr:pic>
      <xdr:nvPicPr>
        <xdr:cNvPr id="75" name="74 Imagen">
          <a:extLst>
            <a:ext uri="{FF2B5EF4-FFF2-40B4-BE49-F238E27FC236}">
              <a16:creationId xmlns:a16="http://schemas.microsoft.com/office/drawing/2014/main" id="{00000000-0008-0000-0200-00004B000000}"/>
            </a:ext>
          </a:extLst>
        </xdr:cNvPr>
        <xdr:cNvPicPr>
          <a:picLocks noChangeAspect="1" noChangeArrowheads="1"/>
        </xdr:cNvPicPr>
      </xdr:nvPicPr>
      <xdr:blipFill>
        <a:blip xmlns:r="http://schemas.openxmlformats.org/officeDocument/2006/relationships" r:embed="rId32"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5783580" y="21983700"/>
          <a:ext cx="327660" cy="13428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162</xdr:row>
      <xdr:rowOff>0</xdr:rowOff>
    </xdr:from>
    <xdr:to>
      <xdr:col>2</xdr:col>
      <xdr:colOff>609600</xdr:colOff>
      <xdr:row>164</xdr:row>
      <xdr:rowOff>30480</xdr:rowOff>
    </xdr:to>
    <xdr:pic>
      <xdr:nvPicPr>
        <xdr:cNvPr id="76" name="75 Imagen">
          <a:extLst>
            <a:ext uri="{FF2B5EF4-FFF2-40B4-BE49-F238E27FC236}">
              <a16:creationId xmlns:a16="http://schemas.microsoft.com/office/drawing/2014/main" id="{00000000-0008-0000-0200-00004C000000}"/>
            </a:ext>
          </a:extLst>
        </xdr:cNvPr>
        <xdr:cNvPicPr>
          <a:picLocks noChangeAspect="1" noChangeArrowheads="1"/>
        </xdr:cNvPicPr>
      </xdr:nvPicPr>
      <xdr:blipFill>
        <a:blip xmlns:r="http://schemas.openxmlformats.org/officeDocument/2006/relationships" r:embed="rId43"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3787140" y="21861780"/>
          <a:ext cx="1866900" cy="3886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15240</xdr:colOff>
      <xdr:row>165</xdr:row>
      <xdr:rowOff>152400</xdr:rowOff>
    </xdr:from>
    <xdr:to>
      <xdr:col>2</xdr:col>
      <xdr:colOff>655320</xdr:colOff>
      <xdr:row>168</xdr:row>
      <xdr:rowOff>15240</xdr:rowOff>
    </xdr:to>
    <xdr:pic>
      <xdr:nvPicPr>
        <xdr:cNvPr id="77" name="76 Imagen">
          <a:extLst>
            <a:ext uri="{FF2B5EF4-FFF2-40B4-BE49-F238E27FC236}">
              <a16:creationId xmlns:a16="http://schemas.microsoft.com/office/drawing/2014/main" id="{00000000-0008-0000-0200-00004D000000}"/>
            </a:ext>
          </a:extLst>
        </xdr:cNvPr>
        <xdr:cNvPicPr>
          <a:picLocks noChangeAspect="1" noChangeArrowheads="1"/>
        </xdr:cNvPicPr>
      </xdr:nvPicPr>
      <xdr:blipFill>
        <a:blip xmlns:r="http://schemas.openxmlformats.org/officeDocument/2006/relationships" r:embed="rId44"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3802380" y="22539960"/>
          <a:ext cx="1897380" cy="3733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6</xdr:col>
      <xdr:colOff>373380</xdr:colOff>
      <xdr:row>164</xdr:row>
      <xdr:rowOff>137160</xdr:rowOff>
    </xdr:from>
    <xdr:to>
      <xdr:col>6</xdr:col>
      <xdr:colOff>563880</xdr:colOff>
      <xdr:row>166</xdr:row>
      <xdr:rowOff>0</xdr:rowOff>
    </xdr:to>
    <xdr:pic>
      <xdr:nvPicPr>
        <xdr:cNvPr id="78" name="77 Imagen">
          <a:extLst>
            <a:ext uri="{FF2B5EF4-FFF2-40B4-BE49-F238E27FC236}">
              <a16:creationId xmlns:a16="http://schemas.microsoft.com/office/drawing/2014/main" id="{00000000-0008-0000-0200-00004E000000}"/>
            </a:ext>
          </a:extLst>
        </xdr:cNvPr>
        <xdr:cNvPicPr>
          <a:picLocks noChangeAspect="1" noChangeArrowheads="1"/>
        </xdr:cNvPicPr>
      </xdr:nvPicPr>
      <xdr:blipFill>
        <a:blip xmlns:r="http://schemas.openxmlformats.org/officeDocument/2006/relationships" r:embed="rId23"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6164580" y="22357080"/>
          <a:ext cx="190500" cy="1981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8</xdr:col>
      <xdr:colOff>358140</xdr:colOff>
      <xdr:row>164</xdr:row>
      <xdr:rowOff>106680</xdr:rowOff>
    </xdr:from>
    <xdr:to>
      <xdr:col>8</xdr:col>
      <xdr:colOff>541020</xdr:colOff>
      <xdr:row>165</xdr:row>
      <xdr:rowOff>137160</xdr:rowOff>
    </xdr:to>
    <xdr:pic>
      <xdr:nvPicPr>
        <xdr:cNvPr id="79" name="78 Imagen">
          <a:extLst>
            <a:ext uri="{FF2B5EF4-FFF2-40B4-BE49-F238E27FC236}">
              <a16:creationId xmlns:a16="http://schemas.microsoft.com/office/drawing/2014/main" id="{00000000-0008-0000-0200-00004F000000}"/>
            </a:ext>
          </a:extLst>
        </xdr:cNvPr>
        <xdr:cNvPicPr>
          <a:picLocks noChangeAspect="1" noChangeArrowheads="1"/>
        </xdr:cNvPicPr>
      </xdr:nvPicPr>
      <xdr:blipFill>
        <a:blip xmlns:r="http://schemas.openxmlformats.org/officeDocument/2006/relationships" r:embed="rId28"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6941820" y="22326600"/>
          <a:ext cx="182880" cy="1981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6</xdr:col>
      <xdr:colOff>312420</xdr:colOff>
      <xdr:row>159</xdr:row>
      <xdr:rowOff>137160</xdr:rowOff>
    </xdr:from>
    <xdr:to>
      <xdr:col>6</xdr:col>
      <xdr:colOff>495300</xdr:colOff>
      <xdr:row>160</xdr:row>
      <xdr:rowOff>160020</xdr:rowOff>
    </xdr:to>
    <xdr:pic>
      <xdr:nvPicPr>
        <xdr:cNvPr id="80" name="79 Imagen">
          <a:extLst>
            <a:ext uri="{FF2B5EF4-FFF2-40B4-BE49-F238E27FC236}">
              <a16:creationId xmlns:a16="http://schemas.microsoft.com/office/drawing/2014/main" id="{00000000-0008-0000-0200-000050000000}"/>
            </a:ext>
          </a:extLst>
        </xdr:cNvPr>
        <xdr:cNvPicPr>
          <a:picLocks noChangeAspect="1" noChangeArrowheads="1"/>
        </xdr:cNvPicPr>
      </xdr:nvPicPr>
      <xdr:blipFill>
        <a:blip xmlns:r="http://schemas.openxmlformats.org/officeDocument/2006/relationships" r:embed="rId31"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5356860" y="28788360"/>
          <a:ext cx="182880"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8</xdr:col>
      <xdr:colOff>259080</xdr:colOff>
      <xdr:row>160</xdr:row>
      <xdr:rowOff>0</xdr:rowOff>
    </xdr:from>
    <xdr:to>
      <xdr:col>8</xdr:col>
      <xdr:colOff>426720</xdr:colOff>
      <xdr:row>161</xdr:row>
      <xdr:rowOff>7620</xdr:rowOff>
    </xdr:to>
    <xdr:pic>
      <xdr:nvPicPr>
        <xdr:cNvPr id="81" name="80 Imagen">
          <a:extLst>
            <a:ext uri="{FF2B5EF4-FFF2-40B4-BE49-F238E27FC236}">
              <a16:creationId xmlns:a16="http://schemas.microsoft.com/office/drawing/2014/main" id="{00000000-0008-0000-0200-000051000000}"/>
            </a:ext>
          </a:extLst>
        </xdr:cNvPr>
        <xdr:cNvPicPr>
          <a:picLocks noChangeAspect="1" noChangeArrowheads="1"/>
        </xdr:cNvPicPr>
      </xdr:nvPicPr>
      <xdr:blipFill>
        <a:blip xmlns:r="http://schemas.openxmlformats.org/officeDocument/2006/relationships" r:embed="rId30"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6842760" y="28818840"/>
          <a:ext cx="167640" cy="1752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xdr:from>
          <xdr:col>0</xdr:col>
          <xdr:colOff>209550</xdr:colOff>
          <xdr:row>105</xdr:row>
          <xdr:rowOff>104775</xdr:rowOff>
        </xdr:from>
        <xdr:to>
          <xdr:col>2</xdr:col>
          <xdr:colOff>419100</xdr:colOff>
          <xdr:row>110</xdr:row>
          <xdr:rowOff>19050</xdr:rowOff>
        </xdr:to>
        <xdr:sp macro="" textlink="">
          <xdr:nvSpPr>
            <xdr:cNvPr id="3" name="Object 22" hidden="1">
              <a:extLst>
                <a:ext uri="{63B3BB69-23CF-44E3-9099-C40C66FF867C}">
                  <a14:compatExt spid="_x0000_s12310"/>
                </a:ext>
                <a:ext uri="{FF2B5EF4-FFF2-40B4-BE49-F238E27FC236}">
                  <a16:creationId xmlns:a16="http://schemas.microsoft.com/office/drawing/2014/main" id="{00000000-0008-0000-0200-0000030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723900</xdr:colOff>
          <xdr:row>88</xdr:row>
          <xdr:rowOff>133350</xdr:rowOff>
        </xdr:from>
        <xdr:to>
          <xdr:col>13</xdr:col>
          <xdr:colOff>57150</xdr:colOff>
          <xdr:row>91</xdr:row>
          <xdr:rowOff>142875</xdr:rowOff>
        </xdr:to>
        <xdr:sp macro="" textlink="">
          <xdr:nvSpPr>
            <xdr:cNvPr id="4" name="Object 23" hidden="1">
              <a:extLst>
                <a:ext uri="{63B3BB69-23CF-44E3-9099-C40C66FF867C}">
                  <a14:compatExt spid="_x0000_s12311"/>
                </a:ext>
                <a:ext uri="{FF2B5EF4-FFF2-40B4-BE49-F238E27FC236}">
                  <a16:creationId xmlns:a16="http://schemas.microsoft.com/office/drawing/2014/main" id="{00000000-0008-0000-0200-0000040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123825</xdr:colOff>
          <xdr:row>93</xdr:row>
          <xdr:rowOff>114300</xdr:rowOff>
        </xdr:from>
        <xdr:to>
          <xdr:col>14</xdr:col>
          <xdr:colOff>733425</xdr:colOff>
          <xdr:row>95</xdr:row>
          <xdr:rowOff>47625</xdr:rowOff>
        </xdr:to>
        <xdr:sp macro="" textlink="">
          <xdr:nvSpPr>
            <xdr:cNvPr id="5" name="Object 24" hidden="1">
              <a:extLst>
                <a:ext uri="{63B3BB69-23CF-44E3-9099-C40C66FF867C}">
                  <a14:compatExt spid="_x0000_s12312"/>
                </a:ext>
                <a:ext uri="{FF2B5EF4-FFF2-40B4-BE49-F238E27FC236}">
                  <a16:creationId xmlns:a16="http://schemas.microsoft.com/office/drawing/2014/main" id="{00000000-0008-0000-0200-000005000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xdr:twoCellAnchor editAs="oneCell">
    <xdr:from>
      <xdr:col>16</xdr:col>
      <xdr:colOff>238125</xdr:colOff>
      <xdr:row>0</xdr:row>
      <xdr:rowOff>95250</xdr:rowOff>
    </xdr:from>
    <xdr:to>
      <xdr:col>17</xdr:col>
      <xdr:colOff>361950</xdr:colOff>
      <xdr:row>4</xdr:row>
      <xdr:rowOff>66675</xdr:rowOff>
    </xdr:to>
    <xdr:pic>
      <xdr:nvPicPr>
        <xdr:cNvPr id="14337" name="Picture 1">
          <a:extLst>
            <a:ext uri="{FF2B5EF4-FFF2-40B4-BE49-F238E27FC236}">
              <a16:creationId xmlns:a16="http://schemas.microsoft.com/office/drawing/2014/main" id="{00000000-0008-0000-0500-00000138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6048375" y="95250"/>
          <a:ext cx="885825" cy="723900"/>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16</xdr:col>
      <xdr:colOff>209550</xdr:colOff>
      <xdr:row>0</xdr:row>
      <xdr:rowOff>47625</xdr:rowOff>
    </xdr:from>
    <xdr:to>
      <xdr:col>17</xdr:col>
      <xdr:colOff>323850</xdr:colOff>
      <xdr:row>3</xdr:row>
      <xdr:rowOff>0</xdr:rowOff>
    </xdr:to>
    <xdr:pic>
      <xdr:nvPicPr>
        <xdr:cNvPr id="15361" name="Picture 1">
          <a:extLst>
            <a:ext uri="{FF2B5EF4-FFF2-40B4-BE49-F238E27FC236}">
              <a16:creationId xmlns:a16="http://schemas.microsoft.com/office/drawing/2014/main" id="{00000000-0008-0000-0A00-0000013C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4486275" y="47625"/>
          <a:ext cx="876300" cy="723900"/>
        </a:xfrm>
        <a:prstGeom prst="rect">
          <a:avLst/>
        </a:prstGeom>
        <a:noFill/>
        <a:ln w="9525">
          <a:noFill/>
          <a:miter lim="800000"/>
          <a:headEnd/>
          <a:tailEnd/>
        </a:ln>
      </xdr:spPr>
    </xdr:pic>
    <xdr:clientData/>
  </xdr:twoCellAnchor>
  <xdr:twoCellAnchor editAs="oneCell">
    <xdr:from>
      <xdr:col>21</xdr:col>
      <xdr:colOff>28575</xdr:colOff>
      <xdr:row>32</xdr:row>
      <xdr:rowOff>104775</xdr:rowOff>
    </xdr:from>
    <xdr:to>
      <xdr:col>25</xdr:col>
      <xdr:colOff>257175</xdr:colOff>
      <xdr:row>40</xdr:row>
      <xdr:rowOff>19050</xdr:rowOff>
    </xdr:to>
    <xdr:pic>
      <xdr:nvPicPr>
        <xdr:cNvPr id="15362" name="Picture 2">
          <a:extLst>
            <a:ext uri="{FF2B5EF4-FFF2-40B4-BE49-F238E27FC236}">
              <a16:creationId xmlns:a16="http://schemas.microsoft.com/office/drawing/2014/main" id="{00000000-0008-0000-0A00-0000023C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6486525" y="5791200"/>
          <a:ext cx="1466850" cy="1209675"/>
        </a:xfrm>
        <a:prstGeom prst="rect">
          <a:avLst/>
        </a:prstGeom>
        <a:noFill/>
        <a:ln w="9525">
          <a:noFill/>
          <a:miter lim="800000"/>
          <a:headEnd/>
          <a:tailEnd/>
        </a:ln>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16</xdr:col>
      <xdr:colOff>219075</xdr:colOff>
      <xdr:row>1</xdr:row>
      <xdr:rowOff>47625</xdr:rowOff>
    </xdr:from>
    <xdr:to>
      <xdr:col>17</xdr:col>
      <xdr:colOff>333375</xdr:colOff>
      <xdr:row>5</xdr:row>
      <xdr:rowOff>38100</xdr:rowOff>
    </xdr:to>
    <xdr:pic>
      <xdr:nvPicPr>
        <xdr:cNvPr id="16385" name="Picture 2">
          <a:extLst>
            <a:ext uri="{FF2B5EF4-FFF2-40B4-BE49-F238E27FC236}">
              <a16:creationId xmlns:a16="http://schemas.microsoft.com/office/drawing/2014/main" id="{00000000-0008-0000-0B00-0000014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4486275" y="209550"/>
          <a:ext cx="876300" cy="723900"/>
        </a:xfrm>
        <a:prstGeom prst="rect">
          <a:avLst/>
        </a:prstGeom>
        <a:noFill/>
        <a:ln w="9525">
          <a:noFill/>
          <a:miter lim="800000"/>
          <a:headEnd/>
          <a:tailEnd/>
        </a:ln>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16</xdr:col>
      <xdr:colOff>190500</xdr:colOff>
      <xdr:row>0</xdr:row>
      <xdr:rowOff>142875</xdr:rowOff>
    </xdr:from>
    <xdr:to>
      <xdr:col>17</xdr:col>
      <xdr:colOff>314325</xdr:colOff>
      <xdr:row>4</xdr:row>
      <xdr:rowOff>133350</xdr:rowOff>
    </xdr:to>
    <xdr:pic>
      <xdr:nvPicPr>
        <xdr:cNvPr id="17409" name="Picture 1">
          <a:extLst>
            <a:ext uri="{FF2B5EF4-FFF2-40B4-BE49-F238E27FC236}">
              <a16:creationId xmlns:a16="http://schemas.microsoft.com/office/drawing/2014/main" id="{00000000-0008-0000-0C00-00000144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4800600" y="142875"/>
          <a:ext cx="885825" cy="723900"/>
        </a:xfrm>
        <a:prstGeom prst="rect">
          <a:avLst/>
        </a:prstGeom>
        <a:noFill/>
        <a:ln w="9525">
          <a:noFill/>
          <a:miter lim="800000"/>
          <a:headEnd/>
          <a:tailEnd/>
        </a:ln>
      </xdr:spPr>
    </xdr:pic>
    <xdr:clientData/>
  </xdr:twoCellAnchor>
</xdr:wsDr>
</file>

<file path=xl/drawings/drawing8.xml><?xml version="1.0" encoding="utf-8"?>
<xdr:wsDr xmlns:xdr="http://schemas.openxmlformats.org/drawingml/2006/spreadsheetDrawing" xmlns:a="http://schemas.openxmlformats.org/drawingml/2006/main">
  <xdr:twoCellAnchor>
    <xdr:from>
      <xdr:col>5</xdr:col>
      <xdr:colOff>514350</xdr:colOff>
      <xdr:row>3</xdr:row>
      <xdr:rowOff>114300</xdr:rowOff>
    </xdr:from>
    <xdr:to>
      <xdr:col>6</xdr:col>
      <xdr:colOff>419100</xdr:colOff>
      <xdr:row>5</xdr:row>
      <xdr:rowOff>95250</xdr:rowOff>
    </xdr:to>
    <xdr:pic>
      <xdr:nvPicPr>
        <xdr:cNvPr id="10278" name="Picture 1">
          <a:extLst>
            <a:ext uri="{FF2B5EF4-FFF2-40B4-BE49-F238E27FC236}">
              <a16:creationId xmlns:a16="http://schemas.microsoft.com/office/drawing/2014/main" id="{00000000-0008-0000-0D00-000026280000}"/>
            </a:ext>
          </a:extLst>
        </xdr:cNvPr>
        <xdr:cNvPicPr>
          <a:picLocks noChangeAspect="1" noChangeArrowheads="1"/>
        </xdr:cNvPicPr>
      </xdr:nvPicPr>
      <xdr:blipFill>
        <a:blip xmlns:r="http://schemas.openxmlformats.org/officeDocument/2006/relationships" r:embed="rId1" cstate="print">
          <a:clrChange>
            <a:clrFrom>
              <a:srgbClr val="FFFFFF"/>
            </a:clrFrom>
            <a:clrTo>
              <a:srgbClr val="FFFFFF">
                <a:alpha val="0"/>
              </a:srgbClr>
            </a:clrTo>
          </a:clrChange>
        </a:blip>
        <a:srcRect/>
        <a:stretch>
          <a:fillRect/>
        </a:stretch>
      </xdr:blipFill>
      <xdr:spPr bwMode="auto">
        <a:xfrm>
          <a:off x="2981325" y="714375"/>
          <a:ext cx="514350" cy="400050"/>
        </a:xfrm>
        <a:prstGeom prst="rect">
          <a:avLst/>
        </a:prstGeom>
        <a:noFill/>
        <a:ln w="9525">
          <a:noFill/>
          <a:miter lim="800000"/>
          <a:headEnd/>
          <a:tailEnd/>
        </a:ln>
      </xdr:spPr>
    </xdr:pic>
    <xdr:clientData/>
  </xdr:twoCellAnchor>
  <xdr:twoCellAnchor>
    <xdr:from>
      <xdr:col>2</xdr:col>
      <xdr:colOff>0</xdr:colOff>
      <xdr:row>21</xdr:row>
      <xdr:rowOff>0</xdr:rowOff>
    </xdr:from>
    <xdr:to>
      <xdr:col>3</xdr:col>
      <xdr:colOff>323850</xdr:colOff>
      <xdr:row>21</xdr:row>
      <xdr:rowOff>161925</xdr:rowOff>
    </xdr:to>
    <xdr:pic>
      <xdr:nvPicPr>
        <xdr:cNvPr id="10279" name="Picture 5">
          <a:extLst>
            <a:ext uri="{FF2B5EF4-FFF2-40B4-BE49-F238E27FC236}">
              <a16:creationId xmlns:a16="http://schemas.microsoft.com/office/drawing/2014/main" id="{00000000-0008-0000-0D00-000027280000}"/>
            </a:ext>
          </a:extLst>
        </xdr:cNvPr>
        <xdr:cNvPicPr>
          <a:picLocks noChangeAspect="1" noChangeArrowheads="1"/>
        </xdr:cNvPicPr>
      </xdr:nvPicPr>
      <xdr:blipFill>
        <a:blip xmlns:r="http://schemas.openxmlformats.org/officeDocument/2006/relationships" r:embed="rId2" cstate="print">
          <a:clrChange>
            <a:clrFrom>
              <a:srgbClr val="FFFFFF"/>
            </a:clrFrom>
            <a:clrTo>
              <a:srgbClr val="FFFFFF">
                <a:alpha val="0"/>
              </a:srgbClr>
            </a:clrTo>
          </a:clrChange>
        </a:blip>
        <a:srcRect/>
        <a:stretch>
          <a:fillRect/>
        </a:stretch>
      </xdr:blipFill>
      <xdr:spPr bwMode="auto">
        <a:xfrm>
          <a:off x="742950" y="4410075"/>
          <a:ext cx="819150" cy="161925"/>
        </a:xfrm>
        <a:prstGeom prst="rect">
          <a:avLst/>
        </a:prstGeom>
        <a:noFill/>
        <a:ln w="9525">
          <a:noFill/>
          <a:miter lim="800000"/>
          <a:headEnd/>
          <a:tailEnd/>
        </a:ln>
      </xdr:spPr>
    </xdr:pic>
    <xdr:clientData/>
  </xdr:twoCellAnchor>
  <xdr:twoCellAnchor>
    <xdr:from>
      <xdr:col>4</xdr:col>
      <xdr:colOff>371475</xdr:colOff>
      <xdr:row>20</xdr:row>
      <xdr:rowOff>142875</xdr:rowOff>
    </xdr:from>
    <xdr:to>
      <xdr:col>5</xdr:col>
      <xdr:colOff>561975</xdr:colOff>
      <xdr:row>22</xdr:row>
      <xdr:rowOff>57150</xdr:rowOff>
    </xdr:to>
    <xdr:pic>
      <xdr:nvPicPr>
        <xdr:cNvPr id="10280" name="Picture 4">
          <a:extLst>
            <a:ext uri="{FF2B5EF4-FFF2-40B4-BE49-F238E27FC236}">
              <a16:creationId xmlns:a16="http://schemas.microsoft.com/office/drawing/2014/main" id="{00000000-0008-0000-0D00-000028280000}"/>
            </a:ext>
          </a:extLst>
        </xdr:cNvPr>
        <xdr:cNvPicPr>
          <a:picLocks noChangeAspect="1" noChangeArrowheads="1"/>
        </xdr:cNvPicPr>
      </xdr:nvPicPr>
      <xdr:blipFill>
        <a:blip xmlns:r="http://schemas.openxmlformats.org/officeDocument/2006/relationships" r:embed="rId3" cstate="print">
          <a:clrChange>
            <a:clrFrom>
              <a:srgbClr val="FFFFFF"/>
            </a:clrFrom>
            <a:clrTo>
              <a:srgbClr val="FFFFFF">
                <a:alpha val="0"/>
              </a:srgbClr>
            </a:clrTo>
          </a:clrChange>
        </a:blip>
        <a:srcRect/>
        <a:stretch>
          <a:fillRect/>
        </a:stretch>
      </xdr:blipFill>
      <xdr:spPr bwMode="auto">
        <a:xfrm>
          <a:off x="2286000" y="4352925"/>
          <a:ext cx="742950" cy="314325"/>
        </a:xfrm>
        <a:prstGeom prst="rect">
          <a:avLst/>
        </a:prstGeom>
        <a:noFill/>
        <a:ln w="9525">
          <a:noFill/>
          <a:miter lim="800000"/>
          <a:headEnd/>
          <a:tailEnd/>
        </a:ln>
      </xdr:spPr>
    </xdr:pic>
    <xdr:clientData/>
  </xdr:twoCellAnchor>
  <xdr:twoCellAnchor>
    <xdr:from>
      <xdr:col>2</xdr:col>
      <xdr:colOff>0</xdr:colOff>
      <xdr:row>27</xdr:row>
      <xdr:rowOff>0</xdr:rowOff>
    </xdr:from>
    <xdr:to>
      <xdr:col>3</xdr:col>
      <xdr:colOff>247650</xdr:colOff>
      <xdr:row>28</xdr:row>
      <xdr:rowOff>104775</xdr:rowOff>
    </xdr:to>
    <xdr:pic>
      <xdr:nvPicPr>
        <xdr:cNvPr id="10281" name="Picture 8">
          <a:extLst>
            <a:ext uri="{FF2B5EF4-FFF2-40B4-BE49-F238E27FC236}">
              <a16:creationId xmlns:a16="http://schemas.microsoft.com/office/drawing/2014/main" id="{00000000-0008-0000-0D00-000029280000}"/>
            </a:ext>
          </a:extLst>
        </xdr:cNvPr>
        <xdr:cNvPicPr>
          <a:picLocks noChangeAspect="1" noChangeArrowheads="1"/>
        </xdr:cNvPicPr>
      </xdr:nvPicPr>
      <xdr:blipFill>
        <a:blip xmlns:r="http://schemas.openxmlformats.org/officeDocument/2006/relationships" r:embed="rId4" cstate="print">
          <a:clrChange>
            <a:clrFrom>
              <a:srgbClr val="FFFFFF"/>
            </a:clrFrom>
            <a:clrTo>
              <a:srgbClr val="FFFFFF">
                <a:alpha val="0"/>
              </a:srgbClr>
            </a:clrTo>
          </a:clrChange>
        </a:blip>
        <a:srcRect/>
        <a:stretch>
          <a:fillRect/>
        </a:stretch>
      </xdr:blipFill>
      <xdr:spPr bwMode="auto">
        <a:xfrm>
          <a:off x="742950" y="5734050"/>
          <a:ext cx="742950" cy="304800"/>
        </a:xfrm>
        <a:prstGeom prst="rect">
          <a:avLst/>
        </a:prstGeom>
        <a:noFill/>
        <a:ln w="9525">
          <a:noFill/>
          <a:miter lim="800000"/>
          <a:headEnd/>
          <a:tailEnd/>
        </a:ln>
      </xdr:spPr>
    </xdr:pic>
    <xdr:clientData/>
  </xdr:twoCellAnchor>
  <xdr:twoCellAnchor>
    <xdr:from>
      <xdr:col>2</xdr:col>
      <xdr:colOff>0</xdr:colOff>
      <xdr:row>23</xdr:row>
      <xdr:rowOff>0</xdr:rowOff>
    </xdr:from>
    <xdr:to>
      <xdr:col>3</xdr:col>
      <xdr:colOff>66675</xdr:colOff>
      <xdr:row>24</xdr:row>
      <xdr:rowOff>85725</xdr:rowOff>
    </xdr:to>
    <xdr:pic>
      <xdr:nvPicPr>
        <xdr:cNvPr id="10282" name="Picture 9">
          <a:extLst>
            <a:ext uri="{FF2B5EF4-FFF2-40B4-BE49-F238E27FC236}">
              <a16:creationId xmlns:a16="http://schemas.microsoft.com/office/drawing/2014/main" id="{00000000-0008-0000-0D00-00002A280000}"/>
            </a:ext>
          </a:extLst>
        </xdr:cNvPr>
        <xdr:cNvPicPr>
          <a:picLocks noChangeAspect="1" noChangeArrowheads="1"/>
        </xdr:cNvPicPr>
      </xdr:nvPicPr>
      <xdr:blipFill>
        <a:blip xmlns:r="http://schemas.openxmlformats.org/officeDocument/2006/relationships" r:embed="rId5" cstate="print">
          <a:clrChange>
            <a:clrFrom>
              <a:srgbClr val="FFFFFF"/>
            </a:clrFrom>
            <a:clrTo>
              <a:srgbClr val="FFFFFF">
                <a:alpha val="0"/>
              </a:srgbClr>
            </a:clrTo>
          </a:clrChange>
        </a:blip>
        <a:srcRect/>
        <a:stretch>
          <a:fillRect/>
        </a:stretch>
      </xdr:blipFill>
      <xdr:spPr bwMode="auto">
        <a:xfrm>
          <a:off x="742950" y="4810125"/>
          <a:ext cx="561975" cy="285750"/>
        </a:xfrm>
        <a:prstGeom prst="rect">
          <a:avLst/>
        </a:prstGeom>
        <a:noFill/>
        <a:ln w="9525">
          <a:noFill/>
          <a:miter lim="800000"/>
          <a:headEnd/>
          <a:tailEnd/>
        </a:ln>
      </xdr:spPr>
    </xdr:pic>
    <xdr:clientData/>
  </xdr:twoCellAnchor>
  <xdr:twoCellAnchor>
    <xdr:from>
      <xdr:col>4</xdr:col>
      <xdr:colOff>0</xdr:colOff>
      <xdr:row>19</xdr:row>
      <xdr:rowOff>0</xdr:rowOff>
    </xdr:from>
    <xdr:to>
      <xdr:col>4</xdr:col>
      <xdr:colOff>438150</xdr:colOff>
      <xdr:row>20</xdr:row>
      <xdr:rowOff>28575</xdr:rowOff>
    </xdr:to>
    <xdr:pic>
      <xdr:nvPicPr>
        <xdr:cNvPr id="10283" name="Picture 10">
          <a:extLst>
            <a:ext uri="{FF2B5EF4-FFF2-40B4-BE49-F238E27FC236}">
              <a16:creationId xmlns:a16="http://schemas.microsoft.com/office/drawing/2014/main" id="{00000000-0008-0000-0D00-00002B280000}"/>
            </a:ext>
          </a:extLst>
        </xdr:cNvPr>
        <xdr:cNvPicPr>
          <a:picLocks noChangeAspect="1" noChangeArrowheads="1"/>
        </xdr:cNvPicPr>
      </xdr:nvPicPr>
      <xdr:blipFill>
        <a:blip xmlns:r="http://schemas.openxmlformats.org/officeDocument/2006/relationships" r:embed="rId6" cstate="print">
          <a:clrChange>
            <a:clrFrom>
              <a:srgbClr val="FFFFFF"/>
            </a:clrFrom>
            <a:clrTo>
              <a:srgbClr val="FFFFFF">
                <a:alpha val="0"/>
              </a:srgbClr>
            </a:clrTo>
          </a:clrChange>
        </a:blip>
        <a:srcRect/>
        <a:stretch>
          <a:fillRect/>
        </a:stretch>
      </xdr:blipFill>
      <xdr:spPr bwMode="auto">
        <a:xfrm>
          <a:off x="1914525" y="4010025"/>
          <a:ext cx="438150" cy="228600"/>
        </a:xfrm>
        <a:prstGeom prst="rect">
          <a:avLst/>
        </a:prstGeom>
        <a:noFill/>
        <a:ln w="9525">
          <a:noFill/>
          <a:miter lim="800000"/>
          <a:headEnd/>
          <a:tailEnd/>
        </a:ln>
      </xdr:spPr>
    </xdr:pic>
    <xdr:clientData/>
  </xdr:twoCellAnchor>
  <xdr:twoCellAnchor>
    <xdr:from>
      <xdr:col>8</xdr:col>
      <xdr:colOff>152400</xdr:colOff>
      <xdr:row>19</xdr:row>
      <xdr:rowOff>38100</xdr:rowOff>
    </xdr:from>
    <xdr:to>
      <xdr:col>9</xdr:col>
      <xdr:colOff>0</xdr:colOff>
      <xdr:row>20</xdr:row>
      <xdr:rowOff>19050</xdr:rowOff>
    </xdr:to>
    <xdr:pic>
      <xdr:nvPicPr>
        <xdr:cNvPr id="10284" name="Picture 13">
          <a:extLst>
            <a:ext uri="{FF2B5EF4-FFF2-40B4-BE49-F238E27FC236}">
              <a16:creationId xmlns:a16="http://schemas.microsoft.com/office/drawing/2014/main" id="{00000000-0008-0000-0D00-00002C280000}"/>
            </a:ext>
          </a:extLst>
        </xdr:cNvPr>
        <xdr:cNvPicPr>
          <a:picLocks noChangeAspect="1" noChangeArrowheads="1"/>
        </xdr:cNvPicPr>
      </xdr:nvPicPr>
      <xdr:blipFill>
        <a:blip xmlns:r="http://schemas.openxmlformats.org/officeDocument/2006/relationships" r:embed="rId7" cstate="print">
          <a:clrChange>
            <a:clrFrom>
              <a:srgbClr val="FFFFFF"/>
            </a:clrFrom>
            <a:clrTo>
              <a:srgbClr val="FFFFFF">
                <a:alpha val="0"/>
              </a:srgbClr>
            </a:clrTo>
          </a:clrChange>
        </a:blip>
        <a:srcRect/>
        <a:stretch>
          <a:fillRect/>
        </a:stretch>
      </xdr:blipFill>
      <xdr:spPr bwMode="auto">
        <a:xfrm>
          <a:off x="4362450" y="4048125"/>
          <a:ext cx="523875" cy="180975"/>
        </a:xfrm>
        <a:prstGeom prst="rect">
          <a:avLst/>
        </a:prstGeom>
        <a:noFill/>
        <a:ln w="9525">
          <a:noFill/>
          <a:miter lim="800000"/>
          <a:headEnd/>
          <a:tailEnd/>
        </a:ln>
      </xdr:spPr>
    </xdr:pic>
    <xdr:clientData/>
  </xdr:twoCellAnchor>
  <xdr:twoCellAnchor>
    <xdr:from>
      <xdr:col>1</xdr:col>
      <xdr:colOff>0</xdr:colOff>
      <xdr:row>34</xdr:row>
      <xdr:rowOff>0</xdr:rowOff>
    </xdr:from>
    <xdr:to>
      <xdr:col>1</xdr:col>
      <xdr:colOff>447675</xdr:colOff>
      <xdr:row>35</xdr:row>
      <xdr:rowOff>0</xdr:rowOff>
    </xdr:to>
    <xdr:pic>
      <xdr:nvPicPr>
        <xdr:cNvPr id="10285" name="Picture 17">
          <a:extLst>
            <a:ext uri="{FF2B5EF4-FFF2-40B4-BE49-F238E27FC236}">
              <a16:creationId xmlns:a16="http://schemas.microsoft.com/office/drawing/2014/main" id="{00000000-0008-0000-0D00-00002D280000}"/>
            </a:ext>
          </a:extLst>
        </xdr:cNvPr>
        <xdr:cNvPicPr>
          <a:picLocks noChangeAspect="1" noChangeArrowheads="1"/>
        </xdr:cNvPicPr>
      </xdr:nvPicPr>
      <xdr:blipFill>
        <a:blip xmlns:r="http://schemas.openxmlformats.org/officeDocument/2006/relationships" r:embed="rId8" cstate="print">
          <a:clrChange>
            <a:clrFrom>
              <a:srgbClr val="FFFFFF"/>
            </a:clrFrom>
            <a:clrTo>
              <a:srgbClr val="FFFFFF">
                <a:alpha val="0"/>
              </a:srgbClr>
            </a:clrTo>
          </a:clrChange>
        </a:blip>
        <a:srcRect/>
        <a:stretch>
          <a:fillRect/>
        </a:stretch>
      </xdr:blipFill>
      <xdr:spPr bwMode="auto">
        <a:xfrm>
          <a:off x="142875" y="7248525"/>
          <a:ext cx="447675" cy="247650"/>
        </a:xfrm>
        <a:prstGeom prst="rect">
          <a:avLst/>
        </a:prstGeom>
        <a:noFill/>
        <a:ln w="9525">
          <a:noFill/>
          <a:miter lim="800000"/>
          <a:headEnd/>
          <a:tailEnd/>
        </a:ln>
      </xdr:spPr>
    </xdr:pic>
    <xdr:clientData/>
  </xdr:twoCellAnchor>
  <xdr:twoCellAnchor>
    <xdr:from>
      <xdr:col>2</xdr:col>
      <xdr:colOff>57150</xdr:colOff>
      <xdr:row>33</xdr:row>
      <xdr:rowOff>142875</xdr:rowOff>
    </xdr:from>
    <xdr:to>
      <xdr:col>2</xdr:col>
      <xdr:colOff>504825</xdr:colOff>
      <xdr:row>34</xdr:row>
      <xdr:rowOff>152400</xdr:rowOff>
    </xdr:to>
    <xdr:pic>
      <xdr:nvPicPr>
        <xdr:cNvPr id="10286" name="Picture 16">
          <a:extLst>
            <a:ext uri="{FF2B5EF4-FFF2-40B4-BE49-F238E27FC236}">
              <a16:creationId xmlns:a16="http://schemas.microsoft.com/office/drawing/2014/main" id="{00000000-0008-0000-0D00-00002E280000}"/>
            </a:ext>
          </a:extLst>
        </xdr:cNvPr>
        <xdr:cNvPicPr>
          <a:picLocks noChangeAspect="1" noChangeArrowheads="1"/>
        </xdr:cNvPicPr>
      </xdr:nvPicPr>
      <xdr:blipFill>
        <a:blip xmlns:r="http://schemas.openxmlformats.org/officeDocument/2006/relationships" r:embed="rId9" cstate="print">
          <a:clrChange>
            <a:clrFrom>
              <a:srgbClr val="FFFFFF"/>
            </a:clrFrom>
            <a:clrTo>
              <a:srgbClr val="FFFFFF">
                <a:alpha val="0"/>
              </a:srgbClr>
            </a:clrTo>
          </a:clrChange>
        </a:blip>
        <a:srcRect/>
        <a:stretch>
          <a:fillRect/>
        </a:stretch>
      </xdr:blipFill>
      <xdr:spPr bwMode="auto">
        <a:xfrm>
          <a:off x="800100" y="7124700"/>
          <a:ext cx="438150" cy="276225"/>
        </a:xfrm>
        <a:prstGeom prst="rect">
          <a:avLst/>
        </a:prstGeom>
        <a:noFill/>
        <a:ln w="9525">
          <a:noFill/>
          <a:miter lim="800000"/>
          <a:headEnd/>
          <a:tailEnd/>
        </a:ln>
      </xdr:spPr>
    </xdr:pic>
    <xdr:clientData/>
  </xdr:twoCellAnchor>
  <xdr:twoCellAnchor>
    <xdr:from>
      <xdr:col>1</xdr:col>
      <xdr:colOff>28575</xdr:colOff>
      <xdr:row>35</xdr:row>
      <xdr:rowOff>9525</xdr:rowOff>
    </xdr:from>
    <xdr:to>
      <xdr:col>1</xdr:col>
      <xdr:colOff>485775</xdr:colOff>
      <xdr:row>36</xdr:row>
      <xdr:rowOff>9525</xdr:rowOff>
    </xdr:to>
    <xdr:pic>
      <xdr:nvPicPr>
        <xdr:cNvPr id="10287" name="Picture 15">
          <a:extLst>
            <a:ext uri="{FF2B5EF4-FFF2-40B4-BE49-F238E27FC236}">
              <a16:creationId xmlns:a16="http://schemas.microsoft.com/office/drawing/2014/main" id="{00000000-0008-0000-0D00-00002F280000}"/>
            </a:ext>
          </a:extLst>
        </xdr:cNvPr>
        <xdr:cNvPicPr>
          <a:picLocks noChangeAspect="1" noChangeArrowheads="1"/>
        </xdr:cNvPicPr>
      </xdr:nvPicPr>
      <xdr:blipFill>
        <a:blip xmlns:r="http://schemas.openxmlformats.org/officeDocument/2006/relationships" r:embed="rId10" cstate="print">
          <a:clrChange>
            <a:clrFrom>
              <a:srgbClr val="FFFFFF"/>
            </a:clrFrom>
            <a:clrTo>
              <a:srgbClr val="FFFFFF">
                <a:alpha val="0"/>
              </a:srgbClr>
            </a:clrTo>
          </a:clrChange>
        </a:blip>
        <a:srcRect/>
        <a:stretch>
          <a:fillRect/>
        </a:stretch>
      </xdr:blipFill>
      <xdr:spPr bwMode="auto">
        <a:xfrm>
          <a:off x="171450" y="7505700"/>
          <a:ext cx="457200" cy="247650"/>
        </a:xfrm>
        <a:prstGeom prst="rect">
          <a:avLst/>
        </a:prstGeom>
        <a:noFill/>
        <a:ln w="9525">
          <a:noFill/>
          <a:miter lim="800000"/>
          <a:headEnd/>
          <a:tailEnd/>
        </a:ln>
      </xdr:spPr>
    </xdr:pic>
    <xdr:clientData/>
  </xdr:twoCellAnchor>
  <xdr:twoCellAnchor>
    <xdr:from>
      <xdr:col>2</xdr:col>
      <xdr:colOff>57150</xdr:colOff>
      <xdr:row>35</xdr:row>
      <xdr:rowOff>0</xdr:rowOff>
    </xdr:from>
    <xdr:to>
      <xdr:col>2</xdr:col>
      <xdr:colOff>504825</xdr:colOff>
      <xdr:row>36</xdr:row>
      <xdr:rowOff>0</xdr:rowOff>
    </xdr:to>
    <xdr:pic>
      <xdr:nvPicPr>
        <xdr:cNvPr id="10288" name="Picture 14">
          <a:extLst>
            <a:ext uri="{FF2B5EF4-FFF2-40B4-BE49-F238E27FC236}">
              <a16:creationId xmlns:a16="http://schemas.microsoft.com/office/drawing/2014/main" id="{00000000-0008-0000-0D00-000030280000}"/>
            </a:ext>
          </a:extLst>
        </xdr:cNvPr>
        <xdr:cNvPicPr>
          <a:picLocks noChangeAspect="1" noChangeArrowheads="1"/>
        </xdr:cNvPicPr>
      </xdr:nvPicPr>
      <xdr:blipFill>
        <a:blip xmlns:r="http://schemas.openxmlformats.org/officeDocument/2006/relationships" r:embed="rId11" cstate="print">
          <a:clrChange>
            <a:clrFrom>
              <a:srgbClr val="FFFFFF"/>
            </a:clrFrom>
            <a:clrTo>
              <a:srgbClr val="FFFFFF">
                <a:alpha val="0"/>
              </a:srgbClr>
            </a:clrTo>
          </a:clrChange>
        </a:blip>
        <a:srcRect/>
        <a:stretch>
          <a:fillRect/>
        </a:stretch>
      </xdr:blipFill>
      <xdr:spPr bwMode="auto">
        <a:xfrm>
          <a:off x="800100" y="7496175"/>
          <a:ext cx="438150" cy="247650"/>
        </a:xfrm>
        <a:prstGeom prst="rect">
          <a:avLst/>
        </a:prstGeom>
        <a:noFill/>
        <a:ln w="9525">
          <a:noFill/>
          <a:miter lim="800000"/>
          <a:headEnd/>
          <a:tailEnd/>
        </a:ln>
      </xdr:spPr>
    </xdr:pic>
    <xdr:clientData/>
  </xdr:twoCellAnchor>
  <xdr:twoCellAnchor>
    <xdr:from>
      <xdr:col>4</xdr:col>
      <xdr:colOff>114300</xdr:colOff>
      <xdr:row>31</xdr:row>
      <xdr:rowOff>0</xdr:rowOff>
    </xdr:from>
    <xdr:to>
      <xdr:col>4</xdr:col>
      <xdr:colOff>447675</xdr:colOff>
      <xdr:row>32</xdr:row>
      <xdr:rowOff>19050</xdr:rowOff>
    </xdr:to>
    <xdr:pic>
      <xdr:nvPicPr>
        <xdr:cNvPr id="10289" name="Picture 10">
          <a:extLst>
            <a:ext uri="{FF2B5EF4-FFF2-40B4-BE49-F238E27FC236}">
              <a16:creationId xmlns:a16="http://schemas.microsoft.com/office/drawing/2014/main" id="{00000000-0008-0000-0D00-000031280000}"/>
            </a:ext>
          </a:extLst>
        </xdr:cNvPr>
        <xdr:cNvPicPr>
          <a:picLocks noChangeAspect="1" noChangeArrowheads="1"/>
        </xdr:cNvPicPr>
      </xdr:nvPicPr>
      <xdr:blipFill>
        <a:blip xmlns:r="http://schemas.openxmlformats.org/officeDocument/2006/relationships" r:embed="rId6" cstate="print">
          <a:clrChange>
            <a:clrFrom>
              <a:srgbClr val="FFFFFF"/>
            </a:clrFrom>
            <a:clrTo>
              <a:srgbClr val="FFFFFF">
                <a:alpha val="0"/>
              </a:srgbClr>
            </a:clrTo>
          </a:clrChange>
        </a:blip>
        <a:srcRect/>
        <a:stretch>
          <a:fillRect/>
        </a:stretch>
      </xdr:blipFill>
      <xdr:spPr bwMode="auto">
        <a:xfrm>
          <a:off x="2028825" y="6619875"/>
          <a:ext cx="333375" cy="180975"/>
        </a:xfrm>
        <a:prstGeom prst="rect">
          <a:avLst/>
        </a:prstGeom>
        <a:solidFill>
          <a:srgbClr val="F2F2F2"/>
        </a:solidFill>
        <a:ln w="9525">
          <a:noFill/>
          <a:miter lim="800000"/>
          <a:headEnd/>
          <a:tailEnd/>
        </a:ln>
      </xdr:spPr>
    </xdr:pic>
    <xdr:clientData/>
  </xdr:twoCellAnchor>
  <xdr:twoCellAnchor>
    <xdr:from>
      <xdr:col>1</xdr:col>
      <xdr:colOff>447675</xdr:colOff>
      <xdr:row>45</xdr:row>
      <xdr:rowOff>104775</xdr:rowOff>
    </xdr:from>
    <xdr:to>
      <xdr:col>2</xdr:col>
      <xdr:colOff>638175</xdr:colOff>
      <xdr:row>47</xdr:row>
      <xdr:rowOff>38100</xdr:rowOff>
    </xdr:to>
    <xdr:pic>
      <xdr:nvPicPr>
        <xdr:cNvPr id="10290" name="Picture 19">
          <a:extLst>
            <a:ext uri="{FF2B5EF4-FFF2-40B4-BE49-F238E27FC236}">
              <a16:creationId xmlns:a16="http://schemas.microsoft.com/office/drawing/2014/main" id="{00000000-0008-0000-0D00-000032280000}"/>
            </a:ext>
          </a:extLst>
        </xdr:cNvPr>
        <xdr:cNvPicPr>
          <a:picLocks noChangeAspect="1" noChangeArrowheads="1"/>
        </xdr:cNvPicPr>
      </xdr:nvPicPr>
      <xdr:blipFill>
        <a:blip xmlns:r="http://schemas.openxmlformats.org/officeDocument/2006/relationships" r:embed="rId12" cstate="print">
          <a:clrChange>
            <a:clrFrom>
              <a:srgbClr val="FFFFFF"/>
            </a:clrFrom>
            <a:clrTo>
              <a:srgbClr val="FFFFFF">
                <a:alpha val="0"/>
              </a:srgbClr>
            </a:clrTo>
          </a:clrChange>
        </a:blip>
        <a:srcRect/>
        <a:stretch>
          <a:fillRect/>
        </a:stretch>
      </xdr:blipFill>
      <xdr:spPr bwMode="auto">
        <a:xfrm>
          <a:off x="590550" y="9582150"/>
          <a:ext cx="647700" cy="333375"/>
        </a:xfrm>
        <a:prstGeom prst="rect">
          <a:avLst/>
        </a:prstGeom>
        <a:noFill/>
        <a:ln w="9525">
          <a:noFill/>
          <a:miter lim="800000"/>
          <a:headEnd/>
          <a:tailEnd/>
        </a:ln>
      </xdr:spPr>
    </xdr:pic>
    <xdr:clientData/>
  </xdr:twoCellAnchor>
  <xdr:twoCellAnchor>
    <xdr:from>
      <xdr:col>3</xdr:col>
      <xdr:colOff>295275</xdr:colOff>
      <xdr:row>51</xdr:row>
      <xdr:rowOff>9525</xdr:rowOff>
    </xdr:from>
    <xdr:to>
      <xdr:col>3</xdr:col>
      <xdr:colOff>600075</xdr:colOff>
      <xdr:row>52</xdr:row>
      <xdr:rowOff>38100</xdr:rowOff>
    </xdr:to>
    <xdr:pic>
      <xdr:nvPicPr>
        <xdr:cNvPr id="10291" name="Picture 20">
          <a:extLst>
            <a:ext uri="{FF2B5EF4-FFF2-40B4-BE49-F238E27FC236}">
              <a16:creationId xmlns:a16="http://schemas.microsoft.com/office/drawing/2014/main" id="{00000000-0008-0000-0D00-000033280000}"/>
            </a:ext>
          </a:extLst>
        </xdr:cNvPr>
        <xdr:cNvPicPr>
          <a:picLocks noChangeAspect="1" noChangeArrowheads="1"/>
        </xdr:cNvPicPr>
      </xdr:nvPicPr>
      <xdr:blipFill>
        <a:blip xmlns:r="http://schemas.openxmlformats.org/officeDocument/2006/relationships" r:embed="rId13" cstate="print">
          <a:clrChange>
            <a:clrFrom>
              <a:srgbClr val="FFFFFF"/>
            </a:clrFrom>
            <a:clrTo>
              <a:srgbClr val="FFFFFF">
                <a:alpha val="0"/>
              </a:srgbClr>
            </a:clrTo>
          </a:clrChange>
        </a:blip>
        <a:srcRect/>
        <a:stretch>
          <a:fillRect/>
        </a:stretch>
      </xdr:blipFill>
      <xdr:spPr bwMode="auto">
        <a:xfrm>
          <a:off x="1533525" y="10601325"/>
          <a:ext cx="304800" cy="190500"/>
        </a:xfrm>
        <a:prstGeom prst="rect">
          <a:avLst/>
        </a:prstGeom>
        <a:noFill/>
        <a:ln w="9525">
          <a:noFill/>
          <a:miter lim="800000"/>
          <a:headEnd/>
          <a:tailEnd/>
        </a:ln>
      </xdr:spPr>
    </xdr:pic>
    <xdr:clientData/>
  </xdr:twoCellAnchor>
  <xdr:twoCellAnchor>
    <xdr:from>
      <xdr:col>5</xdr:col>
      <xdr:colOff>628650</xdr:colOff>
      <xdr:row>56</xdr:row>
      <xdr:rowOff>104775</xdr:rowOff>
    </xdr:from>
    <xdr:to>
      <xdr:col>7</xdr:col>
      <xdr:colOff>228600</xdr:colOff>
      <xdr:row>58</xdr:row>
      <xdr:rowOff>38100</xdr:rowOff>
    </xdr:to>
    <xdr:pic>
      <xdr:nvPicPr>
        <xdr:cNvPr id="10292" name="Picture 30">
          <a:extLst>
            <a:ext uri="{FF2B5EF4-FFF2-40B4-BE49-F238E27FC236}">
              <a16:creationId xmlns:a16="http://schemas.microsoft.com/office/drawing/2014/main" id="{00000000-0008-0000-0D00-000034280000}"/>
            </a:ext>
          </a:extLst>
        </xdr:cNvPr>
        <xdr:cNvPicPr>
          <a:picLocks noChangeAspect="1" noChangeArrowheads="1"/>
        </xdr:cNvPicPr>
      </xdr:nvPicPr>
      <xdr:blipFill>
        <a:blip xmlns:r="http://schemas.openxmlformats.org/officeDocument/2006/relationships" r:embed="rId14" cstate="print">
          <a:clrChange>
            <a:clrFrom>
              <a:srgbClr val="FFFFFF"/>
            </a:clrFrom>
            <a:clrTo>
              <a:srgbClr val="FFFFFF">
                <a:alpha val="0"/>
              </a:srgbClr>
            </a:clrTo>
          </a:clrChange>
        </a:blip>
        <a:srcRect/>
        <a:stretch>
          <a:fillRect/>
        </a:stretch>
      </xdr:blipFill>
      <xdr:spPr bwMode="auto">
        <a:xfrm>
          <a:off x="3076575" y="11563350"/>
          <a:ext cx="800100" cy="257175"/>
        </a:xfrm>
        <a:prstGeom prst="rect">
          <a:avLst/>
        </a:prstGeom>
        <a:noFill/>
        <a:ln w="9525">
          <a:noFill/>
          <a:miter lim="800000"/>
          <a:headEnd/>
          <a:tailEnd/>
        </a:ln>
      </xdr:spPr>
    </xdr:pic>
    <xdr:clientData/>
  </xdr:twoCellAnchor>
  <xdr:twoCellAnchor>
    <xdr:from>
      <xdr:col>2</xdr:col>
      <xdr:colOff>114300</xdr:colOff>
      <xdr:row>68</xdr:row>
      <xdr:rowOff>19050</xdr:rowOff>
    </xdr:from>
    <xdr:to>
      <xdr:col>2</xdr:col>
      <xdr:colOff>428625</xdr:colOff>
      <xdr:row>69</xdr:row>
      <xdr:rowOff>47625</xdr:rowOff>
    </xdr:to>
    <xdr:pic>
      <xdr:nvPicPr>
        <xdr:cNvPr id="10293" name="Picture 20">
          <a:extLst>
            <a:ext uri="{FF2B5EF4-FFF2-40B4-BE49-F238E27FC236}">
              <a16:creationId xmlns:a16="http://schemas.microsoft.com/office/drawing/2014/main" id="{00000000-0008-0000-0D00-000035280000}"/>
            </a:ext>
          </a:extLst>
        </xdr:cNvPr>
        <xdr:cNvPicPr>
          <a:picLocks noChangeAspect="1" noChangeArrowheads="1"/>
        </xdr:cNvPicPr>
      </xdr:nvPicPr>
      <xdr:blipFill>
        <a:blip xmlns:r="http://schemas.openxmlformats.org/officeDocument/2006/relationships" r:embed="rId13" cstate="print">
          <a:clrChange>
            <a:clrFrom>
              <a:srgbClr val="FFFFFF"/>
            </a:clrFrom>
            <a:clrTo>
              <a:srgbClr val="FFFFFF">
                <a:alpha val="0"/>
              </a:srgbClr>
            </a:clrTo>
          </a:clrChange>
        </a:blip>
        <a:srcRect/>
        <a:stretch>
          <a:fillRect/>
        </a:stretch>
      </xdr:blipFill>
      <xdr:spPr bwMode="auto">
        <a:xfrm>
          <a:off x="857250" y="13573125"/>
          <a:ext cx="314325" cy="190500"/>
        </a:xfrm>
        <a:prstGeom prst="rect">
          <a:avLst/>
        </a:prstGeom>
        <a:noFill/>
        <a:ln w="9525">
          <a:noFill/>
          <a:miter lim="800000"/>
          <a:headEnd/>
          <a:tailEnd/>
        </a:ln>
      </xdr:spPr>
    </xdr:pic>
    <xdr:clientData/>
  </xdr:twoCellAnchor>
  <xdr:twoCellAnchor>
    <xdr:from>
      <xdr:col>5</xdr:col>
      <xdr:colOff>266700</xdr:colOff>
      <xdr:row>69</xdr:row>
      <xdr:rowOff>38100</xdr:rowOff>
    </xdr:from>
    <xdr:to>
      <xdr:col>5</xdr:col>
      <xdr:colOff>457200</xdr:colOff>
      <xdr:row>70</xdr:row>
      <xdr:rowOff>133350</xdr:rowOff>
    </xdr:to>
    <xdr:pic>
      <xdr:nvPicPr>
        <xdr:cNvPr id="10294" name="Picture 31">
          <a:extLst>
            <a:ext uri="{FF2B5EF4-FFF2-40B4-BE49-F238E27FC236}">
              <a16:creationId xmlns:a16="http://schemas.microsoft.com/office/drawing/2014/main" id="{00000000-0008-0000-0D00-000036280000}"/>
            </a:ext>
          </a:extLst>
        </xdr:cNvPr>
        <xdr:cNvPicPr>
          <a:picLocks noChangeAspect="1" noChangeArrowheads="1"/>
        </xdr:cNvPicPr>
      </xdr:nvPicPr>
      <xdr:blipFill>
        <a:blip xmlns:r="http://schemas.openxmlformats.org/officeDocument/2006/relationships" r:embed="rId15" cstate="print">
          <a:clrChange>
            <a:clrFrom>
              <a:srgbClr val="FFFFFF"/>
            </a:clrFrom>
            <a:clrTo>
              <a:srgbClr val="FFFFFF">
                <a:alpha val="0"/>
              </a:srgbClr>
            </a:clrTo>
          </a:clrChange>
        </a:blip>
        <a:srcRect/>
        <a:stretch>
          <a:fillRect/>
        </a:stretch>
      </xdr:blipFill>
      <xdr:spPr bwMode="auto">
        <a:xfrm>
          <a:off x="2733675" y="13754100"/>
          <a:ext cx="190500" cy="257175"/>
        </a:xfrm>
        <a:prstGeom prst="rect">
          <a:avLst/>
        </a:prstGeom>
        <a:noFill/>
        <a:ln w="9525">
          <a:noFill/>
          <a:miter lim="800000"/>
          <a:headEnd/>
          <a:tailEnd/>
        </a:ln>
      </xdr:spPr>
    </xdr:pic>
    <xdr:clientData/>
  </xdr:twoCellAnchor>
  <xdr:twoCellAnchor>
    <xdr:from>
      <xdr:col>2</xdr:col>
      <xdr:colOff>247650</xdr:colOff>
      <xdr:row>71</xdr:row>
      <xdr:rowOff>19050</xdr:rowOff>
    </xdr:from>
    <xdr:to>
      <xdr:col>2</xdr:col>
      <xdr:colOff>552450</xdr:colOff>
      <xdr:row>72</xdr:row>
      <xdr:rowOff>47625</xdr:rowOff>
    </xdr:to>
    <xdr:pic>
      <xdr:nvPicPr>
        <xdr:cNvPr id="10295" name="Picture 20">
          <a:extLst>
            <a:ext uri="{FF2B5EF4-FFF2-40B4-BE49-F238E27FC236}">
              <a16:creationId xmlns:a16="http://schemas.microsoft.com/office/drawing/2014/main" id="{00000000-0008-0000-0D00-000037280000}"/>
            </a:ext>
          </a:extLst>
        </xdr:cNvPr>
        <xdr:cNvPicPr>
          <a:picLocks noChangeAspect="1" noChangeArrowheads="1"/>
        </xdr:cNvPicPr>
      </xdr:nvPicPr>
      <xdr:blipFill>
        <a:blip xmlns:r="http://schemas.openxmlformats.org/officeDocument/2006/relationships" r:embed="rId13" cstate="print">
          <a:clrChange>
            <a:clrFrom>
              <a:srgbClr val="FFFFFF"/>
            </a:clrFrom>
            <a:clrTo>
              <a:srgbClr val="FFFFFF">
                <a:alpha val="0"/>
              </a:srgbClr>
            </a:clrTo>
          </a:clrChange>
        </a:blip>
        <a:srcRect/>
        <a:stretch>
          <a:fillRect/>
        </a:stretch>
      </xdr:blipFill>
      <xdr:spPr bwMode="auto">
        <a:xfrm>
          <a:off x="990600" y="14058900"/>
          <a:ext cx="247650" cy="190500"/>
        </a:xfrm>
        <a:prstGeom prst="rect">
          <a:avLst/>
        </a:prstGeom>
        <a:noFill/>
        <a:ln w="9525">
          <a:noFill/>
          <a:miter lim="800000"/>
          <a:headEnd/>
          <a:tailEnd/>
        </a:ln>
      </xdr:spPr>
    </xdr:pic>
    <xdr:clientData/>
  </xdr:twoCellAnchor>
  <xdr:twoCellAnchor>
    <xdr:from>
      <xdr:col>11</xdr:col>
      <xdr:colOff>352425</xdr:colOff>
      <xdr:row>1</xdr:row>
      <xdr:rowOff>9525</xdr:rowOff>
    </xdr:from>
    <xdr:to>
      <xdr:col>15</xdr:col>
      <xdr:colOff>209550</xdr:colOff>
      <xdr:row>16</xdr:row>
      <xdr:rowOff>152400</xdr:rowOff>
    </xdr:to>
    <xdr:grpSp>
      <xdr:nvGrpSpPr>
        <xdr:cNvPr id="10296" name="Group 15">
          <a:extLst>
            <a:ext uri="{FF2B5EF4-FFF2-40B4-BE49-F238E27FC236}">
              <a16:creationId xmlns:a16="http://schemas.microsoft.com/office/drawing/2014/main" id="{00000000-0008-0000-0D00-000038280000}"/>
            </a:ext>
          </a:extLst>
        </xdr:cNvPr>
        <xdr:cNvGrpSpPr>
          <a:grpSpLocks noChangeAspect="1"/>
        </xdr:cNvGrpSpPr>
      </xdr:nvGrpSpPr>
      <xdr:grpSpPr bwMode="auto">
        <a:xfrm>
          <a:off x="6304492" y="210608"/>
          <a:ext cx="1895475" cy="3381375"/>
          <a:chOff x="3436" y="5049"/>
          <a:chExt cx="3280" cy="4632"/>
        </a:xfrm>
      </xdr:grpSpPr>
      <xdr:sp macro="" textlink="">
        <xdr:nvSpPr>
          <xdr:cNvPr id="10359" name="AutoShape 16">
            <a:extLst>
              <a:ext uri="{FF2B5EF4-FFF2-40B4-BE49-F238E27FC236}">
                <a16:creationId xmlns:a16="http://schemas.microsoft.com/office/drawing/2014/main" id="{00000000-0008-0000-0D00-000077280000}"/>
              </a:ext>
            </a:extLst>
          </xdr:cNvPr>
          <xdr:cNvSpPr>
            <a:spLocks noChangeAspect="1" noChangeArrowheads="1" noTextEdit="1"/>
          </xdr:cNvSpPr>
        </xdr:nvSpPr>
        <xdr:spPr bwMode="auto">
          <a:xfrm>
            <a:off x="3436" y="5049"/>
            <a:ext cx="3280" cy="4632"/>
          </a:xfrm>
          <a:prstGeom prst="rect">
            <a:avLst/>
          </a:prstGeom>
          <a:noFill/>
          <a:ln w="9525">
            <a:noFill/>
            <a:miter lim="800000"/>
            <a:headEnd/>
            <a:tailEnd/>
          </a:ln>
        </xdr:spPr>
      </xdr:sp>
      <xdr:sp macro="" textlink="">
        <xdr:nvSpPr>
          <xdr:cNvPr id="10257" name="Text Box 17">
            <a:extLst>
              <a:ext uri="{FF2B5EF4-FFF2-40B4-BE49-F238E27FC236}">
                <a16:creationId xmlns:a16="http://schemas.microsoft.com/office/drawing/2014/main" id="{00000000-0008-0000-0D00-000011280000}"/>
              </a:ext>
            </a:extLst>
          </xdr:cNvPr>
          <xdr:cNvSpPr txBox="1">
            <a:spLocks noChangeArrowheads="1"/>
          </xdr:cNvSpPr>
        </xdr:nvSpPr>
        <xdr:spPr bwMode="auto">
          <a:xfrm>
            <a:off x="4392" y="6654"/>
            <a:ext cx="544" cy="447"/>
          </a:xfrm>
          <a:prstGeom prst="rect">
            <a:avLst/>
          </a:prstGeom>
          <a:solidFill>
            <a:srgbClr val="FFFFFF"/>
          </a:solidFill>
          <a:ln w="9525">
            <a:noFill/>
            <a:miter lim="800000"/>
            <a:headEnd/>
            <a:tailEnd/>
          </a:ln>
        </xdr:spPr>
        <xdr:txBody>
          <a:bodyPr vertOverflow="clip" wrap="square" lIns="91440" tIns="45720" rIns="91440" bIns="45720" anchor="t" upright="1"/>
          <a:lstStyle/>
          <a:p>
            <a:pPr algn="l" rtl="0">
              <a:defRPr sz="1000"/>
            </a:pPr>
            <a:r>
              <a:rPr lang="es-ES" sz="1100" b="1" i="1" u="none" strike="noStrike" baseline="0">
                <a:solidFill>
                  <a:srgbClr val="000000"/>
                </a:solidFill>
                <a:latin typeface="Calibri"/>
              </a:rPr>
              <a:t>G</a:t>
            </a:r>
            <a:endParaRPr lang="es-ES" sz="1100" b="1" i="1" u="none" strike="noStrike" baseline="0">
              <a:solidFill>
                <a:srgbClr val="000000"/>
              </a:solidFill>
              <a:latin typeface="Times New Roman"/>
              <a:cs typeface="Times New Roman"/>
            </a:endParaRPr>
          </a:p>
          <a:p>
            <a:pPr algn="l" rtl="0">
              <a:defRPr sz="1000"/>
            </a:pPr>
            <a:endParaRPr lang="es-ES" sz="1100" b="1" i="1" u="none" strike="noStrike" baseline="0">
              <a:solidFill>
                <a:srgbClr val="000000"/>
              </a:solidFill>
              <a:latin typeface="Times New Roman"/>
              <a:cs typeface="Times New Roman"/>
            </a:endParaRPr>
          </a:p>
        </xdr:txBody>
      </xdr:sp>
      <xdr:sp macro="" textlink="">
        <xdr:nvSpPr>
          <xdr:cNvPr id="10258" name="Text Box 18">
            <a:extLst>
              <a:ext uri="{FF2B5EF4-FFF2-40B4-BE49-F238E27FC236}">
                <a16:creationId xmlns:a16="http://schemas.microsoft.com/office/drawing/2014/main" id="{00000000-0008-0000-0D00-000012280000}"/>
              </a:ext>
            </a:extLst>
          </xdr:cNvPr>
          <xdr:cNvSpPr txBox="1">
            <a:spLocks noChangeArrowheads="1"/>
          </xdr:cNvSpPr>
        </xdr:nvSpPr>
        <xdr:spPr bwMode="auto">
          <a:xfrm>
            <a:off x="4821" y="8734"/>
            <a:ext cx="544" cy="447"/>
          </a:xfrm>
          <a:prstGeom prst="rect">
            <a:avLst/>
          </a:prstGeom>
          <a:solidFill>
            <a:srgbClr val="FFFFFF"/>
          </a:solidFill>
          <a:ln w="9525">
            <a:noFill/>
            <a:miter lim="800000"/>
            <a:headEnd/>
            <a:tailEnd/>
          </a:ln>
        </xdr:spPr>
        <xdr:txBody>
          <a:bodyPr vertOverflow="clip" wrap="square" lIns="91440" tIns="45720" rIns="91440" bIns="45720" anchor="t" upright="1"/>
          <a:lstStyle/>
          <a:p>
            <a:pPr algn="l" rtl="0">
              <a:defRPr sz="1000"/>
            </a:pPr>
            <a:r>
              <a:rPr lang="es-ES" sz="1100" b="1" i="1" u="none" strike="noStrike" baseline="0">
                <a:solidFill>
                  <a:srgbClr val="000000"/>
                </a:solidFill>
                <a:latin typeface="Calibri"/>
              </a:rPr>
              <a:t>z</a:t>
            </a:r>
          </a:p>
          <a:p>
            <a:pPr algn="l" rtl="0">
              <a:defRPr sz="1000"/>
            </a:pPr>
            <a:endParaRPr lang="es-ES" sz="1100" b="1" i="1" u="none" strike="noStrike" baseline="0">
              <a:solidFill>
                <a:srgbClr val="000000"/>
              </a:solidFill>
              <a:latin typeface="Calibri"/>
            </a:endParaRPr>
          </a:p>
        </xdr:txBody>
      </xdr:sp>
      <xdr:sp macro="" textlink="">
        <xdr:nvSpPr>
          <xdr:cNvPr id="10259" name="Text Box 19">
            <a:extLst>
              <a:ext uri="{FF2B5EF4-FFF2-40B4-BE49-F238E27FC236}">
                <a16:creationId xmlns:a16="http://schemas.microsoft.com/office/drawing/2014/main" id="{00000000-0008-0000-0D00-000013280000}"/>
              </a:ext>
            </a:extLst>
          </xdr:cNvPr>
          <xdr:cNvSpPr txBox="1">
            <a:spLocks noChangeArrowheads="1"/>
          </xdr:cNvSpPr>
        </xdr:nvSpPr>
        <xdr:spPr bwMode="auto">
          <a:xfrm>
            <a:off x="5777" y="6654"/>
            <a:ext cx="527" cy="447"/>
          </a:xfrm>
          <a:prstGeom prst="rect">
            <a:avLst/>
          </a:prstGeom>
          <a:solidFill>
            <a:srgbClr val="FFFFFF"/>
          </a:solidFill>
          <a:ln w="9525">
            <a:noFill/>
            <a:miter lim="800000"/>
            <a:headEnd/>
            <a:tailEnd/>
          </a:ln>
        </xdr:spPr>
        <xdr:txBody>
          <a:bodyPr vertOverflow="clip" wrap="square" lIns="91440" tIns="45720" rIns="91440" bIns="45720" anchor="t" upright="1"/>
          <a:lstStyle/>
          <a:p>
            <a:pPr algn="l" rtl="0">
              <a:defRPr sz="1000"/>
            </a:pPr>
            <a:r>
              <a:rPr lang="es-ES" sz="1100" b="1" i="1" u="none" strike="noStrike" baseline="0">
                <a:solidFill>
                  <a:srgbClr val="000000"/>
                </a:solidFill>
                <a:latin typeface="Calibri"/>
              </a:rPr>
              <a:t>y</a:t>
            </a:r>
          </a:p>
          <a:p>
            <a:pPr algn="l" rtl="0">
              <a:defRPr sz="1000"/>
            </a:pPr>
            <a:endParaRPr lang="es-ES" sz="1100" b="1" i="1" u="none" strike="noStrike" baseline="0">
              <a:solidFill>
                <a:srgbClr val="000000"/>
              </a:solidFill>
              <a:latin typeface="Calibri"/>
            </a:endParaRPr>
          </a:p>
        </xdr:txBody>
      </xdr:sp>
      <xdr:sp macro="" textlink="">
        <xdr:nvSpPr>
          <xdr:cNvPr id="10260" name="Text Box 20">
            <a:extLst>
              <a:ext uri="{FF2B5EF4-FFF2-40B4-BE49-F238E27FC236}">
                <a16:creationId xmlns:a16="http://schemas.microsoft.com/office/drawing/2014/main" id="{00000000-0008-0000-0D00-000014280000}"/>
              </a:ext>
            </a:extLst>
          </xdr:cNvPr>
          <xdr:cNvSpPr txBox="1">
            <a:spLocks noChangeArrowheads="1"/>
          </xdr:cNvSpPr>
        </xdr:nvSpPr>
        <xdr:spPr bwMode="auto">
          <a:xfrm>
            <a:off x="4029" y="5049"/>
            <a:ext cx="1813" cy="447"/>
          </a:xfrm>
          <a:prstGeom prst="rect">
            <a:avLst/>
          </a:prstGeom>
          <a:solidFill>
            <a:srgbClr val="FFFFFF"/>
          </a:solidFill>
          <a:ln w="9525">
            <a:noFill/>
            <a:miter lim="800000"/>
            <a:headEnd/>
            <a:tailEnd/>
          </a:ln>
        </xdr:spPr>
        <xdr:txBody>
          <a:bodyPr vertOverflow="clip" wrap="square" lIns="91440" tIns="45720" rIns="91440" bIns="45720" anchor="t" upright="1"/>
          <a:lstStyle/>
          <a:p>
            <a:pPr algn="l" rtl="0">
              <a:defRPr sz="1000"/>
            </a:pPr>
            <a:r>
              <a:rPr lang="es-ES" sz="1100" b="0" i="0" u="none" strike="noStrike" baseline="0">
                <a:solidFill>
                  <a:srgbClr val="000000"/>
                </a:solidFill>
                <a:latin typeface="Calibri"/>
              </a:rPr>
              <a:t>≠ 300·25</a:t>
            </a:r>
          </a:p>
          <a:p>
            <a:pPr algn="l" rtl="0">
              <a:defRPr sz="1000"/>
            </a:pPr>
            <a:endParaRPr lang="es-ES" sz="1100" b="0" i="0" u="none" strike="noStrike" baseline="0">
              <a:solidFill>
                <a:srgbClr val="000000"/>
              </a:solidFill>
              <a:latin typeface="Calibri"/>
            </a:endParaRPr>
          </a:p>
        </xdr:txBody>
      </xdr:sp>
      <xdr:sp macro="" textlink="">
        <xdr:nvSpPr>
          <xdr:cNvPr id="10364" name="Line 21">
            <a:extLst>
              <a:ext uri="{FF2B5EF4-FFF2-40B4-BE49-F238E27FC236}">
                <a16:creationId xmlns:a16="http://schemas.microsoft.com/office/drawing/2014/main" id="{00000000-0008-0000-0D00-00007C280000}"/>
              </a:ext>
            </a:extLst>
          </xdr:cNvPr>
          <xdr:cNvSpPr>
            <a:spLocks noChangeShapeType="1"/>
          </xdr:cNvSpPr>
        </xdr:nvSpPr>
        <xdr:spPr bwMode="auto">
          <a:xfrm>
            <a:off x="4930" y="5497"/>
            <a:ext cx="2" cy="3240"/>
          </a:xfrm>
          <a:prstGeom prst="line">
            <a:avLst/>
          </a:prstGeom>
          <a:noFill/>
          <a:ln w="38100">
            <a:solidFill>
              <a:srgbClr val="000000"/>
            </a:solidFill>
            <a:round/>
            <a:headEnd/>
            <a:tailEnd/>
          </a:ln>
        </xdr:spPr>
      </xdr:sp>
      <xdr:sp macro="" textlink="">
        <xdr:nvSpPr>
          <xdr:cNvPr id="10365" name="Line 22">
            <a:extLst>
              <a:ext uri="{FF2B5EF4-FFF2-40B4-BE49-F238E27FC236}">
                <a16:creationId xmlns:a16="http://schemas.microsoft.com/office/drawing/2014/main" id="{00000000-0008-0000-0D00-00007D280000}"/>
              </a:ext>
            </a:extLst>
          </xdr:cNvPr>
          <xdr:cNvSpPr>
            <a:spLocks noChangeShapeType="1"/>
          </xdr:cNvSpPr>
        </xdr:nvSpPr>
        <xdr:spPr bwMode="auto">
          <a:xfrm rot="-5400000">
            <a:off x="4958" y="4367"/>
            <a:ext cx="1" cy="2278"/>
          </a:xfrm>
          <a:prstGeom prst="line">
            <a:avLst/>
          </a:prstGeom>
          <a:noFill/>
          <a:ln w="63500">
            <a:solidFill>
              <a:srgbClr val="000000"/>
            </a:solidFill>
            <a:round/>
            <a:headEnd/>
            <a:tailEnd/>
          </a:ln>
        </xdr:spPr>
      </xdr:sp>
      <xdr:sp macro="" textlink="">
        <xdr:nvSpPr>
          <xdr:cNvPr id="10366" name="Line 23">
            <a:extLst>
              <a:ext uri="{FF2B5EF4-FFF2-40B4-BE49-F238E27FC236}">
                <a16:creationId xmlns:a16="http://schemas.microsoft.com/office/drawing/2014/main" id="{00000000-0008-0000-0D00-00007E280000}"/>
              </a:ext>
            </a:extLst>
          </xdr:cNvPr>
          <xdr:cNvSpPr>
            <a:spLocks noChangeShapeType="1"/>
          </xdr:cNvSpPr>
        </xdr:nvSpPr>
        <xdr:spPr bwMode="auto">
          <a:xfrm rot="-5400000">
            <a:off x="4957" y="7554"/>
            <a:ext cx="1" cy="2296"/>
          </a:xfrm>
          <a:prstGeom prst="line">
            <a:avLst/>
          </a:prstGeom>
          <a:noFill/>
          <a:ln w="63500">
            <a:solidFill>
              <a:srgbClr val="000000"/>
            </a:solidFill>
            <a:round/>
            <a:headEnd/>
            <a:tailEnd/>
          </a:ln>
        </xdr:spPr>
      </xdr:sp>
      <xdr:sp macro="" textlink="">
        <xdr:nvSpPr>
          <xdr:cNvPr id="10264" name="Text Box 24">
            <a:extLst>
              <a:ext uri="{FF2B5EF4-FFF2-40B4-BE49-F238E27FC236}">
                <a16:creationId xmlns:a16="http://schemas.microsoft.com/office/drawing/2014/main" id="{00000000-0008-0000-0D00-000018280000}"/>
              </a:ext>
            </a:extLst>
          </xdr:cNvPr>
          <xdr:cNvSpPr txBox="1">
            <a:spLocks noChangeArrowheads="1"/>
          </xdr:cNvSpPr>
        </xdr:nvSpPr>
        <xdr:spPr bwMode="auto">
          <a:xfrm>
            <a:off x="5101" y="5865"/>
            <a:ext cx="1220" cy="447"/>
          </a:xfrm>
          <a:prstGeom prst="rect">
            <a:avLst/>
          </a:prstGeom>
          <a:solidFill>
            <a:srgbClr val="FFFFFF"/>
          </a:solidFill>
          <a:ln w="9525">
            <a:noFill/>
            <a:miter lim="800000"/>
            <a:headEnd/>
            <a:tailEnd/>
          </a:ln>
        </xdr:spPr>
        <xdr:txBody>
          <a:bodyPr vertOverflow="clip" wrap="square" lIns="91440" tIns="45720" rIns="91440" bIns="45720" anchor="t" upright="1"/>
          <a:lstStyle/>
          <a:p>
            <a:pPr algn="l" rtl="0">
              <a:defRPr sz="1000"/>
            </a:pPr>
            <a:r>
              <a:rPr lang="es-ES" sz="1100" b="0" i="0" u="none" strike="noStrike" baseline="0">
                <a:solidFill>
                  <a:srgbClr val="000000"/>
                </a:solidFill>
                <a:latin typeface="Calibri"/>
              </a:rPr>
              <a:t>≠ 400·10</a:t>
            </a:r>
          </a:p>
          <a:p>
            <a:pPr algn="l" rtl="0">
              <a:defRPr sz="1000"/>
            </a:pPr>
            <a:endParaRPr lang="es-ES" sz="1100" b="0" i="0" u="none" strike="noStrike" baseline="0">
              <a:solidFill>
                <a:srgbClr val="000000"/>
              </a:solidFill>
              <a:latin typeface="Calibri"/>
            </a:endParaRPr>
          </a:p>
        </xdr:txBody>
      </xdr:sp>
      <xdr:sp macro="" textlink="">
        <xdr:nvSpPr>
          <xdr:cNvPr id="10265" name="Text Box 25">
            <a:extLst>
              <a:ext uri="{FF2B5EF4-FFF2-40B4-BE49-F238E27FC236}">
                <a16:creationId xmlns:a16="http://schemas.microsoft.com/office/drawing/2014/main" id="{00000000-0008-0000-0D00-000019280000}"/>
              </a:ext>
            </a:extLst>
          </xdr:cNvPr>
          <xdr:cNvSpPr txBox="1">
            <a:spLocks noChangeArrowheads="1"/>
          </xdr:cNvSpPr>
        </xdr:nvSpPr>
        <xdr:spPr bwMode="auto">
          <a:xfrm>
            <a:off x="4244" y="9089"/>
            <a:ext cx="2027" cy="592"/>
          </a:xfrm>
          <a:prstGeom prst="rect">
            <a:avLst/>
          </a:prstGeom>
          <a:solidFill>
            <a:srgbClr val="FFFFFF"/>
          </a:solidFill>
          <a:ln w="9525">
            <a:noFill/>
            <a:miter lim="800000"/>
            <a:headEnd/>
            <a:tailEnd/>
          </a:ln>
        </xdr:spPr>
        <xdr:txBody>
          <a:bodyPr vertOverflow="clip" wrap="square" lIns="91440" tIns="45720" rIns="91440" bIns="45720" anchor="t" upright="1"/>
          <a:lstStyle/>
          <a:p>
            <a:pPr algn="l" rtl="0">
              <a:defRPr sz="1000"/>
            </a:pPr>
            <a:r>
              <a:rPr lang="es-ES" sz="1100" b="0" i="0" u="none" strike="noStrike" baseline="0">
                <a:solidFill>
                  <a:srgbClr val="000000"/>
                </a:solidFill>
                <a:latin typeface="Calibri"/>
              </a:rPr>
              <a:t>Fig. 1. (en mm) Perfil aramado de S275 JR</a:t>
            </a:r>
          </a:p>
          <a:p>
            <a:pPr algn="l" rtl="0">
              <a:defRPr sz="1000"/>
            </a:pPr>
            <a:endParaRPr lang="es-ES" sz="1100" b="0" i="0" u="none" strike="noStrike" baseline="0">
              <a:solidFill>
                <a:srgbClr val="000000"/>
              </a:solidFill>
              <a:latin typeface="Calibri"/>
            </a:endParaRPr>
          </a:p>
        </xdr:txBody>
      </xdr:sp>
      <xdr:sp macro="" textlink="">
        <xdr:nvSpPr>
          <xdr:cNvPr id="10266" name="Text Box 26">
            <a:extLst>
              <a:ext uri="{FF2B5EF4-FFF2-40B4-BE49-F238E27FC236}">
                <a16:creationId xmlns:a16="http://schemas.microsoft.com/office/drawing/2014/main" id="{00000000-0008-0000-0D00-00001A280000}"/>
              </a:ext>
            </a:extLst>
          </xdr:cNvPr>
          <xdr:cNvSpPr txBox="1">
            <a:spLocks noChangeArrowheads="1"/>
          </xdr:cNvSpPr>
        </xdr:nvSpPr>
        <xdr:spPr bwMode="auto">
          <a:xfrm>
            <a:off x="5068" y="8141"/>
            <a:ext cx="1203" cy="447"/>
          </a:xfrm>
          <a:prstGeom prst="rect">
            <a:avLst/>
          </a:prstGeom>
          <a:solidFill>
            <a:srgbClr val="FFFFFF"/>
          </a:solidFill>
          <a:ln w="9525">
            <a:noFill/>
            <a:miter lim="800000"/>
            <a:headEnd/>
            <a:tailEnd/>
          </a:ln>
        </xdr:spPr>
        <xdr:txBody>
          <a:bodyPr vertOverflow="clip" wrap="square" lIns="91440" tIns="45720" rIns="91440" bIns="45720" anchor="t" upright="1"/>
          <a:lstStyle/>
          <a:p>
            <a:pPr algn="l" rtl="0">
              <a:defRPr sz="1000"/>
            </a:pPr>
            <a:r>
              <a:rPr lang="es-ES" sz="1100" b="0" i="0" u="none" strike="noStrike" baseline="0">
                <a:solidFill>
                  <a:srgbClr val="000000"/>
                </a:solidFill>
                <a:latin typeface="Calibri"/>
              </a:rPr>
              <a:t>≠ 300·25</a:t>
            </a:r>
          </a:p>
          <a:p>
            <a:pPr algn="l" rtl="0">
              <a:defRPr sz="1000"/>
            </a:pPr>
            <a:endParaRPr lang="es-ES" sz="1100" b="0" i="0" u="none" strike="noStrike" baseline="0">
              <a:solidFill>
                <a:srgbClr val="000000"/>
              </a:solidFill>
              <a:latin typeface="Calibri"/>
            </a:endParaRPr>
          </a:p>
        </xdr:txBody>
      </xdr:sp>
      <xdr:sp macro="" textlink="">
        <xdr:nvSpPr>
          <xdr:cNvPr id="10370" name="Freeform 27">
            <a:extLst>
              <a:ext uri="{FF2B5EF4-FFF2-40B4-BE49-F238E27FC236}">
                <a16:creationId xmlns:a16="http://schemas.microsoft.com/office/drawing/2014/main" id="{00000000-0008-0000-0D00-000082280000}"/>
              </a:ext>
            </a:extLst>
          </xdr:cNvPr>
          <xdr:cNvSpPr>
            <a:spLocks/>
          </xdr:cNvSpPr>
        </xdr:nvSpPr>
        <xdr:spPr bwMode="auto">
          <a:xfrm>
            <a:off x="4959" y="6205"/>
            <a:ext cx="1105" cy="136"/>
          </a:xfrm>
          <a:custGeom>
            <a:avLst/>
            <a:gdLst>
              <a:gd name="T0" fmla="*/ 1105 w 1105"/>
              <a:gd name="T1" fmla="*/ 0 h 136"/>
              <a:gd name="T2" fmla="*/ 255 w 1105"/>
              <a:gd name="T3" fmla="*/ 0 h 136"/>
              <a:gd name="T4" fmla="*/ 0 w 1105"/>
              <a:gd name="T5" fmla="*/ 136 h 136"/>
              <a:gd name="T6" fmla="*/ 0 60000 65536"/>
              <a:gd name="T7" fmla="*/ 0 60000 65536"/>
              <a:gd name="T8" fmla="*/ 0 60000 65536"/>
            </a:gdLst>
            <a:ahLst/>
            <a:cxnLst>
              <a:cxn ang="T6">
                <a:pos x="T0" y="T1"/>
              </a:cxn>
              <a:cxn ang="T7">
                <a:pos x="T2" y="T3"/>
              </a:cxn>
              <a:cxn ang="T8">
                <a:pos x="T4" y="T5"/>
              </a:cxn>
            </a:cxnLst>
            <a:rect l="0" t="0" r="r" b="b"/>
            <a:pathLst>
              <a:path w="1105" h="136">
                <a:moveTo>
                  <a:pt x="1105" y="0"/>
                </a:moveTo>
                <a:lnTo>
                  <a:pt x="255" y="0"/>
                </a:lnTo>
                <a:lnTo>
                  <a:pt x="0" y="136"/>
                </a:lnTo>
              </a:path>
            </a:pathLst>
          </a:custGeom>
          <a:noFill/>
          <a:ln w="3175">
            <a:solidFill>
              <a:srgbClr val="000000"/>
            </a:solidFill>
            <a:round/>
            <a:headEnd/>
            <a:tailEnd type="stealth" w="sm" len="sm"/>
          </a:ln>
        </xdr:spPr>
      </xdr:sp>
      <xdr:sp macro="" textlink="">
        <xdr:nvSpPr>
          <xdr:cNvPr id="10371" name="Freeform 28">
            <a:extLst>
              <a:ext uri="{FF2B5EF4-FFF2-40B4-BE49-F238E27FC236}">
                <a16:creationId xmlns:a16="http://schemas.microsoft.com/office/drawing/2014/main" id="{00000000-0008-0000-0D00-000083280000}"/>
              </a:ext>
            </a:extLst>
          </xdr:cNvPr>
          <xdr:cNvSpPr>
            <a:spLocks/>
          </xdr:cNvSpPr>
        </xdr:nvSpPr>
        <xdr:spPr bwMode="auto">
          <a:xfrm>
            <a:off x="5163" y="8466"/>
            <a:ext cx="884" cy="170"/>
          </a:xfrm>
          <a:custGeom>
            <a:avLst/>
            <a:gdLst>
              <a:gd name="T0" fmla="*/ 884 w 884"/>
              <a:gd name="T1" fmla="*/ 0 h 170"/>
              <a:gd name="T2" fmla="*/ 221 w 884"/>
              <a:gd name="T3" fmla="*/ 0 h 170"/>
              <a:gd name="T4" fmla="*/ 0 w 884"/>
              <a:gd name="T5" fmla="*/ 170 h 170"/>
              <a:gd name="T6" fmla="*/ 0 60000 65536"/>
              <a:gd name="T7" fmla="*/ 0 60000 65536"/>
              <a:gd name="T8" fmla="*/ 0 60000 65536"/>
            </a:gdLst>
            <a:ahLst/>
            <a:cxnLst>
              <a:cxn ang="T6">
                <a:pos x="T0" y="T1"/>
              </a:cxn>
              <a:cxn ang="T7">
                <a:pos x="T2" y="T3"/>
              </a:cxn>
              <a:cxn ang="T8">
                <a:pos x="T4" y="T5"/>
              </a:cxn>
            </a:cxnLst>
            <a:rect l="0" t="0" r="r" b="b"/>
            <a:pathLst>
              <a:path w="884" h="170">
                <a:moveTo>
                  <a:pt x="884" y="0"/>
                </a:moveTo>
                <a:lnTo>
                  <a:pt x="221" y="0"/>
                </a:lnTo>
                <a:lnTo>
                  <a:pt x="0" y="170"/>
                </a:lnTo>
              </a:path>
            </a:pathLst>
          </a:custGeom>
          <a:noFill/>
          <a:ln w="3175">
            <a:solidFill>
              <a:srgbClr val="000000"/>
            </a:solidFill>
            <a:round/>
            <a:headEnd/>
            <a:tailEnd type="stealth" w="sm" len="sm"/>
          </a:ln>
        </xdr:spPr>
      </xdr:sp>
      <xdr:sp macro="" textlink="">
        <xdr:nvSpPr>
          <xdr:cNvPr id="10372" name="Line 29">
            <a:extLst>
              <a:ext uri="{FF2B5EF4-FFF2-40B4-BE49-F238E27FC236}">
                <a16:creationId xmlns:a16="http://schemas.microsoft.com/office/drawing/2014/main" id="{00000000-0008-0000-0D00-000084280000}"/>
              </a:ext>
            </a:extLst>
          </xdr:cNvPr>
          <xdr:cNvSpPr>
            <a:spLocks noChangeShapeType="1"/>
          </xdr:cNvSpPr>
        </xdr:nvSpPr>
        <xdr:spPr bwMode="auto">
          <a:xfrm>
            <a:off x="4930" y="6922"/>
            <a:ext cx="2" cy="2067"/>
          </a:xfrm>
          <a:prstGeom prst="line">
            <a:avLst/>
          </a:prstGeom>
          <a:noFill/>
          <a:ln w="6350">
            <a:solidFill>
              <a:srgbClr val="000000"/>
            </a:solidFill>
            <a:round/>
            <a:headEnd/>
            <a:tailEnd/>
          </a:ln>
        </xdr:spPr>
      </xdr:sp>
      <xdr:sp macro="" textlink="">
        <xdr:nvSpPr>
          <xdr:cNvPr id="10373" name="Line 30">
            <a:extLst>
              <a:ext uri="{FF2B5EF4-FFF2-40B4-BE49-F238E27FC236}">
                <a16:creationId xmlns:a16="http://schemas.microsoft.com/office/drawing/2014/main" id="{00000000-0008-0000-0D00-000085280000}"/>
              </a:ext>
            </a:extLst>
          </xdr:cNvPr>
          <xdr:cNvSpPr>
            <a:spLocks noChangeShapeType="1"/>
          </xdr:cNvSpPr>
        </xdr:nvSpPr>
        <xdr:spPr bwMode="auto">
          <a:xfrm flipV="1">
            <a:off x="4067" y="7020"/>
            <a:ext cx="1980" cy="1"/>
          </a:xfrm>
          <a:prstGeom prst="line">
            <a:avLst/>
          </a:prstGeom>
          <a:noFill/>
          <a:ln w="6350">
            <a:solidFill>
              <a:srgbClr val="000000"/>
            </a:solidFill>
            <a:round/>
            <a:headEnd/>
            <a:tailEnd/>
          </a:ln>
        </xdr:spPr>
      </xdr:sp>
    </xdr:grpSp>
    <xdr:clientData/>
  </xdr:twoCellAnchor>
  <xdr:twoCellAnchor>
    <xdr:from>
      <xdr:col>19</xdr:col>
      <xdr:colOff>0</xdr:colOff>
      <xdr:row>34</xdr:row>
      <xdr:rowOff>28575</xdr:rowOff>
    </xdr:from>
    <xdr:to>
      <xdr:col>23</xdr:col>
      <xdr:colOff>0</xdr:colOff>
      <xdr:row>37</xdr:row>
      <xdr:rowOff>133350</xdr:rowOff>
    </xdr:to>
    <xdr:grpSp>
      <xdr:nvGrpSpPr>
        <xdr:cNvPr id="10297" name="Group 2">
          <a:extLst>
            <a:ext uri="{FF2B5EF4-FFF2-40B4-BE49-F238E27FC236}">
              <a16:creationId xmlns:a16="http://schemas.microsoft.com/office/drawing/2014/main" id="{00000000-0008-0000-0D00-000039280000}"/>
            </a:ext>
          </a:extLst>
        </xdr:cNvPr>
        <xdr:cNvGrpSpPr>
          <a:grpSpLocks/>
        </xdr:cNvGrpSpPr>
      </xdr:nvGrpSpPr>
      <xdr:grpSpPr bwMode="auto">
        <a:xfrm>
          <a:off x="11133667" y="7299325"/>
          <a:ext cx="2772833" cy="835025"/>
          <a:chOff x="1043" y="1752"/>
          <a:chExt cx="3674" cy="1134"/>
        </a:xfrm>
      </xdr:grpSpPr>
      <xdr:grpSp>
        <xdr:nvGrpSpPr>
          <xdr:cNvPr id="10340" name="Group 3">
            <a:extLst>
              <a:ext uri="{FF2B5EF4-FFF2-40B4-BE49-F238E27FC236}">
                <a16:creationId xmlns:a16="http://schemas.microsoft.com/office/drawing/2014/main" id="{00000000-0008-0000-0D00-000064280000}"/>
              </a:ext>
            </a:extLst>
          </xdr:cNvPr>
          <xdr:cNvGrpSpPr>
            <a:grpSpLocks/>
          </xdr:cNvGrpSpPr>
        </xdr:nvGrpSpPr>
        <xdr:grpSpPr bwMode="auto">
          <a:xfrm>
            <a:off x="1043" y="1752"/>
            <a:ext cx="3674" cy="1134"/>
            <a:chOff x="1655" y="1253"/>
            <a:chExt cx="3947" cy="1270"/>
          </a:xfrm>
        </xdr:grpSpPr>
        <xdr:pic>
          <xdr:nvPicPr>
            <xdr:cNvPr id="10354" name="Picture 4" descr="mr25_001">
              <a:extLst>
                <a:ext uri="{FF2B5EF4-FFF2-40B4-BE49-F238E27FC236}">
                  <a16:creationId xmlns:a16="http://schemas.microsoft.com/office/drawing/2014/main" id="{00000000-0008-0000-0D00-000072280000}"/>
                </a:ext>
              </a:extLst>
            </xdr:cNvPr>
            <xdr:cNvPicPr>
              <a:picLocks noChangeAspect="1" noChangeArrowheads="1"/>
            </xdr:cNvPicPr>
          </xdr:nvPicPr>
          <xdr:blipFill>
            <a:blip xmlns:r="http://schemas.openxmlformats.org/officeDocument/2006/relationships" r:embed="rId16" cstate="print">
              <a:lum bright="-20000" contrast="40000"/>
            </a:blip>
            <a:srcRect l="10225" t="17549" b="17384"/>
            <a:stretch>
              <a:fillRect/>
            </a:stretch>
          </xdr:blipFill>
          <xdr:spPr bwMode="auto">
            <a:xfrm>
              <a:off x="2810" y="1298"/>
              <a:ext cx="2792" cy="1179"/>
            </a:xfrm>
            <a:prstGeom prst="rect">
              <a:avLst/>
            </a:prstGeom>
            <a:noFill/>
            <a:ln w="9525">
              <a:noFill/>
              <a:miter lim="800000"/>
              <a:headEnd/>
              <a:tailEnd/>
            </a:ln>
          </xdr:spPr>
        </xdr:pic>
        <xdr:grpSp>
          <xdr:nvGrpSpPr>
            <xdr:cNvPr id="10355" name="Group 5">
              <a:extLst>
                <a:ext uri="{FF2B5EF4-FFF2-40B4-BE49-F238E27FC236}">
                  <a16:creationId xmlns:a16="http://schemas.microsoft.com/office/drawing/2014/main" id="{00000000-0008-0000-0D00-000073280000}"/>
                </a:ext>
              </a:extLst>
            </xdr:cNvPr>
            <xdr:cNvGrpSpPr>
              <a:grpSpLocks/>
            </xdr:cNvGrpSpPr>
          </xdr:nvGrpSpPr>
          <xdr:grpSpPr bwMode="auto">
            <a:xfrm>
              <a:off x="3531" y="1752"/>
              <a:ext cx="136" cy="90"/>
              <a:chOff x="2653" y="1752"/>
              <a:chExt cx="136" cy="136"/>
            </a:xfrm>
          </xdr:grpSpPr>
          <xdr:sp macro="" textlink="">
            <xdr:nvSpPr>
              <xdr:cNvPr id="10357" name="Line 6">
                <a:extLst>
                  <a:ext uri="{FF2B5EF4-FFF2-40B4-BE49-F238E27FC236}">
                    <a16:creationId xmlns:a16="http://schemas.microsoft.com/office/drawing/2014/main" id="{00000000-0008-0000-0D00-000075280000}"/>
                  </a:ext>
                </a:extLst>
              </xdr:cNvPr>
              <xdr:cNvSpPr>
                <a:spLocks noChangeShapeType="1"/>
              </xdr:cNvSpPr>
            </xdr:nvSpPr>
            <xdr:spPr bwMode="auto">
              <a:xfrm>
                <a:off x="2725" y="1752"/>
                <a:ext cx="0" cy="136"/>
              </a:xfrm>
              <a:prstGeom prst="line">
                <a:avLst/>
              </a:prstGeom>
              <a:noFill/>
              <a:ln w="28575">
                <a:solidFill>
                  <a:srgbClr val="808080"/>
                </a:solidFill>
                <a:round/>
                <a:headEnd/>
                <a:tailEnd/>
              </a:ln>
            </xdr:spPr>
          </xdr:sp>
          <xdr:sp macro="" textlink="">
            <xdr:nvSpPr>
              <xdr:cNvPr id="10358" name="Line 7">
                <a:extLst>
                  <a:ext uri="{FF2B5EF4-FFF2-40B4-BE49-F238E27FC236}">
                    <a16:creationId xmlns:a16="http://schemas.microsoft.com/office/drawing/2014/main" id="{00000000-0008-0000-0D00-000076280000}"/>
                  </a:ext>
                </a:extLst>
              </xdr:cNvPr>
              <xdr:cNvSpPr>
                <a:spLocks noChangeShapeType="1"/>
              </xdr:cNvSpPr>
            </xdr:nvSpPr>
            <xdr:spPr bwMode="auto">
              <a:xfrm flipH="1">
                <a:off x="2653" y="1818"/>
                <a:ext cx="136" cy="0"/>
              </a:xfrm>
              <a:prstGeom prst="line">
                <a:avLst/>
              </a:prstGeom>
              <a:noFill/>
              <a:ln w="28575">
                <a:solidFill>
                  <a:srgbClr val="808080"/>
                </a:solidFill>
                <a:round/>
                <a:headEnd/>
                <a:tailEnd/>
              </a:ln>
            </xdr:spPr>
          </xdr:sp>
        </xdr:grpSp>
        <xdr:pic>
          <xdr:nvPicPr>
            <xdr:cNvPr id="10356" name="Picture 8" descr="Copia de mr25_001">
              <a:extLst>
                <a:ext uri="{FF2B5EF4-FFF2-40B4-BE49-F238E27FC236}">
                  <a16:creationId xmlns:a16="http://schemas.microsoft.com/office/drawing/2014/main" id="{00000000-0008-0000-0D00-000074280000}"/>
                </a:ext>
              </a:extLst>
            </xdr:cNvPr>
            <xdr:cNvPicPr>
              <a:picLocks noChangeAspect="1" noChangeArrowheads="1"/>
            </xdr:cNvPicPr>
          </xdr:nvPicPr>
          <xdr:blipFill>
            <a:blip xmlns:r="http://schemas.openxmlformats.org/officeDocument/2006/relationships" r:embed="rId17" cstate="print">
              <a:lum bright="-20000" contrast="40000"/>
            </a:blip>
            <a:srcRect l="6238" t="9933" r="63120" b="19978"/>
            <a:stretch>
              <a:fillRect/>
            </a:stretch>
          </xdr:blipFill>
          <xdr:spPr bwMode="auto">
            <a:xfrm>
              <a:off x="1655" y="1253"/>
              <a:ext cx="953" cy="1270"/>
            </a:xfrm>
            <a:prstGeom prst="rect">
              <a:avLst/>
            </a:prstGeom>
            <a:noFill/>
            <a:ln w="9525">
              <a:noFill/>
              <a:miter lim="800000"/>
              <a:headEnd/>
              <a:tailEnd/>
            </a:ln>
          </xdr:spPr>
        </xdr:pic>
      </xdr:grpSp>
      <xdr:grpSp>
        <xdr:nvGrpSpPr>
          <xdr:cNvPr id="10341" name="Group 9">
            <a:extLst>
              <a:ext uri="{FF2B5EF4-FFF2-40B4-BE49-F238E27FC236}">
                <a16:creationId xmlns:a16="http://schemas.microsoft.com/office/drawing/2014/main" id="{00000000-0008-0000-0D00-000065280000}"/>
              </a:ext>
            </a:extLst>
          </xdr:cNvPr>
          <xdr:cNvGrpSpPr>
            <a:grpSpLocks/>
          </xdr:cNvGrpSpPr>
        </xdr:nvGrpSpPr>
        <xdr:grpSpPr bwMode="auto">
          <a:xfrm>
            <a:off x="1043" y="1752"/>
            <a:ext cx="3674" cy="1134"/>
            <a:chOff x="1655" y="1253"/>
            <a:chExt cx="3947" cy="1270"/>
          </a:xfrm>
        </xdr:grpSpPr>
        <xdr:pic>
          <xdr:nvPicPr>
            <xdr:cNvPr id="10349" name="Picture 10" descr="mr25_001">
              <a:extLst>
                <a:ext uri="{FF2B5EF4-FFF2-40B4-BE49-F238E27FC236}">
                  <a16:creationId xmlns:a16="http://schemas.microsoft.com/office/drawing/2014/main" id="{00000000-0008-0000-0D00-00006D280000}"/>
                </a:ext>
              </a:extLst>
            </xdr:cNvPr>
            <xdr:cNvPicPr>
              <a:picLocks noChangeAspect="1" noChangeArrowheads="1"/>
            </xdr:cNvPicPr>
          </xdr:nvPicPr>
          <xdr:blipFill>
            <a:blip xmlns:r="http://schemas.openxmlformats.org/officeDocument/2006/relationships" r:embed="rId16" cstate="print">
              <a:lum bright="-20000" contrast="40000"/>
            </a:blip>
            <a:srcRect l="10225" t="17549" b="17384"/>
            <a:stretch>
              <a:fillRect/>
            </a:stretch>
          </xdr:blipFill>
          <xdr:spPr bwMode="auto">
            <a:xfrm>
              <a:off x="2810" y="1298"/>
              <a:ext cx="2792" cy="1179"/>
            </a:xfrm>
            <a:prstGeom prst="rect">
              <a:avLst/>
            </a:prstGeom>
            <a:noFill/>
            <a:ln w="9525">
              <a:noFill/>
              <a:miter lim="800000"/>
              <a:headEnd/>
              <a:tailEnd/>
            </a:ln>
          </xdr:spPr>
        </xdr:pic>
        <xdr:grpSp>
          <xdr:nvGrpSpPr>
            <xdr:cNvPr id="10350" name="Group 11">
              <a:extLst>
                <a:ext uri="{FF2B5EF4-FFF2-40B4-BE49-F238E27FC236}">
                  <a16:creationId xmlns:a16="http://schemas.microsoft.com/office/drawing/2014/main" id="{00000000-0008-0000-0D00-00006E280000}"/>
                </a:ext>
              </a:extLst>
            </xdr:cNvPr>
            <xdr:cNvGrpSpPr>
              <a:grpSpLocks/>
            </xdr:cNvGrpSpPr>
          </xdr:nvGrpSpPr>
          <xdr:grpSpPr bwMode="auto">
            <a:xfrm>
              <a:off x="3531" y="1752"/>
              <a:ext cx="136" cy="90"/>
              <a:chOff x="2653" y="1752"/>
              <a:chExt cx="136" cy="136"/>
            </a:xfrm>
          </xdr:grpSpPr>
          <xdr:sp macro="" textlink="">
            <xdr:nvSpPr>
              <xdr:cNvPr id="10352" name="Line 12">
                <a:extLst>
                  <a:ext uri="{FF2B5EF4-FFF2-40B4-BE49-F238E27FC236}">
                    <a16:creationId xmlns:a16="http://schemas.microsoft.com/office/drawing/2014/main" id="{00000000-0008-0000-0D00-000070280000}"/>
                  </a:ext>
                </a:extLst>
              </xdr:cNvPr>
              <xdr:cNvSpPr>
                <a:spLocks noChangeShapeType="1"/>
              </xdr:cNvSpPr>
            </xdr:nvSpPr>
            <xdr:spPr bwMode="auto">
              <a:xfrm>
                <a:off x="2725" y="1752"/>
                <a:ext cx="0" cy="136"/>
              </a:xfrm>
              <a:prstGeom prst="line">
                <a:avLst/>
              </a:prstGeom>
              <a:noFill/>
              <a:ln w="28575">
                <a:solidFill>
                  <a:srgbClr val="808080"/>
                </a:solidFill>
                <a:round/>
                <a:headEnd/>
                <a:tailEnd/>
              </a:ln>
            </xdr:spPr>
          </xdr:sp>
          <xdr:sp macro="" textlink="">
            <xdr:nvSpPr>
              <xdr:cNvPr id="10353" name="Line 13">
                <a:extLst>
                  <a:ext uri="{FF2B5EF4-FFF2-40B4-BE49-F238E27FC236}">
                    <a16:creationId xmlns:a16="http://schemas.microsoft.com/office/drawing/2014/main" id="{00000000-0008-0000-0D00-000071280000}"/>
                  </a:ext>
                </a:extLst>
              </xdr:cNvPr>
              <xdr:cNvSpPr>
                <a:spLocks noChangeShapeType="1"/>
              </xdr:cNvSpPr>
            </xdr:nvSpPr>
            <xdr:spPr bwMode="auto">
              <a:xfrm flipH="1">
                <a:off x="2653" y="1818"/>
                <a:ext cx="136" cy="0"/>
              </a:xfrm>
              <a:prstGeom prst="line">
                <a:avLst/>
              </a:prstGeom>
              <a:noFill/>
              <a:ln w="28575">
                <a:solidFill>
                  <a:srgbClr val="808080"/>
                </a:solidFill>
                <a:round/>
                <a:headEnd/>
                <a:tailEnd/>
              </a:ln>
            </xdr:spPr>
          </xdr:sp>
        </xdr:grpSp>
        <xdr:pic>
          <xdr:nvPicPr>
            <xdr:cNvPr id="10351" name="Picture 14" descr="Copia de mr25_001">
              <a:extLst>
                <a:ext uri="{FF2B5EF4-FFF2-40B4-BE49-F238E27FC236}">
                  <a16:creationId xmlns:a16="http://schemas.microsoft.com/office/drawing/2014/main" id="{00000000-0008-0000-0D00-00006F280000}"/>
                </a:ext>
              </a:extLst>
            </xdr:cNvPr>
            <xdr:cNvPicPr>
              <a:picLocks noChangeAspect="1" noChangeArrowheads="1"/>
            </xdr:cNvPicPr>
          </xdr:nvPicPr>
          <xdr:blipFill>
            <a:blip xmlns:r="http://schemas.openxmlformats.org/officeDocument/2006/relationships" r:embed="rId17" cstate="print">
              <a:lum bright="-20000" contrast="40000"/>
            </a:blip>
            <a:srcRect l="6238" t="9933" r="63120" b="19978"/>
            <a:stretch>
              <a:fillRect/>
            </a:stretch>
          </xdr:blipFill>
          <xdr:spPr bwMode="auto">
            <a:xfrm>
              <a:off x="1655" y="1253"/>
              <a:ext cx="953" cy="1270"/>
            </a:xfrm>
            <a:prstGeom prst="rect">
              <a:avLst/>
            </a:prstGeom>
            <a:noFill/>
            <a:ln w="9525">
              <a:noFill/>
              <a:miter lim="800000"/>
              <a:headEnd/>
              <a:tailEnd/>
            </a:ln>
          </xdr:spPr>
        </xdr:pic>
      </xdr:grpSp>
      <xdr:sp macro="" textlink="">
        <xdr:nvSpPr>
          <xdr:cNvPr id="41" name="Text Box 15">
            <a:extLst>
              <a:ext uri="{FF2B5EF4-FFF2-40B4-BE49-F238E27FC236}">
                <a16:creationId xmlns:a16="http://schemas.microsoft.com/office/drawing/2014/main" id="{00000000-0008-0000-0D00-000029000000}"/>
              </a:ext>
            </a:extLst>
          </xdr:cNvPr>
          <xdr:cNvSpPr txBox="1">
            <a:spLocks noChangeArrowheads="1"/>
          </xdr:cNvSpPr>
        </xdr:nvSpPr>
        <xdr:spPr bwMode="auto">
          <a:xfrm>
            <a:off x="2192" y="2083"/>
            <a:ext cx="126" cy="166"/>
          </a:xfrm>
          <a:prstGeom prst="rect">
            <a:avLst/>
          </a:prstGeom>
          <a:noFill/>
          <a:ln w="9525">
            <a:noFill/>
            <a:miter lim="800000"/>
            <a:headEnd/>
            <a:tailEnd/>
          </a:ln>
        </xdr:spPr>
        <xdr:txBody>
          <a:bodyPr vertOverflow="clip" wrap="square" lIns="91440" tIns="45720" rIns="91440" bIns="45720" anchor="t" upright="1"/>
          <a:lstStyle/>
          <a:p>
            <a:pPr algn="l" rtl="1">
              <a:defRPr sz="1000"/>
            </a:pPr>
            <a:r>
              <a:rPr lang="es-ES" sz="1000" b="0" i="1" strike="noStrike">
                <a:solidFill>
                  <a:srgbClr val="000000"/>
                </a:solidFill>
                <a:latin typeface="Times New Roman"/>
                <a:cs typeface="Times New Roman"/>
              </a:rPr>
              <a:t>z</a:t>
            </a:r>
          </a:p>
          <a:p>
            <a:pPr algn="l" rtl="1">
              <a:defRPr sz="1000"/>
            </a:pPr>
            <a:endParaRPr lang="es-ES" sz="1000" b="0" i="1" strike="noStrike">
              <a:solidFill>
                <a:srgbClr val="000000"/>
              </a:solidFill>
              <a:latin typeface="Times New Roman"/>
              <a:cs typeface="Times New Roman"/>
            </a:endParaRPr>
          </a:p>
        </xdr:txBody>
      </xdr:sp>
      <xdr:sp macro="" textlink="">
        <xdr:nvSpPr>
          <xdr:cNvPr id="10343" name="Oval 16">
            <a:extLst>
              <a:ext uri="{FF2B5EF4-FFF2-40B4-BE49-F238E27FC236}">
                <a16:creationId xmlns:a16="http://schemas.microsoft.com/office/drawing/2014/main" id="{00000000-0008-0000-0D00-000067280000}"/>
              </a:ext>
            </a:extLst>
          </xdr:cNvPr>
          <xdr:cNvSpPr>
            <a:spLocks noChangeArrowheads="1"/>
          </xdr:cNvSpPr>
        </xdr:nvSpPr>
        <xdr:spPr bwMode="auto">
          <a:xfrm>
            <a:off x="2658" y="2352"/>
            <a:ext cx="56" cy="56"/>
          </a:xfrm>
          <a:prstGeom prst="ellipse">
            <a:avLst/>
          </a:prstGeom>
          <a:solidFill>
            <a:srgbClr val="FFFFFF"/>
          </a:solidFill>
          <a:ln w="9525">
            <a:noFill/>
            <a:round/>
            <a:headEnd/>
            <a:tailEnd/>
          </a:ln>
        </xdr:spPr>
      </xdr:sp>
      <xdr:sp macro="" textlink="">
        <xdr:nvSpPr>
          <xdr:cNvPr id="10344" name="Oval 17">
            <a:extLst>
              <a:ext uri="{FF2B5EF4-FFF2-40B4-BE49-F238E27FC236}">
                <a16:creationId xmlns:a16="http://schemas.microsoft.com/office/drawing/2014/main" id="{00000000-0008-0000-0D00-000068280000}"/>
              </a:ext>
            </a:extLst>
          </xdr:cNvPr>
          <xdr:cNvSpPr>
            <a:spLocks noChangeArrowheads="1"/>
          </xdr:cNvSpPr>
        </xdr:nvSpPr>
        <xdr:spPr bwMode="auto">
          <a:xfrm>
            <a:off x="2309" y="2174"/>
            <a:ext cx="56" cy="56"/>
          </a:xfrm>
          <a:prstGeom prst="ellipse">
            <a:avLst/>
          </a:prstGeom>
          <a:solidFill>
            <a:srgbClr val="FFFFFF"/>
          </a:solidFill>
          <a:ln w="9525">
            <a:noFill/>
            <a:round/>
            <a:headEnd/>
            <a:tailEnd/>
          </a:ln>
        </xdr:spPr>
      </xdr:sp>
      <xdr:sp macro="" textlink="">
        <xdr:nvSpPr>
          <xdr:cNvPr id="10345" name="Oval 18">
            <a:extLst>
              <a:ext uri="{FF2B5EF4-FFF2-40B4-BE49-F238E27FC236}">
                <a16:creationId xmlns:a16="http://schemas.microsoft.com/office/drawing/2014/main" id="{00000000-0008-0000-0D00-000069280000}"/>
              </a:ext>
            </a:extLst>
          </xdr:cNvPr>
          <xdr:cNvSpPr>
            <a:spLocks noChangeArrowheads="1"/>
          </xdr:cNvSpPr>
        </xdr:nvSpPr>
        <xdr:spPr bwMode="auto">
          <a:xfrm>
            <a:off x="3368" y="2285"/>
            <a:ext cx="56" cy="56"/>
          </a:xfrm>
          <a:prstGeom prst="ellipse">
            <a:avLst/>
          </a:prstGeom>
          <a:solidFill>
            <a:srgbClr val="FFFFFF"/>
          </a:solidFill>
          <a:ln w="9525">
            <a:noFill/>
            <a:round/>
            <a:headEnd/>
            <a:tailEnd/>
          </a:ln>
        </xdr:spPr>
      </xdr:sp>
      <xdr:sp macro="" textlink="">
        <xdr:nvSpPr>
          <xdr:cNvPr id="10346" name="Oval 19">
            <a:extLst>
              <a:ext uri="{FF2B5EF4-FFF2-40B4-BE49-F238E27FC236}">
                <a16:creationId xmlns:a16="http://schemas.microsoft.com/office/drawing/2014/main" id="{00000000-0008-0000-0D00-00006A280000}"/>
              </a:ext>
            </a:extLst>
          </xdr:cNvPr>
          <xdr:cNvSpPr>
            <a:spLocks noChangeArrowheads="1"/>
          </xdr:cNvSpPr>
        </xdr:nvSpPr>
        <xdr:spPr bwMode="auto">
          <a:xfrm>
            <a:off x="3133" y="2164"/>
            <a:ext cx="56" cy="56"/>
          </a:xfrm>
          <a:prstGeom prst="ellipse">
            <a:avLst/>
          </a:prstGeom>
          <a:solidFill>
            <a:srgbClr val="FFFFFF"/>
          </a:solidFill>
          <a:ln w="9525">
            <a:noFill/>
            <a:round/>
            <a:headEnd/>
            <a:tailEnd/>
          </a:ln>
        </xdr:spPr>
      </xdr:sp>
      <xdr:sp macro="" textlink="">
        <xdr:nvSpPr>
          <xdr:cNvPr id="10347" name="Oval 20">
            <a:extLst>
              <a:ext uri="{FF2B5EF4-FFF2-40B4-BE49-F238E27FC236}">
                <a16:creationId xmlns:a16="http://schemas.microsoft.com/office/drawing/2014/main" id="{00000000-0008-0000-0D00-00006B280000}"/>
              </a:ext>
            </a:extLst>
          </xdr:cNvPr>
          <xdr:cNvSpPr>
            <a:spLocks noChangeArrowheads="1"/>
          </xdr:cNvSpPr>
        </xdr:nvSpPr>
        <xdr:spPr bwMode="auto">
          <a:xfrm>
            <a:off x="1703" y="2441"/>
            <a:ext cx="56" cy="56"/>
          </a:xfrm>
          <a:prstGeom prst="ellipse">
            <a:avLst/>
          </a:prstGeom>
          <a:solidFill>
            <a:srgbClr val="FFFFFF"/>
          </a:solidFill>
          <a:ln w="9525">
            <a:noFill/>
            <a:round/>
            <a:headEnd/>
            <a:tailEnd/>
          </a:ln>
        </xdr:spPr>
      </xdr:sp>
      <xdr:sp macro="" textlink="">
        <xdr:nvSpPr>
          <xdr:cNvPr id="10348" name="Oval 21">
            <a:extLst>
              <a:ext uri="{FF2B5EF4-FFF2-40B4-BE49-F238E27FC236}">
                <a16:creationId xmlns:a16="http://schemas.microsoft.com/office/drawing/2014/main" id="{00000000-0008-0000-0D00-00006C280000}"/>
              </a:ext>
            </a:extLst>
          </xdr:cNvPr>
          <xdr:cNvSpPr>
            <a:spLocks noChangeArrowheads="1"/>
          </xdr:cNvSpPr>
        </xdr:nvSpPr>
        <xdr:spPr bwMode="auto">
          <a:xfrm>
            <a:off x="1354" y="2263"/>
            <a:ext cx="56" cy="56"/>
          </a:xfrm>
          <a:prstGeom prst="ellipse">
            <a:avLst/>
          </a:prstGeom>
          <a:solidFill>
            <a:srgbClr val="FFFFFF"/>
          </a:solidFill>
          <a:ln w="9525">
            <a:noFill/>
            <a:round/>
            <a:headEnd/>
            <a:tailEnd/>
          </a:ln>
        </xdr:spPr>
      </xdr:sp>
    </xdr:grpSp>
    <xdr:clientData/>
  </xdr:twoCellAnchor>
  <xdr:twoCellAnchor>
    <xdr:from>
      <xdr:col>21</xdr:col>
      <xdr:colOff>676275</xdr:colOff>
      <xdr:row>0</xdr:row>
      <xdr:rowOff>66675</xdr:rowOff>
    </xdr:from>
    <xdr:to>
      <xdr:col>22</xdr:col>
      <xdr:colOff>590550</xdr:colOff>
      <xdr:row>3</xdr:row>
      <xdr:rowOff>171450</xdr:rowOff>
    </xdr:to>
    <xdr:pic>
      <xdr:nvPicPr>
        <xdr:cNvPr id="10298" name="Picture 381" descr="anagrama42">
          <a:extLst>
            <a:ext uri="{FF2B5EF4-FFF2-40B4-BE49-F238E27FC236}">
              <a16:creationId xmlns:a16="http://schemas.microsoft.com/office/drawing/2014/main" id="{00000000-0008-0000-0D00-00003A280000}"/>
            </a:ext>
          </a:extLst>
        </xdr:cNvPr>
        <xdr:cNvPicPr>
          <a:picLocks noChangeAspect="1" noChangeArrowheads="1"/>
        </xdr:cNvPicPr>
      </xdr:nvPicPr>
      <xdr:blipFill>
        <a:blip xmlns:r="http://schemas.openxmlformats.org/officeDocument/2006/relationships" r:embed="rId18" cstate="print"/>
        <a:srcRect/>
        <a:stretch>
          <a:fillRect/>
        </a:stretch>
      </xdr:blipFill>
      <xdr:spPr bwMode="auto">
        <a:xfrm>
          <a:off x="13125450" y="66675"/>
          <a:ext cx="590550" cy="704850"/>
        </a:xfrm>
        <a:prstGeom prst="rect">
          <a:avLst/>
        </a:prstGeom>
        <a:noFill/>
        <a:ln w="9525">
          <a:noFill/>
          <a:miter lim="800000"/>
          <a:headEnd/>
          <a:tailEnd/>
        </a:ln>
      </xdr:spPr>
    </xdr:pic>
    <xdr:clientData/>
  </xdr:twoCellAnchor>
  <xdr:twoCellAnchor>
    <xdr:from>
      <xdr:col>18</xdr:col>
      <xdr:colOff>219075</xdr:colOff>
      <xdr:row>9</xdr:row>
      <xdr:rowOff>19050</xdr:rowOff>
    </xdr:from>
    <xdr:to>
      <xdr:col>23</xdr:col>
      <xdr:colOff>66675</xdr:colOff>
      <xdr:row>22</xdr:row>
      <xdr:rowOff>28575</xdr:rowOff>
    </xdr:to>
    <xdr:grpSp>
      <xdr:nvGrpSpPr>
        <xdr:cNvPr id="10299" name="Group 47">
          <a:extLst>
            <a:ext uri="{FF2B5EF4-FFF2-40B4-BE49-F238E27FC236}">
              <a16:creationId xmlns:a16="http://schemas.microsoft.com/office/drawing/2014/main" id="{00000000-0008-0000-0D00-00003B280000}"/>
            </a:ext>
          </a:extLst>
        </xdr:cNvPr>
        <xdr:cNvGrpSpPr>
          <a:grpSpLocks/>
        </xdr:cNvGrpSpPr>
      </xdr:nvGrpSpPr>
      <xdr:grpSpPr bwMode="auto">
        <a:xfrm>
          <a:off x="10685992" y="1934633"/>
          <a:ext cx="3287183" cy="2740025"/>
          <a:chOff x="2274" y="9705"/>
          <a:chExt cx="4283" cy="3250"/>
        </a:xfrm>
      </xdr:grpSpPr>
      <xdr:grpSp>
        <xdr:nvGrpSpPr>
          <xdr:cNvPr id="10300" name="Group 48">
            <a:extLst>
              <a:ext uri="{FF2B5EF4-FFF2-40B4-BE49-F238E27FC236}">
                <a16:creationId xmlns:a16="http://schemas.microsoft.com/office/drawing/2014/main" id="{00000000-0008-0000-0D00-00003C280000}"/>
              </a:ext>
            </a:extLst>
          </xdr:cNvPr>
          <xdr:cNvGrpSpPr>
            <a:grpSpLocks/>
          </xdr:cNvGrpSpPr>
        </xdr:nvGrpSpPr>
        <xdr:grpSpPr bwMode="auto">
          <a:xfrm>
            <a:off x="2274" y="9705"/>
            <a:ext cx="4283" cy="3250"/>
            <a:chOff x="2229" y="9705"/>
            <a:chExt cx="4283" cy="3250"/>
          </a:xfrm>
        </xdr:grpSpPr>
        <xdr:sp macro="" textlink="">
          <xdr:nvSpPr>
            <xdr:cNvPr id="62" name="Text Box 49">
              <a:extLst>
                <a:ext uri="{FF2B5EF4-FFF2-40B4-BE49-F238E27FC236}">
                  <a16:creationId xmlns:a16="http://schemas.microsoft.com/office/drawing/2014/main" id="{00000000-0008-0000-0D00-00003E000000}"/>
                </a:ext>
              </a:extLst>
            </xdr:cNvPr>
            <xdr:cNvSpPr txBox="1">
              <a:spLocks noChangeArrowheads="1"/>
            </xdr:cNvSpPr>
          </xdr:nvSpPr>
          <xdr:spPr bwMode="auto">
            <a:xfrm>
              <a:off x="2229" y="11621"/>
              <a:ext cx="646" cy="479"/>
            </a:xfrm>
            <a:prstGeom prst="rect">
              <a:avLst/>
            </a:prstGeom>
            <a:solidFill>
              <a:srgbClr val="FFFFFF"/>
            </a:solidFill>
            <a:ln w="9525">
              <a:noFill/>
              <a:miter lim="800000"/>
              <a:headEnd/>
              <a:tailEnd/>
            </a:ln>
          </xdr:spPr>
          <xdr:txBody>
            <a:bodyPr vertOverflow="clip" wrap="square" lIns="91440" tIns="45720" rIns="91440" bIns="45720" anchor="t" upright="1"/>
            <a:lstStyle/>
            <a:p>
              <a:pPr algn="l" rtl="1">
                <a:defRPr sz="1000"/>
              </a:pPr>
              <a:r>
                <a:rPr lang="es-ES" sz="900" b="1" i="1" strike="noStrike">
                  <a:solidFill>
                    <a:srgbClr val="000000"/>
                  </a:solidFill>
                  <a:latin typeface="Calibri"/>
                </a:rPr>
                <a:t>Z</a:t>
              </a:r>
              <a:r>
                <a:rPr lang="es-ES" sz="800" b="1" i="1" strike="noStrike">
                  <a:solidFill>
                    <a:srgbClr val="000000"/>
                  </a:solidFill>
                  <a:latin typeface="Calibri"/>
                </a:rPr>
                <a:t>SC</a:t>
              </a:r>
              <a:endParaRPr lang="es-ES" sz="1100" b="1" i="1" strike="noStrike">
                <a:solidFill>
                  <a:srgbClr val="000000"/>
                </a:solidFill>
                <a:latin typeface="Times New Roman"/>
                <a:cs typeface="Times New Roman"/>
              </a:endParaRPr>
            </a:p>
            <a:p>
              <a:pPr algn="l" rtl="1">
                <a:defRPr sz="1000"/>
              </a:pPr>
              <a:endParaRPr lang="es-ES" sz="1100" b="1" i="1" strike="noStrike">
                <a:solidFill>
                  <a:srgbClr val="000000"/>
                </a:solidFill>
                <a:latin typeface="Times New Roman"/>
                <a:cs typeface="Times New Roman"/>
              </a:endParaRPr>
            </a:p>
          </xdr:txBody>
        </xdr:sp>
        <xdr:sp macro="" textlink="">
          <xdr:nvSpPr>
            <xdr:cNvPr id="63" name="Text Box 50">
              <a:extLst>
                <a:ext uri="{FF2B5EF4-FFF2-40B4-BE49-F238E27FC236}">
                  <a16:creationId xmlns:a16="http://schemas.microsoft.com/office/drawing/2014/main" id="{00000000-0008-0000-0D00-00003F000000}"/>
                </a:ext>
              </a:extLst>
            </xdr:cNvPr>
            <xdr:cNvSpPr txBox="1">
              <a:spLocks noChangeArrowheads="1"/>
            </xdr:cNvSpPr>
          </xdr:nvSpPr>
          <xdr:spPr bwMode="auto">
            <a:xfrm>
              <a:off x="3470" y="10709"/>
              <a:ext cx="745" cy="422"/>
            </a:xfrm>
            <a:prstGeom prst="rect">
              <a:avLst/>
            </a:prstGeom>
            <a:solidFill>
              <a:srgbClr val="FFFFFF"/>
            </a:solidFill>
            <a:ln w="9525">
              <a:noFill/>
              <a:miter lim="800000"/>
              <a:headEnd/>
              <a:tailEnd/>
            </a:ln>
          </xdr:spPr>
          <xdr:txBody>
            <a:bodyPr vertOverflow="clip" wrap="square" lIns="91440" tIns="45720" rIns="91440" bIns="45720" anchor="t" upright="1"/>
            <a:lstStyle/>
            <a:p>
              <a:pPr algn="l" rtl="1">
                <a:defRPr sz="1000"/>
              </a:pPr>
              <a:r>
                <a:rPr lang="es-ES" sz="1000" b="1" i="1" strike="noStrike">
                  <a:solidFill>
                    <a:srgbClr val="000000"/>
                  </a:solidFill>
                  <a:latin typeface="Calibri"/>
                </a:rPr>
                <a:t>tw</a:t>
              </a:r>
              <a:endParaRPr lang="es-ES" sz="1000" b="1" i="1" strike="noStrike">
                <a:solidFill>
                  <a:srgbClr val="000000"/>
                </a:solidFill>
                <a:latin typeface="Times New Roman"/>
                <a:cs typeface="Times New Roman"/>
              </a:endParaRPr>
            </a:p>
            <a:p>
              <a:pPr algn="l" rtl="1">
                <a:defRPr sz="1000"/>
              </a:pPr>
              <a:endParaRPr lang="es-ES" sz="1000" b="1" i="1" strike="noStrike">
                <a:solidFill>
                  <a:srgbClr val="000000"/>
                </a:solidFill>
                <a:latin typeface="Times New Roman"/>
                <a:cs typeface="Times New Roman"/>
              </a:endParaRPr>
            </a:p>
          </xdr:txBody>
        </xdr:sp>
        <xdr:sp macro="" textlink="">
          <xdr:nvSpPr>
            <xdr:cNvPr id="64" name="Text Box 51">
              <a:extLst>
                <a:ext uri="{FF2B5EF4-FFF2-40B4-BE49-F238E27FC236}">
                  <a16:creationId xmlns:a16="http://schemas.microsoft.com/office/drawing/2014/main" id="{00000000-0008-0000-0D00-000040000000}"/>
                </a:ext>
              </a:extLst>
            </xdr:cNvPr>
            <xdr:cNvSpPr txBox="1">
              <a:spLocks noChangeArrowheads="1"/>
            </xdr:cNvSpPr>
          </xdr:nvSpPr>
          <xdr:spPr bwMode="auto">
            <a:xfrm>
              <a:off x="2750" y="11769"/>
              <a:ext cx="521" cy="422"/>
            </a:xfrm>
            <a:prstGeom prst="rect">
              <a:avLst/>
            </a:prstGeom>
            <a:solidFill>
              <a:srgbClr val="FFFFFF"/>
            </a:solidFill>
            <a:ln w="9525">
              <a:noFill/>
              <a:miter lim="800000"/>
              <a:headEnd/>
              <a:tailEnd/>
            </a:ln>
          </xdr:spPr>
          <xdr:txBody>
            <a:bodyPr vertOverflow="clip" wrap="square" lIns="91440" tIns="45720" rIns="91440" bIns="45720" anchor="t" upright="1"/>
            <a:lstStyle/>
            <a:p>
              <a:pPr algn="l" rtl="1">
                <a:defRPr sz="1000"/>
              </a:pPr>
              <a:r>
                <a:rPr lang="es-ES" sz="1000" b="1" i="1" strike="noStrike">
                  <a:solidFill>
                    <a:srgbClr val="000000"/>
                  </a:solidFill>
                  <a:latin typeface="Calibri"/>
                </a:rPr>
                <a:t>t2</a:t>
              </a:r>
              <a:endParaRPr lang="es-ES" sz="1000" b="1" i="1" strike="noStrike">
                <a:solidFill>
                  <a:srgbClr val="000000"/>
                </a:solidFill>
                <a:latin typeface="Times New Roman"/>
                <a:cs typeface="Times New Roman"/>
              </a:endParaRPr>
            </a:p>
            <a:p>
              <a:pPr algn="l" rtl="1">
                <a:defRPr sz="1000"/>
              </a:pPr>
              <a:endParaRPr lang="es-ES" sz="1000" b="1" i="1" strike="noStrike">
                <a:solidFill>
                  <a:srgbClr val="000000"/>
                </a:solidFill>
                <a:latin typeface="Times New Roman"/>
                <a:cs typeface="Times New Roman"/>
              </a:endParaRPr>
            </a:p>
          </xdr:txBody>
        </xdr:sp>
        <xdr:sp macro="" textlink="">
          <xdr:nvSpPr>
            <xdr:cNvPr id="65" name="Text Box 52">
              <a:extLst>
                <a:ext uri="{FF2B5EF4-FFF2-40B4-BE49-F238E27FC236}">
                  <a16:creationId xmlns:a16="http://schemas.microsoft.com/office/drawing/2014/main" id="{00000000-0008-0000-0D00-000041000000}"/>
                </a:ext>
              </a:extLst>
            </xdr:cNvPr>
            <xdr:cNvSpPr txBox="1">
              <a:spLocks noChangeArrowheads="1"/>
            </xdr:cNvSpPr>
          </xdr:nvSpPr>
          <xdr:spPr bwMode="auto">
            <a:xfrm>
              <a:off x="5022" y="10606"/>
              <a:ext cx="583" cy="399"/>
            </a:xfrm>
            <a:prstGeom prst="rect">
              <a:avLst/>
            </a:prstGeom>
            <a:solidFill>
              <a:srgbClr val="FFFFFF"/>
            </a:solidFill>
            <a:ln w="9525">
              <a:noFill/>
              <a:miter lim="800000"/>
              <a:headEnd/>
              <a:tailEnd/>
            </a:ln>
          </xdr:spPr>
          <xdr:txBody>
            <a:bodyPr vertOverflow="clip" wrap="square" lIns="91440" tIns="45720" rIns="91440" bIns="45720" anchor="t" upright="1"/>
            <a:lstStyle/>
            <a:p>
              <a:pPr algn="l" rtl="1">
                <a:defRPr sz="1000"/>
              </a:pPr>
              <a:r>
                <a:rPr lang="es-ES" sz="1000" b="1" i="1" strike="noStrike">
                  <a:solidFill>
                    <a:srgbClr val="000000"/>
                  </a:solidFill>
                  <a:latin typeface="Calibri"/>
                </a:rPr>
                <a:t>hw</a:t>
              </a:r>
              <a:endParaRPr lang="es-ES" sz="1000" b="1" i="1" strike="noStrike">
                <a:solidFill>
                  <a:srgbClr val="000000"/>
                </a:solidFill>
                <a:latin typeface="Times New Roman"/>
                <a:cs typeface="Times New Roman"/>
              </a:endParaRPr>
            </a:p>
            <a:p>
              <a:pPr algn="l" rtl="1">
                <a:defRPr sz="1000"/>
              </a:pPr>
              <a:endParaRPr lang="es-ES" sz="1000" b="1" i="1" strike="noStrike">
                <a:solidFill>
                  <a:srgbClr val="000000"/>
                </a:solidFill>
                <a:latin typeface="Times New Roman"/>
                <a:cs typeface="Times New Roman"/>
              </a:endParaRPr>
            </a:p>
          </xdr:txBody>
        </xdr:sp>
        <xdr:sp macro="" textlink="">
          <xdr:nvSpPr>
            <xdr:cNvPr id="66" name="Text Box 53">
              <a:extLst>
                <a:ext uri="{FF2B5EF4-FFF2-40B4-BE49-F238E27FC236}">
                  <a16:creationId xmlns:a16="http://schemas.microsoft.com/office/drawing/2014/main" id="{00000000-0008-0000-0D00-000042000000}"/>
                </a:ext>
              </a:extLst>
            </xdr:cNvPr>
            <xdr:cNvSpPr txBox="1">
              <a:spLocks noChangeArrowheads="1"/>
            </xdr:cNvSpPr>
          </xdr:nvSpPr>
          <xdr:spPr bwMode="auto">
            <a:xfrm>
              <a:off x="4712" y="11381"/>
              <a:ext cx="658" cy="468"/>
            </a:xfrm>
            <a:prstGeom prst="rect">
              <a:avLst/>
            </a:prstGeom>
            <a:solidFill>
              <a:srgbClr val="FFFFFF"/>
            </a:solidFill>
            <a:ln w="9525">
              <a:noFill/>
              <a:miter lim="800000"/>
              <a:headEnd/>
              <a:tailEnd/>
            </a:ln>
          </xdr:spPr>
          <xdr:txBody>
            <a:bodyPr vertOverflow="clip" wrap="square" lIns="91440" tIns="45720" rIns="91440" bIns="45720" anchor="t" upright="1"/>
            <a:lstStyle/>
            <a:p>
              <a:pPr algn="l" rtl="1">
                <a:defRPr sz="1000"/>
              </a:pPr>
              <a:r>
                <a:rPr lang="es-ES" sz="900" b="1" i="1" strike="noStrike">
                  <a:solidFill>
                    <a:srgbClr val="000000"/>
                  </a:solidFill>
                  <a:latin typeface="Calibri"/>
                </a:rPr>
                <a:t>Z</a:t>
              </a:r>
              <a:r>
                <a:rPr lang="es-ES" sz="800" b="1" i="1" strike="noStrike">
                  <a:solidFill>
                    <a:srgbClr val="000000"/>
                  </a:solidFill>
                  <a:latin typeface="Calibri"/>
                </a:rPr>
                <a:t>G</a:t>
              </a:r>
              <a:endParaRPr lang="es-ES" sz="1100" b="1" i="1" strike="noStrike">
                <a:solidFill>
                  <a:srgbClr val="000000"/>
                </a:solidFill>
                <a:latin typeface="Times New Roman"/>
                <a:cs typeface="Times New Roman"/>
              </a:endParaRPr>
            </a:p>
            <a:p>
              <a:pPr algn="l" rtl="1">
                <a:defRPr sz="1000"/>
              </a:pPr>
              <a:endParaRPr lang="es-ES" sz="1100" b="1" i="1" strike="noStrike">
                <a:solidFill>
                  <a:srgbClr val="000000"/>
                </a:solidFill>
                <a:latin typeface="Times New Roman"/>
                <a:cs typeface="Times New Roman"/>
              </a:endParaRPr>
            </a:p>
          </xdr:txBody>
        </xdr:sp>
        <xdr:sp macro="" textlink="">
          <xdr:nvSpPr>
            <xdr:cNvPr id="67" name="Text Box 54">
              <a:extLst>
                <a:ext uri="{FF2B5EF4-FFF2-40B4-BE49-F238E27FC236}">
                  <a16:creationId xmlns:a16="http://schemas.microsoft.com/office/drawing/2014/main" id="{00000000-0008-0000-0D00-000043000000}"/>
                </a:ext>
              </a:extLst>
            </xdr:cNvPr>
            <xdr:cNvSpPr txBox="1">
              <a:spLocks noChangeArrowheads="1"/>
            </xdr:cNvSpPr>
          </xdr:nvSpPr>
          <xdr:spPr bwMode="auto">
            <a:xfrm>
              <a:off x="3756" y="12544"/>
              <a:ext cx="596" cy="411"/>
            </a:xfrm>
            <a:prstGeom prst="rect">
              <a:avLst/>
            </a:prstGeom>
            <a:solidFill>
              <a:srgbClr val="FFFFFF"/>
            </a:solidFill>
            <a:ln w="9525">
              <a:noFill/>
              <a:miter lim="800000"/>
              <a:headEnd/>
              <a:tailEnd/>
            </a:ln>
          </xdr:spPr>
          <xdr:txBody>
            <a:bodyPr vertOverflow="clip" wrap="square" lIns="91440" tIns="45720" rIns="91440" bIns="45720" anchor="t" upright="1"/>
            <a:lstStyle/>
            <a:p>
              <a:pPr algn="l" rtl="1">
                <a:defRPr sz="1000"/>
              </a:pPr>
              <a:r>
                <a:rPr lang="es-ES" sz="1000" b="1" i="1" strike="noStrike">
                  <a:solidFill>
                    <a:srgbClr val="000000"/>
                  </a:solidFill>
                  <a:latin typeface="Calibri"/>
                </a:rPr>
                <a:t>b2</a:t>
              </a:r>
              <a:endParaRPr lang="es-ES" sz="1000" b="1" i="1" strike="noStrike">
                <a:solidFill>
                  <a:srgbClr val="000000"/>
                </a:solidFill>
                <a:latin typeface="Times New Roman"/>
                <a:cs typeface="Times New Roman"/>
              </a:endParaRPr>
            </a:p>
            <a:p>
              <a:pPr algn="l" rtl="1">
                <a:defRPr sz="1000"/>
              </a:pPr>
              <a:endParaRPr lang="es-ES" sz="1000" b="1" i="1" strike="noStrike">
                <a:solidFill>
                  <a:srgbClr val="000000"/>
                </a:solidFill>
                <a:latin typeface="Times New Roman"/>
                <a:cs typeface="Times New Roman"/>
              </a:endParaRPr>
            </a:p>
          </xdr:txBody>
        </xdr:sp>
        <xdr:sp macro="" textlink="">
          <xdr:nvSpPr>
            <xdr:cNvPr id="10308" name="Line 55">
              <a:extLst>
                <a:ext uri="{FF2B5EF4-FFF2-40B4-BE49-F238E27FC236}">
                  <a16:creationId xmlns:a16="http://schemas.microsoft.com/office/drawing/2014/main" id="{00000000-0008-0000-0D00-000044280000}"/>
                </a:ext>
              </a:extLst>
            </xdr:cNvPr>
            <xdr:cNvSpPr>
              <a:spLocks noChangeShapeType="1"/>
            </xdr:cNvSpPr>
          </xdr:nvSpPr>
          <xdr:spPr bwMode="auto">
            <a:xfrm>
              <a:off x="3158" y="12845"/>
              <a:ext cx="2009" cy="0"/>
            </a:xfrm>
            <a:prstGeom prst="line">
              <a:avLst/>
            </a:prstGeom>
            <a:noFill/>
            <a:ln w="3175">
              <a:solidFill>
                <a:srgbClr val="000000"/>
              </a:solidFill>
              <a:round/>
              <a:headEnd type="triangle" w="sm" len="sm"/>
              <a:tailEnd type="triangle" w="sm" len="sm"/>
            </a:ln>
          </xdr:spPr>
        </xdr:sp>
        <xdr:sp macro="" textlink="">
          <xdr:nvSpPr>
            <xdr:cNvPr id="10309" name="Line 56">
              <a:extLst>
                <a:ext uri="{FF2B5EF4-FFF2-40B4-BE49-F238E27FC236}">
                  <a16:creationId xmlns:a16="http://schemas.microsoft.com/office/drawing/2014/main" id="{00000000-0008-0000-0D00-000045280000}"/>
                </a:ext>
              </a:extLst>
            </xdr:cNvPr>
            <xdr:cNvSpPr>
              <a:spLocks noChangeShapeType="1"/>
            </xdr:cNvSpPr>
          </xdr:nvSpPr>
          <xdr:spPr bwMode="auto">
            <a:xfrm flipH="1">
              <a:off x="5523" y="10402"/>
              <a:ext cx="0" cy="1510"/>
            </a:xfrm>
            <a:prstGeom prst="line">
              <a:avLst/>
            </a:prstGeom>
            <a:noFill/>
            <a:ln w="3175">
              <a:solidFill>
                <a:srgbClr val="000000"/>
              </a:solidFill>
              <a:round/>
              <a:headEnd type="triangle" w="sm" len="sm"/>
              <a:tailEnd type="triangle" w="sm" len="sm"/>
            </a:ln>
          </xdr:spPr>
        </xdr:sp>
        <xdr:sp macro="" textlink="">
          <xdr:nvSpPr>
            <xdr:cNvPr id="10310" name="Line 57">
              <a:extLst>
                <a:ext uri="{FF2B5EF4-FFF2-40B4-BE49-F238E27FC236}">
                  <a16:creationId xmlns:a16="http://schemas.microsoft.com/office/drawing/2014/main" id="{00000000-0008-0000-0D00-000046280000}"/>
                </a:ext>
              </a:extLst>
            </xdr:cNvPr>
            <xdr:cNvSpPr>
              <a:spLocks noChangeShapeType="1"/>
            </xdr:cNvSpPr>
          </xdr:nvSpPr>
          <xdr:spPr bwMode="auto">
            <a:xfrm>
              <a:off x="5161" y="12621"/>
              <a:ext cx="6" cy="282"/>
            </a:xfrm>
            <a:prstGeom prst="line">
              <a:avLst/>
            </a:prstGeom>
            <a:noFill/>
            <a:ln w="3175">
              <a:solidFill>
                <a:srgbClr val="000000"/>
              </a:solidFill>
              <a:round/>
              <a:headEnd/>
              <a:tailEnd/>
            </a:ln>
          </xdr:spPr>
        </xdr:sp>
        <xdr:sp macro="" textlink="">
          <xdr:nvSpPr>
            <xdr:cNvPr id="10311" name="Line 58">
              <a:extLst>
                <a:ext uri="{FF2B5EF4-FFF2-40B4-BE49-F238E27FC236}">
                  <a16:creationId xmlns:a16="http://schemas.microsoft.com/office/drawing/2014/main" id="{00000000-0008-0000-0D00-000047280000}"/>
                </a:ext>
              </a:extLst>
            </xdr:cNvPr>
            <xdr:cNvSpPr>
              <a:spLocks noChangeShapeType="1"/>
            </xdr:cNvSpPr>
          </xdr:nvSpPr>
          <xdr:spPr bwMode="auto">
            <a:xfrm flipH="1">
              <a:off x="3176" y="12621"/>
              <a:ext cx="2" cy="225"/>
            </a:xfrm>
            <a:prstGeom prst="line">
              <a:avLst/>
            </a:prstGeom>
            <a:noFill/>
            <a:ln w="3175">
              <a:solidFill>
                <a:srgbClr val="000000"/>
              </a:solidFill>
              <a:round/>
              <a:headEnd/>
              <a:tailEnd/>
            </a:ln>
          </xdr:spPr>
        </xdr:sp>
        <xdr:sp macro="" textlink="">
          <xdr:nvSpPr>
            <xdr:cNvPr id="10312" name="Line 59">
              <a:extLst>
                <a:ext uri="{FF2B5EF4-FFF2-40B4-BE49-F238E27FC236}">
                  <a16:creationId xmlns:a16="http://schemas.microsoft.com/office/drawing/2014/main" id="{00000000-0008-0000-0D00-000048280000}"/>
                </a:ext>
              </a:extLst>
            </xdr:cNvPr>
            <xdr:cNvSpPr>
              <a:spLocks noChangeShapeType="1"/>
            </xdr:cNvSpPr>
          </xdr:nvSpPr>
          <xdr:spPr bwMode="auto">
            <a:xfrm>
              <a:off x="5201" y="11355"/>
              <a:ext cx="66" cy="756"/>
            </a:xfrm>
            <a:prstGeom prst="line">
              <a:avLst/>
            </a:prstGeom>
            <a:noFill/>
            <a:ln w="3175">
              <a:solidFill>
                <a:srgbClr val="000000"/>
              </a:solidFill>
              <a:round/>
              <a:headEnd type="triangle" w="sm" len="sm"/>
              <a:tailEnd type="triangle" w="sm" len="sm"/>
            </a:ln>
          </xdr:spPr>
        </xdr:sp>
        <xdr:sp macro="" textlink="">
          <xdr:nvSpPr>
            <xdr:cNvPr id="73" name="Text Box 60">
              <a:extLst>
                <a:ext uri="{FF2B5EF4-FFF2-40B4-BE49-F238E27FC236}">
                  <a16:creationId xmlns:a16="http://schemas.microsoft.com/office/drawing/2014/main" id="{00000000-0008-0000-0D00-000049000000}"/>
                </a:ext>
              </a:extLst>
            </xdr:cNvPr>
            <xdr:cNvSpPr txBox="1">
              <a:spLocks noChangeArrowheads="1"/>
            </xdr:cNvSpPr>
          </xdr:nvSpPr>
          <xdr:spPr bwMode="auto">
            <a:xfrm>
              <a:off x="4116" y="11986"/>
              <a:ext cx="534" cy="479"/>
            </a:xfrm>
            <a:prstGeom prst="rect">
              <a:avLst/>
            </a:prstGeom>
            <a:solidFill>
              <a:srgbClr val="FFFFFF">
                <a:alpha val="0"/>
              </a:srgbClr>
            </a:solidFill>
            <a:ln w="9525">
              <a:noFill/>
              <a:miter lim="800000"/>
              <a:headEnd/>
              <a:tailEnd/>
            </a:ln>
          </xdr:spPr>
          <xdr:txBody>
            <a:bodyPr vertOverflow="clip" wrap="square" lIns="91440" tIns="45720" rIns="91440" bIns="45720" anchor="t" upright="1"/>
            <a:lstStyle/>
            <a:p>
              <a:pPr algn="l" rtl="1">
                <a:defRPr sz="1000"/>
              </a:pPr>
              <a:r>
                <a:rPr lang="es-ES" sz="1100" b="0" i="1" strike="noStrike">
                  <a:solidFill>
                    <a:srgbClr val="000000"/>
                  </a:solidFill>
                  <a:latin typeface="Calibri"/>
                </a:rPr>
                <a:t>z</a:t>
              </a:r>
              <a:endParaRPr lang="es-ES" sz="1100" b="0" i="1" strike="noStrike">
                <a:solidFill>
                  <a:srgbClr val="000000"/>
                </a:solidFill>
                <a:latin typeface="Times New Roman"/>
                <a:cs typeface="Times New Roman"/>
              </a:endParaRPr>
            </a:p>
            <a:p>
              <a:pPr algn="l" rtl="1">
                <a:defRPr sz="1000"/>
              </a:pPr>
              <a:endParaRPr lang="es-ES" sz="1100" b="0" i="1" strike="noStrike">
                <a:solidFill>
                  <a:srgbClr val="000000"/>
                </a:solidFill>
                <a:latin typeface="Times New Roman"/>
                <a:cs typeface="Times New Roman"/>
              </a:endParaRPr>
            </a:p>
          </xdr:txBody>
        </xdr:sp>
        <xdr:sp macro="" textlink="">
          <xdr:nvSpPr>
            <xdr:cNvPr id="74" name="Text Box 61">
              <a:extLst>
                <a:ext uri="{FF2B5EF4-FFF2-40B4-BE49-F238E27FC236}">
                  <a16:creationId xmlns:a16="http://schemas.microsoft.com/office/drawing/2014/main" id="{00000000-0008-0000-0D00-00004A000000}"/>
                </a:ext>
              </a:extLst>
            </xdr:cNvPr>
            <xdr:cNvSpPr txBox="1">
              <a:spLocks noChangeArrowheads="1"/>
            </xdr:cNvSpPr>
          </xdr:nvSpPr>
          <xdr:spPr bwMode="auto">
            <a:xfrm>
              <a:off x="3756" y="11130"/>
              <a:ext cx="509" cy="388"/>
            </a:xfrm>
            <a:prstGeom prst="rect">
              <a:avLst/>
            </a:prstGeom>
            <a:solidFill>
              <a:srgbClr val="FFFFFF">
                <a:alpha val="0"/>
              </a:srgbClr>
            </a:solidFill>
            <a:ln w="9525">
              <a:noFill/>
              <a:miter lim="800000"/>
              <a:headEnd/>
              <a:tailEnd/>
            </a:ln>
          </xdr:spPr>
          <xdr:txBody>
            <a:bodyPr vertOverflow="clip" wrap="square" lIns="91440" tIns="45720" rIns="91440" bIns="45720" anchor="t" upright="1"/>
            <a:lstStyle/>
            <a:p>
              <a:pPr algn="l" rtl="1">
                <a:defRPr sz="1000"/>
              </a:pPr>
              <a:r>
                <a:rPr lang="es-ES" sz="800" b="1" i="1" strike="noStrike">
                  <a:solidFill>
                    <a:srgbClr val="000000"/>
                  </a:solidFill>
                  <a:latin typeface="Calibri"/>
                </a:rPr>
                <a:t>G</a:t>
              </a:r>
              <a:endParaRPr lang="es-ES" sz="800" b="1" i="1" strike="noStrike">
                <a:solidFill>
                  <a:srgbClr val="000000"/>
                </a:solidFill>
                <a:latin typeface="Times New Roman"/>
                <a:cs typeface="Times New Roman"/>
              </a:endParaRPr>
            </a:p>
            <a:p>
              <a:pPr algn="l" rtl="1">
                <a:defRPr sz="1000"/>
              </a:pPr>
              <a:endParaRPr lang="es-ES" sz="800" b="1" i="1" strike="noStrike">
                <a:solidFill>
                  <a:srgbClr val="000000"/>
                </a:solidFill>
                <a:latin typeface="Times New Roman"/>
                <a:cs typeface="Times New Roman"/>
              </a:endParaRPr>
            </a:p>
          </xdr:txBody>
        </xdr:sp>
        <xdr:sp macro="" textlink="">
          <xdr:nvSpPr>
            <xdr:cNvPr id="75" name="Text Box 62">
              <a:extLst>
                <a:ext uri="{FF2B5EF4-FFF2-40B4-BE49-F238E27FC236}">
                  <a16:creationId xmlns:a16="http://schemas.microsoft.com/office/drawing/2014/main" id="{00000000-0008-0000-0D00-00004B000000}"/>
                </a:ext>
              </a:extLst>
            </xdr:cNvPr>
            <xdr:cNvSpPr txBox="1">
              <a:spLocks noChangeArrowheads="1"/>
            </xdr:cNvSpPr>
          </xdr:nvSpPr>
          <xdr:spPr bwMode="auto">
            <a:xfrm>
              <a:off x="4650" y="11028"/>
              <a:ext cx="608" cy="365"/>
            </a:xfrm>
            <a:prstGeom prst="rect">
              <a:avLst/>
            </a:prstGeom>
            <a:solidFill>
              <a:srgbClr val="FFFFFF">
                <a:alpha val="0"/>
              </a:srgbClr>
            </a:solidFill>
            <a:ln w="9525">
              <a:noFill/>
              <a:miter lim="800000"/>
              <a:headEnd/>
              <a:tailEnd/>
            </a:ln>
          </xdr:spPr>
          <xdr:txBody>
            <a:bodyPr vertOverflow="clip" wrap="square" lIns="91440" tIns="45720" rIns="91440" bIns="45720" anchor="t" upright="1"/>
            <a:lstStyle/>
            <a:p>
              <a:pPr algn="l" rtl="1">
                <a:defRPr sz="1000"/>
              </a:pPr>
              <a:r>
                <a:rPr lang="es-ES" sz="1000" b="0" i="1" strike="noStrike">
                  <a:solidFill>
                    <a:srgbClr val="000000"/>
                  </a:solidFill>
                  <a:latin typeface="Calibri"/>
                </a:rPr>
                <a:t>y</a:t>
              </a:r>
              <a:endParaRPr lang="es-ES" sz="1000" b="0" i="1" strike="noStrike">
                <a:solidFill>
                  <a:srgbClr val="000000"/>
                </a:solidFill>
                <a:latin typeface="Times New Roman"/>
                <a:cs typeface="Times New Roman"/>
              </a:endParaRPr>
            </a:p>
            <a:p>
              <a:pPr algn="l" rtl="1">
                <a:defRPr sz="1000"/>
              </a:pPr>
              <a:endParaRPr lang="es-ES" sz="1000" b="0" i="1" strike="noStrike">
                <a:solidFill>
                  <a:srgbClr val="000000"/>
                </a:solidFill>
                <a:latin typeface="Times New Roman"/>
                <a:cs typeface="Times New Roman"/>
              </a:endParaRPr>
            </a:p>
          </xdr:txBody>
        </xdr:sp>
        <xdr:sp macro="" textlink="">
          <xdr:nvSpPr>
            <xdr:cNvPr id="10316" name="Line 63">
              <a:extLst>
                <a:ext uri="{FF2B5EF4-FFF2-40B4-BE49-F238E27FC236}">
                  <a16:creationId xmlns:a16="http://schemas.microsoft.com/office/drawing/2014/main" id="{00000000-0008-0000-0D00-00004C280000}"/>
                </a:ext>
              </a:extLst>
            </xdr:cNvPr>
            <xdr:cNvSpPr>
              <a:spLocks noChangeShapeType="1"/>
            </xdr:cNvSpPr>
          </xdr:nvSpPr>
          <xdr:spPr bwMode="auto">
            <a:xfrm flipH="1">
              <a:off x="2367" y="11613"/>
              <a:ext cx="0" cy="492"/>
            </a:xfrm>
            <a:prstGeom prst="line">
              <a:avLst/>
            </a:prstGeom>
            <a:noFill/>
            <a:ln w="3175">
              <a:solidFill>
                <a:srgbClr val="000000"/>
              </a:solidFill>
              <a:round/>
              <a:headEnd type="triangle" w="sm" len="sm"/>
              <a:tailEnd type="triangle" w="sm" len="sm"/>
            </a:ln>
          </xdr:spPr>
        </xdr:sp>
        <xdr:sp macro="" textlink="">
          <xdr:nvSpPr>
            <xdr:cNvPr id="10317" name="Rectangle 64">
              <a:extLst>
                <a:ext uri="{FF2B5EF4-FFF2-40B4-BE49-F238E27FC236}">
                  <a16:creationId xmlns:a16="http://schemas.microsoft.com/office/drawing/2014/main" id="{00000000-0008-0000-0D00-00004D280000}"/>
                </a:ext>
              </a:extLst>
            </xdr:cNvPr>
            <xdr:cNvSpPr>
              <a:spLocks noChangeArrowheads="1"/>
            </xdr:cNvSpPr>
          </xdr:nvSpPr>
          <xdr:spPr bwMode="auto">
            <a:xfrm>
              <a:off x="3615" y="10253"/>
              <a:ext cx="1102" cy="149"/>
            </a:xfrm>
            <a:prstGeom prst="rect">
              <a:avLst/>
            </a:prstGeom>
            <a:solidFill>
              <a:srgbClr val="FFFFFF"/>
            </a:solidFill>
            <a:ln w="9525">
              <a:solidFill>
                <a:srgbClr val="000000"/>
              </a:solidFill>
              <a:miter lim="800000"/>
              <a:headEnd/>
              <a:tailEnd/>
            </a:ln>
          </xdr:spPr>
        </xdr:sp>
        <xdr:sp macro="" textlink="">
          <xdr:nvSpPr>
            <xdr:cNvPr id="10318" name="Rectangle 65">
              <a:extLst>
                <a:ext uri="{FF2B5EF4-FFF2-40B4-BE49-F238E27FC236}">
                  <a16:creationId xmlns:a16="http://schemas.microsoft.com/office/drawing/2014/main" id="{00000000-0008-0000-0D00-00004E280000}"/>
                </a:ext>
              </a:extLst>
            </xdr:cNvPr>
            <xdr:cNvSpPr>
              <a:spLocks noChangeArrowheads="1"/>
            </xdr:cNvSpPr>
          </xdr:nvSpPr>
          <xdr:spPr bwMode="auto">
            <a:xfrm>
              <a:off x="4096" y="10402"/>
              <a:ext cx="161" cy="1589"/>
            </a:xfrm>
            <a:prstGeom prst="rect">
              <a:avLst/>
            </a:prstGeom>
            <a:solidFill>
              <a:srgbClr val="FFFFFF"/>
            </a:solidFill>
            <a:ln w="9525">
              <a:solidFill>
                <a:srgbClr val="000000"/>
              </a:solidFill>
              <a:miter lim="800000"/>
              <a:headEnd/>
              <a:tailEnd/>
            </a:ln>
          </xdr:spPr>
        </xdr:sp>
        <xdr:sp macro="" textlink="">
          <xdr:nvSpPr>
            <xdr:cNvPr id="10319" name="Rectangle 66">
              <a:extLst>
                <a:ext uri="{FF2B5EF4-FFF2-40B4-BE49-F238E27FC236}">
                  <a16:creationId xmlns:a16="http://schemas.microsoft.com/office/drawing/2014/main" id="{00000000-0008-0000-0D00-00004F280000}"/>
                </a:ext>
              </a:extLst>
            </xdr:cNvPr>
            <xdr:cNvSpPr>
              <a:spLocks noChangeArrowheads="1"/>
            </xdr:cNvSpPr>
          </xdr:nvSpPr>
          <xdr:spPr bwMode="auto">
            <a:xfrm>
              <a:off x="3178" y="11912"/>
              <a:ext cx="1989" cy="179"/>
            </a:xfrm>
            <a:prstGeom prst="rect">
              <a:avLst/>
            </a:prstGeom>
            <a:solidFill>
              <a:srgbClr val="FFFFFF"/>
            </a:solidFill>
            <a:ln w="9525">
              <a:solidFill>
                <a:srgbClr val="000000"/>
              </a:solidFill>
              <a:miter lim="800000"/>
              <a:headEnd/>
              <a:tailEnd/>
            </a:ln>
          </xdr:spPr>
        </xdr:sp>
        <xdr:sp macro="" textlink="">
          <xdr:nvSpPr>
            <xdr:cNvPr id="10320" name="Line 67">
              <a:extLst>
                <a:ext uri="{FF2B5EF4-FFF2-40B4-BE49-F238E27FC236}">
                  <a16:creationId xmlns:a16="http://schemas.microsoft.com/office/drawing/2014/main" id="{00000000-0008-0000-0D00-000050280000}"/>
                </a:ext>
              </a:extLst>
            </xdr:cNvPr>
            <xdr:cNvSpPr>
              <a:spLocks noChangeShapeType="1"/>
            </xdr:cNvSpPr>
          </xdr:nvSpPr>
          <xdr:spPr bwMode="auto">
            <a:xfrm flipH="1">
              <a:off x="4185" y="11385"/>
              <a:ext cx="6" cy="984"/>
            </a:xfrm>
            <a:prstGeom prst="line">
              <a:avLst/>
            </a:prstGeom>
            <a:noFill/>
            <a:ln w="6350">
              <a:solidFill>
                <a:srgbClr val="000000"/>
              </a:solidFill>
              <a:prstDash val="dashDot"/>
              <a:round/>
              <a:headEnd/>
              <a:tailEnd type="triangle" w="sm" len="med"/>
            </a:ln>
          </xdr:spPr>
        </xdr:sp>
        <xdr:sp macro="" textlink="">
          <xdr:nvSpPr>
            <xdr:cNvPr id="10321" name="Line 68">
              <a:extLst>
                <a:ext uri="{FF2B5EF4-FFF2-40B4-BE49-F238E27FC236}">
                  <a16:creationId xmlns:a16="http://schemas.microsoft.com/office/drawing/2014/main" id="{00000000-0008-0000-0D00-000051280000}"/>
                </a:ext>
              </a:extLst>
            </xdr:cNvPr>
            <xdr:cNvSpPr>
              <a:spLocks noChangeShapeType="1"/>
            </xdr:cNvSpPr>
          </xdr:nvSpPr>
          <xdr:spPr bwMode="auto">
            <a:xfrm flipV="1">
              <a:off x="4197" y="11313"/>
              <a:ext cx="2260" cy="60"/>
            </a:xfrm>
            <a:prstGeom prst="line">
              <a:avLst/>
            </a:prstGeom>
            <a:noFill/>
            <a:ln w="6350">
              <a:solidFill>
                <a:srgbClr val="000000"/>
              </a:solidFill>
              <a:prstDash val="dashDot"/>
              <a:round/>
              <a:headEnd/>
              <a:tailEnd type="triangle" w="sm" len="med"/>
            </a:ln>
          </xdr:spPr>
        </xdr:sp>
        <xdr:sp macro="" textlink="">
          <xdr:nvSpPr>
            <xdr:cNvPr id="10322" name="Line 69">
              <a:extLst>
                <a:ext uri="{FF2B5EF4-FFF2-40B4-BE49-F238E27FC236}">
                  <a16:creationId xmlns:a16="http://schemas.microsoft.com/office/drawing/2014/main" id="{00000000-0008-0000-0D00-000052280000}"/>
                </a:ext>
              </a:extLst>
            </xdr:cNvPr>
            <xdr:cNvSpPr>
              <a:spLocks noChangeShapeType="1"/>
            </xdr:cNvSpPr>
          </xdr:nvSpPr>
          <xdr:spPr bwMode="auto">
            <a:xfrm>
              <a:off x="3309" y="10309"/>
              <a:ext cx="2703" cy="0"/>
            </a:xfrm>
            <a:prstGeom prst="line">
              <a:avLst/>
            </a:prstGeom>
            <a:noFill/>
            <a:ln w="3175">
              <a:solidFill>
                <a:srgbClr val="000000"/>
              </a:solidFill>
              <a:prstDash val="dash"/>
              <a:round/>
              <a:headEnd/>
              <a:tailEnd/>
            </a:ln>
          </xdr:spPr>
        </xdr:sp>
        <xdr:sp macro="" textlink="">
          <xdr:nvSpPr>
            <xdr:cNvPr id="10323" name="Line 70">
              <a:extLst>
                <a:ext uri="{FF2B5EF4-FFF2-40B4-BE49-F238E27FC236}">
                  <a16:creationId xmlns:a16="http://schemas.microsoft.com/office/drawing/2014/main" id="{00000000-0008-0000-0D00-000053280000}"/>
                </a:ext>
              </a:extLst>
            </xdr:cNvPr>
            <xdr:cNvSpPr>
              <a:spLocks noChangeShapeType="1"/>
            </xdr:cNvSpPr>
          </xdr:nvSpPr>
          <xdr:spPr bwMode="auto">
            <a:xfrm>
              <a:off x="3158" y="11991"/>
              <a:ext cx="2703" cy="0"/>
            </a:xfrm>
            <a:prstGeom prst="line">
              <a:avLst/>
            </a:prstGeom>
            <a:noFill/>
            <a:ln w="3175">
              <a:solidFill>
                <a:srgbClr val="000000"/>
              </a:solidFill>
              <a:prstDash val="dash"/>
              <a:round/>
              <a:headEnd/>
              <a:tailEnd/>
            </a:ln>
          </xdr:spPr>
        </xdr:sp>
        <xdr:sp macro="" textlink="">
          <xdr:nvSpPr>
            <xdr:cNvPr id="10324" name="Line 71">
              <a:extLst>
                <a:ext uri="{FF2B5EF4-FFF2-40B4-BE49-F238E27FC236}">
                  <a16:creationId xmlns:a16="http://schemas.microsoft.com/office/drawing/2014/main" id="{00000000-0008-0000-0D00-000054280000}"/>
                </a:ext>
              </a:extLst>
            </xdr:cNvPr>
            <xdr:cNvSpPr>
              <a:spLocks noChangeShapeType="1"/>
            </xdr:cNvSpPr>
          </xdr:nvSpPr>
          <xdr:spPr bwMode="auto">
            <a:xfrm flipH="1">
              <a:off x="5861" y="10309"/>
              <a:ext cx="0" cy="1682"/>
            </a:xfrm>
            <a:prstGeom prst="line">
              <a:avLst/>
            </a:prstGeom>
            <a:noFill/>
            <a:ln w="3175">
              <a:solidFill>
                <a:srgbClr val="000000"/>
              </a:solidFill>
              <a:round/>
              <a:headEnd type="triangle" w="sm" len="sm"/>
              <a:tailEnd type="triangle" w="sm" len="sm"/>
            </a:ln>
          </xdr:spPr>
        </xdr:sp>
        <xdr:sp macro="" textlink="">
          <xdr:nvSpPr>
            <xdr:cNvPr id="10325" name="Line 72">
              <a:extLst>
                <a:ext uri="{FF2B5EF4-FFF2-40B4-BE49-F238E27FC236}">
                  <a16:creationId xmlns:a16="http://schemas.microsoft.com/office/drawing/2014/main" id="{00000000-0008-0000-0D00-000055280000}"/>
                </a:ext>
              </a:extLst>
            </xdr:cNvPr>
            <xdr:cNvSpPr>
              <a:spLocks noChangeShapeType="1"/>
            </xdr:cNvSpPr>
          </xdr:nvSpPr>
          <xdr:spPr bwMode="auto">
            <a:xfrm flipH="1">
              <a:off x="6157" y="10253"/>
              <a:ext cx="0" cy="1838"/>
            </a:xfrm>
            <a:prstGeom prst="line">
              <a:avLst/>
            </a:prstGeom>
            <a:noFill/>
            <a:ln w="3175">
              <a:solidFill>
                <a:srgbClr val="000000"/>
              </a:solidFill>
              <a:round/>
              <a:headEnd type="triangle" w="sm" len="sm"/>
              <a:tailEnd type="triangle" w="sm" len="sm"/>
            </a:ln>
          </xdr:spPr>
        </xdr:sp>
        <xdr:sp macro="" textlink="">
          <xdr:nvSpPr>
            <xdr:cNvPr id="10326" name="Line 73">
              <a:extLst>
                <a:ext uri="{FF2B5EF4-FFF2-40B4-BE49-F238E27FC236}">
                  <a16:creationId xmlns:a16="http://schemas.microsoft.com/office/drawing/2014/main" id="{00000000-0008-0000-0D00-000056280000}"/>
                </a:ext>
              </a:extLst>
            </xdr:cNvPr>
            <xdr:cNvSpPr>
              <a:spLocks noChangeShapeType="1"/>
            </xdr:cNvSpPr>
          </xdr:nvSpPr>
          <xdr:spPr bwMode="auto">
            <a:xfrm flipV="1">
              <a:off x="4819" y="10399"/>
              <a:ext cx="881" cy="3"/>
            </a:xfrm>
            <a:prstGeom prst="line">
              <a:avLst/>
            </a:prstGeom>
            <a:noFill/>
            <a:ln w="3175">
              <a:solidFill>
                <a:srgbClr val="000000"/>
              </a:solidFill>
              <a:round/>
              <a:headEnd/>
              <a:tailEnd/>
            </a:ln>
          </xdr:spPr>
        </xdr:sp>
        <xdr:sp macro="" textlink="">
          <xdr:nvSpPr>
            <xdr:cNvPr id="10327" name="Line 74">
              <a:extLst>
                <a:ext uri="{FF2B5EF4-FFF2-40B4-BE49-F238E27FC236}">
                  <a16:creationId xmlns:a16="http://schemas.microsoft.com/office/drawing/2014/main" id="{00000000-0008-0000-0D00-000057280000}"/>
                </a:ext>
              </a:extLst>
            </xdr:cNvPr>
            <xdr:cNvSpPr>
              <a:spLocks noChangeShapeType="1"/>
            </xdr:cNvSpPr>
          </xdr:nvSpPr>
          <xdr:spPr bwMode="auto">
            <a:xfrm>
              <a:off x="5217" y="11912"/>
              <a:ext cx="399" cy="0"/>
            </a:xfrm>
            <a:prstGeom prst="line">
              <a:avLst/>
            </a:prstGeom>
            <a:noFill/>
            <a:ln w="3175">
              <a:solidFill>
                <a:srgbClr val="000000"/>
              </a:solidFill>
              <a:round/>
              <a:headEnd/>
              <a:tailEnd/>
            </a:ln>
          </xdr:spPr>
        </xdr:sp>
        <xdr:sp macro="" textlink="">
          <xdr:nvSpPr>
            <xdr:cNvPr id="10328" name="Line 75">
              <a:extLst>
                <a:ext uri="{FF2B5EF4-FFF2-40B4-BE49-F238E27FC236}">
                  <a16:creationId xmlns:a16="http://schemas.microsoft.com/office/drawing/2014/main" id="{00000000-0008-0000-0D00-000058280000}"/>
                </a:ext>
              </a:extLst>
            </xdr:cNvPr>
            <xdr:cNvSpPr>
              <a:spLocks noChangeShapeType="1"/>
            </xdr:cNvSpPr>
          </xdr:nvSpPr>
          <xdr:spPr bwMode="auto">
            <a:xfrm>
              <a:off x="5232" y="12091"/>
              <a:ext cx="1015" cy="0"/>
            </a:xfrm>
            <a:prstGeom prst="line">
              <a:avLst/>
            </a:prstGeom>
            <a:noFill/>
            <a:ln w="3175">
              <a:solidFill>
                <a:srgbClr val="000000"/>
              </a:solidFill>
              <a:round/>
              <a:headEnd/>
              <a:tailEnd/>
            </a:ln>
          </xdr:spPr>
        </xdr:sp>
        <xdr:sp macro="" textlink="">
          <xdr:nvSpPr>
            <xdr:cNvPr id="10329" name="Line 76">
              <a:extLst>
                <a:ext uri="{FF2B5EF4-FFF2-40B4-BE49-F238E27FC236}">
                  <a16:creationId xmlns:a16="http://schemas.microsoft.com/office/drawing/2014/main" id="{00000000-0008-0000-0D00-000059280000}"/>
                </a:ext>
              </a:extLst>
            </xdr:cNvPr>
            <xdr:cNvSpPr>
              <a:spLocks noChangeShapeType="1"/>
            </xdr:cNvSpPr>
          </xdr:nvSpPr>
          <xdr:spPr bwMode="auto">
            <a:xfrm>
              <a:off x="4794" y="10253"/>
              <a:ext cx="1528" cy="0"/>
            </a:xfrm>
            <a:prstGeom prst="line">
              <a:avLst/>
            </a:prstGeom>
            <a:noFill/>
            <a:ln w="3175">
              <a:solidFill>
                <a:srgbClr val="000000"/>
              </a:solidFill>
              <a:round/>
              <a:headEnd/>
              <a:tailEnd/>
            </a:ln>
          </xdr:spPr>
        </xdr:sp>
        <xdr:sp macro="" textlink="">
          <xdr:nvSpPr>
            <xdr:cNvPr id="90" name="Text Box 77">
              <a:extLst>
                <a:ext uri="{FF2B5EF4-FFF2-40B4-BE49-F238E27FC236}">
                  <a16:creationId xmlns:a16="http://schemas.microsoft.com/office/drawing/2014/main" id="{00000000-0008-0000-0D00-00005A000000}"/>
                </a:ext>
              </a:extLst>
            </xdr:cNvPr>
            <xdr:cNvSpPr txBox="1">
              <a:spLocks noChangeArrowheads="1"/>
            </xdr:cNvSpPr>
          </xdr:nvSpPr>
          <xdr:spPr bwMode="auto">
            <a:xfrm>
              <a:off x="2999" y="10116"/>
              <a:ext cx="509" cy="422"/>
            </a:xfrm>
            <a:prstGeom prst="rect">
              <a:avLst/>
            </a:prstGeom>
            <a:solidFill>
              <a:srgbClr val="FFFFFF"/>
            </a:solidFill>
            <a:ln w="9525">
              <a:noFill/>
              <a:miter lim="800000"/>
              <a:headEnd/>
              <a:tailEnd/>
            </a:ln>
          </xdr:spPr>
          <xdr:txBody>
            <a:bodyPr vertOverflow="clip" wrap="square" lIns="91440" tIns="45720" rIns="91440" bIns="45720" anchor="t" upright="1"/>
            <a:lstStyle/>
            <a:p>
              <a:pPr algn="l" rtl="1">
                <a:defRPr sz="1000"/>
              </a:pPr>
              <a:r>
                <a:rPr lang="es-ES" sz="1000" b="1" i="1" strike="noStrike">
                  <a:solidFill>
                    <a:srgbClr val="000000"/>
                  </a:solidFill>
                  <a:latin typeface="Calibri"/>
                </a:rPr>
                <a:t>t1</a:t>
              </a:r>
              <a:endParaRPr lang="es-ES" sz="1000" b="1" i="1" strike="noStrike">
                <a:solidFill>
                  <a:srgbClr val="000000"/>
                </a:solidFill>
                <a:latin typeface="Times New Roman"/>
                <a:cs typeface="Times New Roman"/>
              </a:endParaRPr>
            </a:p>
            <a:p>
              <a:pPr algn="l" rtl="1">
                <a:defRPr sz="1000"/>
              </a:pPr>
              <a:endParaRPr lang="es-ES" sz="1000" b="1" i="1" strike="noStrike">
                <a:solidFill>
                  <a:srgbClr val="000000"/>
                </a:solidFill>
                <a:latin typeface="Times New Roman"/>
                <a:cs typeface="Times New Roman"/>
              </a:endParaRPr>
            </a:p>
          </xdr:txBody>
        </xdr:sp>
        <xdr:sp macro="" textlink="">
          <xdr:nvSpPr>
            <xdr:cNvPr id="91" name="Text Box 78">
              <a:extLst>
                <a:ext uri="{FF2B5EF4-FFF2-40B4-BE49-F238E27FC236}">
                  <a16:creationId xmlns:a16="http://schemas.microsoft.com/office/drawing/2014/main" id="{00000000-0008-0000-0D00-00005B000000}"/>
                </a:ext>
              </a:extLst>
            </xdr:cNvPr>
            <xdr:cNvSpPr txBox="1">
              <a:spLocks noChangeArrowheads="1"/>
            </xdr:cNvSpPr>
          </xdr:nvSpPr>
          <xdr:spPr bwMode="auto">
            <a:xfrm>
              <a:off x="3917" y="9705"/>
              <a:ext cx="596" cy="411"/>
            </a:xfrm>
            <a:prstGeom prst="rect">
              <a:avLst/>
            </a:prstGeom>
            <a:solidFill>
              <a:srgbClr val="FFFFFF"/>
            </a:solidFill>
            <a:ln w="9525">
              <a:noFill/>
              <a:miter lim="800000"/>
              <a:headEnd/>
              <a:tailEnd/>
            </a:ln>
          </xdr:spPr>
          <xdr:txBody>
            <a:bodyPr vertOverflow="clip" wrap="square" lIns="91440" tIns="45720" rIns="91440" bIns="45720" anchor="t" upright="1"/>
            <a:lstStyle/>
            <a:p>
              <a:pPr algn="l" rtl="1">
                <a:defRPr sz="1000"/>
              </a:pPr>
              <a:r>
                <a:rPr lang="es-ES" sz="1000" b="1" i="1" strike="noStrike">
                  <a:solidFill>
                    <a:srgbClr val="000000"/>
                  </a:solidFill>
                  <a:latin typeface="Calibri"/>
                </a:rPr>
                <a:t>b1</a:t>
              </a:r>
              <a:endParaRPr lang="es-ES" sz="1000" b="1" i="1" strike="noStrike">
                <a:solidFill>
                  <a:srgbClr val="000000"/>
                </a:solidFill>
                <a:latin typeface="Times New Roman"/>
                <a:cs typeface="Times New Roman"/>
              </a:endParaRPr>
            </a:p>
            <a:p>
              <a:pPr algn="l" rtl="1">
                <a:defRPr sz="1000"/>
              </a:pPr>
              <a:endParaRPr lang="es-ES" sz="1000" b="1" i="1" strike="noStrike">
                <a:solidFill>
                  <a:srgbClr val="000000"/>
                </a:solidFill>
                <a:latin typeface="Times New Roman"/>
                <a:cs typeface="Times New Roman"/>
              </a:endParaRPr>
            </a:p>
          </xdr:txBody>
        </xdr:sp>
        <xdr:sp macro="" textlink="">
          <xdr:nvSpPr>
            <xdr:cNvPr id="10332" name="Line 79">
              <a:extLst>
                <a:ext uri="{FF2B5EF4-FFF2-40B4-BE49-F238E27FC236}">
                  <a16:creationId xmlns:a16="http://schemas.microsoft.com/office/drawing/2014/main" id="{00000000-0008-0000-0D00-00005C280000}"/>
                </a:ext>
              </a:extLst>
            </xdr:cNvPr>
            <xdr:cNvSpPr>
              <a:spLocks noChangeShapeType="1"/>
            </xdr:cNvSpPr>
          </xdr:nvSpPr>
          <xdr:spPr bwMode="auto">
            <a:xfrm>
              <a:off x="3607" y="10008"/>
              <a:ext cx="1102" cy="1"/>
            </a:xfrm>
            <a:prstGeom prst="line">
              <a:avLst/>
            </a:prstGeom>
            <a:noFill/>
            <a:ln w="3175">
              <a:solidFill>
                <a:srgbClr val="000000"/>
              </a:solidFill>
              <a:round/>
              <a:headEnd type="triangle" w="sm" len="sm"/>
              <a:tailEnd type="triangle" w="sm" len="sm"/>
            </a:ln>
          </xdr:spPr>
        </xdr:sp>
        <xdr:sp macro="" textlink="">
          <xdr:nvSpPr>
            <xdr:cNvPr id="10333" name="Line 80">
              <a:extLst>
                <a:ext uri="{FF2B5EF4-FFF2-40B4-BE49-F238E27FC236}">
                  <a16:creationId xmlns:a16="http://schemas.microsoft.com/office/drawing/2014/main" id="{00000000-0008-0000-0D00-00005D280000}"/>
                </a:ext>
              </a:extLst>
            </xdr:cNvPr>
            <xdr:cNvSpPr>
              <a:spLocks noChangeShapeType="1"/>
            </xdr:cNvSpPr>
          </xdr:nvSpPr>
          <xdr:spPr bwMode="auto">
            <a:xfrm>
              <a:off x="4717" y="9836"/>
              <a:ext cx="6" cy="282"/>
            </a:xfrm>
            <a:prstGeom prst="line">
              <a:avLst/>
            </a:prstGeom>
            <a:noFill/>
            <a:ln w="3175">
              <a:solidFill>
                <a:srgbClr val="000000"/>
              </a:solidFill>
              <a:round/>
              <a:headEnd/>
              <a:tailEnd/>
            </a:ln>
          </xdr:spPr>
        </xdr:sp>
        <xdr:sp macro="" textlink="">
          <xdr:nvSpPr>
            <xdr:cNvPr id="10334" name="Line 81">
              <a:extLst>
                <a:ext uri="{FF2B5EF4-FFF2-40B4-BE49-F238E27FC236}">
                  <a16:creationId xmlns:a16="http://schemas.microsoft.com/office/drawing/2014/main" id="{00000000-0008-0000-0D00-00005E280000}"/>
                </a:ext>
              </a:extLst>
            </xdr:cNvPr>
            <xdr:cNvSpPr>
              <a:spLocks noChangeShapeType="1"/>
            </xdr:cNvSpPr>
          </xdr:nvSpPr>
          <xdr:spPr bwMode="auto">
            <a:xfrm flipH="1">
              <a:off x="3617" y="9893"/>
              <a:ext cx="2" cy="225"/>
            </a:xfrm>
            <a:prstGeom prst="line">
              <a:avLst/>
            </a:prstGeom>
            <a:noFill/>
            <a:ln w="3175">
              <a:solidFill>
                <a:srgbClr val="000000"/>
              </a:solidFill>
              <a:round/>
              <a:headEnd/>
              <a:tailEnd/>
            </a:ln>
          </xdr:spPr>
        </xdr:sp>
        <xdr:sp macro="" textlink="">
          <xdr:nvSpPr>
            <xdr:cNvPr id="95" name="Text Box 82">
              <a:extLst>
                <a:ext uri="{FF2B5EF4-FFF2-40B4-BE49-F238E27FC236}">
                  <a16:creationId xmlns:a16="http://schemas.microsoft.com/office/drawing/2014/main" id="{00000000-0008-0000-0D00-00005F000000}"/>
                </a:ext>
              </a:extLst>
            </xdr:cNvPr>
            <xdr:cNvSpPr txBox="1">
              <a:spLocks noChangeArrowheads="1"/>
            </xdr:cNvSpPr>
          </xdr:nvSpPr>
          <xdr:spPr bwMode="auto">
            <a:xfrm>
              <a:off x="5531" y="10845"/>
              <a:ext cx="571" cy="411"/>
            </a:xfrm>
            <a:prstGeom prst="rect">
              <a:avLst/>
            </a:prstGeom>
            <a:solidFill>
              <a:srgbClr val="FFFFFF"/>
            </a:solidFill>
            <a:ln w="9525">
              <a:noFill/>
              <a:miter lim="800000"/>
              <a:headEnd/>
              <a:tailEnd/>
            </a:ln>
          </xdr:spPr>
          <xdr:txBody>
            <a:bodyPr vertOverflow="clip" wrap="square" lIns="91440" tIns="45720" rIns="91440" bIns="45720" anchor="t" upright="1"/>
            <a:lstStyle/>
            <a:p>
              <a:pPr algn="l" rtl="1">
                <a:defRPr sz="1000"/>
              </a:pPr>
              <a:r>
                <a:rPr lang="es-ES" sz="1000" b="1" i="1" strike="noStrike">
                  <a:solidFill>
                    <a:srgbClr val="000000"/>
                  </a:solidFill>
                  <a:latin typeface="Calibri"/>
                </a:rPr>
                <a:t>hs</a:t>
              </a:r>
              <a:endParaRPr lang="es-ES" sz="1000" b="1" i="1" strike="noStrike">
                <a:solidFill>
                  <a:srgbClr val="000000"/>
                </a:solidFill>
                <a:latin typeface="Times New Roman"/>
                <a:cs typeface="Times New Roman"/>
              </a:endParaRPr>
            </a:p>
            <a:p>
              <a:pPr algn="l" rtl="1">
                <a:defRPr sz="1000"/>
              </a:pPr>
              <a:endParaRPr lang="es-ES" sz="1000" b="1" i="1" strike="noStrike">
                <a:solidFill>
                  <a:srgbClr val="000000"/>
                </a:solidFill>
                <a:latin typeface="Times New Roman"/>
                <a:cs typeface="Times New Roman"/>
              </a:endParaRPr>
            </a:p>
          </xdr:txBody>
        </xdr:sp>
        <xdr:sp macro="" textlink="">
          <xdr:nvSpPr>
            <xdr:cNvPr id="96" name="Text Box 83">
              <a:extLst>
                <a:ext uri="{FF2B5EF4-FFF2-40B4-BE49-F238E27FC236}">
                  <a16:creationId xmlns:a16="http://schemas.microsoft.com/office/drawing/2014/main" id="{00000000-0008-0000-0D00-000060000000}"/>
                </a:ext>
              </a:extLst>
            </xdr:cNvPr>
            <xdr:cNvSpPr txBox="1">
              <a:spLocks noChangeArrowheads="1"/>
            </xdr:cNvSpPr>
          </xdr:nvSpPr>
          <xdr:spPr bwMode="auto">
            <a:xfrm>
              <a:off x="6003" y="10845"/>
              <a:ext cx="509" cy="411"/>
            </a:xfrm>
            <a:prstGeom prst="rect">
              <a:avLst/>
            </a:prstGeom>
            <a:solidFill>
              <a:srgbClr val="FFFFFF"/>
            </a:solidFill>
            <a:ln w="9525">
              <a:noFill/>
              <a:miter lim="800000"/>
              <a:headEnd/>
              <a:tailEnd/>
            </a:ln>
          </xdr:spPr>
          <xdr:txBody>
            <a:bodyPr vertOverflow="clip" wrap="square" lIns="91440" tIns="45720" rIns="91440" bIns="45720" anchor="t" upright="1"/>
            <a:lstStyle/>
            <a:p>
              <a:pPr algn="l" rtl="1">
                <a:defRPr sz="1000"/>
              </a:pPr>
              <a:r>
                <a:rPr lang="es-ES" sz="1000" b="1" i="1" strike="noStrike">
                  <a:solidFill>
                    <a:srgbClr val="000000"/>
                  </a:solidFill>
                  <a:latin typeface="Calibri"/>
                </a:rPr>
                <a:t>h</a:t>
              </a:r>
              <a:endParaRPr lang="es-ES" sz="1000" b="1" i="1" strike="noStrike">
                <a:solidFill>
                  <a:srgbClr val="000000"/>
                </a:solidFill>
                <a:latin typeface="Times New Roman"/>
                <a:cs typeface="Times New Roman"/>
              </a:endParaRPr>
            </a:p>
            <a:p>
              <a:pPr algn="l" rtl="1">
                <a:defRPr sz="1000"/>
              </a:pPr>
              <a:endParaRPr lang="es-ES" sz="1000" b="1" i="1" strike="noStrike">
                <a:solidFill>
                  <a:srgbClr val="000000"/>
                </a:solidFill>
                <a:latin typeface="Times New Roman"/>
                <a:cs typeface="Times New Roman"/>
              </a:endParaRPr>
            </a:p>
          </xdr:txBody>
        </xdr:sp>
        <xdr:sp macro="" textlink="">
          <xdr:nvSpPr>
            <xdr:cNvPr id="10337" name="Oval 84">
              <a:extLst>
                <a:ext uri="{FF2B5EF4-FFF2-40B4-BE49-F238E27FC236}">
                  <a16:creationId xmlns:a16="http://schemas.microsoft.com/office/drawing/2014/main" id="{00000000-0008-0000-0D00-000061280000}"/>
                </a:ext>
              </a:extLst>
            </xdr:cNvPr>
            <xdr:cNvSpPr>
              <a:spLocks noChangeArrowheads="1"/>
            </xdr:cNvSpPr>
          </xdr:nvSpPr>
          <xdr:spPr bwMode="auto">
            <a:xfrm>
              <a:off x="4116" y="11312"/>
              <a:ext cx="138" cy="127"/>
            </a:xfrm>
            <a:prstGeom prst="ellipse">
              <a:avLst/>
            </a:prstGeom>
            <a:solidFill>
              <a:srgbClr val="A5A5A5"/>
            </a:solidFill>
            <a:ln w="6350">
              <a:solidFill>
                <a:srgbClr val="000000"/>
              </a:solidFill>
              <a:round/>
              <a:headEnd/>
              <a:tailEnd/>
            </a:ln>
          </xdr:spPr>
        </xdr:sp>
        <xdr:sp macro="" textlink="">
          <xdr:nvSpPr>
            <xdr:cNvPr id="10338" name="Line 85">
              <a:extLst>
                <a:ext uri="{FF2B5EF4-FFF2-40B4-BE49-F238E27FC236}">
                  <a16:creationId xmlns:a16="http://schemas.microsoft.com/office/drawing/2014/main" id="{00000000-0008-0000-0D00-000062280000}"/>
                </a:ext>
              </a:extLst>
            </xdr:cNvPr>
            <xdr:cNvSpPr>
              <a:spLocks noChangeShapeType="1"/>
            </xdr:cNvSpPr>
          </xdr:nvSpPr>
          <xdr:spPr bwMode="auto">
            <a:xfrm>
              <a:off x="2445" y="11613"/>
              <a:ext cx="1908" cy="0"/>
            </a:xfrm>
            <a:prstGeom prst="line">
              <a:avLst/>
            </a:prstGeom>
            <a:noFill/>
            <a:ln w="6350">
              <a:solidFill>
                <a:srgbClr val="000000"/>
              </a:solidFill>
              <a:prstDash val="dashDot"/>
              <a:round/>
              <a:headEnd/>
              <a:tailEnd type="none" w="sm" len="med"/>
            </a:ln>
          </xdr:spPr>
        </xdr:sp>
        <xdr:sp macro="" textlink="">
          <xdr:nvSpPr>
            <xdr:cNvPr id="10339" name="Line 86">
              <a:extLst>
                <a:ext uri="{FF2B5EF4-FFF2-40B4-BE49-F238E27FC236}">
                  <a16:creationId xmlns:a16="http://schemas.microsoft.com/office/drawing/2014/main" id="{00000000-0008-0000-0D00-000063280000}"/>
                </a:ext>
              </a:extLst>
            </xdr:cNvPr>
            <xdr:cNvSpPr>
              <a:spLocks noChangeShapeType="1"/>
            </xdr:cNvSpPr>
          </xdr:nvSpPr>
          <xdr:spPr bwMode="auto">
            <a:xfrm>
              <a:off x="2445" y="12091"/>
              <a:ext cx="695" cy="0"/>
            </a:xfrm>
            <a:prstGeom prst="line">
              <a:avLst/>
            </a:prstGeom>
            <a:noFill/>
            <a:ln w="3175">
              <a:solidFill>
                <a:srgbClr val="000000"/>
              </a:solidFill>
              <a:round/>
              <a:headEnd/>
              <a:tailEnd/>
            </a:ln>
          </xdr:spPr>
        </xdr:sp>
      </xdr:grpSp>
      <xdr:sp macro="" textlink="">
        <xdr:nvSpPr>
          <xdr:cNvPr id="10301" name="AutoShape 87">
            <a:extLst>
              <a:ext uri="{FF2B5EF4-FFF2-40B4-BE49-F238E27FC236}">
                <a16:creationId xmlns:a16="http://schemas.microsoft.com/office/drawing/2014/main" id="{00000000-0008-0000-0D00-00003D280000}"/>
              </a:ext>
            </a:extLst>
          </xdr:cNvPr>
          <xdr:cNvSpPr>
            <a:spLocks noChangeArrowheads="1"/>
          </xdr:cNvSpPr>
        </xdr:nvSpPr>
        <xdr:spPr bwMode="auto">
          <a:xfrm>
            <a:off x="4148" y="11562"/>
            <a:ext cx="154" cy="143"/>
          </a:xfrm>
          <a:prstGeom prst="sun">
            <a:avLst>
              <a:gd name="adj" fmla="val 39611"/>
            </a:avLst>
          </a:prstGeom>
          <a:solidFill>
            <a:srgbClr val="FFFFFF"/>
          </a:solidFill>
          <a:ln w="9525">
            <a:solidFill>
              <a:srgbClr val="000000"/>
            </a:solidFill>
            <a:miter lim="800000"/>
            <a:headEnd/>
            <a:tailEnd/>
          </a:ln>
        </xdr:spPr>
      </xdr:sp>
    </xdr:grpSp>
    <xdr:clientData/>
  </xdr:twoCellAnchor>
  <mc:AlternateContent xmlns:mc="http://schemas.openxmlformats.org/markup-compatibility/2006">
    <mc:Choice xmlns:a14="http://schemas.microsoft.com/office/drawing/2010/main" Requires="a14">
      <xdr:twoCellAnchor>
        <xdr:from>
          <xdr:col>16</xdr:col>
          <xdr:colOff>38100</xdr:colOff>
          <xdr:row>47</xdr:row>
          <xdr:rowOff>47625</xdr:rowOff>
        </xdr:from>
        <xdr:to>
          <xdr:col>18</xdr:col>
          <xdr:colOff>19050</xdr:colOff>
          <xdr:row>49</xdr:row>
          <xdr:rowOff>66675</xdr:rowOff>
        </xdr:to>
        <xdr:sp macro="" textlink="">
          <xdr:nvSpPr>
            <xdr:cNvPr id="10271" name="Object 31" hidden="1">
              <a:extLst>
                <a:ext uri="{63B3BB69-23CF-44E3-9099-C40C66FF867C}">
                  <a14:compatExt spid="_x0000_s10271"/>
                </a:ext>
                <a:ext uri="{FF2B5EF4-FFF2-40B4-BE49-F238E27FC236}">
                  <a16:creationId xmlns:a16="http://schemas.microsoft.com/office/drawing/2014/main" id="{00000000-0008-0000-0D00-00001F280000}"/>
                </a:ext>
              </a:extLst>
            </xdr:cNvPr>
            <xdr:cNvSpPr/>
          </xdr:nvSpPr>
          <xdr:spPr bwMode="auto">
            <a:xfrm>
              <a:off x="0" y="0"/>
              <a:ext cx="0" cy="0"/>
            </a:xfrm>
            <a:prstGeom prst="rect">
              <a:avLst/>
            </a:prstGeom>
            <a:solidFill>
              <a:srgbClr val="FF99CC" mc:Ignorable="a14" a14:legacySpreadsheetColorIndex="45">
                <a:alpha val="10001"/>
              </a:srgbClr>
            </a:solidFill>
            <a:ln w="9525">
              <a:solidFill>
                <a:srgbClr val="008000"/>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15</xdr:col>
          <xdr:colOff>104775</xdr:colOff>
          <xdr:row>34</xdr:row>
          <xdr:rowOff>47625</xdr:rowOff>
        </xdr:from>
        <xdr:to>
          <xdr:col>17</xdr:col>
          <xdr:colOff>200025</xdr:colOff>
          <xdr:row>36</xdr:row>
          <xdr:rowOff>19050</xdr:rowOff>
        </xdr:to>
        <xdr:sp macro="" textlink="">
          <xdr:nvSpPr>
            <xdr:cNvPr id="10272" name="Object 32" hidden="1">
              <a:extLst>
                <a:ext uri="{63B3BB69-23CF-44E3-9099-C40C66FF867C}">
                  <a14:compatExt spid="_x0000_s10272"/>
                </a:ext>
                <a:ext uri="{FF2B5EF4-FFF2-40B4-BE49-F238E27FC236}">
                  <a16:creationId xmlns:a16="http://schemas.microsoft.com/office/drawing/2014/main" id="{00000000-0008-0000-0D00-000020280000}"/>
                </a:ext>
              </a:extLst>
            </xdr:cNvPr>
            <xdr:cNvSpPr/>
          </xdr:nvSpPr>
          <xdr:spPr bwMode="auto">
            <a:xfrm>
              <a:off x="0" y="0"/>
              <a:ext cx="0" cy="0"/>
            </a:xfrm>
            <a:prstGeom prst="rect">
              <a:avLst/>
            </a:prstGeom>
            <a:noFill/>
            <a:ln w="25400">
              <a:solidFill>
                <a:srgbClr val="008000"/>
              </a:solidFill>
              <a:miter lim="800000"/>
              <a:headEnd/>
              <a:tailEnd/>
            </a:ln>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17</xdr:col>
          <xdr:colOff>285750</xdr:colOff>
          <xdr:row>34</xdr:row>
          <xdr:rowOff>38100</xdr:rowOff>
        </xdr:from>
        <xdr:to>
          <xdr:col>18</xdr:col>
          <xdr:colOff>361950</xdr:colOff>
          <xdr:row>36</xdr:row>
          <xdr:rowOff>19050</xdr:rowOff>
        </xdr:to>
        <xdr:sp macro="" textlink="">
          <xdr:nvSpPr>
            <xdr:cNvPr id="10273" name="Object 33" hidden="1">
              <a:extLst>
                <a:ext uri="{63B3BB69-23CF-44E3-9099-C40C66FF867C}">
                  <a14:compatExt spid="_x0000_s10273"/>
                </a:ext>
                <a:ext uri="{FF2B5EF4-FFF2-40B4-BE49-F238E27FC236}">
                  <a16:creationId xmlns:a16="http://schemas.microsoft.com/office/drawing/2014/main" id="{00000000-0008-0000-0D00-000021280000}"/>
                </a:ext>
              </a:extLst>
            </xdr:cNvPr>
            <xdr:cNvSpPr/>
          </xdr:nvSpPr>
          <xdr:spPr bwMode="auto">
            <a:xfrm>
              <a:off x="0" y="0"/>
              <a:ext cx="0" cy="0"/>
            </a:xfrm>
            <a:prstGeom prst="rect">
              <a:avLst/>
            </a:prstGeom>
            <a:noFill/>
            <a:ln w="25400">
              <a:solidFill>
                <a:srgbClr val="0000FF" mc:Ignorable="a14" a14:legacySpreadsheetColorIndex="12"/>
              </a:solidFill>
              <a:miter lim="800000"/>
              <a:headEnd/>
              <a:tailEnd/>
            </a:ln>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20</xdr:col>
          <xdr:colOff>228600</xdr:colOff>
          <xdr:row>47</xdr:row>
          <xdr:rowOff>28575</xdr:rowOff>
        </xdr:from>
        <xdr:to>
          <xdr:col>22</xdr:col>
          <xdr:colOff>361950</xdr:colOff>
          <xdr:row>49</xdr:row>
          <xdr:rowOff>19050</xdr:rowOff>
        </xdr:to>
        <xdr:sp macro="" textlink="">
          <xdr:nvSpPr>
            <xdr:cNvPr id="10274" name="Object 34" hidden="1">
              <a:extLst>
                <a:ext uri="{63B3BB69-23CF-44E3-9099-C40C66FF867C}">
                  <a14:compatExt spid="_x0000_s10274"/>
                </a:ext>
                <a:ext uri="{FF2B5EF4-FFF2-40B4-BE49-F238E27FC236}">
                  <a16:creationId xmlns:a16="http://schemas.microsoft.com/office/drawing/2014/main" id="{00000000-0008-0000-0D00-000022280000}"/>
                </a:ext>
              </a:extLst>
            </xdr:cNvPr>
            <xdr:cNvSpPr/>
          </xdr:nvSpPr>
          <xdr:spPr bwMode="auto">
            <a:xfrm>
              <a:off x="0" y="0"/>
              <a:ext cx="0" cy="0"/>
            </a:xfrm>
            <a:prstGeom prst="rect">
              <a:avLst/>
            </a:prstGeom>
            <a:solidFill>
              <a:srgbClr val="FFCC00">
                <a:alpha val="20000"/>
              </a:srgbClr>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17</xdr:col>
          <xdr:colOff>57150</xdr:colOff>
          <xdr:row>49</xdr:row>
          <xdr:rowOff>57150</xdr:rowOff>
        </xdr:from>
        <xdr:to>
          <xdr:col>17</xdr:col>
          <xdr:colOff>457200</xdr:colOff>
          <xdr:row>51</xdr:row>
          <xdr:rowOff>19050</xdr:rowOff>
        </xdr:to>
        <xdr:sp macro="" textlink="">
          <xdr:nvSpPr>
            <xdr:cNvPr id="10275" name="Object 35" hidden="1">
              <a:extLst>
                <a:ext uri="{63B3BB69-23CF-44E3-9099-C40C66FF867C}">
                  <a14:compatExt spid="_x0000_s10275"/>
                </a:ext>
                <a:ext uri="{FF2B5EF4-FFF2-40B4-BE49-F238E27FC236}">
                  <a16:creationId xmlns:a16="http://schemas.microsoft.com/office/drawing/2014/main" id="{00000000-0008-0000-0D00-000023280000}"/>
                </a:ext>
              </a:extLst>
            </xdr:cNvPr>
            <xdr:cNvSpPr/>
          </xdr:nvSpPr>
          <xdr:spPr bwMode="auto">
            <a:xfrm>
              <a:off x="0" y="0"/>
              <a:ext cx="0" cy="0"/>
            </a:xfrm>
            <a:prstGeom prst="rect">
              <a:avLst/>
            </a:prstGeom>
            <a:solidFill>
              <a:srgbClr val="99CC00" mc:Ignorable="a14" a14:legacySpreadsheetColorIndex="50">
                <a:alpha val="32001"/>
              </a:srgbClr>
            </a:solidFill>
          </xdr:spPr>
        </xdr:sp>
        <xdr:clientData/>
      </xdr:twoCellAnchor>
    </mc:Choice>
    <mc:Fallback/>
  </mc:AlternateContent>
</xdr:wsDr>
</file>

<file path=xl/drawings/drawing9.xml><?xml version="1.0" encoding="utf-8"?>
<xdr:wsDr xmlns:xdr="http://schemas.openxmlformats.org/drawingml/2006/spreadsheetDrawing" xmlns:a="http://schemas.openxmlformats.org/drawingml/2006/main">
  <xdr:twoCellAnchor>
    <xdr:from>
      <xdr:col>0</xdr:col>
      <xdr:colOff>266700</xdr:colOff>
      <xdr:row>13</xdr:row>
      <xdr:rowOff>85725</xdr:rowOff>
    </xdr:from>
    <xdr:to>
      <xdr:col>9</xdr:col>
      <xdr:colOff>209550</xdr:colOff>
      <xdr:row>32</xdr:row>
      <xdr:rowOff>9525</xdr:rowOff>
    </xdr:to>
    <xdr:graphicFrame macro="">
      <xdr:nvGraphicFramePr>
        <xdr:cNvPr id="19457" name="2 Gráfico">
          <a:extLst>
            <a:ext uri="{FF2B5EF4-FFF2-40B4-BE49-F238E27FC236}">
              <a16:creationId xmlns:a16="http://schemas.microsoft.com/office/drawing/2014/main" id="{00000000-0008-0000-0E00-0000014C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a1" displayName="Tabla1" ref="J34:O36" totalsRowShown="0" headerRowDxfId="10" dataDxfId="9">
  <autoFilter ref="J34:O36" xr:uid="{00000000-0009-0000-0100-000001000000}"/>
  <tableColumns count="6">
    <tableColumn id="1" xr3:uid="{00000000-0010-0000-0000-000001000000}" name="PL" dataDxfId="8"/>
    <tableColumn id="2" xr3:uid="{00000000-0010-0000-0000-000002000000}" name="h/b"/>
    <tableColumn id="3" xr3:uid="{00000000-0010-0000-0000-000003000000}" name="alfa LT" dataDxfId="7"/>
    <tableColumn id="4" xr3:uid="{00000000-0010-0000-0000-000004000000}" name="curva SEA" dataDxfId="6"/>
    <tableColumn id="5" xr3:uid="{00000000-0010-0000-0000-000005000000}" name="EC3" dataDxfId="5"/>
    <tableColumn id="6" xr3:uid="{00000000-0010-0000-0000-000006000000}" name="curva EC3" dataDxfId="4"/>
  </tableColumns>
  <tableStyleInfo name="TableStyleMedium9"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oleObject" Target="../embeddings/oleObject3.bin"/><Relationship Id="rId3" Type="http://schemas.openxmlformats.org/officeDocument/2006/relationships/vmlDrawing" Target="../drawings/vmlDrawing1.vml"/><Relationship Id="rId7" Type="http://schemas.openxmlformats.org/officeDocument/2006/relationships/image" Target="../media/image2.wmf"/><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oleObject" Target="../embeddings/oleObject2.bin"/><Relationship Id="rId11" Type="http://schemas.openxmlformats.org/officeDocument/2006/relationships/comments" Target="../comments1.xml"/><Relationship Id="rId5" Type="http://schemas.openxmlformats.org/officeDocument/2006/relationships/image" Target="../media/image1.wmf"/><Relationship Id="rId10" Type="http://schemas.openxmlformats.org/officeDocument/2006/relationships/oleObject" Target="../embeddings/oleObject4.bin"/><Relationship Id="rId4" Type="http://schemas.openxmlformats.org/officeDocument/2006/relationships/oleObject" Target="../embeddings/oleObject1.bin"/><Relationship Id="rId9" Type="http://schemas.openxmlformats.org/officeDocument/2006/relationships/image" Target="../media/image3.wmf"/></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4.xml.rels><?xml version="1.0" encoding="UTF-8" standalone="yes"?>
<Relationships xmlns="http://schemas.openxmlformats.org/package/2006/relationships"><Relationship Id="rId8" Type="http://schemas.openxmlformats.org/officeDocument/2006/relationships/oleObject" Target="../embeddings/oleObject17.bin"/><Relationship Id="rId13" Type="http://schemas.openxmlformats.org/officeDocument/2006/relationships/image" Target="../media/image70.emf"/><Relationship Id="rId3" Type="http://schemas.openxmlformats.org/officeDocument/2006/relationships/vmlDrawing" Target="../drawings/vmlDrawing6.vml"/><Relationship Id="rId7" Type="http://schemas.openxmlformats.org/officeDocument/2006/relationships/image" Target="../media/image67.emf"/><Relationship Id="rId12" Type="http://schemas.openxmlformats.org/officeDocument/2006/relationships/oleObject" Target="../embeddings/oleObject19.bin"/><Relationship Id="rId2" Type="http://schemas.openxmlformats.org/officeDocument/2006/relationships/drawing" Target="../drawings/drawing8.xml"/><Relationship Id="rId1" Type="http://schemas.openxmlformats.org/officeDocument/2006/relationships/printerSettings" Target="../printerSettings/printerSettings9.bin"/><Relationship Id="rId6" Type="http://schemas.openxmlformats.org/officeDocument/2006/relationships/oleObject" Target="../embeddings/oleObject16.bin"/><Relationship Id="rId11" Type="http://schemas.openxmlformats.org/officeDocument/2006/relationships/image" Target="../media/image69.wmf"/><Relationship Id="rId5" Type="http://schemas.openxmlformats.org/officeDocument/2006/relationships/image" Target="../media/image66.emf"/><Relationship Id="rId10" Type="http://schemas.openxmlformats.org/officeDocument/2006/relationships/oleObject" Target="../embeddings/oleObject18.bin"/><Relationship Id="rId4" Type="http://schemas.openxmlformats.org/officeDocument/2006/relationships/oleObject" Target="../embeddings/oleObject15.bin"/><Relationship Id="rId9" Type="http://schemas.openxmlformats.org/officeDocument/2006/relationships/image" Target="../media/image68.wmf"/><Relationship Id="rId14" Type="http://schemas.openxmlformats.org/officeDocument/2006/relationships/comments" Target="../comments6.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10.xml"/><Relationship Id="rId1" Type="http://schemas.openxmlformats.org/officeDocument/2006/relationships/printerSettings" Target="../printerSettings/printerSettings11.bin"/><Relationship Id="rId5" Type="http://schemas.openxmlformats.org/officeDocument/2006/relationships/image" Target="../media/image11.wmf"/><Relationship Id="rId4" Type="http://schemas.openxmlformats.org/officeDocument/2006/relationships/oleObject" Target="../embeddings/oleObject20.bin"/></Relationships>
</file>

<file path=xl/worksheets/_rels/sheet2.xml.rels><?xml version="1.0" encoding="UTF-8" standalone="yes"?>
<Relationships xmlns="http://schemas.openxmlformats.org/package/2006/relationships"><Relationship Id="rId8" Type="http://schemas.openxmlformats.org/officeDocument/2006/relationships/oleObject" Target="../embeddings/oleObject7.bin"/><Relationship Id="rId13" Type="http://schemas.openxmlformats.org/officeDocument/2006/relationships/image" Target="../media/image14.wmf"/><Relationship Id="rId18" Type="http://schemas.openxmlformats.org/officeDocument/2006/relationships/table" Target="../tables/table1.xml"/><Relationship Id="rId3" Type="http://schemas.openxmlformats.org/officeDocument/2006/relationships/vmlDrawing" Target="../drawings/vmlDrawing2.vml"/><Relationship Id="rId7" Type="http://schemas.openxmlformats.org/officeDocument/2006/relationships/image" Target="../media/image12.wmf"/><Relationship Id="rId12" Type="http://schemas.openxmlformats.org/officeDocument/2006/relationships/oleObject" Target="../embeddings/oleObject9.bin"/><Relationship Id="rId17" Type="http://schemas.openxmlformats.org/officeDocument/2006/relationships/image" Target="../media/image16.wmf"/><Relationship Id="rId2" Type="http://schemas.openxmlformats.org/officeDocument/2006/relationships/drawing" Target="../drawings/drawing2.xml"/><Relationship Id="rId16" Type="http://schemas.openxmlformats.org/officeDocument/2006/relationships/oleObject" Target="../embeddings/oleObject11.bin"/><Relationship Id="rId1" Type="http://schemas.openxmlformats.org/officeDocument/2006/relationships/printerSettings" Target="../printerSettings/printerSettings2.bin"/><Relationship Id="rId6" Type="http://schemas.openxmlformats.org/officeDocument/2006/relationships/oleObject" Target="../embeddings/oleObject6.bin"/><Relationship Id="rId11" Type="http://schemas.openxmlformats.org/officeDocument/2006/relationships/image" Target="../media/image3.wmf"/><Relationship Id="rId5" Type="http://schemas.openxmlformats.org/officeDocument/2006/relationships/image" Target="../media/image11.wmf"/><Relationship Id="rId15" Type="http://schemas.openxmlformats.org/officeDocument/2006/relationships/image" Target="../media/image15.wmf"/><Relationship Id="rId10" Type="http://schemas.openxmlformats.org/officeDocument/2006/relationships/oleObject" Target="../embeddings/oleObject8.bin"/><Relationship Id="rId19" Type="http://schemas.openxmlformats.org/officeDocument/2006/relationships/comments" Target="../comments2.xml"/><Relationship Id="rId4" Type="http://schemas.openxmlformats.org/officeDocument/2006/relationships/oleObject" Target="../embeddings/oleObject5.bin"/><Relationship Id="rId9" Type="http://schemas.openxmlformats.org/officeDocument/2006/relationships/image" Target="../media/image13.wmf"/><Relationship Id="rId14" Type="http://schemas.openxmlformats.org/officeDocument/2006/relationships/oleObject" Target="../embeddings/oleObject10.bin"/></Relationships>
</file>

<file path=xl/worksheets/_rels/sheet3.xml.rels><?xml version="1.0" encoding="UTF-8" standalone="yes"?>
<Relationships xmlns="http://schemas.openxmlformats.org/package/2006/relationships"><Relationship Id="rId8" Type="http://schemas.openxmlformats.org/officeDocument/2006/relationships/oleObject" Target="../embeddings/oleObject14.bin"/><Relationship Id="rId3" Type="http://schemas.openxmlformats.org/officeDocument/2006/relationships/vmlDrawing" Target="../drawings/vmlDrawing3.vml"/><Relationship Id="rId7" Type="http://schemas.openxmlformats.org/officeDocument/2006/relationships/image" Target="../media/image20.wmf"/><Relationship Id="rId2" Type="http://schemas.openxmlformats.org/officeDocument/2006/relationships/drawing" Target="../drawings/drawing3.xml"/><Relationship Id="rId1" Type="http://schemas.openxmlformats.org/officeDocument/2006/relationships/printerSettings" Target="../printerSettings/printerSettings3.bin"/><Relationship Id="rId6" Type="http://schemas.openxmlformats.org/officeDocument/2006/relationships/oleObject" Target="../embeddings/oleObject13.bin"/><Relationship Id="rId5" Type="http://schemas.openxmlformats.org/officeDocument/2006/relationships/image" Target="../media/image19.emf"/><Relationship Id="rId10" Type="http://schemas.openxmlformats.org/officeDocument/2006/relationships/comments" Target="../comments3.xml"/><Relationship Id="rId4" Type="http://schemas.openxmlformats.org/officeDocument/2006/relationships/oleObject" Target="../embeddings/oleObject12.bin"/><Relationship Id="rId9" Type="http://schemas.openxmlformats.org/officeDocument/2006/relationships/image" Target="../media/image21.emf"/></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pageSetUpPr fitToPage="1"/>
  </sheetPr>
  <dimension ref="A1:BE97"/>
  <sheetViews>
    <sheetView tabSelected="1" zoomScale="115" zoomScaleNormal="115" workbookViewId="0">
      <selection activeCell="E10" sqref="E10"/>
    </sheetView>
  </sheetViews>
  <sheetFormatPr baseColWidth="10" defaultColWidth="11.42578125" defaultRowHeight="12.75"/>
  <cols>
    <col min="1" max="1" width="2.5703125" style="82" customWidth="1"/>
    <col min="2" max="2" width="8.7109375" style="82" customWidth="1"/>
    <col min="3" max="3" width="10.7109375" style="82" bestFit="1" customWidth="1"/>
    <col min="4" max="4" width="9.7109375" style="82" customWidth="1"/>
    <col min="5" max="5" width="9.5703125" style="82" bestFit="1" customWidth="1"/>
    <col min="6" max="6" width="8.85546875" style="82" customWidth="1"/>
    <col min="7" max="7" width="8.28515625" style="82" customWidth="1"/>
    <col min="8" max="8" width="8.5703125" style="82" customWidth="1"/>
    <col min="9" max="9" width="11.140625" style="82" customWidth="1"/>
    <col min="10" max="10" width="10.7109375" style="82" customWidth="1"/>
    <col min="11" max="11" width="10.42578125" style="82" customWidth="1"/>
    <col min="12" max="12" width="3.28515625" style="82" customWidth="1"/>
    <col min="13" max="13" width="6.5703125" style="82" customWidth="1"/>
    <col min="14" max="14" width="10.42578125" style="82" bestFit="1" customWidth="1"/>
    <col min="15" max="15" width="9.5703125" style="82" customWidth="1"/>
    <col min="16" max="16" width="7.140625" style="82" bestFit="1" customWidth="1"/>
    <col min="17" max="17" width="7.42578125" style="82" bestFit="1" customWidth="1"/>
    <col min="18" max="18" width="6.5703125" style="82" bestFit="1" customWidth="1"/>
    <col min="19" max="19" width="4" style="82" bestFit="1" customWidth="1"/>
    <col min="20" max="20" width="4.140625" style="82" bestFit="1" customWidth="1"/>
    <col min="21" max="22" width="5.140625" style="82" bestFit="1" customWidth="1"/>
    <col min="23" max="23" width="3.28515625" style="82" bestFit="1" customWidth="1"/>
    <col min="24" max="24" width="3.5703125" style="82" bestFit="1" customWidth="1"/>
    <col min="25" max="25" width="4" style="82" bestFit="1" customWidth="1"/>
    <col min="26" max="26" width="4.140625" style="82" bestFit="1" customWidth="1"/>
    <col min="27" max="27" width="3.28515625" style="82" bestFit="1" customWidth="1"/>
    <col min="28" max="28" width="5.28515625" style="82" customWidth="1"/>
    <col min="29" max="29" width="4.85546875" style="82" bestFit="1" customWidth="1"/>
    <col min="30" max="30" width="4.28515625" style="82" bestFit="1" customWidth="1"/>
    <col min="31" max="33" width="4.85546875" style="82" bestFit="1" customWidth="1"/>
    <col min="34" max="34" width="2.7109375" style="82" bestFit="1" customWidth="1"/>
    <col min="35" max="35" width="7.85546875" style="82" bestFit="1" customWidth="1"/>
    <col min="36" max="36" width="4.140625" style="82" bestFit="1" customWidth="1"/>
    <col min="37" max="37" width="6.28515625" style="82" bestFit="1" customWidth="1"/>
    <col min="38" max="38" width="4.85546875" style="82" bestFit="1" customWidth="1"/>
    <col min="39" max="39" width="5.7109375" style="82" bestFit="1" customWidth="1"/>
    <col min="40" max="40" width="4" style="82" bestFit="1" customWidth="1"/>
    <col min="41" max="41" width="4.140625" style="82" bestFit="1" customWidth="1"/>
    <col min="42" max="43" width="4.85546875" style="82" bestFit="1" customWidth="1"/>
    <col min="44" max="44" width="5.7109375" style="82" bestFit="1" customWidth="1"/>
    <col min="45" max="45" width="4" style="82" bestFit="1" customWidth="1"/>
    <col min="46" max="46" width="4.85546875" style="82" bestFit="1" customWidth="1"/>
    <col min="47" max="48" width="4.140625" style="82" bestFit="1" customWidth="1"/>
    <col min="49" max="49" width="6.7109375" style="82" bestFit="1" customWidth="1"/>
    <col min="50" max="50" width="7.42578125" style="82" bestFit="1" customWidth="1"/>
    <col min="51" max="52" width="4" style="82" bestFit="1" customWidth="1"/>
    <col min="53" max="53" width="8.85546875" style="82" bestFit="1" customWidth="1"/>
    <col min="54" max="54" width="4" style="82" bestFit="1" customWidth="1"/>
    <col min="55" max="16384" width="11.42578125" style="82"/>
  </cols>
  <sheetData>
    <row r="1" spans="2:57" ht="13.5" thickBot="1">
      <c r="C1" s="776" t="s">
        <v>2645</v>
      </c>
      <c r="D1" s="1246" t="s">
        <v>2893</v>
      </c>
      <c r="E1" s="774"/>
      <c r="F1" s="774"/>
      <c r="G1" s="775"/>
      <c r="H1" s="775"/>
      <c r="I1" s="1241" t="s">
        <v>2823</v>
      </c>
    </row>
    <row r="2" spans="2:57">
      <c r="B2" s="423" t="s">
        <v>2824</v>
      </c>
      <c r="C2" s="423"/>
      <c r="D2" s="423"/>
      <c r="E2" s="423"/>
      <c r="F2" s="423" t="s">
        <v>2825</v>
      </c>
      <c r="G2" s="1159" t="s">
        <v>2894</v>
      </c>
      <c r="H2" s="1160"/>
      <c r="I2" s="1160"/>
      <c r="J2" s="1247" t="s">
        <v>2892</v>
      </c>
      <c r="K2" s="1247">
        <v>44600</v>
      </c>
    </row>
    <row r="3" spans="2:57" ht="15.75">
      <c r="B3" s="424"/>
      <c r="C3" s="425" t="s">
        <v>961</v>
      </c>
      <c r="D3" s="425"/>
      <c r="E3" s="425"/>
      <c r="F3" s="425"/>
      <c r="G3" s="1242"/>
      <c r="H3" s="1242" t="s">
        <v>2626</v>
      </c>
      <c r="I3" s="1242"/>
      <c r="J3" s="1243">
        <v>44119</v>
      </c>
      <c r="K3" s="1244"/>
      <c r="M3" s="317"/>
      <c r="N3" s="317"/>
      <c r="O3" s="317"/>
      <c r="P3" s="317"/>
      <c r="Q3" s="317"/>
      <c r="R3" s="317"/>
      <c r="S3" s="317"/>
      <c r="T3" s="317"/>
      <c r="U3" s="317"/>
      <c r="V3" s="317"/>
      <c r="W3" s="317"/>
      <c r="X3" s="317"/>
      <c r="Y3" s="317"/>
      <c r="Z3" s="317"/>
      <c r="AA3" s="317"/>
      <c r="AB3" s="317"/>
      <c r="AC3" s="317"/>
      <c r="AD3" s="317"/>
      <c r="AE3" s="317"/>
      <c r="AF3" s="317"/>
      <c r="AG3" s="317"/>
      <c r="AH3" s="317"/>
      <c r="AI3" s="317"/>
      <c r="AJ3" s="317"/>
      <c r="AK3" s="317"/>
      <c r="AL3" s="317"/>
      <c r="AM3" s="317"/>
      <c r="AN3" s="317"/>
      <c r="AO3" s="317"/>
      <c r="AP3" s="317"/>
      <c r="AQ3" s="317"/>
      <c r="AR3" s="317"/>
      <c r="AS3" s="317"/>
      <c r="AT3" s="317"/>
      <c r="AU3" s="317"/>
      <c r="AV3" s="317"/>
      <c r="AW3" s="317"/>
      <c r="AX3" s="317"/>
      <c r="AY3" s="317"/>
      <c r="AZ3" s="317"/>
      <c r="BA3" s="317"/>
      <c r="BB3" s="317"/>
      <c r="BC3" s="317"/>
      <c r="BD3" s="317"/>
      <c r="BE3" s="317"/>
    </row>
    <row r="4" spans="2:57" ht="18.75">
      <c r="B4" s="789" t="s">
        <v>962</v>
      </c>
      <c r="C4" s="405" t="s">
        <v>1091</v>
      </c>
      <c r="D4" s="410" t="s">
        <v>1063</v>
      </c>
      <c r="E4" s="411" t="s">
        <v>1064</v>
      </c>
      <c r="F4" s="411" t="s">
        <v>1064</v>
      </c>
      <c r="G4" s="410" t="s">
        <v>1065</v>
      </c>
      <c r="H4" s="410" t="s">
        <v>1092</v>
      </c>
      <c r="I4" s="410" t="s">
        <v>1093</v>
      </c>
      <c r="J4" s="759"/>
      <c r="K4" s="426" t="s">
        <v>1090</v>
      </c>
      <c r="M4" s="356"/>
      <c r="N4" s="357" t="s">
        <v>19</v>
      </c>
      <c r="O4" s="358" t="str">
        <f>'D G'!B3</f>
        <v>S235</v>
      </c>
      <c r="P4" s="359" t="s">
        <v>71</v>
      </c>
      <c r="Q4" s="360" t="s">
        <v>72</v>
      </c>
      <c r="R4" s="356" t="s">
        <v>2821</v>
      </c>
      <c r="S4" s="317"/>
      <c r="T4" s="317"/>
      <c r="U4" s="317"/>
      <c r="V4" s="317"/>
      <c r="W4" s="317"/>
      <c r="X4" s="317"/>
      <c r="Y4" s="317"/>
      <c r="Z4" s="317"/>
      <c r="AA4" s="317"/>
      <c r="AB4" s="317"/>
      <c r="AC4" s="317"/>
      <c r="AD4" s="317"/>
      <c r="AE4" s="317"/>
      <c r="AF4" s="317"/>
      <c r="AG4" s="317"/>
      <c r="AH4" s="317"/>
      <c r="AI4" s="317"/>
      <c r="AJ4" s="317"/>
      <c r="AK4" s="317"/>
      <c r="AL4" s="317"/>
      <c r="AM4" s="317"/>
      <c r="AN4" s="317"/>
      <c r="AO4" s="317"/>
      <c r="AP4" s="317"/>
      <c r="AQ4" s="317"/>
      <c r="AR4" s="317"/>
      <c r="AS4" s="317"/>
      <c r="AT4" s="317"/>
      <c r="AU4" s="317"/>
      <c r="AV4" s="317"/>
      <c r="AW4" s="317"/>
      <c r="AX4" s="317"/>
      <c r="AY4" s="317"/>
      <c r="AZ4" s="317"/>
      <c r="BA4" s="317"/>
      <c r="BB4" s="317"/>
      <c r="BC4" s="317"/>
      <c r="BD4" s="317"/>
      <c r="BE4" s="317"/>
    </row>
    <row r="5" spans="2:57">
      <c r="B5" s="791" t="s">
        <v>66</v>
      </c>
      <c r="C5" s="755">
        <f>Pandeo!B21/C6</f>
        <v>261.90476190476187</v>
      </c>
      <c r="D5" s="760">
        <f>VLOOKUP($B$5,'D G'!$B$3:$H$6,2)</f>
        <v>275</v>
      </c>
      <c r="E5" s="211">
        <f>VLOOKUP($B$5,'D G'!$B$3:$H$6,3)</f>
        <v>275</v>
      </c>
      <c r="F5" s="761">
        <f>VLOOKUP($B$5,'D G'!$B$3:$H$6,4)</f>
        <v>275</v>
      </c>
      <c r="G5" s="86">
        <f>VLOOKUP($B$5,'D G'!$B$3:$H$6,5)</f>
        <v>410</v>
      </c>
      <c r="H5" s="86">
        <v>210</v>
      </c>
      <c r="I5" s="86">
        <v>80</v>
      </c>
      <c r="J5" s="120"/>
      <c r="K5" s="762">
        <f>VLOOKUP($B$5,'D G'!$B$3:$H$6,6)</f>
        <v>86.8</v>
      </c>
      <c r="M5" s="356"/>
      <c r="N5" s="360" t="s">
        <v>45</v>
      </c>
      <c r="O5" s="358" t="str">
        <f>'D G'!B4</f>
        <v>S275</v>
      </c>
      <c r="P5" s="358">
        <v>1.05</v>
      </c>
      <c r="Q5" s="360">
        <v>1</v>
      </c>
      <c r="R5" s="1157">
        <v>0.7</v>
      </c>
      <c r="S5" s="317"/>
      <c r="T5" s="317"/>
      <c r="U5" s="317"/>
      <c r="V5" s="317"/>
      <c r="W5" s="317"/>
      <c r="X5" s="317"/>
      <c r="Y5" s="317"/>
      <c r="Z5" s="317"/>
      <c r="AA5" s="317"/>
      <c r="AB5" s="317"/>
      <c r="AC5" s="317"/>
      <c r="AD5" s="317"/>
      <c r="AE5" s="317"/>
      <c r="AF5" s="317"/>
      <c r="AG5" s="317"/>
      <c r="AH5" s="317"/>
      <c r="AI5" s="317"/>
      <c r="AJ5" s="317"/>
      <c r="AK5" s="317"/>
      <c r="AL5" s="317"/>
      <c r="AM5" s="317"/>
      <c r="AN5" s="317"/>
      <c r="AO5" s="317"/>
      <c r="AP5" s="317"/>
      <c r="AQ5" s="317"/>
      <c r="AR5" s="317"/>
      <c r="AS5" s="317"/>
      <c r="AT5" s="317"/>
      <c r="AU5" s="317"/>
      <c r="AV5" s="317"/>
      <c r="AW5" s="317"/>
      <c r="AX5" s="317"/>
      <c r="AY5" s="317"/>
      <c r="AZ5" s="317"/>
      <c r="BA5" s="317"/>
      <c r="BB5" s="317"/>
      <c r="BC5" s="317"/>
      <c r="BD5" s="317"/>
      <c r="BE5" s="317"/>
    </row>
    <row r="6" spans="2:57" ht="15.75">
      <c r="B6" s="790" t="s">
        <v>1106</v>
      </c>
      <c r="C6" s="779">
        <v>1.05</v>
      </c>
      <c r="D6" s="763" t="s">
        <v>2891</v>
      </c>
      <c r="E6" s="211"/>
      <c r="F6" s="211"/>
      <c r="G6" s="211"/>
      <c r="H6" s="211"/>
      <c r="I6" s="211"/>
      <c r="J6" s="764" t="s">
        <v>1105</v>
      </c>
      <c r="K6" s="758"/>
      <c r="M6" s="356"/>
      <c r="N6" s="361" t="s">
        <v>46</v>
      </c>
      <c r="O6" s="358" t="str">
        <f>'D G'!B5</f>
        <v>S355</v>
      </c>
      <c r="P6" s="358">
        <v>1.1000000000000001</v>
      </c>
      <c r="Q6" s="360">
        <v>2</v>
      </c>
      <c r="R6" s="1157">
        <v>1</v>
      </c>
      <c r="S6" s="317"/>
      <c r="T6" s="317"/>
      <c r="U6" s="317"/>
      <c r="V6" s="317"/>
      <c r="W6" s="317"/>
      <c r="X6" s="317"/>
      <c r="Y6" s="317"/>
      <c r="Z6" s="317"/>
      <c r="AA6" s="317"/>
      <c r="AB6" s="317"/>
      <c r="AC6" s="317"/>
      <c r="AD6" s="317"/>
      <c r="AE6" s="317"/>
      <c r="AF6" s="317"/>
      <c r="AG6" s="317"/>
      <c r="AH6" s="317"/>
      <c r="AI6" s="317"/>
      <c r="AJ6" s="317"/>
      <c r="AK6" s="317"/>
      <c r="AL6" s="317"/>
      <c r="AM6" s="317"/>
      <c r="AN6" s="317"/>
      <c r="AO6" s="317"/>
      <c r="AP6" s="317"/>
      <c r="AQ6" s="317"/>
      <c r="AR6" s="317"/>
      <c r="AS6" s="317"/>
      <c r="AT6" s="317"/>
      <c r="AU6" s="317"/>
      <c r="AV6" s="317"/>
      <c r="AW6" s="317"/>
      <c r="AX6" s="317"/>
      <c r="AY6" s="317"/>
      <c r="AZ6" s="317"/>
      <c r="BA6" s="317"/>
      <c r="BB6" s="317"/>
      <c r="BC6" s="317"/>
      <c r="BD6" s="317"/>
      <c r="BE6" s="317"/>
    </row>
    <row r="7" spans="2:57" ht="19.5" customHeight="1">
      <c r="B7" s="428"/>
      <c r="C7" s="87"/>
      <c r="D7" s="87"/>
      <c r="E7" s="87"/>
      <c r="F7" s="87"/>
      <c r="G7" s="87"/>
      <c r="H7" s="87"/>
      <c r="I7" s="87"/>
      <c r="J7" s="87"/>
      <c r="K7" s="427"/>
      <c r="M7" s="356"/>
      <c r="N7" s="357" t="s">
        <v>20</v>
      </c>
      <c r="O7" s="358" t="str">
        <f>'D G'!B6</f>
        <v>S450</v>
      </c>
      <c r="P7" s="358">
        <v>1.25</v>
      </c>
      <c r="Q7" s="360">
        <v>3</v>
      </c>
      <c r="R7" s="1158">
        <v>1.3</v>
      </c>
      <c r="S7" s="1156"/>
      <c r="T7" s="1156"/>
      <c r="U7" s="1156"/>
      <c r="V7" s="1156"/>
      <c r="W7" s="317"/>
      <c r="X7" s="317"/>
      <c r="Y7" s="317"/>
      <c r="Z7" s="317"/>
      <c r="AA7" s="317"/>
      <c r="AB7" s="317"/>
      <c r="AC7" s="317"/>
      <c r="AD7" s="317"/>
      <c r="AE7" s="317"/>
      <c r="AF7" s="317"/>
      <c r="AG7" s="317"/>
      <c r="AH7" s="317"/>
      <c r="AI7" s="317"/>
      <c r="AJ7" s="317"/>
      <c r="AK7" s="317"/>
      <c r="AL7" s="317"/>
      <c r="AM7" s="317"/>
      <c r="AN7" s="317"/>
      <c r="AO7" s="317"/>
      <c r="AP7" s="317"/>
      <c r="AQ7" s="317"/>
      <c r="AR7" s="317"/>
      <c r="AS7" s="317"/>
      <c r="AT7" s="317"/>
      <c r="AU7" s="317"/>
      <c r="AV7" s="317"/>
      <c r="AW7" s="317"/>
      <c r="AX7" s="317"/>
      <c r="AY7" s="317"/>
      <c r="AZ7" s="317"/>
      <c r="BA7" s="317"/>
      <c r="BB7" s="317"/>
      <c r="BC7" s="317"/>
      <c r="BD7" s="317"/>
      <c r="BE7" s="317"/>
    </row>
    <row r="8" spans="2:57" ht="15.75">
      <c r="B8" s="429"/>
      <c r="C8" s="430" t="s">
        <v>1100</v>
      </c>
      <c r="D8" s="430"/>
      <c r="E8" s="430"/>
      <c r="F8" s="430"/>
      <c r="G8" s="430"/>
      <c r="H8" s="430"/>
      <c r="I8" s="430"/>
      <c r="J8" s="430"/>
      <c r="K8" s="431"/>
      <c r="M8" s="356"/>
      <c r="N8" s="363"/>
      <c r="O8" s="364"/>
      <c r="P8" s="364">
        <v>1</v>
      </c>
      <c r="Q8" s="365"/>
      <c r="R8" s="362"/>
      <c r="S8" s="1156"/>
      <c r="T8" s="1156"/>
      <c r="U8" s="1156"/>
      <c r="V8" s="1156"/>
      <c r="W8" s="330"/>
      <c r="X8" s="330"/>
      <c r="Y8" s="330"/>
      <c r="Z8" s="330"/>
      <c r="AA8" s="330"/>
      <c r="AB8" s="330"/>
      <c r="AC8" s="330"/>
      <c r="AD8" s="330"/>
      <c r="AE8" s="330"/>
      <c r="AF8" s="317"/>
      <c r="AG8" s="317"/>
      <c r="AH8" s="317"/>
      <c r="AI8" s="317"/>
      <c r="AJ8" s="317"/>
      <c r="AK8" s="317"/>
      <c r="AL8" s="317"/>
      <c r="AM8" s="317"/>
      <c r="AN8" s="317"/>
      <c r="AO8" s="317"/>
      <c r="AP8" s="317"/>
      <c r="AQ8" s="317"/>
      <c r="AR8" s="317"/>
      <c r="AS8" s="317"/>
      <c r="AT8" s="317"/>
      <c r="AU8" s="317"/>
      <c r="AV8" s="317"/>
      <c r="AW8" s="317"/>
      <c r="AX8" s="317"/>
      <c r="AY8" s="317"/>
      <c r="AZ8" s="317"/>
      <c r="BA8" s="317"/>
      <c r="BB8" s="317"/>
      <c r="BC8" s="317"/>
      <c r="BD8" s="317"/>
      <c r="BE8" s="317"/>
    </row>
    <row r="9" spans="2:57" ht="19.5">
      <c r="B9" s="777" t="s">
        <v>1074</v>
      </c>
      <c r="C9" s="845" t="s">
        <v>1075</v>
      </c>
      <c r="D9" s="844"/>
      <c r="E9" s="842" t="s">
        <v>1066</v>
      </c>
      <c r="F9" s="842" t="s">
        <v>1067</v>
      </c>
      <c r="G9" s="842" t="s">
        <v>1068</v>
      </c>
      <c r="H9" s="843" t="s">
        <v>1076</v>
      </c>
      <c r="I9" s="887" t="s">
        <v>2747</v>
      </c>
      <c r="J9" s="842" t="s">
        <v>1069</v>
      </c>
      <c r="K9" s="1062" t="s">
        <v>1070</v>
      </c>
      <c r="M9" s="356"/>
      <c r="O9" s="320"/>
      <c r="P9" s="320"/>
      <c r="Q9" s="321"/>
      <c r="R9" s="331"/>
      <c r="S9" s="332"/>
      <c r="T9" s="333" t="s">
        <v>79</v>
      </c>
      <c r="U9" s="334" t="s">
        <v>81</v>
      </c>
      <c r="V9" s="334" t="s">
        <v>34</v>
      </c>
      <c r="W9" s="334" t="s">
        <v>1016</v>
      </c>
      <c r="X9" s="334" t="s">
        <v>1017</v>
      </c>
      <c r="Y9" s="335" t="s">
        <v>84</v>
      </c>
      <c r="Z9" s="335" t="s">
        <v>85</v>
      </c>
      <c r="AA9" s="334" t="s">
        <v>1018</v>
      </c>
      <c r="AB9" s="334" t="s">
        <v>36</v>
      </c>
      <c r="AC9" s="334" t="s">
        <v>87</v>
      </c>
      <c r="AD9" s="336" t="s">
        <v>1019</v>
      </c>
      <c r="AE9" s="335" t="s">
        <v>1020</v>
      </c>
      <c r="AF9" s="334" t="s">
        <v>1023</v>
      </c>
      <c r="AG9" s="335" t="s">
        <v>1024</v>
      </c>
      <c r="AH9" s="334"/>
      <c r="AI9" s="342"/>
      <c r="AJ9" s="335" t="s">
        <v>79</v>
      </c>
      <c r="AK9" s="334" t="s">
        <v>1025</v>
      </c>
      <c r="AL9" s="334" t="s">
        <v>1026</v>
      </c>
      <c r="AM9" s="334" t="s">
        <v>1027</v>
      </c>
      <c r="AN9" s="334" t="s">
        <v>1028</v>
      </c>
      <c r="AO9" s="335" t="s">
        <v>1029</v>
      </c>
      <c r="AP9" s="334" t="s">
        <v>1030</v>
      </c>
      <c r="AQ9" s="334" t="s">
        <v>1031</v>
      </c>
      <c r="AR9" s="334" t="s">
        <v>1032</v>
      </c>
      <c r="AS9" s="335" t="s">
        <v>1033</v>
      </c>
      <c r="AT9" s="334" t="s">
        <v>1034</v>
      </c>
      <c r="AU9" s="334" t="s">
        <v>1035</v>
      </c>
      <c r="AV9" s="343" t="s">
        <v>1036</v>
      </c>
      <c r="AW9" s="391"/>
      <c r="AX9" s="392" t="s">
        <v>104</v>
      </c>
      <c r="AY9" s="393"/>
      <c r="AZ9" s="392"/>
      <c r="BA9" s="392" t="s">
        <v>104</v>
      </c>
      <c r="BB9" s="394"/>
      <c r="BC9" s="319"/>
      <c r="BD9" s="319"/>
      <c r="BE9" s="319"/>
    </row>
    <row r="10" spans="2:57" ht="18.75">
      <c r="B10" s="756" t="s">
        <v>1014</v>
      </c>
      <c r="C10" s="846" t="s">
        <v>1071</v>
      </c>
      <c r="D10" s="778" t="s">
        <v>1073</v>
      </c>
      <c r="E10" s="780">
        <v>500</v>
      </c>
      <c r="F10" s="1228">
        <v>78</v>
      </c>
      <c r="G10" s="1245">
        <v>0</v>
      </c>
      <c r="H10" s="781">
        <f>E10/E11+F10/F11+G10/G11</f>
        <v>0.45379186759917745</v>
      </c>
      <c r="I10" s="781">
        <f>F64</f>
        <v>5.3749092261499133E-2</v>
      </c>
      <c r="J10" s="780">
        <v>11.34</v>
      </c>
      <c r="K10" s="1063">
        <v>2.54</v>
      </c>
      <c r="M10" s="356"/>
      <c r="S10" s="332"/>
      <c r="T10" s="333" t="s">
        <v>105</v>
      </c>
      <c r="U10" s="334" t="s">
        <v>106</v>
      </c>
      <c r="V10" s="334" t="s">
        <v>77</v>
      </c>
      <c r="W10" s="334" t="s">
        <v>77</v>
      </c>
      <c r="X10" s="334" t="s">
        <v>77</v>
      </c>
      <c r="Y10" s="335" t="s">
        <v>77</v>
      </c>
      <c r="Z10" s="335" t="s">
        <v>1021</v>
      </c>
      <c r="AA10" s="334" t="s">
        <v>77</v>
      </c>
      <c r="AB10" s="334" t="s">
        <v>77</v>
      </c>
      <c r="AC10" s="334"/>
      <c r="AD10" s="334" t="s">
        <v>77</v>
      </c>
      <c r="AE10" s="335" t="s">
        <v>77</v>
      </c>
      <c r="AF10" s="334" t="s">
        <v>1037</v>
      </c>
      <c r="AG10" s="335" t="s">
        <v>1038</v>
      </c>
      <c r="AH10" s="334"/>
      <c r="AI10" s="342"/>
      <c r="AJ10" s="335" t="s">
        <v>105</v>
      </c>
      <c r="AK10" s="334" t="s">
        <v>1039</v>
      </c>
      <c r="AL10" s="334" t="s">
        <v>1040</v>
      </c>
      <c r="AM10" s="334" t="s">
        <v>1040</v>
      </c>
      <c r="AN10" s="334" t="s">
        <v>77</v>
      </c>
      <c r="AO10" s="335" t="s">
        <v>1041</v>
      </c>
      <c r="AP10" s="334" t="s">
        <v>1042</v>
      </c>
      <c r="AQ10" s="334" t="s">
        <v>1040</v>
      </c>
      <c r="AR10" s="334" t="s">
        <v>1040</v>
      </c>
      <c r="AS10" s="335" t="s">
        <v>77</v>
      </c>
      <c r="AT10" s="334" t="s">
        <v>77</v>
      </c>
      <c r="AU10" s="334" t="s">
        <v>1042</v>
      </c>
      <c r="AV10" s="344" t="s">
        <v>1043</v>
      </c>
      <c r="AW10" s="395"/>
      <c r="AX10" s="396" t="s">
        <v>115</v>
      </c>
      <c r="AY10" s="397"/>
      <c r="AZ10" s="396"/>
      <c r="BA10" s="396" t="s">
        <v>116</v>
      </c>
      <c r="BB10" s="398"/>
      <c r="BC10" s="319"/>
      <c r="BD10" s="319"/>
      <c r="BE10" s="319"/>
    </row>
    <row r="11" spans="2:57" ht="19.5" thickBot="1">
      <c r="B11" s="791" t="s">
        <v>68</v>
      </c>
      <c r="C11" s="889" t="s">
        <v>156</v>
      </c>
      <c r="D11" s="890" t="s">
        <v>1072</v>
      </c>
      <c r="E11" s="891">
        <f>C5*C52/10</f>
        <v>2213.0952380952376</v>
      </c>
      <c r="F11" s="892">
        <f>IF($J$47&gt;=4,0,IF($J$47=3,E47,F47))*C5/1000</f>
        <v>342.3095238095238</v>
      </c>
      <c r="G11" s="892">
        <f>IF($J$47&gt;=4,0,IF($J$47&gt;=3,AQ13,AR13)*C5/1000)</f>
        <v>59.976190476190467</v>
      </c>
      <c r="H11" s="893"/>
      <c r="J11" s="841">
        <f>Pandeo!L4*C5/SQRT(3)/10</f>
        <v>645.51884025894367</v>
      </c>
      <c r="K11" s="888">
        <f>C47*C5/SQRT(3)/10</f>
        <v>632.21229119762086</v>
      </c>
      <c r="M11" s="317"/>
      <c r="S11" s="337"/>
      <c r="T11" s="338"/>
      <c r="U11" s="339"/>
      <c r="V11" s="339"/>
      <c r="W11" s="339"/>
      <c r="X11" s="339"/>
      <c r="Y11" s="340"/>
      <c r="Z11" s="340" t="s">
        <v>1022</v>
      </c>
      <c r="AA11" s="339"/>
      <c r="AB11" s="339"/>
      <c r="AC11" s="339"/>
      <c r="AD11" s="339"/>
      <c r="AE11" s="340"/>
      <c r="AF11" s="339"/>
      <c r="AG11" s="340"/>
      <c r="AH11" s="334"/>
      <c r="AI11" s="338"/>
      <c r="AJ11" s="340"/>
      <c r="AK11" s="339" t="s">
        <v>1044</v>
      </c>
      <c r="AL11" s="339" t="s">
        <v>1045</v>
      </c>
      <c r="AM11" s="339" t="s">
        <v>1045</v>
      </c>
      <c r="AN11" s="345" t="s">
        <v>120</v>
      </c>
      <c r="AO11" s="340" t="s">
        <v>1022</v>
      </c>
      <c r="AP11" s="339" t="s">
        <v>1044</v>
      </c>
      <c r="AQ11" s="339" t="s">
        <v>1045</v>
      </c>
      <c r="AR11" s="339" t="s">
        <v>1045</v>
      </c>
      <c r="AS11" s="346" t="s">
        <v>120</v>
      </c>
      <c r="AT11" s="339"/>
      <c r="AU11" s="339" t="s">
        <v>1044</v>
      </c>
      <c r="AV11" s="347" t="s">
        <v>1046</v>
      </c>
      <c r="AW11" s="399" t="s">
        <v>65</v>
      </c>
      <c r="AX11" s="400" t="s">
        <v>69</v>
      </c>
      <c r="AY11" s="400" t="s">
        <v>122</v>
      </c>
      <c r="AZ11" s="400" t="s">
        <v>65</v>
      </c>
      <c r="BA11" s="400" t="s">
        <v>69</v>
      </c>
      <c r="BB11" s="401" t="s">
        <v>122</v>
      </c>
      <c r="BC11" s="319"/>
      <c r="BD11" s="319"/>
      <c r="BE11" s="319"/>
    </row>
    <row r="12" spans="2:57" ht="14.25" thickTop="1">
      <c r="B12" s="457"/>
      <c r="C12" s="1213" t="s">
        <v>2548</v>
      </c>
      <c r="D12" s="1214" t="s">
        <v>2748</v>
      </c>
      <c r="E12" s="1215">
        <f>PL!G74</f>
        <v>3</v>
      </c>
      <c r="F12" s="1215">
        <f>PL!G75</f>
        <v>1</v>
      </c>
      <c r="G12" s="1215">
        <f>PL!G78</f>
        <v>1</v>
      </c>
      <c r="H12" s="1216">
        <f>PL!G76</f>
        <v>2</v>
      </c>
      <c r="I12" s="776"/>
      <c r="J12" s="910" t="s">
        <v>1077</v>
      </c>
      <c r="K12" s="792" t="str">
        <f>IF(J10&lt;=0.5*J11,"¡Sí!","¡No!")</f>
        <v>¡Sí!</v>
      </c>
      <c r="O12" s="317"/>
      <c r="P12" s="317"/>
      <c r="Q12" s="317"/>
      <c r="R12" s="330"/>
      <c r="S12" s="330"/>
      <c r="T12" s="330"/>
      <c r="U12" s="330"/>
      <c r="V12" s="330"/>
      <c r="W12" s="330"/>
      <c r="X12" s="330"/>
      <c r="Y12" s="330"/>
      <c r="Z12" s="330"/>
      <c r="AA12" s="330"/>
      <c r="AB12" s="330"/>
      <c r="AC12" s="330"/>
      <c r="AD12" s="330"/>
      <c r="AE12" s="330"/>
      <c r="AF12" s="330"/>
      <c r="AG12" s="330"/>
      <c r="AH12" s="330"/>
      <c r="AI12" s="330"/>
      <c r="AJ12" s="330"/>
      <c r="AK12" s="330"/>
      <c r="AL12" s="330"/>
      <c r="AM12" s="330"/>
      <c r="AN12" s="330"/>
      <c r="AO12" s="330"/>
      <c r="AP12" s="330"/>
      <c r="AQ12" s="330"/>
      <c r="AR12" s="330"/>
      <c r="AS12" s="330"/>
      <c r="AT12" s="330"/>
      <c r="AU12" s="330"/>
      <c r="AV12" s="330"/>
      <c r="AW12" s="402"/>
      <c r="AX12" s="402"/>
      <c r="AY12" s="402"/>
      <c r="AZ12" s="402"/>
      <c r="BA12" s="402"/>
      <c r="BB12" s="402"/>
      <c r="BC12" s="317"/>
      <c r="BD12" s="317"/>
      <c r="BE12" s="317"/>
    </row>
    <row r="13" spans="2:57" ht="14.45" customHeight="1">
      <c r="B13" s="757"/>
      <c r="C13" s="912" t="s">
        <v>2757</v>
      </c>
      <c r="D13" s="913"/>
      <c r="E13" s="915">
        <f>E10/E11</f>
        <v>0.22592791823561059</v>
      </c>
      <c r="F13" s="916">
        <f t="shared" ref="F13:K13" si="0">F10/F11</f>
        <v>0.22786394936356683</v>
      </c>
      <c r="G13" s="916">
        <f t="shared" si="0"/>
        <v>0</v>
      </c>
      <c r="H13" s="916">
        <f>F13+G13</f>
        <v>0.22786394936356683</v>
      </c>
      <c r="I13" s="917"/>
      <c r="J13" s="916">
        <f t="shared" si="0"/>
        <v>1.7567264180006068E-2</v>
      </c>
      <c r="K13" s="914">
        <f t="shared" si="0"/>
        <v>4.0176378019927345E-3</v>
      </c>
      <c r="M13" s="795"/>
      <c r="N13" s="317"/>
      <c r="O13" s="317"/>
      <c r="P13" s="317"/>
      <c r="Q13" s="317"/>
      <c r="R13" s="341" t="str">
        <f>C11</f>
        <v>IPE 400</v>
      </c>
      <c r="S13" s="330"/>
      <c r="T13" s="330">
        <f>VLOOKUP($C$11,IPE!$B$7:$AN$124,2,0)</f>
        <v>66.3</v>
      </c>
      <c r="U13" s="330">
        <f>VLOOKUP($C$11,IPE!$B$7:$AN$124,3,0)</f>
        <v>400</v>
      </c>
      <c r="V13" s="330">
        <f>VLOOKUP($C$11,IPE!$B$7:$AN$124,4,0)</f>
        <v>180</v>
      </c>
      <c r="W13" s="330">
        <f>VLOOKUP($C$11,IPE!$B$7:$AN$124,5,0)</f>
        <v>8.6</v>
      </c>
      <c r="X13" s="330">
        <f>VLOOKUP($C$11,IPE!$B$7:$AN$124,6,0)</f>
        <v>13.5</v>
      </c>
      <c r="Y13" s="330">
        <f>VLOOKUP($C$11,IPE!$B$7:$AN$124,7,0)</f>
        <v>21</v>
      </c>
      <c r="Z13" s="330">
        <f>VLOOKUP($C$11,IPE!$B$7:$AN$124,8,0)</f>
        <v>84.5</v>
      </c>
      <c r="AA13" s="330">
        <f>VLOOKUP($C$11,IPE!$B$7:$AN$124,9,0)</f>
        <v>373</v>
      </c>
      <c r="AB13" s="330">
        <f>VLOOKUP($C$11,IPE!$B$7:$AN$124,10,0)</f>
        <v>331</v>
      </c>
      <c r="AC13" s="330" t="str">
        <f>VLOOKUP($C$11,IPE!$B$7:$AN$124,11,0)</f>
        <v>M 22</v>
      </c>
      <c r="AD13" s="330">
        <f>VLOOKUP($C$11,IPE!$B$7:$AN$124,12,0)</f>
        <v>96</v>
      </c>
      <c r="AE13" s="330">
        <f>VLOOKUP($C$11,IPE!$B$7:$AN$124,13,0)</f>
        <v>98</v>
      </c>
      <c r="AF13" s="330">
        <f>VLOOKUP($C$11,IPE!$B$7:$AN$124,14,0)</f>
        <v>1.4670000000000001</v>
      </c>
      <c r="AG13" s="330">
        <f>VLOOKUP($C$11,IPE!$B$7:$AN$124,15,0)</f>
        <v>22.12</v>
      </c>
      <c r="AH13" s="330">
        <f>VLOOKUP($C$11,IPE!$B$7:$AN$124,16,0)</f>
        <v>0</v>
      </c>
      <c r="AI13" s="330" t="str">
        <f>VLOOKUP($C$11,IPE!$B$7:$AN$124,17,0)</f>
        <v>IPE 400</v>
      </c>
      <c r="AJ13" s="330">
        <f>VLOOKUP($C$11,IPE!$B$7:$AN$124,18,0)</f>
        <v>66.3</v>
      </c>
      <c r="AK13" s="330">
        <f>VLOOKUP($C$11,IPE!$B$7:$AN$124,19,0)</f>
        <v>23130</v>
      </c>
      <c r="AL13" s="330">
        <f>VLOOKUP($C$11,IPE!$B$7:$AN$124,20,0)</f>
        <v>1156</v>
      </c>
      <c r="AM13" s="330">
        <f>VLOOKUP($C$11,IPE!$B$7:$AN$124,21,0)</f>
        <v>1307</v>
      </c>
      <c r="AN13" s="330">
        <f>VLOOKUP($C$11,IPE!$B$7:$AN$124,22,0)</f>
        <v>16.55</v>
      </c>
      <c r="AO13" s="330">
        <f>VLOOKUP($C$11,IPE!$B$7:$AN$124,23,0)</f>
        <v>42.69</v>
      </c>
      <c r="AP13" s="330">
        <f>VLOOKUP($C$11,IPE!$B$7:$AN$124,24,0)</f>
        <v>1318</v>
      </c>
      <c r="AQ13" s="330">
        <f>VLOOKUP($C$11,IPE!$B$7:$AN$124,25,0)</f>
        <v>146.4</v>
      </c>
      <c r="AR13" s="330">
        <f>VLOOKUP($C$11,IPE!$B$7:$AN$124,26,0)</f>
        <v>229</v>
      </c>
      <c r="AS13" s="330">
        <f>VLOOKUP($C$11,IPE!$B$7:$AN$124,27,0)</f>
        <v>3.95</v>
      </c>
      <c r="AT13" s="330">
        <f>VLOOKUP($C$11,IPE!$B$7:$AN$124,28,0)</f>
        <v>60.2</v>
      </c>
      <c r="AU13" s="330">
        <f>VLOOKUP($C$11,IPE!$B$7:$AN$124,29,0)</f>
        <v>51.08</v>
      </c>
      <c r="AV13" s="330">
        <f>VLOOKUP($C$11,IPE!$B$7:$AN$124,30,0)</f>
        <v>490</v>
      </c>
      <c r="AW13" s="402">
        <f>VLOOKUP($C$11,IPE!$B$7:$AN$124,31,0)</f>
        <v>1</v>
      </c>
      <c r="AX13" s="402">
        <f>VLOOKUP($C$11,IPE!$B$7:$AN$124,32,0)</f>
        <v>1</v>
      </c>
      <c r="AY13" s="402">
        <f>VLOOKUP($C$11,IPE!$B$7:$AN$124,33,0)</f>
        <v>1</v>
      </c>
      <c r="AZ13" s="402">
        <f>VLOOKUP($C$11,IPE!$B$7:$AN$124,34,0)</f>
        <v>3</v>
      </c>
      <c r="BA13" s="402">
        <f>VLOOKUP($C$11,IPE!$B$7:$AN$124,35,0)</f>
        <v>4</v>
      </c>
      <c r="BB13" s="402">
        <f>VLOOKUP($C$11,IPE!$B$7:$AN$124,36,0)</f>
        <v>4</v>
      </c>
      <c r="BC13" s="317"/>
      <c r="BD13" s="317"/>
      <c r="BE13" s="317"/>
    </row>
    <row r="14" spans="2:57" ht="16.149999999999999" customHeight="1">
      <c r="B14" s="771" t="s">
        <v>2644</v>
      </c>
      <c r="C14" s="772"/>
      <c r="D14" s="772"/>
      <c r="E14" s="773"/>
      <c r="F14" s="911" t="str">
        <f>IF(K12="¡Sí!","No","M-V")</f>
        <v>No</v>
      </c>
      <c r="G14" s="797" t="s">
        <v>967</v>
      </c>
      <c r="H14" s="798" t="s">
        <v>2453</v>
      </c>
      <c r="I14" s="799" t="s">
        <v>1126</v>
      </c>
      <c r="J14" s="800"/>
      <c r="K14" s="801" t="s">
        <v>2647</v>
      </c>
      <c r="M14" s="317"/>
      <c r="N14" s="317"/>
      <c r="O14" s="317"/>
      <c r="P14" s="317"/>
      <c r="Q14" s="317"/>
      <c r="R14" s="330"/>
      <c r="S14" s="330"/>
      <c r="T14" s="330"/>
      <c r="AD14" s="330"/>
      <c r="AE14" s="330"/>
      <c r="AF14" s="330"/>
      <c r="AG14" s="330"/>
      <c r="AH14" s="330"/>
      <c r="AI14" s="330"/>
      <c r="AJ14" s="330"/>
      <c r="AK14" s="330"/>
      <c r="AL14" s="330"/>
      <c r="AM14" s="330"/>
      <c r="AN14" s="330"/>
      <c r="AO14" s="330"/>
      <c r="AP14" s="330"/>
      <c r="AQ14" s="330"/>
      <c r="AR14" s="330"/>
      <c r="AS14" s="330"/>
      <c r="AT14" s="330"/>
      <c r="AU14" s="330"/>
      <c r="AV14" s="330"/>
      <c r="AW14" s="317">
        <f>IF(U13/V13&gt;1.2,AU16,AU18)</f>
        <v>0</v>
      </c>
      <c r="AX14" s="317"/>
      <c r="AY14" s="317"/>
      <c r="AZ14" s="317"/>
      <c r="BA14" s="317"/>
      <c r="BB14" s="317"/>
      <c r="BC14" s="317" t="s">
        <v>975</v>
      </c>
      <c r="BD14" s="317"/>
      <c r="BE14" s="317"/>
    </row>
    <row r="15" spans="2:57" ht="13.5">
      <c r="B15" s="757"/>
      <c r="C15" s="120"/>
      <c r="D15" s="120"/>
      <c r="E15" s="120"/>
      <c r="F15" s="838" t="s">
        <v>1130</v>
      </c>
      <c r="G15" s="840">
        <f>(2*J10/J11-1)^2</f>
        <v>0.93096537836305615</v>
      </c>
      <c r="H15" s="834">
        <f>(F11/C5*1000000-G15*POWER(C47*100,2)/4/W13)*C5/1000000</f>
        <v>218.40738090889349</v>
      </c>
      <c r="I15" s="835">
        <f>IF(J10&gt;0.5*J11,H15,F11)</f>
        <v>342.3095238095238</v>
      </c>
      <c r="J15" s="836" t="s">
        <v>2646</v>
      </c>
      <c r="K15" s="837">
        <f>F10/I15+E10/E11+G10/G11</f>
        <v>0.45379186759917745</v>
      </c>
      <c r="M15" s="356"/>
      <c r="N15" s="356"/>
      <c r="O15" s="356"/>
      <c r="P15" s="356"/>
      <c r="Q15" s="356"/>
      <c r="R15" s="356"/>
      <c r="S15" s="356"/>
      <c r="T15" s="356"/>
      <c r="AD15" s="317"/>
      <c r="AE15" s="317"/>
      <c r="AF15" s="330"/>
      <c r="AG15" s="330"/>
      <c r="AH15" s="330"/>
      <c r="AI15" s="330"/>
      <c r="AJ15" s="330"/>
      <c r="AK15" s="330"/>
      <c r="AL15" s="330"/>
      <c r="AM15" s="330"/>
      <c r="AN15" s="330"/>
      <c r="AO15" s="330"/>
      <c r="AP15" s="330"/>
      <c r="AQ15" s="330"/>
      <c r="AR15" s="330"/>
      <c r="AS15" s="330"/>
      <c r="AT15" s="330"/>
      <c r="AU15" s="330"/>
      <c r="AV15" s="330"/>
      <c r="AW15" s="317"/>
      <c r="AX15" s="317"/>
      <c r="AY15" s="317"/>
      <c r="AZ15" s="317"/>
      <c r="BA15" s="317"/>
      <c r="BB15" s="317"/>
      <c r="BC15" s="317"/>
      <c r="BD15" s="317"/>
      <c r="BE15" s="317"/>
    </row>
    <row r="16" spans="2:57" ht="13.5">
      <c r="B16" s="757"/>
      <c r="C16" s="120"/>
      <c r="D16" s="120"/>
      <c r="E16" s="120"/>
      <c r="F16" s="838" t="s">
        <v>1131</v>
      </c>
      <c r="G16" s="839">
        <f>(2*K10/K11-1)^2</f>
        <v>0.98399401444606116</v>
      </c>
      <c r="H16" s="120"/>
      <c r="I16" s="86"/>
      <c r="J16" s="120"/>
      <c r="K16" s="758"/>
      <c r="M16" s="364"/>
      <c r="N16" s="356"/>
      <c r="O16" s="356"/>
      <c r="P16" s="356"/>
      <c r="Q16" s="356"/>
      <c r="R16" s="356"/>
      <c r="S16" s="356"/>
      <c r="T16" s="356"/>
      <c r="U16" s="317"/>
      <c r="V16" s="317"/>
      <c r="W16" s="317"/>
      <c r="X16" s="317"/>
      <c r="Y16" s="317"/>
      <c r="Z16" s="317"/>
      <c r="AA16" s="317"/>
      <c r="AB16" s="317"/>
      <c r="AC16" s="317"/>
      <c r="AD16" s="317"/>
      <c r="AE16" s="317"/>
      <c r="AF16" s="317"/>
      <c r="AG16" s="317"/>
      <c r="AH16" s="317"/>
      <c r="AI16" s="317"/>
      <c r="AJ16" s="317"/>
      <c r="AK16" s="317"/>
      <c r="AL16" s="317"/>
      <c r="AM16" s="317"/>
      <c r="AN16" s="317"/>
      <c r="AO16" s="317"/>
      <c r="AP16" s="317"/>
      <c r="AQ16" s="317"/>
      <c r="AR16" s="317"/>
      <c r="AS16" s="317"/>
      <c r="AT16" s="317"/>
      <c r="AU16" s="317"/>
      <c r="AV16" s="317"/>
      <c r="AW16" s="317"/>
      <c r="AX16" s="317"/>
      <c r="AY16" s="317"/>
      <c r="AZ16" s="317"/>
      <c r="BA16" s="317"/>
      <c r="BB16" s="317"/>
      <c r="BC16" s="317"/>
      <c r="BD16" s="317"/>
      <c r="BE16" s="317"/>
    </row>
    <row r="17" spans="2:57">
      <c r="B17" s="757"/>
      <c r="C17" s="120"/>
      <c r="D17" s="120"/>
      <c r="E17" s="120"/>
      <c r="F17" s="120"/>
      <c r="G17" s="120"/>
      <c r="H17" s="120"/>
      <c r="I17" s="120"/>
      <c r="J17" s="120"/>
      <c r="K17" s="758"/>
      <c r="M17" s="364"/>
      <c r="N17" s="356" t="s">
        <v>1047</v>
      </c>
      <c r="O17" s="363" t="s">
        <v>68</v>
      </c>
      <c r="P17" s="364" t="s">
        <v>67</v>
      </c>
      <c r="Q17" s="364" t="s">
        <v>674</v>
      </c>
      <c r="R17" s="365" t="s">
        <v>463</v>
      </c>
      <c r="S17" s="356"/>
      <c r="T17" s="356"/>
      <c r="U17" s="317"/>
      <c r="V17" s="317"/>
      <c r="W17" s="317"/>
      <c r="X17" s="317"/>
      <c r="Y17" s="317"/>
      <c r="Z17" s="317"/>
      <c r="AA17" s="317"/>
      <c r="AB17" s="317"/>
      <c r="AC17" s="317"/>
      <c r="AD17" s="317"/>
      <c r="AE17" s="317"/>
      <c r="AF17" s="317"/>
      <c r="AG17" s="317"/>
      <c r="AH17" s="317"/>
      <c r="AI17" s="317"/>
      <c r="AJ17" s="317"/>
      <c r="AK17" s="317"/>
      <c r="AL17" s="317"/>
      <c r="AM17" s="317"/>
      <c r="AN17" s="317"/>
      <c r="AO17" s="317"/>
      <c r="AP17" s="317"/>
      <c r="AQ17" s="317"/>
      <c r="AR17" s="317"/>
      <c r="AS17" s="317"/>
      <c r="AT17" s="317"/>
      <c r="AU17" s="317"/>
      <c r="AV17" s="317"/>
      <c r="AW17" s="317"/>
      <c r="AX17" s="317"/>
      <c r="AY17" s="317"/>
      <c r="AZ17" s="317"/>
      <c r="BA17" s="317"/>
      <c r="BB17" s="317"/>
      <c r="BC17" s="317"/>
      <c r="BD17" s="317"/>
      <c r="BE17" s="317"/>
    </row>
    <row r="18" spans="2:57">
      <c r="B18" s="428"/>
      <c r="C18" s="87"/>
      <c r="D18" s="87"/>
      <c r="E18" s="87"/>
      <c r="F18" s="87"/>
      <c r="G18" s="87"/>
      <c r="H18" s="87"/>
      <c r="I18" s="87"/>
      <c r="J18" s="87"/>
      <c r="K18" s="427"/>
      <c r="M18" s="364"/>
      <c r="N18" s="356" t="str">
        <f t="shared" ref="N18:N41" si="1">IF($B$11=$O$17,O18,IF($B$11=$P$17,P18,IF($B$11=$Q$17,Q18,R18)))</f>
        <v>IPE 80</v>
      </c>
      <c r="O18" s="366" t="s">
        <v>124</v>
      </c>
      <c r="P18" s="367" t="s">
        <v>186</v>
      </c>
      <c r="Q18" s="367" t="s">
        <v>675</v>
      </c>
      <c r="R18" s="368" t="s">
        <v>464</v>
      </c>
      <c r="S18" s="356"/>
      <c r="T18" s="356"/>
      <c r="U18" s="317"/>
      <c r="V18" s="317"/>
      <c r="W18" s="317"/>
      <c r="X18" s="317"/>
      <c r="Y18" s="317"/>
      <c r="Z18" s="317"/>
      <c r="AA18" s="317"/>
      <c r="AB18" s="317"/>
      <c r="AC18" s="317"/>
      <c r="AD18" s="317"/>
      <c r="AE18" s="317"/>
      <c r="AF18" s="317"/>
      <c r="AG18" s="317"/>
      <c r="AH18" s="317"/>
      <c r="AI18" s="317"/>
      <c r="AJ18" s="317"/>
      <c r="AK18" s="317"/>
      <c r="AL18" s="317"/>
      <c r="AM18" s="317"/>
      <c r="AN18" s="317"/>
      <c r="AO18" s="317"/>
      <c r="AP18" s="317"/>
      <c r="AQ18" s="317"/>
      <c r="AR18" s="317"/>
      <c r="AS18" s="317"/>
      <c r="AT18" s="317"/>
      <c r="AU18" s="317"/>
      <c r="AV18" s="317"/>
      <c r="AW18" s="317"/>
      <c r="AX18" s="317"/>
      <c r="AY18" s="317"/>
      <c r="AZ18" s="317"/>
      <c r="BA18" s="317"/>
      <c r="BB18" s="317"/>
      <c r="BC18" s="317"/>
      <c r="BD18" s="317"/>
      <c r="BE18" s="317"/>
    </row>
    <row r="19" spans="2:57" ht="15.75">
      <c r="B19" s="432" t="s">
        <v>1083</v>
      </c>
      <c r="C19" s="433"/>
      <c r="D19" s="433"/>
      <c r="E19" s="430"/>
      <c r="F19" s="430" t="s">
        <v>1009</v>
      </c>
      <c r="G19" s="433"/>
      <c r="H19" s="433"/>
      <c r="I19" s="433" t="s">
        <v>1084</v>
      </c>
      <c r="J19" s="433"/>
      <c r="K19" s="427"/>
      <c r="M19" s="369"/>
      <c r="N19" s="356" t="str">
        <f t="shared" si="1"/>
        <v>IPE 100</v>
      </c>
      <c r="O19" s="370" t="s">
        <v>126</v>
      </c>
      <c r="P19" s="371" t="s">
        <v>204</v>
      </c>
      <c r="Q19" s="371" t="s">
        <v>692</v>
      </c>
      <c r="R19" s="372" t="s">
        <v>479</v>
      </c>
      <c r="S19" s="356"/>
      <c r="T19" s="356"/>
      <c r="U19" s="317"/>
      <c r="V19" s="317"/>
      <c r="W19" s="317"/>
      <c r="X19" s="317"/>
      <c r="Y19" s="317"/>
      <c r="Z19" s="317"/>
      <c r="AA19" s="317"/>
      <c r="AB19" s="317"/>
      <c r="AC19" s="317"/>
      <c r="AD19" s="317"/>
      <c r="AE19" s="317"/>
      <c r="AF19" s="317"/>
      <c r="AG19" s="317"/>
      <c r="AH19" s="317"/>
      <c r="AI19" s="317"/>
      <c r="AJ19" s="317"/>
      <c r="AK19" s="317"/>
      <c r="AL19" s="317"/>
      <c r="AM19" s="317"/>
      <c r="AN19" s="317"/>
      <c r="AO19" s="317"/>
      <c r="AP19" s="317"/>
      <c r="AQ19" s="317"/>
      <c r="AR19" s="317"/>
      <c r="AS19" s="317"/>
      <c r="AT19" s="317"/>
      <c r="AU19" s="317"/>
      <c r="AV19" s="317"/>
      <c r="AW19" s="317"/>
      <c r="AX19" s="317"/>
      <c r="AY19" s="317"/>
      <c r="AZ19" s="317"/>
      <c r="BA19" s="317"/>
      <c r="BB19" s="317"/>
      <c r="BC19" s="317"/>
      <c r="BD19" s="317"/>
      <c r="BE19" s="317"/>
    </row>
    <row r="20" spans="2:57">
      <c r="B20" s="428"/>
      <c r="C20" s="87"/>
      <c r="D20" s="87"/>
      <c r="E20" s="87"/>
      <c r="F20" s="87"/>
      <c r="G20" s="87"/>
      <c r="H20" s="87"/>
      <c r="I20" s="87"/>
      <c r="J20" s="87"/>
      <c r="K20" s="427"/>
      <c r="M20" s="363"/>
      <c r="N20" s="356" t="str">
        <f t="shared" si="1"/>
        <v>IPE 120</v>
      </c>
      <c r="O20" s="370" t="s">
        <v>128</v>
      </c>
      <c r="P20" s="371" t="s">
        <v>219</v>
      </c>
      <c r="Q20" s="371" t="s">
        <v>707</v>
      </c>
      <c r="R20" s="372" t="s">
        <v>495</v>
      </c>
      <c r="S20" s="356"/>
      <c r="T20" s="356"/>
      <c r="U20" s="317"/>
      <c r="V20" s="317"/>
      <c r="W20" s="317"/>
      <c r="X20" s="317"/>
      <c r="Y20" s="317"/>
      <c r="Z20" s="317"/>
      <c r="AA20" s="317"/>
      <c r="AB20" s="317"/>
      <c r="AC20" s="317"/>
      <c r="AD20" s="317"/>
      <c r="AE20" s="317"/>
      <c r="AF20" s="317"/>
      <c r="AG20" s="317"/>
      <c r="AH20" s="317"/>
      <c r="AI20" s="317"/>
      <c r="AJ20" s="317"/>
      <c r="AK20" s="317"/>
      <c r="AL20" s="317"/>
      <c r="AM20" s="317"/>
      <c r="AN20" s="317"/>
      <c r="AO20" s="317"/>
      <c r="AP20" s="317"/>
      <c r="AQ20" s="317"/>
      <c r="AR20" s="317"/>
      <c r="AS20" s="317"/>
      <c r="AT20" s="317"/>
      <c r="AU20" s="317"/>
      <c r="AV20" s="317"/>
      <c r="AW20" s="317"/>
      <c r="AX20" s="317"/>
      <c r="AY20" s="317"/>
      <c r="AZ20" s="317"/>
      <c r="BA20" s="317"/>
      <c r="BB20" s="317"/>
      <c r="BC20" s="317"/>
      <c r="BD20" s="317"/>
      <c r="BE20" s="317"/>
    </row>
    <row r="21" spans="2:57" ht="18.75">
      <c r="B21" s="765" t="s">
        <v>1014</v>
      </c>
      <c r="C21" s="450" t="s">
        <v>1094</v>
      </c>
      <c r="D21" s="766" t="s">
        <v>1095</v>
      </c>
      <c r="E21" s="450" t="s">
        <v>1096</v>
      </c>
      <c r="F21" s="450" t="s">
        <v>1097</v>
      </c>
      <c r="G21" s="766" t="s">
        <v>21</v>
      </c>
      <c r="H21" s="767" t="s">
        <v>1098</v>
      </c>
      <c r="I21" s="768" t="s">
        <v>1078</v>
      </c>
      <c r="J21" s="450" t="s">
        <v>1080</v>
      </c>
      <c r="K21" s="1064" t="s">
        <v>2759</v>
      </c>
      <c r="M21" s="373" t="s">
        <v>2760</v>
      </c>
      <c r="N21" s="356" t="str">
        <f t="shared" si="1"/>
        <v>IPE 140</v>
      </c>
      <c r="O21" s="370" t="s">
        <v>130</v>
      </c>
      <c r="P21" s="371" t="s">
        <v>236</v>
      </c>
      <c r="Q21" s="371" t="s">
        <v>724</v>
      </c>
      <c r="R21" s="372" t="s">
        <v>510</v>
      </c>
      <c r="S21" s="356"/>
      <c r="T21" s="356"/>
      <c r="U21" s="317"/>
      <c r="V21" s="317"/>
      <c r="W21" s="317"/>
      <c r="X21" s="317"/>
      <c r="Y21" s="317"/>
      <c r="Z21" s="317"/>
      <c r="AA21" s="317"/>
      <c r="AB21" s="317"/>
      <c r="AC21" s="317"/>
      <c r="AD21" s="317"/>
      <c r="AE21" s="317"/>
      <c r="AF21" s="317"/>
      <c r="AG21" s="317"/>
      <c r="AH21" s="317"/>
      <c r="AI21" s="317"/>
      <c r="AJ21" s="317"/>
      <c r="AK21" s="317"/>
      <c r="AL21" s="317"/>
      <c r="AM21" s="317"/>
      <c r="AN21" s="317"/>
      <c r="AO21" s="317"/>
      <c r="AP21" s="317"/>
      <c r="AQ21" s="317"/>
      <c r="AR21" s="317"/>
      <c r="AS21" s="317"/>
      <c r="AT21" s="317"/>
      <c r="AU21" s="317"/>
      <c r="AV21" s="317"/>
      <c r="AW21" s="317"/>
      <c r="AX21" s="317"/>
      <c r="AY21" s="317"/>
      <c r="AZ21" s="317"/>
      <c r="BA21" s="317"/>
      <c r="BB21" s="317"/>
      <c r="BC21" s="317"/>
      <c r="BD21" s="317"/>
      <c r="BE21" s="317"/>
    </row>
    <row r="22" spans="2:57" ht="15">
      <c r="B22" s="454" t="str">
        <f>C11</f>
        <v>IPE 400</v>
      </c>
      <c r="C22" s="752">
        <v>5</v>
      </c>
      <c r="D22" s="451">
        <v>1</v>
      </c>
      <c r="E22" s="751">
        <f>C22*D22</f>
        <v>5</v>
      </c>
      <c r="F22" s="451">
        <v>1.55</v>
      </c>
      <c r="G22" s="407">
        <f>Pandeo!H31</f>
        <v>2.2222222222222223</v>
      </c>
      <c r="H22" s="408">
        <f>Pandeo!I31</f>
        <v>0.34</v>
      </c>
      <c r="I22" s="769" t="str">
        <f>Pandeo!J31</f>
        <v>b</v>
      </c>
      <c r="J22" s="407">
        <f>PL!F8/10</f>
        <v>4.4705587266243016</v>
      </c>
      <c r="K22" s="919">
        <f>PL!H96/1000</f>
        <v>1.3018959262750947</v>
      </c>
      <c r="M22" s="363">
        <f>0.4*G48</f>
        <v>1.58</v>
      </c>
      <c r="N22" s="356" t="str">
        <f t="shared" si="1"/>
        <v>IPE 160</v>
      </c>
      <c r="O22" s="370" t="s">
        <v>131</v>
      </c>
      <c r="P22" s="371" t="s">
        <v>251</v>
      </c>
      <c r="Q22" s="371" t="s">
        <v>740</v>
      </c>
      <c r="R22" s="372" t="s">
        <v>524</v>
      </c>
      <c r="S22" s="356"/>
      <c r="T22" s="356"/>
      <c r="U22" s="317"/>
      <c r="V22" s="317"/>
      <c r="W22" s="317"/>
      <c r="X22" s="317"/>
      <c r="Y22" s="317"/>
      <c r="Z22" s="317"/>
      <c r="AA22" s="317"/>
      <c r="AB22" s="317"/>
      <c r="AC22" s="317"/>
      <c r="AD22" s="317"/>
      <c r="AE22" s="317"/>
      <c r="AF22" s="317"/>
      <c r="AG22" s="317"/>
      <c r="AH22" s="317"/>
      <c r="AI22" s="317"/>
      <c r="AJ22" s="317"/>
      <c r="AK22" s="317"/>
      <c r="AL22" s="317"/>
      <c r="AM22" s="317"/>
      <c r="AN22" s="317"/>
      <c r="AO22" s="317"/>
      <c r="AP22" s="317"/>
      <c r="AQ22" s="317"/>
      <c r="AR22" s="317"/>
      <c r="AS22" s="317"/>
      <c r="AT22" s="317"/>
      <c r="AU22" s="317"/>
      <c r="AV22" s="317"/>
      <c r="AW22" s="317"/>
      <c r="AX22" s="317"/>
      <c r="AY22" s="317"/>
      <c r="AZ22" s="317"/>
      <c r="BA22" s="317"/>
      <c r="BB22" s="317"/>
      <c r="BC22" s="317"/>
      <c r="BD22" s="317"/>
      <c r="BE22" s="317"/>
    </row>
    <row r="23" spans="2:57" ht="15">
      <c r="B23" s="1103" t="s">
        <v>2463</v>
      </c>
      <c r="C23" s="120"/>
      <c r="D23" s="120"/>
      <c r="E23" s="120"/>
      <c r="F23" s="120"/>
      <c r="H23" s="83">
        <f>Pandeo!I32</f>
        <v>0.34</v>
      </c>
      <c r="I23" s="769" t="str">
        <f>Pandeo!J32</f>
        <v>b</v>
      </c>
      <c r="J23" s="120"/>
      <c r="K23" s="918"/>
      <c r="M23" s="363"/>
      <c r="N23" s="356" t="str">
        <f t="shared" si="1"/>
        <v>IPE 180</v>
      </c>
      <c r="O23" s="370" t="s">
        <v>134</v>
      </c>
      <c r="P23" s="371" t="s">
        <v>266</v>
      </c>
      <c r="Q23" s="371" t="s">
        <v>754</v>
      </c>
      <c r="R23" s="372" t="s">
        <v>537</v>
      </c>
      <c r="S23" s="356"/>
      <c r="T23" s="356"/>
      <c r="U23" s="317"/>
      <c r="V23" s="317"/>
      <c r="W23" s="317"/>
      <c r="X23" s="317"/>
      <c r="Y23" s="317"/>
      <c r="Z23" s="317"/>
      <c r="AA23" s="317"/>
      <c r="AB23" s="317"/>
      <c r="AC23" s="317"/>
      <c r="AD23" s="317"/>
      <c r="AE23" s="317"/>
      <c r="AF23" s="317"/>
      <c r="AG23" s="317"/>
      <c r="AH23" s="317"/>
      <c r="AI23" s="317"/>
      <c r="AJ23" s="317"/>
      <c r="AK23" s="317"/>
      <c r="AL23" s="317"/>
      <c r="AM23" s="317"/>
      <c r="AN23" s="317"/>
      <c r="AO23" s="317"/>
      <c r="AP23" s="317"/>
      <c r="AQ23" s="317"/>
      <c r="AR23" s="317"/>
      <c r="AS23" s="317"/>
      <c r="AT23" s="317"/>
      <c r="AU23" s="317"/>
      <c r="AV23" s="317"/>
      <c r="AW23" s="317"/>
      <c r="AX23" s="317"/>
      <c r="AY23" s="317"/>
      <c r="AZ23" s="317"/>
      <c r="BA23" s="317"/>
      <c r="BB23" s="317"/>
      <c r="BC23" s="317"/>
      <c r="BD23" s="317"/>
      <c r="BE23" s="317"/>
    </row>
    <row r="24" spans="2:57" ht="18.75">
      <c r="B24" s="1231" t="s">
        <v>1081</v>
      </c>
      <c r="C24" s="1232" t="s">
        <v>1132</v>
      </c>
      <c r="D24" s="1232" t="s">
        <v>1133</v>
      </c>
      <c r="E24" s="1233" t="s">
        <v>2822</v>
      </c>
      <c r="F24" s="1232" t="s">
        <v>1134</v>
      </c>
      <c r="G24" s="1233" t="s">
        <v>1099</v>
      </c>
      <c r="H24" s="1233" t="s">
        <v>1</v>
      </c>
      <c r="I24" s="1234" t="s">
        <v>1082</v>
      </c>
      <c r="J24" s="1235" t="s">
        <v>1135</v>
      </c>
      <c r="K24" s="1236" t="s">
        <v>968</v>
      </c>
      <c r="M24" s="364"/>
      <c r="N24" s="356" t="str">
        <f t="shared" si="1"/>
        <v>IPE 200</v>
      </c>
      <c r="O24" s="370" t="s">
        <v>137</v>
      </c>
      <c r="P24" s="371" t="s">
        <v>282</v>
      </c>
      <c r="Q24" s="371" t="s">
        <v>768</v>
      </c>
      <c r="R24" s="372" t="s">
        <v>548</v>
      </c>
      <c r="S24" s="356"/>
      <c r="T24" s="356"/>
      <c r="U24" s="317"/>
      <c r="V24" s="317"/>
      <c r="W24" s="317"/>
      <c r="X24" s="317"/>
      <c r="Y24" s="317"/>
      <c r="Z24" s="317"/>
      <c r="AA24" s="317"/>
      <c r="AB24" s="317"/>
      <c r="AC24" s="317"/>
      <c r="AD24" s="317"/>
      <c r="AE24" s="317"/>
      <c r="AF24" s="317"/>
      <c r="AG24" s="317"/>
      <c r="AH24" s="317"/>
      <c r="AI24" s="317"/>
      <c r="AJ24" s="317"/>
      <c r="AK24" s="317"/>
      <c r="AL24" s="317"/>
      <c r="AM24" s="317"/>
      <c r="AN24" s="317"/>
      <c r="AO24" s="317"/>
      <c r="AP24" s="317"/>
      <c r="AQ24" s="317"/>
      <c r="AR24" s="317"/>
      <c r="AS24" s="317"/>
      <c r="AT24" s="317"/>
      <c r="AU24" s="317"/>
      <c r="AV24" s="317"/>
      <c r="AW24" s="317"/>
      <c r="AX24" s="317"/>
      <c r="AY24" s="317"/>
      <c r="AZ24" s="317"/>
      <c r="BA24" s="317"/>
      <c r="BB24" s="317"/>
      <c r="BC24" s="317"/>
      <c r="BD24" s="317"/>
      <c r="BE24" s="317"/>
    </row>
    <row r="25" spans="2:57" ht="14.25">
      <c r="B25" s="923" t="s">
        <v>2766</v>
      </c>
      <c r="C25" s="921">
        <f>Pandeo!B35</f>
        <v>231.77403742487263</v>
      </c>
      <c r="D25" s="921">
        <f>Pandeo!C35</f>
        <v>327.52946241440094</v>
      </c>
      <c r="E25" s="451">
        <v>0.7</v>
      </c>
      <c r="F25" s="922">
        <f>Pandeo!D35</f>
        <v>280.86906033792582</v>
      </c>
      <c r="G25" s="408">
        <f>Pandeo!E35</f>
        <v>1.1312333237768584</v>
      </c>
      <c r="H25" s="408">
        <f>Pandeo!F35</f>
        <v>1.2981540814536852</v>
      </c>
      <c r="I25" s="408">
        <f>IF(Pandeo!G35&gt;1,1,Pandeo!G35)</f>
        <v>0.51680793128973057</v>
      </c>
      <c r="J25" s="1212">
        <f>Pandeo!H35</f>
        <v>176.90827686077276</v>
      </c>
      <c r="K25" s="1106">
        <f>$F$10/J25</f>
        <v>0.44090644815553875</v>
      </c>
      <c r="M25" s="364"/>
      <c r="N25" s="356" t="str">
        <f t="shared" si="1"/>
        <v>IPE 220</v>
      </c>
      <c r="O25" s="370" t="s">
        <v>141</v>
      </c>
      <c r="P25" s="371" t="s">
        <v>296</v>
      </c>
      <c r="Q25" s="371" t="s">
        <v>782</v>
      </c>
      <c r="R25" s="372" t="s">
        <v>557</v>
      </c>
      <c r="S25" s="356"/>
      <c r="T25" s="356"/>
      <c r="U25" s="317"/>
      <c r="V25" s="317"/>
      <c r="W25" s="317"/>
      <c r="X25" s="317"/>
      <c r="Y25" s="317"/>
      <c r="Z25" s="317"/>
      <c r="AA25" s="317"/>
      <c r="AB25" s="317"/>
      <c r="AC25" s="317"/>
      <c r="AD25" s="317"/>
      <c r="AE25" s="317"/>
      <c r="AF25" s="317"/>
      <c r="AG25" s="317"/>
      <c r="AH25" s="317"/>
      <c r="AI25" s="317"/>
      <c r="AJ25" s="317"/>
      <c r="AK25" s="317"/>
      <c r="AL25" s="317"/>
      <c r="AM25" s="317"/>
      <c r="AN25" s="317"/>
      <c r="AO25" s="317"/>
      <c r="AP25" s="317"/>
      <c r="AQ25" s="317"/>
      <c r="AR25" s="317"/>
      <c r="AS25" s="317"/>
      <c r="AT25" s="317"/>
      <c r="AU25" s="317"/>
      <c r="AV25" s="317"/>
      <c r="AW25" s="317"/>
      <c r="AX25" s="317"/>
      <c r="AY25" s="317"/>
      <c r="AZ25" s="317"/>
      <c r="BA25" s="317"/>
      <c r="BB25" s="317"/>
      <c r="BC25" s="317"/>
      <c r="BD25" s="317"/>
      <c r="BE25" s="317"/>
    </row>
    <row r="26" spans="2:57" ht="14.25">
      <c r="B26" s="1103" t="s">
        <v>2657</v>
      </c>
      <c r="C26" s="86"/>
      <c r="D26" s="86"/>
      <c r="E26" s="451">
        <v>1</v>
      </c>
      <c r="F26" s="1104">
        <f>PL!O93</f>
        <v>462.51291151280242</v>
      </c>
      <c r="G26" s="408">
        <f>PL!P95</f>
        <v>0.88154037946467867</v>
      </c>
      <c r="H26" s="408">
        <f>PL!P98</f>
        <v>1.0044185848223601</v>
      </c>
      <c r="I26" s="408">
        <f>PL!N99</f>
        <v>0.67303094911550665</v>
      </c>
      <c r="J26" s="1211">
        <f>PL!P99</f>
        <v>230.38490370080092</v>
      </c>
      <c r="K26" s="1105">
        <f>$F$10/J26</f>
        <v>0.33856385009192264</v>
      </c>
      <c r="M26" s="364"/>
      <c r="N26" s="356" t="str">
        <f t="shared" si="1"/>
        <v>IPE 240</v>
      </c>
      <c r="O26" s="370" t="s">
        <v>143</v>
      </c>
      <c r="P26" s="371" t="s">
        <v>309</v>
      </c>
      <c r="Q26" s="371" t="s">
        <v>797</v>
      </c>
      <c r="R26" s="372" t="s">
        <v>567</v>
      </c>
      <c r="S26" s="356"/>
      <c r="T26" s="356"/>
      <c r="U26" s="317"/>
      <c r="V26" s="317"/>
      <c r="W26" s="317"/>
      <c r="X26" s="317"/>
      <c r="Y26" s="317"/>
      <c r="Z26" s="317"/>
      <c r="AA26" s="317"/>
      <c r="AB26" s="317"/>
      <c r="AC26" s="317"/>
      <c r="AD26" s="317"/>
      <c r="AE26" s="317"/>
      <c r="AF26" s="317"/>
      <c r="AG26" s="317"/>
      <c r="AH26" s="317"/>
      <c r="AI26" s="317"/>
      <c r="AJ26" s="317"/>
      <c r="AK26" s="317"/>
      <c r="AL26" s="317"/>
      <c r="AM26" s="317"/>
      <c r="AN26" s="317"/>
      <c r="AO26" s="317"/>
      <c r="AP26" s="317"/>
      <c r="AQ26" s="317"/>
      <c r="AR26" s="317"/>
      <c r="AS26" s="317"/>
      <c r="AT26" s="317"/>
      <c r="AU26" s="317"/>
      <c r="AV26" s="317"/>
      <c r="AW26" s="317"/>
      <c r="AX26" s="317"/>
      <c r="AY26" s="317"/>
      <c r="AZ26" s="317"/>
      <c r="BA26" s="317"/>
      <c r="BB26" s="317"/>
      <c r="BC26" s="317"/>
      <c r="BD26" s="317"/>
      <c r="BE26" s="317"/>
    </row>
    <row r="27" spans="2:57">
      <c r="B27" s="428"/>
      <c r="C27" s="87"/>
      <c r="D27" s="87"/>
      <c r="E27" s="87"/>
      <c r="F27" s="87"/>
      <c r="G27" s="87"/>
      <c r="H27" s="87"/>
      <c r="I27" s="87"/>
      <c r="J27" s="87"/>
      <c r="K27" s="427"/>
      <c r="M27" s="364"/>
      <c r="N27" s="356" t="str">
        <f t="shared" si="1"/>
        <v>IPE 270</v>
      </c>
      <c r="O27" s="370" t="s">
        <v>52</v>
      </c>
      <c r="P27" s="371" t="s">
        <v>321</v>
      </c>
      <c r="Q27" s="371" t="s">
        <v>812</v>
      </c>
      <c r="R27" s="372" t="s">
        <v>575</v>
      </c>
      <c r="S27" s="356"/>
      <c r="T27" s="356"/>
      <c r="U27" s="317"/>
      <c r="V27" s="317"/>
      <c r="W27" s="317"/>
      <c r="X27" s="317"/>
      <c r="Y27" s="317"/>
      <c r="Z27" s="317"/>
      <c r="AA27" s="317"/>
      <c r="AB27" s="317"/>
      <c r="AC27" s="317"/>
      <c r="AD27" s="317"/>
      <c r="AE27" s="317"/>
      <c r="AF27" s="317"/>
      <c r="AG27" s="317"/>
      <c r="AH27" s="317"/>
      <c r="AI27" s="317"/>
      <c r="AJ27" s="317"/>
      <c r="AK27" s="317"/>
      <c r="AL27" s="317"/>
      <c r="AM27" s="317"/>
      <c r="AN27" s="317"/>
      <c r="AO27" s="317"/>
      <c r="AP27" s="317"/>
      <c r="AQ27" s="317"/>
      <c r="AR27" s="317"/>
      <c r="AS27" s="317"/>
      <c r="AT27" s="317"/>
      <c r="AU27" s="317"/>
      <c r="AV27" s="317"/>
      <c r="AW27" s="317"/>
      <c r="AX27" s="317"/>
      <c r="AY27" s="317"/>
      <c r="AZ27" s="317"/>
      <c r="BA27" s="317"/>
      <c r="BB27" s="317"/>
      <c r="BC27" s="317"/>
      <c r="BD27" s="317"/>
      <c r="BE27" s="317"/>
    </row>
    <row r="28" spans="2:57" ht="15.75">
      <c r="B28" s="432" t="s">
        <v>1083</v>
      </c>
      <c r="C28" s="433"/>
      <c r="D28" s="433"/>
      <c r="E28" s="430"/>
      <c r="F28" s="430" t="s">
        <v>1085</v>
      </c>
      <c r="G28" s="433"/>
      <c r="H28" s="433"/>
      <c r="I28" s="433"/>
      <c r="J28" s="433"/>
      <c r="K28" s="433"/>
      <c r="M28" s="356"/>
      <c r="N28" s="356" t="str">
        <f t="shared" si="1"/>
        <v>IPE 300</v>
      </c>
      <c r="O28" s="370" t="s">
        <v>51</v>
      </c>
      <c r="P28" s="371" t="s">
        <v>331</v>
      </c>
      <c r="Q28" s="371" t="s">
        <v>825</v>
      </c>
      <c r="R28" s="372" t="s">
        <v>582</v>
      </c>
      <c r="S28" s="356"/>
      <c r="T28" s="356"/>
      <c r="U28" s="317"/>
      <c r="V28" s="317"/>
      <c r="W28" s="317"/>
      <c r="X28" s="317"/>
      <c r="Y28" s="317"/>
      <c r="Z28" s="317"/>
      <c r="AA28" s="317"/>
      <c r="AB28" s="317"/>
      <c r="AC28" s="317"/>
      <c r="AD28" s="317"/>
      <c r="AE28" s="317"/>
      <c r="AF28" s="317"/>
      <c r="AG28" s="317"/>
      <c r="AH28" s="317"/>
      <c r="AI28" s="317"/>
      <c r="AJ28" s="317"/>
      <c r="AK28" s="317"/>
      <c r="AL28" s="317"/>
      <c r="AM28" s="317"/>
      <c r="AN28" s="317"/>
      <c r="AO28" s="317"/>
      <c r="AP28" s="317"/>
      <c r="AQ28" s="317"/>
      <c r="AR28" s="317"/>
      <c r="AS28" s="317"/>
      <c r="AT28" s="317"/>
      <c r="AU28" s="317"/>
      <c r="AV28" s="317"/>
      <c r="AW28" s="317"/>
      <c r="AX28" s="317"/>
      <c r="AY28" s="317"/>
      <c r="AZ28" s="317"/>
      <c r="BA28" s="317"/>
      <c r="BB28" s="317"/>
      <c r="BC28" s="317"/>
      <c r="BD28" s="317"/>
      <c r="BE28" s="317"/>
    </row>
    <row r="29" spans="2:57">
      <c r="B29" s="452"/>
      <c r="C29" s="87"/>
      <c r="D29" s="87"/>
      <c r="E29" s="87"/>
      <c r="F29" s="87"/>
      <c r="G29" s="87"/>
      <c r="H29" s="87"/>
      <c r="I29" s="87"/>
      <c r="J29" s="87"/>
      <c r="K29" s="427"/>
      <c r="M29" s="356"/>
      <c r="N29" s="356" t="str">
        <f t="shared" si="1"/>
        <v>IPE 330</v>
      </c>
      <c r="O29" s="370" t="s">
        <v>150</v>
      </c>
      <c r="P29" s="371" t="s">
        <v>343</v>
      </c>
      <c r="Q29" s="371" t="s">
        <v>835</v>
      </c>
      <c r="R29" s="372" t="s">
        <v>590</v>
      </c>
      <c r="S29" s="356"/>
      <c r="T29" s="356"/>
      <c r="U29" s="317"/>
      <c r="V29" s="317"/>
      <c r="W29" s="317"/>
      <c r="X29" s="317"/>
      <c r="Y29" s="317"/>
      <c r="Z29" s="317"/>
      <c r="AA29" s="317"/>
      <c r="AB29" s="317"/>
      <c r="AC29" s="317"/>
      <c r="AD29" s="317"/>
      <c r="AE29" s="317"/>
      <c r="AF29" s="317"/>
      <c r="AG29" s="317"/>
      <c r="AH29" s="317"/>
      <c r="AI29" s="317"/>
      <c r="AJ29" s="317"/>
      <c r="AK29" s="317"/>
      <c r="AL29" s="317"/>
      <c r="AM29" s="317"/>
      <c r="AN29" s="317"/>
      <c r="AO29" s="317"/>
      <c r="AP29" s="317"/>
      <c r="AQ29" s="317"/>
      <c r="AR29" s="317"/>
      <c r="AS29" s="317"/>
      <c r="AT29" s="317"/>
      <c r="AU29" s="317"/>
      <c r="AV29" s="317"/>
      <c r="AW29" s="317"/>
      <c r="AX29" s="317"/>
      <c r="AY29" s="317"/>
      <c r="AZ29" s="317"/>
      <c r="BA29" s="317"/>
      <c r="BB29" s="317"/>
      <c r="BC29" s="317"/>
      <c r="BD29" s="317"/>
      <c r="BE29" s="317"/>
    </row>
    <row r="30" spans="2:57" ht="16.5">
      <c r="B30" s="434"/>
      <c r="C30" s="802" t="s">
        <v>1079</v>
      </c>
      <c r="D30" s="410" t="s">
        <v>1086</v>
      </c>
      <c r="E30" s="413" t="s">
        <v>1101</v>
      </c>
      <c r="F30" s="784" t="s">
        <v>1102</v>
      </c>
      <c r="G30" s="768" t="s">
        <v>1087</v>
      </c>
      <c r="H30" s="406" t="s">
        <v>35</v>
      </c>
      <c r="I30" s="767" t="s">
        <v>1089</v>
      </c>
      <c r="J30" s="782" t="s">
        <v>1088</v>
      </c>
      <c r="K30" s="786" t="s">
        <v>968</v>
      </c>
      <c r="M30" s="364"/>
      <c r="N30" s="356" t="str">
        <f t="shared" si="1"/>
        <v>IPE 360</v>
      </c>
      <c r="O30" s="370" t="s">
        <v>154</v>
      </c>
      <c r="P30" s="371" t="s">
        <v>355</v>
      </c>
      <c r="Q30" s="371" t="s">
        <v>844</v>
      </c>
      <c r="R30" s="372" t="s">
        <v>597</v>
      </c>
      <c r="S30" s="356"/>
      <c r="T30" s="356"/>
      <c r="U30" s="317"/>
      <c r="V30" s="317"/>
      <c r="W30" s="317"/>
      <c r="X30" s="317"/>
      <c r="Y30" s="317"/>
      <c r="Z30" s="317"/>
      <c r="AA30" s="317"/>
      <c r="AB30" s="317"/>
      <c r="AC30" s="317"/>
      <c r="AD30" s="317"/>
      <c r="AE30" s="317"/>
      <c r="AF30" s="317"/>
      <c r="AG30" s="317"/>
      <c r="AH30" s="317"/>
      <c r="AI30" s="317"/>
      <c r="AJ30" s="317"/>
      <c r="AK30" s="317"/>
      <c r="AL30" s="317"/>
      <c r="AM30" s="317"/>
      <c r="AN30" s="317"/>
      <c r="AO30" s="317"/>
      <c r="AP30" s="317"/>
      <c r="AQ30" s="317"/>
      <c r="AR30" s="317"/>
      <c r="AS30" s="317"/>
      <c r="AT30" s="317"/>
      <c r="AU30" s="317"/>
      <c r="AV30" s="317"/>
      <c r="AW30" s="317"/>
      <c r="AX30" s="317"/>
      <c r="AY30" s="317"/>
      <c r="AZ30" s="317"/>
      <c r="BA30" s="317"/>
      <c r="BB30" s="317"/>
      <c r="BC30" s="317"/>
      <c r="BD30" s="317"/>
      <c r="BE30" s="317"/>
    </row>
    <row r="31" spans="2:57" ht="14.25">
      <c r="B31" s="435" t="s">
        <v>1103</v>
      </c>
      <c r="C31" s="803">
        <v>0.7</v>
      </c>
      <c r="D31" s="753">
        <f>Pandeo!G6</f>
        <v>3500</v>
      </c>
      <c r="E31" s="407">
        <f>Pandeo!C17</f>
        <v>21.148036253776436</v>
      </c>
      <c r="F31" s="785">
        <f>Pandeo!D17</f>
        <v>0.24364097066562715</v>
      </c>
      <c r="G31" s="409" t="str">
        <f>Pandeo!H13</f>
        <v>a</v>
      </c>
      <c r="H31" s="770">
        <f>IF(Pandeo!E17&gt;1,1,Pandeo!E17)</f>
        <v>0.99035686632220854</v>
      </c>
      <c r="I31" s="804">
        <f>Pandeo!I17</f>
        <v>39159.549571222073</v>
      </c>
      <c r="J31" s="783">
        <f>H31*$E$11</f>
        <v>2191.7540648726017</v>
      </c>
      <c r="K31" s="793">
        <f>E10/J31</f>
        <v>0.22812778496161387</v>
      </c>
      <c r="M31" s="364"/>
      <c r="N31" s="356" t="str">
        <f t="shared" si="1"/>
        <v>IPE 400</v>
      </c>
      <c r="O31" s="370" t="s">
        <v>156</v>
      </c>
      <c r="P31" s="371" t="s">
        <v>367</v>
      </c>
      <c r="Q31" s="371" t="s">
        <v>854</v>
      </c>
      <c r="R31" s="372" t="s">
        <v>605</v>
      </c>
      <c r="S31" s="356"/>
      <c r="T31" s="356"/>
      <c r="U31" s="317"/>
      <c r="V31" s="317"/>
      <c r="W31" s="317"/>
      <c r="X31" s="317"/>
      <c r="Y31" s="317"/>
      <c r="Z31" s="317"/>
      <c r="AA31" s="317"/>
      <c r="AB31" s="317"/>
      <c r="AC31" s="317"/>
      <c r="AD31" s="317"/>
      <c r="AE31" s="317"/>
      <c r="AF31" s="317"/>
      <c r="AG31" s="317"/>
      <c r="AH31" s="317"/>
      <c r="AI31" s="317"/>
      <c r="AJ31" s="317"/>
      <c r="AK31" s="317"/>
      <c r="AL31" s="317"/>
      <c r="AM31" s="317"/>
      <c r="AN31" s="317"/>
      <c r="AO31" s="317"/>
      <c r="AP31" s="317"/>
      <c r="AQ31" s="317"/>
      <c r="AR31" s="317"/>
      <c r="AS31" s="317"/>
      <c r="AT31" s="317"/>
      <c r="AU31" s="317"/>
      <c r="AV31" s="317"/>
      <c r="AW31" s="317"/>
      <c r="AX31" s="317"/>
      <c r="AY31" s="317"/>
      <c r="AZ31" s="317"/>
      <c r="BA31" s="317"/>
      <c r="BB31" s="317"/>
      <c r="BC31" s="317"/>
      <c r="BD31" s="317"/>
      <c r="BE31" s="317"/>
    </row>
    <row r="32" spans="2:57" ht="14.25">
      <c r="B32" s="435" t="s">
        <v>1104</v>
      </c>
      <c r="C32" s="803">
        <v>1</v>
      </c>
      <c r="D32" s="753">
        <f>Pandeo!I6</f>
        <v>5000</v>
      </c>
      <c r="E32" s="407">
        <f>Pandeo!C20</f>
        <v>126.58227848101266</v>
      </c>
      <c r="F32" s="785">
        <f>Pandeo!D20</f>
        <v>1.4583211806568279</v>
      </c>
      <c r="G32" s="409" t="str">
        <f>Pandeo!I13</f>
        <v>b</v>
      </c>
      <c r="H32" s="770">
        <f>IF(Pandeo!E20&gt;1,1,Pandeo!E20)</f>
        <v>0.35802203582768077</v>
      </c>
      <c r="I32" s="804">
        <f>Pandeo!I20</f>
        <v>1093.0296998773154</v>
      </c>
      <c r="J32" s="783">
        <f>H32*$E$11</f>
        <v>792.33686262340291</v>
      </c>
      <c r="K32" s="793">
        <f>E10/J32</f>
        <v>0.63104472805230272</v>
      </c>
      <c r="M32" s="356"/>
      <c r="N32" s="356" t="str">
        <f t="shared" si="1"/>
        <v>IPE 450</v>
      </c>
      <c r="O32" s="370" t="s">
        <v>158</v>
      </c>
      <c r="P32" s="371" t="s">
        <v>377</v>
      </c>
      <c r="Q32" s="371" t="s">
        <v>864</v>
      </c>
      <c r="R32" s="372" t="s">
        <v>612</v>
      </c>
      <c r="S32" s="356"/>
      <c r="T32" s="356"/>
      <c r="U32" s="317"/>
      <c r="V32" s="317"/>
      <c r="W32" s="317"/>
      <c r="X32" s="317"/>
      <c r="Y32" s="317"/>
      <c r="Z32" s="317"/>
      <c r="AA32" s="317"/>
      <c r="AB32" s="317"/>
      <c r="AC32" s="317"/>
      <c r="AD32" s="317"/>
      <c r="AE32" s="317"/>
      <c r="AF32" s="317"/>
      <c r="AG32" s="317"/>
      <c r="AH32" s="317"/>
      <c r="AI32" s="317"/>
      <c r="AJ32" s="317"/>
      <c r="AK32" s="317"/>
      <c r="AL32" s="317"/>
      <c r="AM32" s="317"/>
      <c r="AN32" s="317"/>
      <c r="AO32" s="317"/>
      <c r="AP32" s="317"/>
      <c r="AQ32" s="317"/>
      <c r="AR32" s="317"/>
      <c r="AS32" s="317"/>
      <c r="AT32" s="317"/>
      <c r="AU32" s="317"/>
      <c r="AV32" s="317"/>
      <c r="AW32" s="317"/>
      <c r="AX32" s="317"/>
      <c r="AY32" s="317"/>
      <c r="AZ32" s="317"/>
      <c r="BA32" s="317"/>
      <c r="BB32" s="317"/>
      <c r="BC32" s="317"/>
      <c r="BD32" s="317"/>
      <c r="BE32" s="317"/>
    </row>
    <row r="33" spans="1:57" ht="13.5">
      <c r="B33" s="457" t="s">
        <v>1127</v>
      </c>
      <c r="C33" s="1227">
        <f>C22</f>
        <v>5</v>
      </c>
      <c r="D33" s="120"/>
      <c r="E33" s="120"/>
      <c r="F33" s="455" t="str">
        <f>IF(F31&gt;2,"¡Esb. excesiva!",IF(F32&gt;2,"¡Esb. excesiva!","Sí"))</f>
        <v>Sí</v>
      </c>
      <c r="G33" s="318"/>
      <c r="H33" s="120"/>
      <c r="I33" s="318"/>
      <c r="J33" s="318" t="str">
        <f>IF(K31&gt;1,"¡Falla a pandeo!",IF(K32&gt;1,"¡Falla a pandeo!","Sí"))</f>
        <v>Sí</v>
      </c>
      <c r="K33" s="456"/>
      <c r="M33" s="364"/>
      <c r="N33" s="356" t="str">
        <f t="shared" si="1"/>
        <v>IPE 500</v>
      </c>
      <c r="O33" s="370" t="s">
        <v>160</v>
      </c>
      <c r="P33" s="371" t="s">
        <v>386</v>
      </c>
      <c r="Q33" s="371" t="s">
        <v>873</v>
      </c>
      <c r="R33" s="372" t="s">
        <v>618</v>
      </c>
      <c r="S33" s="356"/>
      <c r="T33" s="356"/>
      <c r="U33" s="317"/>
      <c r="V33" s="317"/>
      <c r="W33" s="317"/>
      <c r="X33" s="317"/>
      <c r="Y33" s="317"/>
      <c r="Z33" s="317"/>
      <c r="AA33" s="317"/>
      <c r="AB33" s="317"/>
      <c r="AC33" s="317"/>
      <c r="AD33" s="317"/>
      <c r="AE33" s="317"/>
      <c r="AF33" s="317"/>
      <c r="AG33" s="317"/>
      <c r="AH33" s="317"/>
      <c r="AI33" s="317"/>
      <c r="AJ33" s="317"/>
      <c r="AK33" s="317"/>
      <c r="AL33" s="317"/>
      <c r="AM33" s="317"/>
      <c r="AN33" s="317"/>
      <c r="AO33" s="317"/>
      <c r="AP33" s="317"/>
      <c r="AQ33" s="317"/>
      <c r="AR33" s="317"/>
      <c r="AS33" s="317"/>
      <c r="AT33" s="317"/>
      <c r="AU33" s="317"/>
      <c r="AV33" s="317"/>
      <c r="AW33" s="317"/>
      <c r="AX33" s="317"/>
      <c r="AY33" s="317"/>
      <c r="AZ33" s="317"/>
      <c r="BA33" s="317"/>
      <c r="BB33" s="317"/>
      <c r="BC33" s="317"/>
      <c r="BD33" s="317"/>
      <c r="BE33" s="317"/>
    </row>
    <row r="34" spans="1:57" ht="19.5" customHeight="1">
      <c r="B34" s="428"/>
      <c r="C34" s="87"/>
      <c r="D34" s="87"/>
      <c r="E34" s="87"/>
      <c r="F34" s="87"/>
      <c r="G34" s="87"/>
      <c r="H34" s="87"/>
      <c r="I34" s="87"/>
      <c r="J34" s="87"/>
      <c r="K34" s="427"/>
      <c r="M34" s="356"/>
      <c r="N34" s="356" t="str">
        <f t="shared" si="1"/>
        <v xml:space="preserve">IPE 550                 </v>
      </c>
      <c r="O34" s="370" t="s">
        <v>161</v>
      </c>
      <c r="P34" s="371" t="s">
        <v>397</v>
      </c>
      <c r="Q34" s="371" t="s">
        <v>884</v>
      </c>
      <c r="R34" s="372" t="s">
        <v>625</v>
      </c>
      <c r="S34" s="356"/>
      <c r="T34" s="356"/>
      <c r="U34" s="317"/>
      <c r="V34" s="317"/>
      <c r="W34" s="317"/>
      <c r="X34" s="317"/>
      <c r="Y34" s="317"/>
      <c r="Z34" s="317"/>
      <c r="AA34" s="317"/>
      <c r="AB34" s="317"/>
      <c r="AC34" s="317"/>
      <c r="AD34" s="317"/>
      <c r="AE34" s="317"/>
      <c r="AF34" s="317"/>
      <c r="AG34" s="317"/>
      <c r="AH34" s="317"/>
      <c r="AI34" s="317"/>
      <c r="AJ34" s="317"/>
      <c r="AK34" s="317"/>
      <c r="AL34" s="317"/>
      <c r="AM34" s="317"/>
      <c r="AN34" s="317"/>
      <c r="AO34" s="317"/>
      <c r="AP34" s="317"/>
      <c r="AQ34" s="317"/>
      <c r="AR34" s="317"/>
      <c r="AS34" s="317"/>
      <c r="AT34" s="317"/>
      <c r="AU34" s="317"/>
      <c r="AV34" s="317"/>
      <c r="AW34" s="317"/>
      <c r="AX34" s="317"/>
      <c r="AY34" s="317"/>
      <c r="AZ34" s="317"/>
      <c r="BA34" s="317"/>
      <c r="BB34" s="317"/>
      <c r="BC34" s="317"/>
      <c r="BD34" s="317"/>
      <c r="BE34" s="317"/>
    </row>
    <row r="35" spans="1:57" ht="15.75">
      <c r="B35" s="432" t="s">
        <v>1083</v>
      </c>
      <c r="C35" s="433"/>
      <c r="D35" s="433"/>
      <c r="E35" s="430"/>
      <c r="F35" s="430" t="s">
        <v>1120</v>
      </c>
      <c r="G35" s="433"/>
      <c r="H35" s="433"/>
      <c r="I35" s="433"/>
      <c r="J35" s="433" t="s">
        <v>2464</v>
      </c>
      <c r="K35" s="1055"/>
      <c r="M35" s="356"/>
      <c r="N35" s="356" t="str">
        <f t="shared" si="1"/>
        <v>IPE 600</v>
      </c>
      <c r="O35" s="370" t="s">
        <v>163</v>
      </c>
      <c r="P35" s="371" t="s">
        <v>406</v>
      </c>
      <c r="Q35" s="371" t="s">
        <v>893</v>
      </c>
      <c r="R35" s="372" t="s">
        <v>632</v>
      </c>
      <c r="S35" s="356"/>
      <c r="T35" s="356"/>
      <c r="U35" s="317"/>
      <c r="V35" s="317"/>
      <c r="W35" s="317"/>
      <c r="X35" s="317"/>
      <c r="Y35" s="317"/>
      <c r="Z35" s="317"/>
      <c r="AA35" s="317"/>
      <c r="AB35" s="317"/>
      <c r="AC35" s="317"/>
      <c r="AD35" s="317"/>
      <c r="AE35" s="317"/>
      <c r="AF35" s="317"/>
      <c r="AG35" s="317"/>
      <c r="AH35" s="317"/>
      <c r="AI35" s="317"/>
      <c r="AJ35" s="317"/>
      <c r="AK35" s="317"/>
      <c r="AL35" s="317"/>
      <c r="AM35" s="317"/>
      <c r="AN35" s="317"/>
      <c r="AO35" s="317"/>
      <c r="AP35" s="317"/>
      <c r="AQ35" s="317"/>
      <c r="AR35" s="317"/>
      <c r="AS35" s="317"/>
      <c r="AT35" s="317"/>
      <c r="AU35" s="317"/>
      <c r="AV35" s="317"/>
      <c r="AW35" s="317"/>
      <c r="AX35" s="317"/>
      <c r="AY35" s="317"/>
      <c r="AZ35" s="317"/>
      <c r="BA35" s="317"/>
      <c r="BB35" s="317"/>
      <c r="BC35" s="317"/>
      <c r="BD35" s="317"/>
      <c r="BE35" s="317"/>
    </row>
    <row r="36" spans="1:57" ht="14.25">
      <c r="A36" s="1054"/>
      <c r="B36" s="1074"/>
      <c r="C36" s="1075" t="s">
        <v>2805</v>
      </c>
      <c r="D36" s="540"/>
      <c r="E36" s="1099" t="s">
        <v>2889</v>
      </c>
      <c r="F36" s="1076" t="s">
        <v>2803</v>
      </c>
      <c r="H36" s="87"/>
      <c r="I36" s="1097" t="s">
        <v>1121</v>
      </c>
      <c r="J36" s="1097" t="s">
        <v>1122</v>
      </c>
      <c r="K36" s="1098" t="s">
        <v>2643</v>
      </c>
      <c r="M36" s="356"/>
      <c r="N36" s="356">
        <f t="shared" si="1"/>
        <v>0</v>
      </c>
      <c r="O36" s="374"/>
      <c r="P36" s="371" t="s">
        <v>416</v>
      </c>
      <c r="Q36" s="371" t="s">
        <v>902</v>
      </c>
      <c r="R36" s="372" t="s">
        <v>639</v>
      </c>
      <c r="S36" s="356"/>
      <c r="T36" s="356"/>
      <c r="U36" s="317"/>
      <c r="V36" s="317"/>
      <c r="W36" s="317"/>
      <c r="X36" s="317"/>
      <c r="Y36" s="317"/>
      <c r="Z36" s="317"/>
      <c r="AA36" s="317"/>
      <c r="AB36" s="317"/>
      <c r="AC36" s="317"/>
      <c r="AD36" s="317"/>
      <c r="AE36" s="317"/>
      <c r="AF36" s="317"/>
      <c r="AG36" s="317"/>
      <c r="AH36" s="317"/>
      <c r="AI36" s="317"/>
      <c r="AJ36" s="317"/>
      <c r="AK36" s="317"/>
      <c r="AL36" s="317"/>
      <c r="AM36" s="317"/>
      <c r="AN36" s="317"/>
      <c r="AO36" s="317"/>
      <c r="AP36" s="317"/>
      <c r="AQ36" s="317"/>
      <c r="AR36" s="317"/>
      <c r="AS36" s="317"/>
      <c r="AT36" s="317"/>
      <c r="AU36" s="317"/>
      <c r="AV36" s="317"/>
      <c r="AW36" s="317"/>
      <c r="AX36" s="317"/>
      <c r="AY36" s="317"/>
      <c r="AZ36" s="317"/>
      <c r="BA36" s="317"/>
      <c r="BB36" s="317"/>
      <c r="BC36" s="317"/>
      <c r="BD36" s="317"/>
      <c r="BE36" s="317"/>
    </row>
    <row r="37" spans="1:57" ht="13.5" thickBot="1">
      <c r="A37" s="1054"/>
      <c r="B37" s="1059"/>
      <c r="C37" s="8"/>
      <c r="D37"/>
      <c r="F37" s="817" t="s">
        <v>2653</v>
      </c>
      <c r="H37" s="1048"/>
      <c r="I37" s="779">
        <v>0.74</v>
      </c>
      <c r="J37" s="779">
        <v>0.74</v>
      </c>
      <c r="K37" s="1056">
        <v>0.74</v>
      </c>
      <c r="M37" s="356"/>
      <c r="N37" s="356">
        <f t="shared" si="1"/>
        <v>0</v>
      </c>
      <c r="O37" s="375"/>
      <c r="P37" s="371" t="s">
        <v>426</v>
      </c>
      <c r="Q37" s="371" t="s">
        <v>912</v>
      </c>
      <c r="R37" s="372" t="s">
        <v>646</v>
      </c>
      <c r="S37" s="356"/>
      <c r="T37" s="356"/>
      <c r="U37" s="317"/>
      <c r="V37" s="317"/>
      <c r="W37" s="317"/>
      <c r="X37" s="317"/>
      <c r="Y37" s="317"/>
      <c r="Z37" s="317"/>
      <c r="AA37" s="317"/>
      <c r="AB37" s="317"/>
      <c r="AC37" s="317"/>
      <c r="AD37" s="317"/>
      <c r="AE37" s="317"/>
      <c r="AF37" s="317"/>
      <c r="AG37" s="317"/>
      <c r="AH37" s="317"/>
      <c r="AI37" s="317"/>
      <c r="AJ37" s="317"/>
      <c r="AK37" s="317"/>
      <c r="AL37" s="317"/>
      <c r="AM37" s="317"/>
      <c r="AN37" s="317"/>
      <c r="AO37" s="317"/>
      <c r="AP37" s="317"/>
      <c r="AQ37" s="317"/>
      <c r="AR37" s="317"/>
      <c r="AS37" s="317"/>
      <c r="AT37" s="317"/>
      <c r="AU37" s="317"/>
      <c r="AV37" s="317"/>
      <c r="AW37" s="317"/>
      <c r="AX37" s="317"/>
      <c r="AY37" s="317"/>
      <c r="AZ37" s="317"/>
      <c r="BA37" s="317"/>
      <c r="BB37" s="317"/>
      <c r="BC37" s="317"/>
      <c r="BD37" s="317"/>
      <c r="BE37" s="317"/>
    </row>
    <row r="38" spans="1:57" ht="15" thickBot="1">
      <c r="A38" s="1054"/>
      <c r="B38" s="1059"/>
      <c r="C38" s="8"/>
      <c r="D38"/>
      <c r="E38" s="1238">
        <f>PL!D163</f>
        <v>0.9260067551422666</v>
      </c>
      <c r="F38" s="1239">
        <f>J69</f>
        <v>1.0151691987235929</v>
      </c>
      <c r="K38" s="1054"/>
      <c r="N38" s="356">
        <f t="shared" si="1"/>
        <v>0</v>
      </c>
      <c r="O38" s="374"/>
      <c r="P38" s="371" t="s">
        <v>436</v>
      </c>
      <c r="Q38" s="371" t="s">
        <v>922</v>
      </c>
      <c r="R38" s="372" t="s">
        <v>653</v>
      </c>
      <c r="S38" s="356"/>
      <c r="T38" s="356"/>
      <c r="U38" s="317"/>
      <c r="V38" s="317"/>
      <c r="W38" s="317"/>
      <c r="X38" s="317"/>
      <c r="Y38" s="317"/>
      <c r="Z38" s="317"/>
      <c r="AA38" s="317"/>
      <c r="AB38" s="317"/>
      <c r="AC38" s="317"/>
      <c r="AD38" s="317"/>
      <c r="AE38" s="317"/>
      <c r="AF38" s="317"/>
      <c r="AG38" s="317"/>
      <c r="AH38" s="317"/>
      <c r="AI38" s="317"/>
      <c r="AJ38" s="317"/>
      <c r="AK38" s="317"/>
      <c r="AL38" s="317"/>
      <c r="AM38" s="317"/>
      <c r="AN38" s="317"/>
      <c r="AO38" s="317"/>
      <c r="AP38" s="317"/>
      <c r="AQ38" s="317"/>
      <c r="AR38" s="317"/>
      <c r="AS38" s="317"/>
      <c r="AT38" s="317"/>
      <c r="AU38" s="317"/>
      <c r="AV38" s="317"/>
      <c r="AW38" s="317"/>
      <c r="AX38" s="317"/>
      <c r="AY38" s="317"/>
      <c r="AZ38" s="317"/>
      <c r="BA38" s="317"/>
      <c r="BB38" s="317"/>
      <c r="BC38" s="317"/>
      <c r="BD38" s="317"/>
      <c r="BE38" s="317"/>
    </row>
    <row r="39" spans="1:57" ht="13.5">
      <c r="A39" s="1054"/>
      <c r="B39" s="1059"/>
      <c r="C39" s="8"/>
      <c r="D39"/>
      <c r="E39" s="1049"/>
      <c r="H39" s="1070" t="s">
        <v>2799</v>
      </c>
      <c r="I39" s="1070" t="s">
        <v>2800</v>
      </c>
      <c r="J39" s="1070" t="s">
        <v>2801</v>
      </c>
      <c r="K39" s="1071" t="s">
        <v>2802</v>
      </c>
      <c r="M39" s="364"/>
      <c r="N39" s="356">
        <f t="shared" si="1"/>
        <v>0</v>
      </c>
      <c r="O39" s="375"/>
      <c r="P39" s="371" t="s">
        <v>446</v>
      </c>
      <c r="Q39" s="371" t="s">
        <v>931</v>
      </c>
      <c r="R39" s="372" t="s">
        <v>660</v>
      </c>
      <c r="S39" s="356"/>
      <c r="T39" s="356"/>
      <c r="U39" s="317"/>
      <c r="V39" s="317"/>
      <c r="W39" s="317"/>
      <c r="X39" s="317"/>
      <c r="Y39" s="317"/>
      <c r="Z39" s="317"/>
      <c r="AA39" s="317"/>
      <c r="AB39" s="317"/>
      <c r="AC39" s="317"/>
      <c r="AD39" s="317"/>
      <c r="AE39" s="317"/>
      <c r="AF39" s="317"/>
      <c r="AG39" s="317"/>
      <c r="AH39" s="317"/>
      <c r="AI39" s="317"/>
      <c r="AJ39" s="317"/>
      <c r="AK39" s="317"/>
      <c r="AL39" s="317"/>
      <c r="AM39" s="317"/>
      <c r="AN39" s="317"/>
      <c r="AO39" s="317"/>
      <c r="AP39" s="317"/>
      <c r="AQ39" s="317"/>
      <c r="AR39" s="317"/>
      <c r="AS39" s="317"/>
      <c r="AT39" s="317"/>
      <c r="AU39" s="317"/>
      <c r="AV39" s="317"/>
      <c r="AW39" s="317"/>
      <c r="AX39" s="317"/>
      <c r="AY39" s="317"/>
      <c r="AZ39" s="317"/>
      <c r="BA39" s="317"/>
      <c r="BB39" s="317"/>
      <c r="BC39" s="317"/>
      <c r="BD39" s="317"/>
      <c r="BE39" s="317"/>
    </row>
    <row r="40" spans="1:57">
      <c r="A40" s="1054"/>
      <c r="B40" s="1077"/>
      <c r="C40" s="1078" t="s">
        <v>2806</v>
      </c>
      <c r="D40" s="1079"/>
      <c r="E40" s="1100" t="s">
        <v>2804</v>
      </c>
      <c r="F40" s="1080" t="s">
        <v>2803</v>
      </c>
      <c r="G40" s="1052" t="s">
        <v>2464</v>
      </c>
      <c r="H40" s="1053">
        <f>PL!I124</f>
        <v>0.74736723129892801</v>
      </c>
      <c r="I40" s="1053">
        <f>PL!J124</f>
        <v>0.83625740295731132</v>
      </c>
      <c r="J40" s="1053">
        <f>PL!I120</f>
        <v>0.8712153616219791</v>
      </c>
      <c r="K40" s="1057">
        <f>PL!J120</f>
        <v>1.3937623382621855</v>
      </c>
      <c r="M40" s="369"/>
      <c r="N40" s="356">
        <f t="shared" si="1"/>
        <v>0</v>
      </c>
      <c r="O40" s="374"/>
      <c r="P40" s="371" t="s">
        <v>455</v>
      </c>
      <c r="Q40" s="371" t="s">
        <v>941</v>
      </c>
      <c r="R40" s="372" t="s">
        <v>667</v>
      </c>
      <c r="S40" s="356"/>
      <c r="T40" s="356"/>
      <c r="U40" s="317"/>
      <c r="V40" s="317"/>
      <c r="W40" s="317"/>
      <c r="X40" s="317"/>
      <c r="Y40" s="317"/>
      <c r="Z40" s="317"/>
      <c r="AA40" s="317"/>
      <c r="AB40" s="317"/>
      <c r="AC40" s="317"/>
      <c r="AD40" s="317"/>
      <c r="AE40" s="317"/>
      <c r="AF40" s="317"/>
      <c r="AG40" s="317"/>
      <c r="AH40" s="317"/>
      <c r="AI40" s="317"/>
      <c r="AJ40" s="317"/>
      <c r="AK40" s="317"/>
      <c r="AL40" s="317"/>
      <c r="AM40" s="317"/>
      <c r="AN40" s="317"/>
      <c r="AO40" s="317"/>
      <c r="AP40" s="317"/>
      <c r="AQ40" s="317"/>
      <c r="AR40" s="317"/>
      <c r="AS40" s="317"/>
      <c r="AT40" s="317"/>
      <c r="AU40" s="317"/>
      <c r="AV40" s="317"/>
      <c r="AW40" s="317"/>
      <c r="AX40" s="317"/>
      <c r="AY40" s="317"/>
      <c r="AZ40" s="317"/>
      <c r="BA40" s="317"/>
      <c r="BB40" s="317"/>
      <c r="BC40" s="317"/>
      <c r="BD40" s="317"/>
      <c r="BE40" s="317"/>
    </row>
    <row r="41" spans="1:57" ht="14.25" thickBot="1">
      <c r="A41" s="1054"/>
      <c r="B41" s="1059"/>
      <c r="C41" s="8"/>
      <c r="D41"/>
      <c r="E41" s="1049"/>
      <c r="F41" s="805" t="s">
        <v>2652</v>
      </c>
      <c r="I41" s="1072" t="s">
        <v>2660</v>
      </c>
      <c r="J41" s="1072" t="s">
        <v>2661</v>
      </c>
      <c r="K41" s="1073" t="s">
        <v>2662</v>
      </c>
      <c r="M41" s="369"/>
      <c r="N41" s="356">
        <f t="shared" si="1"/>
        <v>0</v>
      </c>
      <c r="O41" s="376"/>
      <c r="P41" s="377"/>
      <c r="Q41" s="371" t="s">
        <v>949</v>
      </c>
      <c r="R41" s="378"/>
      <c r="S41" s="356"/>
      <c r="T41" s="356"/>
      <c r="U41" s="210"/>
      <c r="V41" s="210"/>
    </row>
    <row r="42" spans="1:57" ht="15" thickBot="1">
      <c r="A42" s="1054"/>
      <c r="B42" s="1059"/>
      <c r="C42" s="8"/>
      <c r="D42"/>
      <c r="E42" s="1061">
        <f>PL!D167</f>
        <v>0.48115931222271946</v>
      </c>
      <c r="F42" s="1050">
        <f>I69</f>
        <v>0.55764681638146318</v>
      </c>
      <c r="H42" s="1052" t="s">
        <v>2656</v>
      </c>
      <c r="I42" s="1051">
        <f>F69</f>
        <v>1.0099557179715244</v>
      </c>
      <c r="J42" s="1051">
        <f>G69</f>
        <v>1.8834626192732238</v>
      </c>
      <c r="K42" s="1058">
        <f>H69</f>
        <v>0.8712153616219791</v>
      </c>
      <c r="M42" s="334" t="s">
        <v>87</v>
      </c>
      <c r="N42" s="363"/>
      <c r="O42" s="356"/>
      <c r="P42" s="356"/>
      <c r="Q42" s="356"/>
      <c r="R42" s="356"/>
      <c r="S42" s="356"/>
      <c r="T42" s="356"/>
      <c r="U42" s="210"/>
      <c r="V42" s="210"/>
    </row>
    <row r="43" spans="1:57" ht="13.5" thickBot="1">
      <c r="A43" s="1054"/>
      <c r="B43" s="1060"/>
      <c r="C43" s="87"/>
      <c r="D43" s="87"/>
      <c r="E43" s="87"/>
      <c r="F43" s="87"/>
      <c r="G43" s="87"/>
      <c r="H43" s="87"/>
      <c r="I43" s="87"/>
      <c r="J43" s="87"/>
      <c r="K43" s="1054"/>
      <c r="M43" s="334"/>
      <c r="N43" s="211"/>
      <c r="O43" s="210"/>
      <c r="P43" s="210"/>
      <c r="Q43" s="210"/>
      <c r="R43" s="210"/>
      <c r="S43" s="210"/>
      <c r="T43" s="210"/>
      <c r="U43" s="210"/>
      <c r="V43" s="210"/>
    </row>
    <row r="44" spans="1:57" ht="15.75">
      <c r="B44" s="436"/>
      <c r="C44" s="425" t="s">
        <v>1107</v>
      </c>
      <c r="D44" s="425"/>
      <c r="E44" s="425"/>
      <c r="F44" s="594" t="str">
        <f>B22</f>
        <v>IPE 400</v>
      </c>
      <c r="G44" s="458" t="str">
        <f>B5</f>
        <v>S275</v>
      </c>
      <c r="H44" s="437"/>
      <c r="I44" s="437"/>
      <c r="J44" s="437"/>
      <c r="K44" s="438"/>
      <c r="M44" s="120" t="s">
        <v>2866</v>
      </c>
      <c r="N44" s="211"/>
      <c r="O44" s="210"/>
      <c r="P44" s="210"/>
      <c r="Q44" s="210"/>
      <c r="R44" s="210"/>
      <c r="S44" s="210"/>
      <c r="T44" s="210"/>
      <c r="U44" s="210"/>
      <c r="V44" s="210"/>
    </row>
    <row r="45" spans="1:57">
      <c r="B45" s="428"/>
      <c r="C45" s="87"/>
      <c r="D45" s="87"/>
      <c r="E45" s="87"/>
      <c r="F45" s="87"/>
      <c r="G45" s="87"/>
      <c r="H45" s="87"/>
      <c r="I45" s="87"/>
      <c r="J45" s="88" t="s">
        <v>1113</v>
      </c>
      <c r="K45" s="427"/>
      <c r="M45" s="415" t="s">
        <v>2746</v>
      </c>
      <c r="N45" s="440" t="s">
        <v>966</v>
      </c>
      <c r="O45" s="440" t="s">
        <v>2744</v>
      </c>
      <c r="P45" s="279"/>
      <c r="Q45" s="279"/>
      <c r="R45" s="279"/>
      <c r="S45" s="279"/>
      <c r="T45" s="279"/>
      <c r="U45" s="278"/>
      <c r="V45" s="210"/>
    </row>
    <row r="46" spans="1:57" ht="18.75">
      <c r="B46" s="754"/>
      <c r="C46" s="412" t="s">
        <v>1112</v>
      </c>
      <c r="D46" s="414" t="s">
        <v>1108</v>
      </c>
      <c r="E46" s="414" t="s">
        <v>1110</v>
      </c>
      <c r="F46" s="414" t="s">
        <v>1111</v>
      </c>
      <c r="G46" s="414" t="s">
        <v>1109</v>
      </c>
      <c r="H46" s="414" t="s">
        <v>1129</v>
      </c>
      <c r="I46" s="414" t="s">
        <v>1128</v>
      </c>
      <c r="J46" s="415" t="s">
        <v>2755</v>
      </c>
      <c r="K46" s="440" t="s">
        <v>2756</v>
      </c>
      <c r="M46" s="277">
        <f>IF($D$5&lt;=275,$AW$13,IF($D$5=355,$AX$13,$AY$13))</f>
        <v>1</v>
      </c>
      <c r="N46" s="441">
        <f>IF($D$5&lt;=275,$AZ$13,IF($D$5=355,$BA$13,$BB$13))</f>
        <v>3</v>
      </c>
      <c r="P46" s="280"/>
      <c r="Q46" s="280"/>
      <c r="R46" s="280"/>
      <c r="S46" s="280"/>
      <c r="T46" s="280"/>
      <c r="U46" s="280"/>
      <c r="V46" s="210"/>
    </row>
    <row r="47" spans="1:57" ht="13.5">
      <c r="B47" s="435" t="s">
        <v>1103</v>
      </c>
      <c r="C47" s="310">
        <f>C52-Pandeo!L4</f>
        <v>41.81</v>
      </c>
      <c r="D47" s="88">
        <f>VLOOKUP($C$11,IPE!$B$7:$AN$96,19,0)</f>
        <v>23130</v>
      </c>
      <c r="E47" s="88">
        <f>VLOOKUP($C$11,IPE!$B$7:$AN$96,20,0)</f>
        <v>1156</v>
      </c>
      <c r="F47" s="88">
        <f>VLOOKUP($C$11,IPE!$B$7:$AN$96,21,0)</f>
        <v>1307</v>
      </c>
      <c r="G47" s="88">
        <f>VLOOKUP($C$11,IPE!$B$7:$AN$96,22,0)</f>
        <v>16.55</v>
      </c>
      <c r="H47" s="417">
        <f>Pandeo!D31</f>
        <v>51.08</v>
      </c>
      <c r="I47" s="418">
        <f>AV13</f>
        <v>490</v>
      </c>
      <c r="J47" s="277">
        <f>H12</f>
        <v>2</v>
      </c>
      <c r="K47" s="441">
        <f>F12</f>
        <v>1</v>
      </c>
      <c r="L47" s="120"/>
      <c r="P47" s="280"/>
      <c r="Q47" s="280"/>
      <c r="R47" s="280"/>
      <c r="S47" s="280"/>
      <c r="T47" s="280"/>
      <c r="U47" s="278"/>
      <c r="V47" s="210"/>
    </row>
    <row r="48" spans="1:57" ht="13.5">
      <c r="B48" s="435" t="s">
        <v>1104</v>
      </c>
      <c r="C48" s="88">
        <f>VLOOKUP($C$11,IPE!$B$7:$AN$240,23,0)</f>
        <v>42.69</v>
      </c>
      <c r="D48" s="88">
        <f>VLOOKUP($C$11,IPE!$B$7:$AN$100,24,0)</f>
        <v>1318</v>
      </c>
      <c r="E48" s="88">
        <f>VLOOKUP($C$11,IPE!$B$7:$AN$124,25,0)</f>
        <v>146.4</v>
      </c>
      <c r="F48" s="88">
        <f>VLOOKUP($C$11,IPE!$B$7:$AN$124,26,0)</f>
        <v>229</v>
      </c>
      <c r="G48" s="88">
        <f>VLOOKUP($C$11,IPE!$B$7:$AN$124,27,0)</f>
        <v>3.95</v>
      </c>
      <c r="H48" s="419"/>
      <c r="I48" s="1225" t="s">
        <v>2890</v>
      </c>
      <c r="J48" s="1225" t="s">
        <v>2864</v>
      </c>
      <c r="K48" s="1065" t="s">
        <v>2865</v>
      </c>
      <c r="L48" s="120"/>
      <c r="M48" s="120"/>
      <c r="N48" s="87"/>
      <c r="O48" s="278"/>
      <c r="P48" s="278"/>
      <c r="Q48" s="278"/>
      <c r="R48" s="278"/>
      <c r="S48" s="278"/>
      <c r="T48" s="278"/>
      <c r="U48" s="278"/>
      <c r="V48" s="210"/>
    </row>
    <row r="49" spans="2:22" ht="15.75">
      <c r="B49" s="428"/>
      <c r="C49" s="416" t="s">
        <v>1114</v>
      </c>
      <c r="D49" s="416" t="s">
        <v>1115</v>
      </c>
      <c r="E49" s="416" t="s">
        <v>1116</v>
      </c>
      <c r="F49" s="416" t="s">
        <v>1116</v>
      </c>
      <c r="G49" s="416" t="s">
        <v>76</v>
      </c>
      <c r="H49" s="86" t="s">
        <v>1115</v>
      </c>
      <c r="I49" s="86" t="s">
        <v>1119</v>
      </c>
      <c r="J49" s="87"/>
      <c r="K49" s="427"/>
      <c r="L49" s="120"/>
      <c r="M49" s="120"/>
      <c r="Q49" s="210"/>
      <c r="R49" s="210"/>
      <c r="S49" s="210"/>
      <c r="T49" s="210"/>
      <c r="U49" s="210"/>
      <c r="V49" s="210"/>
    </row>
    <row r="50" spans="2:22">
      <c r="B50" s="428"/>
      <c r="C50" s="87"/>
      <c r="D50" s="87"/>
      <c r="E50" s="87"/>
      <c r="F50" s="87"/>
      <c r="G50" s="87"/>
      <c r="H50" s="87"/>
      <c r="I50" s="87"/>
      <c r="J50" s="87"/>
      <c r="K50" s="427"/>
      <c r="L50" s="120"/>
      <c r="Q50" s="210"/>
      <c r="R50" s="210"/>
      <c r="S50" s="210"/>
      <c r="T50" s="210"/>
      <c r="U50" s="210"/>
      <c r="V50" s="210"/>
    </row>
    <row r="51" spans="2:22" ht="15.75">
      <c r="B51" s="442" t="s">
        <v>1118</v>
      </c>
      <c r="C51" s="412" t="s">
        <v>85</v>
      </c>
      <c r="D51" s="421" t="s">
        <v>81</v>
      </c>
      <c r="E51" s="421" t="s">
        <v>34</v>
      </c>
      <c r="F51" s="421" t="s">
        <v>1123</v>
      </c>
      <c r="G51" s="421" t="s">
        <v>36</v>
      </c>
      <c r="H51" s="421" t="s">
        <v>1124</v>
      </c>
      <c r="I51" s="421" t="s">
        <v>1125</v>
      </c>
      <c r="J51" s="422" t="s">
        <v>84</v>
      </c>
      <c r="K51" s="443" t="s">
        <v>1117</v>
      </c>
      <c r="L51" s="120"/>
      <c r="Q51" s="210"/>
      <c r="R51" s="210"/>
      <c r="S51" s="210"/>
      <c r="T51" s="210"/>
      <c r="U51" s="210"/>
      <c r="V51" s="210"/>
    </row>
    <row r="52" spans="2:22">
      <c r="B52" s="444" t="s">
        <v>77</v>
      </c>
      <c r="C52" s="88">
        <f>VLOOKUP($C$11,IPE!$B$7:$AN$1246,8,0)</f>
        <v>84.5</v>
      </c>
      <c r="D52" s="88">
        <f>U13</f>
        <v>400</v>
      </c>
      <c r="E52" s="88">
        <f>V13</f>
        <v>180</v>
      </c>
      <c r="F52" s="88">
        <f>AA13</f>
        <v>373</v>
      </c>
      <c r="G52" s="88">
        <f>AB13</f>
        <v>331</v>
      </c>
      <c r="H52" s="88">
        <f>W13</f>
        <v>8.6</v>
      </c>
      <c r="I52" s="88">
        <f>X13</f>
        <v>13.5</v>
      </c>
      <c r="J52" s="88">
        <f>Y13</f>
        <v>21</v>
      </c>
      <c r="K52" s="445">
        <f>T13</f>
        <v>66.3</v>
      </c>
      <c r="L52" s="120"/>
      <c r="M52" s="276"/>
      <c r="O52" s="787"/>
      <c r="Q52" s="210"/>
      <c r="R52" s="210"/>
      <c r="S52" s="210"/>
      <c r="T52" s="210"/>
      <c r="U52" s="210"/>
      <c r="V52" s="210"/>
    </row>
    <row r="53" spans="2:22" ht="16.5" thickBot="1">
      <c r="B53" s="446"/>
      <c r="C53" s="447" t="s">
        <v>1114</v>
      </c>
      <c r="D53" s="448" t="s">
        <v>77</v>
      </c>
      <c r="E53" s="448" t="s">
        <v>77</v>
      </c>
      <c r="F53" s="448" t="s">
        <v>77</v>
      </c>
      <c r="G53" s="448" t="s">
        <v>77</v>
      </c>
      <c r="H53" s="448" t="s">
        <v>77</v>
      </c>
      <c r="I53" s="448" t="s">
        <v>77</v>
      </c>
      <c r="J53" s="448" t="s">
        <v>77</v>
      </c>
      <c r="K53" s="818" t="s">
        <v>105</v>
      </c>
      <c r="N53"/>
      <c r="Q53" s="210"/>
      <c r="R53" s="210"/>
      <c r="S53" s="210"/>
      <c r="T53" s="210"/>
      <c r="U53" s="210"/>
      <c r="V53" s="210"/>
    </row>
    <row r="54" spans="2:22" ht="13.5" thickBot="1">
      <c r="N54" s="1066"/>
      <c r="O54" s="118"/>
      <c r="P54" s="119"/>
      <c r="Q54" s="210"/>
      <c r="R54" s="210"/>
      <c r="S54" s="210"/>
      <c r="T54" s="210"/>
      <c r="U54" s="210"/>
      <c r="V54" s="210"/>
    </row>
    <row r="55" spans="2:22">
      <c r="N55" s="211"/>
      <c r="O55" s="210"/>
      <c r="P55" s="210"/>
      <c r="Q55" s="210"/>
      <c r="R55" s="210"/>
      <c r="S55" s="210"/>
      <c r="T55" s="210"/>
      <c r="U55" s="210"/>
      <c r="V55" s="210"/>
    </row>
    <row r="56" spans="2:22">
      <c r="B56" s="480"/>
      <c r="C56" s="481"/>
      <c r="D56" s="481"/>
      <c r="E56" s="481"/>
      <c r="F56" s="481"/>
      <c r="G56" s="481"/>
      <c r="H56" s="481"/>
      <c r="I56" s="481"/>
      <c r="J56" s="481"/>
      <c r="K56" s="482"/>
      <c r="N56" s="211"/>
      <c r="O56" s="210"/>
      <c r="P56" s="210"/>
      <c r="Q56" s="210"/>
      <c r="R56" s="210"/>
      <c r="S56" s="210"/>
      <c r="T56" s="210"/>
      <c r="U56" s="210"/>
      <c r="V56" s="210"/>
    </row>
    <row r="57" spans="2:22" ht="15.75">
      <c r="B57" s="483" t="s">
        <v>2463</v>
      </c>
      <c r="C57" s="484" t="s">
        <v>2464</v>
      </c>
      <c r="D57" s="485" t="s">
        <v>2473</v>
      </c>
      <c r="E57" s="485"/>
      <c r="F57" s="485"/>
      <c r="G57" s="485"/>
      <c r="H57" s="485"/>
      <c r="I57" s="485"/>
      <c r="J57" s="485"/>
      <c r="K57" s="324"/>
      <c r="N57" s="211"/>
      <c r="O57" s="210"/>
      <c r="P57" s="210"/>
      <c r="Q57" s="210"/>
      <c r="R57" s="210"/>
      <c r="S57" s="210"/>
      <c r="T57" s="210"/>
      <c r="U57" s="210"/>
      <c r="V57" s="210"/>
    </row>
    <row r="58" spans="2:22">
      <c r="B58" s="323"/>
      <c r="C58" s="87"/>
      <c r="D58" s="87"/>
      <c r="E58" s="87"/>
      <c r="F58" s="87"/>
      <c r="G58" s="87"/>
      <c r="H58" s="87"/>
      <c r="I58" s="87"/>
      <c r="J58" s="87"/>
      <c r="K58" s="324"/>
      <c r="N58" s="211"/>
      <c r="O58" s="210"/>
      <c r="P58" s="210"/>
      <c r="Q58" s="210"/>
      <c r="R58" s="210"/>
      <c r="S58" s="210"/>
      <c r="T58" s="210"/>
      <c r="U58" s="210"/>
      <c r="V58" s="210"/>
    </row>
    <row r="59" spans="2:22" ht="15.75">
      <c r="B59" s="494" t="s">
        <v>14</v>
      </c>
      <c r="C59" s="1147" t="s">
        <v>2815</v>
      </c>
      <c r="D59" s="1148" t="s">
        <v>2813</v>
      </c>
      <c r="E59" s="1148" t="s">
        <v>2814</v>
      </c>
      <c r="F59" s="495"/>
      <c r="I59" s="500" t="s">
        <v>2466</v>
      </c>
      <c r="J59" s="501" t="s">
        <v>2467</v>
      </c>
      <c r="K59" s="502" t="s">
        <v>33</v>
      </c>
      <c r="N59" s="211"/>
      <c r="O59" s="210"/>
      <c r="P59" s="210"/>
      <c r="Q59" s="210"/>
      <c r="R59" s="210"/>
      <c r="S59" s="210"/>
      <c r="T59" s="210"/>
      <c r="U59" s="210"/>
      <c r="V59" s="210"/>
    </row>
    <row r="60" spans="2:22" ht="15.75">
      <c r="B60" s="323"/>
      <c r="C60" s="329">
        <f>E10</f>
        <v>500</v>
      </c>
      <c r="D60" s="329">
        <f>F10</f>
        <v>78</v>
      </c>
      <c r="E60" s="329">
        <f>G10</f>
        <v>0</v>
      </c>
      <c r="F60" s="503"/>
      <c r="I60" s="112">
        <f>C60/E11</f>
        <v>0.22592791823561059</v>
      </c>
      <c r="J60" s="112">
        <f>5*I60</f>
        <v>1.129639591178053</v>
      </c>
      <c r="K60" s="487">
        <f>(C52-2*E52*I52/100)/C52</f>
        <v>0.42485207100591715</v>
      </c>
      <c r="N60" s="211"/>
      <c r="O60" s="210"/>
      <c r="P60" s="210"/>
      <c r="Q60" s="210"/>
      <c r="R60" s="210"/>
      <c r="S60" s="210"/>
      <c r="T60" s="210"/>
      <c r="U60" s="210"/>
      <c r="V60" s="210"/>
    </row>
    <row r="61" spans="2:22" ht="15.75">
      <c r="B61" s="1149" t="s">
        <v>2471</v>
      </c>
      <c r="C61" s="492" t="str">
        <f>E9</f>
        <v>N</v>
      </c>
      <c r="D61" s="492" t="str">
        <f>F9</f>
        <v>My</v>
      </c>
      <c r="E61" s="492" t="str">
        <f>G9</f>
        <v>Mz</v>
      </c>
      <c r="F61" s="493" t="s">
        <v>2475</v>
      </c>
      <c r="G61" s="120"/>
      <c r="H61" s="120"/>
      <c r="I61" s="87" t="s">
        <v>2468</v>
      </c>
      <c r="J61" s="120" t="str">
        <f>IF($C$60&lt;$F$52*$H$52*$C$5/2000,"No se reduce My,Rd","Se debe hallar Mn,y,Rd")</f>
        <v>Se debe hallar Mn,y,Rd</v>
      </c>
      <c r="K61" s="328"/>
      <c r="N61" s="211"/>
      <c r="O61" s="210"/>
      <c r="P61" s="210"/>
      <c r="Q61" s="210"/>
      <c r="R61" s="210"/>
      <c r="S61" s="210"/>
      <c r="T61" s="210"/>
      <c r="U61" s="210"/>
      <c r="V61" s="210"/>
    </row>
    <row r="62" spans="2:22" ht="15.75">
      <c r="B62" s="118" t="str">
        <f>F44</f>
        <v>IPE 400</v>
      </c>
      <c r="C62" s="118">
        <f>E11</f>
        <v>2213.0952380952376</v>
      </c>
      <c r="D62" s="118">
        <f>F11</f>
        <v>342.3095238095238</v>
      </c>
      <c r="E62" s="510">
        <f>G11</f>
        <v>59.976190476190467</v>
      </c>
      <c r="F62" s="491">
        <f>C60/C62+D60/D62+E60/E62</f>
        <v>0.45379186759917745</v>
      </c>
      <c r="G62" s="120" t="s">
        <v>2472</v>
      </c>
      <c r="H62" s="120"/>
      <c r="I62" s="120" t="s">
        <v>2469</v>
      </c>
      <c r="J62" s="305" t="str">
        <f>IF($C$60&lt;$F$52*$H$52*$C$5/1000,"No se reduce Mz,Rd","Se debe hallar Mn,z,Rd")</f>
        <v>No se reduce Mz,Rd</v>
      </c>
      <c r="K62" s="486"/>
    </row>
    <row r="63" spans="2:22" ht="15.75">
      <c r="B63" s="847" t="str">
        <f>G44</f>
        <v>S275</v>
      </c>
      <c r="C63" s="496"/>
      <c r="D63" s="497" t="s">
        <v>2817</v>
      </c>
      <c r="E63" s="497" t="s">
        <v>2816</v>
      </c>
      <c r="F63" s="493" t="s">
        <v>2474</v>
      </c>
      <c r="G63" s="498" t="s">
        <v>2465</v>
      </c>
      <c r="H63" s="499" t="s">
        <v>1079</v>
      </c>
      <c r="I63" s="420"/>
      <c r="J63" s="420"/>
      <c r="K63" s="488"/>
    </row>
    <row r="64" spans="2:22" ht="15.75">
      <c r="B64" s="325"/>
      <c r="C64" s="87"/>
      <c r="D64" s="118">
        <f>IF(I60&gt;0.5*K60,(IF(F11*(1-I60)/(1-K60/2)&lt;D62,F11*(1-I60)/(1-K60/2),D62)),D62)</f>
        <v>336.44109334191972</v>
      </c>
      <c r="E64" s="510">
        <f>IF(I60&gt;K60,G11*(1-(I60-K60)^2/(1-K60)^2),G11)</f>
        <v>59.976190476190467</v>
      </c>
      <c r="F64" s="749">
        <f>($D$60/$D$64)^$G$64+($E$60/$E$64)^$H$64</f>
        <v>5.3749092261499133E-2</v>
      </c>
      <c r="G64" s="86">
        <v>2</v>
      </c>
      <c r="H64" s="118">
        <f>IF(J60&lt;1,1,J60)</f>
        <v>1.129639591178053</v>
      </c>
      <c r="I64" s="120"/>
      <c r="J64" s="120"/>
      <c r="K64" s="328"/>
      <c r="L64" s="87"/>
    </row>
    <row r="65" spans="2:17">
      <c r="B65" s="327"/>
      <c r="C65" s="120" t="s">
        <v>2818</v>
      </c>
      <c r="D65" s="120"/>
      <c r="E65" s="509"/>
      <c r="F65" s="750">
        <f>($D$60/$D$64)^G65+($E$60/$E$64)^H65</f>
        <v>0.23183850469992928</v>
      </c>
      <c r="G65" s="86">
        <v>1</v>
      </c>
      <c r="H65" s="86">
        <v>1</v>
      </c>
      <c r="I65" s="120"/>
      <c r="J65" s="120"/>
      <c r="K65" s="328"/>
      <c r="L65" s="87"/>
    </row>
    <row r="66" spans="2:17">
      <c r="B66" s="489"/>
      <c r="C66" s="84"/>
      <c r="D66" s="84"/>
      <c r="E66" s="84"/>
      <c r="F66" s="84"/>
      <c r="G66" s="84"/>
      <c r="H66" s="84"/>
      <c r="I66" s="84"/>
      <c r="J66" s="84"/>
      <c r="K66" s="490"/>
      <c r="L66" s="87"/>
    </row>
    <row r="67" spans="2:17">
      <c r="C67" s="87"/>
      <c r="L67" s="87"/>
    </row>
    <row r="68" spans="2:17" ht="14.25">
      <c r="B68" s="1081" t="s">
        <v>2655</v>
      </c>
      <c r="C68" s="1082" t="s">
        <v>1121</v>
      </c>
      <c r="D68" s="1082" t="s">
        <v>1122</v>
      </c>
      <c r="E68" s="1082" t="s">
        <v>2643</v>
      </c>
      <c r="F68" s="1083" t="s">
        <v>2660</v>
      </c>
      <c r="G68" s="1083" t="s">
        <v>2661</v>
      </c>
      <c r="H68" s="1083" t="s">
        <v>2662</v>
      </c>
      <c r="I68" s="1084" t="s">
        <v>2652</v>
      </c>
      <c r="J68" s="1085" t="s">
        <v>2653</v>
      </c>
      <c r="K68" s="1086" t="s">
        <v>2666</v>
      </c>
      <c r="L68" s="87"/>
    </row>
    <row r="69" spans="2:17">
      <c r="B69" s="1087" t="s">
        <v>2654</v>
      </c>
      <c r="C69" s="779">
        <f>I37</f>
        <v>0.74</v>
      </c>
      <c r="D69" s="779">
        <f>J37</f>
        <v>0.74</v>
      </c>
      <c r="E69" s="779">
        <f>K37</f>
        <v>0.74</v>
      </c>
      <c r="F69" s="1088">
        <f>Pandeo!B79</f>
        <v>1.0099557179715244</v>
      </c>
      <c r="G69" s="1088">
        <f>Pandeo!B80</f>
        <v>1.8834626192732238</v>
      </c>
      <c r="H69" s="1088">
        <f>Pandeo!B81</f>
        <v>0.8712153616219791</v>
      </c>
      <c r="I69" s="1089">
        <f>Pandeo!E80</f>
        <v>0.55764681638146318</v>
      </c>
      <c r="J69" s="1150">
        <f>Pandeo!E81</f>
        <v>1.0151691987235929</v>
      </c>
      <c r="K69" s="1090" t="s">
        <v>2656</v>
      </c>
      <c r="L69" s="87"/>
    </row>
    <row r="70" spans="2:17">
      <c r="B70" s="1091"/>
      <c r="C70" s="87"/>
      <c r="D70" s="87"/>
      <c r="E70" s="794"/>
      <c r="F70" s="87"/>
      <c r="I70" s="87"/>
      <c r="J70" s="87"/>
      <c r="K70" s="1092"/>
      <c r="L70" s="87"/>
    </row>
    <row r="71" spans="2:17">
      <c r="B71" s="1091"/>
      <c r="C71" s="87"/>
      <c r="D71" s="87"/>
      <c r="E71" s="87"/>
      <c r="F71" s="87"/>
      <c r="G71" s="87" t="s">
        <v>2819</v>
      </c>
      <c r="H71" s="87"/>
      <c r="J71" s="788" t="s">
        <v>1076</v>
      </c>
      <c r="K71" s="1092"/>
      <c r="L71" s="87"/>
      <c r="O71"/>
      <c r="P71"/>
      <c r="Q71"/>
    </row>
    <row r="72" spans="2:17" ht="13.5">
      <c r="B72" s="1091"/>
      <c r="C72" s="87"/>
      <c r="D72" s="87"/>
      <c r="E72" s="87"/>
      <c r="F72" s="87"/>
      <c r="G72" s="1153" t="s">
        <v>2658</v>
      </c>
      <c r="H72" s="1151" t="s">
        <v>2659</v>
      </c>
      <c r="J72" s="820">
        <f>Pandeo!F66</f>
        <v>0.9615352949935263</v>
      </c>
      <c r="K72" s="1090" t="s">
        <v>2657</v>
      </c>
      <c r="L72" s="87"/>
    </row>
    <row r="73" spans="2:17">
      <c r="B73" s="1091"/>
      <c r="C73" s="87"/>
      <c r="D73" s="87"/>
      <c r="E73" s="87"/>
      <c r="F73" s="87"/>
      <c r="G73" s="1154">
        <f>Pandeo!C57</f>
        <v>1.0129334150435161</v>
      </c>
      <c r="H73" s="1152">
        <f>Pandeo!C63</f>
        <v>1.8431280930844423</v>
      </c>
      <c r="I73" s="87"/>
      <c r="J73" s="819">
        <f>E10/MINA(J31:J32)+K25+G10/G11</f>
        <v>1.0719511762078415</v>
      </c>
      <c r="K73" s="1093" t="s">
        <v>2665</v>
      </c>
      <c r="L73" s="87"/>
    </row>
    <row r="74" spans="2:17">
      <c r="B74" s="1094"/>
      <c r="C74" s="1095"/>
      <c r="D74" s="1095"/>
      <c r="E74" s="1095"/>
      <c r="F74" s="1095"/>
      <c r="G74" s="1095"/>
      <c r="H74" s="1095"/>
      <c r="I74" s="1095"/>
      <c r="J74" s="1095"/>
      <c r="K74" s="1096"/>
      <c r="L74" s="87"/>
    </row>
    <row r="75" spans="2:17">
      <c r="C75" s="1090" t="s">
        <v>2665</v>
      </c>
      <c r="D75" s="82" t="s">
        <v>2820</v>
      </c>
      <c r="L75" s="87"/>
    </row>
    <row r="76" spans="2:17">
      <c r="B76"/>
      <c r="C76" s="8"/>
      <c r="L76"/>
    </row>
    <row r="77" spans="2:17">
      <c r="B77" s="82" t="s">
        <v>2885</v>
      </c>
      <c r="L77"/>
    </row>
    <row r="78" spans="2:17">
      <c r="B78" s="1240">
        <v>43859</v>
      </c>
      <c r="C78" s="82" t="s">
        <v>2886</v>
      </c>
      <c r="L78"/>
    </row>
    <row r="79" spans="2:17">
      <c r="L79"/>
    </row>
    <row r="80" spans="2:17">
      <c r="L80"/>
    </row>
    <row r="81" spans="2:12">
      <c r="L81"/>
    </row>
    <row r="82" spans="2:12">
      <c r="L82"/>
    </row>
    <row r="83" spans="2:12">
      <c r="L83"/>
    </row>
    <row r="84" spans="2:12">
      <c r="B84"/>
      <c r="C84" s="8"/>
      <c r="D84"/>
      <c r="E84"/>
      <c r="F84"/>
      <c r="G84" s="8"/>
      <c r="K84"/>
      <c r="L84"/>
    </row>
    <row r="85" spans="2:12">
      <c r="C85" s="87"/>
      <c r="L85" s="87"/>
    </row>
    <row r="86" spans="2:12">
      <c r="C86" s="87"/>
      <c r="L86" s="87"/>
    </row>
    <row r="87" spans="2:12">
      <c r="C87" s="87"/>
      <c r="L87" s="87"/>
    </row>
    <row r="88" spans="2:12">
      <c r="C88" s="87"/>
      <c r="L88" s="87"/>
    </row>
    <row r="89" spans="2:12">
      <c r="C89" s="87"/>
      <c r="L89" s="87"/>
    </row>
    <row r="90" spans="2:12">
      <c r="C90" s="87"/>
      <c r="L90" s="87"/>
    </row>
    <row r="91" spans="2:12">
      <c r="C91" s="87"/>
      <c r="L91" s="87"/>
    </row>
    <row r="92" spans="2:12">
      <c r="L92" s="308"/>
    </row>
    <row r="93" spans="2:12">
      <c r="L93" s="308"/>
    </row>
    <row r="94" spans="2:12">
      <c r="L94" s="308"/>
    </row>
    <row r="95" spans="2:12" ht="15.75">
      <c r="B95" s="388"/>
      <c r="C95" s="389"/>
      <c r="D95" s="390"/>
      <c r="E95" s="404"/>
      <c r="H95" s="403"/>
      <c r="I95" s="389"/>
      <c r="L95" s="308"/>
    </row>
    <row r="96" spans="2:12">
      <c r="L96" s="308"/>
    </row>
    <row r="97" spans="2:12" ht="15.75">
      <c r="B97" s="315"/>
      <c r="C97" s="315"/>
      <c r="D97" s="314"/>
      <c r="E97" s="316"/>
      <c r="F97" s="314"/>
      <c r="G97" s="308"/>
      <c r="H97" s="308"/>
      <c r="I97" s="308"/>
      <c r="J97" s="308"/>
      <c r="K97" s="308"/>
      <c r="L97" s="308"/>
    </row>
  </sheetData>
  <sheetProtection sheet="1" objects="1" scenarios="1" selectLockedCells="1"/>
  <dataConsolidate/>
  <phoneticPr fontId="0" type="noConversion"/>
  <conditionalFormatting sqref="F33:G33 I33:K33">
    <cfRule type="cellIs" dxfId="36" priority="73" operator="equal">
      <formula>"¡No!"</formula>
    </cfRule>
    <cfRule type="cellIs" dxfId="35" priority="74" operator="equal">
      <formula>"¡Si!"</formula>
    </cfRule>
  </conditionalFormatting>
  <conditionalFormatting sqref="K31:K32 K15">
    <cfRule type="cellIs" dxfId="34" priority="30" operator="greaterThan">
      <formula>1</formula>
    </cfRule>
    <cfRule type="cellIs" dxfId="33" priority="63" operator="greaterThan">
      <formula>1</formula>
    </cfRule>
  </conditionalFormatting>
  <conditionalFormatting sqref="F31:F32">
    <cfRule type="cellIs" dxfId="32" priority="29" operator="greaterThan">
      <formula>2</formula>
    </cfRule>
    <cfRule type="cellIs" dxfId="31" priority="62" operator="greaterThan">
      <formula>2</formula>
    </cfRule>
  </conditionalFormatting>
  <conditionalFormatting sqref="J37:K37 H10:I10 I69:J69 J72:J73 K25:K26">
    <cfRule type="cellIs" dxfId="30" priority="41" operator="greaterThan">
      <formula>1</formula>
    </cfRule>
  </conditionalFormatting>
  <conditionalFormatting sqref="I37">
    <cfRule type="cellIs" dxfId="29" priority="23" operator="between">
      <formula>1</formula>
      <formula>"0.4"</formula>
    </cfRule>
  </conditionalFormatting>
  <conditionalFormatting sqref="F14">
    <cfRule type="cellIs" dxfId="28" priority="12" operator="equal">
      <formula>"Sí"</formula>
    </cfRule>
  </conditionalFormatting>
  <conditionalFormatting sqref="K12">
    <cfRule type="cellIs" dxfId="27" priority="10" operator="equal">
      <formula>"¡No!"</formula>
    </cfRule>
  </conditionalFormatting>
  <conditionalFormatting sqref="H15">
    <cfRule type="cellIs" dxfId="26" priority="82" operator="greaterThan">
      <formula>$F$11</formula>
    </cfRule>
  </conditionalFormatting>
  <conditionalFormatting sqref="E11">
    <cfRule type="cellIs" dxfId="25" priority="83" operator="lessThan">
      <formula>$E$10</formula>
    </cfRule>
  </conditionalFormatting>
  <conditionalFormatting sqref="F11">
    <cfRule type="cellIs" dxfId="24" priority="84" operator="lessThan">
      <formula>$F$10</formula>
    </cfRule>
  </conditionalFormatting>
  <conditionalFormatting sqref="G11">
    <cfRule type="cellIs" dxfId="23" priority="85" operator="lessThan">
      <formula>$G$10</formula>
    </cfRule>
  </conditionalFormatting>
  <conditionalFormatting sqref="J11">
    <cfRule type="cellIs" dxfId="22" priority="86" operator="lessThan">
      <formula>$J$10</formula>
    </cfRule>
  </conditionalFormatting>
  <conditionalFormatting sqref="K11">
    <cfRule type="cellIs" dxfId="21" priority="87" operator="lessThan">
      <formula>$K$10</formula>
    </cfRule>
  </conditionalFormatting>
  <conditionalFormatting sqref="K11">
    <cfRule type="cellIs" dxfId="20" priority="8" operator="equal">
      <formula>"¡No!"</formula>
    </cfRule>
  </conditionalFormatting>
  <conditionalFormatting sqref="E22">
    <cfRule type="cellIs" dxfId="19" priority="7" operator="lessThan">
      <formula>$K$22</formula>
    </cfRule>
  </conditionalFormatting>
  <conditionalFormatting sqref="K22">
    <cfRule type="cellIs" dxfId="18" priority="6" operator="greaterThan">
      <formula>$E$22</formula>
    </cfRule>
  </conditionalFormatting>
  <conditionalFormatting sqref="D69:E69">
    <cfRule type="cellIs" dxfId="17" priority="5" operator="greaterThan">
      <formula>1</formula>
    </cfRule>
  </conditionalFormatting>
  <conditionalFormatting sqref="C69">
    <cfRule type="cellIs" dxfId="16" priority="4" operator="between">
      <formula>1</formula>
      <formula>"0.4"</formula>
    </cfRule>
  </conditionalFormatting>
  <conditionalFormatting sqref="E38 E42">
    <cfRule type="cellIs" dxfId="15" priority="2" operator="greaterThan">
      <formula>1</formula>
    </cfRule>
  </conditionalFormatting>
  <conditionalFormatting sqref="F38 F42">
    <cfRule type="cellIs" dxfId="14" priority="1" operator="greaterThan">
      <formula>1</formula>
    </cfRule>
  </conditionalFormatting>
  <dataValidations xWindow="57" yWindow="811" count="7">
    <dataValidation errorStyle="warning" allowBlank="1" error="Debes elegir un valor" prompt="Elige un coeficiente de minoración del acero" sqref="F22" xr:uid="{00000000-0002-0000-0000-000000000000}"/>
    <dataValidation type="list" allowBlank="1" showInputMessage="1" showErrorMessage="1" sqref="B11" xr:uid="{00000000-0002-0000-0000-000001000000}">
      <formula1>$O$17:$R$17</formula1>
    </dataValidation>
    <dataValidation type="list" showInputMessage="1" showErrorMessage="1" sqref="C11" xr:uid="{00000000-0002-0000-0000-000002000000}">
      <formula1>$N$18:$N$41</formula1>
    </dataValidation>
    <dataValidation type="list" allowBlank="1" showInputMessage="1" showErrorMessage="1" prompt="elegir del 1 al tres" sqref="J47:K47 M46:N46" xr:uid="{00000000-0002-0000-0000-000003000000}">
      <formula1>$Q$5:$Q$12</formula1>
    </dataValidation>
    <dataValidation type="list" errorStyle="warning" allowBlank="1" showInputMessage="1" showErrorMessage="1" error="Debes elegir un valor" prompt="Elige un coeficiente de minoración del acero" sqref="C6" xr:uid="{00000000-0002-0000-0000-000004000000}">
      <formula1>$P$5:$P$12</formula1>
    </dataValidation>
    <dataValidation type="list" allowBlank="1" showInputMessage="1" showErrorMessage="1" sqref="B5" xr:uid="{00000000-0002-0000-0000-000005000000}">
      <formula1>$O$4:$O$7</formula1>
    </dataValidation>
    <dataValidation type="list" allowBlank="1" showInputMessage="1" showErrorMessage="1" sqref="E25:E26" xr:uid="{00000000-0002-0000-0000-000006000000}">
      <formula1>$R$5:$R$7</formula1>
    </dataValidation>
  </dataValidations>
  <printOptions horizontalCentered="1"/>
  <pageMargins left="0.6692913385826772" right="0.47244094488188981" top="0.82" bottom="0.82677165354330717" header="0.23622047244094491" footer="0"/>
  <pageSetup paperSize="9" scale="93" orientation="portrait" r:id="rId1"/>
  <headerFooter alignWithMargins="0">
    <oddHeader>&amp;L&amp;9&amp;D&amp;C&amp;"Times New Roman,Negrita"&amp;12
&amp;"Times New Roman,Normal"COMPROBACIÓN DE&amp;"Times New Roman,Negrita" &amp;"Times New Roman,Normal"&amp;11PERFILES LAMINADOS EN "I" CONFORME EL C.T.E.&amp;R&amp;8&amp;F</oddHeader>
    <oddFooter>&amp;C&amp;"Arial,Negrita"&amp;8Adavertencia:&amp;"Arial,Normal" esta hoja está en fase de prueba; no debe ser utilizada para usos profesionales.
Autor: Ignacio Guerra</oddFooter>
  </headerFooter>
  <cellWatches>
    <cellWatch r="B11"/>
    <cellWatch r="F22"/>
    <cellWatch r="O17"/>
    <cellWatch r="O18"/>
    <cellWatch r="O19"/>
    <cellWatch r="O20"/>
    <cellWatch r="O21"/>
    <cellWatch r="O22"/>
    <cellWatch r="O24"/>
    <cellWatch r="O25"/>
  </cellWatches>
  <drawing r:id="rId2"/>
  <legacyDrawing r:id="rId3"/>
  <oleObjects>
    <mc:AlternateContent xmlns:mc="http://schemas.openxmlformats.org/markup-compatibility/2006">
      <mc:Choice Requires="x14">
        <oleObject progId="Equation.3" shapeId="4134" r:id="rId4">
          <objectPr defaultSize="0" autoPict="0" r:id="rId5">
            <anchor moveWithCells="1" sizeWithCells="1">
              <from>
                <xdr:col>13</xdr:col>
                <xdr:colOff>400050</xdr:colOff>
                <xdr:row>1</xdr:row>
                <xdr:rowOff>76200</xdr:rowOff>
              </from>
              <to>
                <xdr:col>15</xdr:col>
                <xdr:colOff>209550</xdr:colOff>
                <xdr:row>2</xdr:row>
                <xdr:rowOff>123825</xdr:rowOff>
              </to>
            </anchor>
          </objectPr>
        </oleObject>
      </mc:Choice>
      <mc:Fallback>
        <oleObject progId="Equation.3" shapeId="4134" r:id="rId4"/>
      </mc:Fallback>
    </mc:AlternateContent>
    <mc:AlternateContent xmlns:mc="http://schemas.openxmlformats.org/markup-compatibility/2006">
      <mc:Choice Requires="x14">
        <oleObject progId="Equation.3" shapeId="4137" r:id="rId6">
          <objectPr defaultSize="0" autoPict="0" r:id="rId7">
            <anchor moveWithCells="1" sizeWithCells="1">
              <from>
                <xdr:col>1</xdr:col>
                <xdr:colOff>323850</xdr:colOff>
                <xdr:row>14</xdr:row>
                <xdr:rowOff>57150</xdr:rowOff>
              </from>
              <to>
                <xdr:col>3</xdr:col>
                <xdr:colOff>66675</xdr:colOff>
                <xdr:row>17</xdr:row>
                <xdr:rowOff>9525</xdr:rowOff>
              </to>
            </anchor>
          </objectPr>
        </oleObject>
      </mc:Choice>
      <mc:Fallback>
        <oleObject progId="Equation.3" shapeId="4137" r:id="rId6"/>
      </mc:Fallback>
    </mc:AlternateContent>
    <mc:AlternateContent xmlns:mc="http://schemas.openxmlformats.org/markup-compatibility/2006">
      <mc:Choice Requires="x14">
        <oleObject progId="Equation.3" shapeId="4177" r:id="rId8">
          <objectPr defaultSize="0" autoPict="0" r:id="rId9">
            <anchor moveWithCells="1" sizeWithCells="1">
              <from>
                <xdr:col>1</xdr:col>
                <xdr:colOff>266700</xdr:colOff>
                <xdr:row>70</xdr:row>
                <xdr:rowOff>9525</xdr:rowOff>
              </from>
              <to>
                <xdr:col>5</xdr:col>
                <xdr:colOff>438150</xdr:colOff>
                <xdr:row>73</xdr:row>
                <xdr:rowOff>66675</xdr:rowOff>
              </to>
            </anchor>
          </objectPr>
        </oleObject>
      </mc:Choice>
      <mc:Fallback>
        <oleObject progId="Equation.3" shapeId="4177" r:id="rId8"/>
      </mc:Fallback>
    </mc:AlternateContent>
    <mc:AlternateContent xmlns:mc="http://schemas.openxmlformats.org/markup-compatibility/2006">
      <mc:Choice Requires="x14">
        <oleObject progId="Equation.3" shapeId="4171" r:id="rId10">
          <objectPr defaultSize="0" autoPict="0" r:id="rId7">
            <anchor moveWithCells="1" sizeWithCells="1">
              <from>
                <xdr:col>7</xdr:col>
                <xdr:colOff>95250</xdr:colOff>
                <xdr:row>10</xdr:row>
                <xdr:rowOff>0</xdr:rowOff>
              </from>
              <to>
                <xdr:col>7</xdr:col>
                <xdr:colOff>514350</xdr:colOff>
                <xdr:row>10</xdr:row>
                <xdr:rowOff>180975</xdr:rowOff>
              </to>
            </anchor>
          </objectPr>
        </oleObject>
      </mc:Choice>
      <mc:Fallback>
        <oleObject progId="Equation.3" shapeId="4171" r:id="rId10"/>
      </mc:Fallback>
    </mc:AlternateContent>
  </oleObjec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Hoja10"/>
  <dimension ref="A1:R1314"/>
  <sheetViews>
    <sheetView workbookViewId="0">
      <selection activeCell="O10" sqref="O10"/>
    </sheetView>
  </sheetViews>
  <sheetFormatPr baseColWidth="10" defaultColWidth="11.42578125" defaultRowHeight="12.75"/>
  <cols>
    <col min="1" max="1" width="7.5703125" style="8" bestFit="1" customWidth="1"/>
    <col min="2" max="2" width="6.5703125" style="348" bestFit="1" customWidth="1"/>
    <col min="3" max="3" width="9.5703125" style="348" bestFit="1" customWidth="1"/>
    <col min="4" max="4" width="14.5703125" style="8" bestFit="1" customWidth="1"/>
    <col min="5" max="5" width="7.5703125" style="8" bestFit="1" customWidth="1"/>
    <col min="6" max="6" width="6.5703125" style="8" bestFit="1" customWidth="1"/>
    <col min="7" max="7" width="9.5703125" style="8" bestFit="1" customWidth="1"/>
    <col min="8" max="8" width="14.5703125" style="8" bestFit="1" customWidth="1"/>
    <col min="9" max="9" width="7.5703125" style="8" bestFit="1" customWidth="1"/>
    <col min="10" max="10" width="6.5703125" style="8" bestFit="1" customWidth="1"/>
    <col min="11" max="11" width="9.5703125" style="8" bestFit="1" customWidth="1"/>
    <col min="12" max="12" width="17.140625" style="8" bestFit="1" customWidth="1"/>
    <col min="13" max="13" width="12.28515625" style="8" bestFit="1" customWidth="1"/>
    <col min="14" max="15" width="12.28515625" style="8" customWidth="1"/>
    <col min="16" max="16" width="11.42578125" style="8"/>
    <col min="17" max="17" width="12.42578125" style="8" bestFit="1" customWidth="1"/>
    <col min="18" max="18" width="11.42578125" style="348"/>
    <col min="19" max="16384" width="11.42578125" style="8"/>
  </cols>
  <sheetData>
    <row r="1" spans="1:12">
      <c r="A1" s="459" t="s">
        <v>1136</v>
      </c>
      <c r="B1" s="460" t="s">
        <v>1137</v>
      </c>
      <c r="C1" s="460" t="s">
        <v>1138</v>
      </c>
      <c r="D1" s="459" t="s">
        <v>1139</v>
      </c>
      <c r="E1" s="459" t="s">
        <v>1136</v>
      </c>
      <c r="F1" s="460" t="s">
        <v>1137</v>
      </c>
      <c r="G1" s="460" t="s">
        <v>1138</v>
      </c>
      <c r="H1" s="459" t="s">
        <v>1139</v>
      </c>
      <c r="I1" s="459" t="s">
        <v>1136</v>
      </c>
      <c r="J1" s="460" t="s">
        <v>1137</v>
      </c>
      <c r="K1" s="460" t="s">
        <v>1138</v>
      </c>
      <c r="L1" s="459" t="s">
        <v>1139</v>
      </c>
    </row>
    <row r="2" spans="1:12">
      <c r="A2" s="461">
        <v>0.41179665809291471</v>
      </c>
      <c r="B2" s="462">
        <v>0.83849107924311594</v>
      </c>
      <c r="C2" s="462">
        <v>0.39120682518826899</v>
      </c>
      <c r="D2" s="463" t="s">
        <v>1140</v>
      </c>
      <c r="E2" s="464">
        <v>0.6921663585566179</v>
      </c>
      <c r="F2" s="464">
        <v>1.0495380279681585</v>
      </c>
      <c r="G2" s="464">
        <v>0.6921663585566179</v>
      </c>
      <c r="H2" s="465" t="s">
        <v>1141</v>
      </c>
      <c r="I2" s="466">
        <v>0.76751698392629564</v>
      </c>
      <c r="J2" s="466">
        <v>1.0495380279681585</v>
      </c>
      <c r="K2" s="466">
        <v>1.1512754758894435</v>
      </c>
      <c r="L2" s="467" t="s">
        <v>1142</v>
      </c>
    </row>
    <row r="3" spans="1:12">
      <c r="A3" s="461">
        <v>0.46369907566985347</v>
      </c>
      <c r="B3" s="461">
        <v>0.88781408390447558</v>
      </c>
      <c r="C3" s="461">
        <v>0.46369907566985347</v>
      </c>
      <c r="D3" s="463" t="s">
        <v>1143</v>
      </c>
      <c r="E3" s="464">
        <v>0.87403806419935026</v>
      </c>
      <c r="F3" s="464">
        <v>1.1751380279681585</v>
      </c>
      <c r="G3" s="464">
        <v>0.9614418706192851</v>
      </c>
      <c r="H3" s="465" t="s">
        <v>1144</v>
      </c>
      <c r="I3" s="466">
        <v>1.0292947617040731</v>
      </c>
      <c r="J3" s="466">
        <v>1.2065380279681583</v>
      </c>
      <c r="K3" s="466">
        <v>1.54394214255611</v>
      </c>
      <c r="L3" s="467" t="s">
        <v>1145</v>
      </c>
    </row>
    <row r="4" spans="1:12">
      <c r="A4" s="461">
        <v>0.57691065093194382</v>
      </c>
      <c r="B4" s="461">
        <v>0.98646009322719508</v>
      </c>
      <c r="C4" s="461">
        <v>0.63460171602513815</v>
      </c>
      <c r="D4" s="463" t="s">
        <v>1146</v>
      </c>
      <c r="E4" s="464">
        <v>1.1867938445235524</v>
      </c>
      <c r="F4" s="464">
        <v>1.3635380279681584</v>
      </c>
      <c r="G4" s="464">
        <v>1.4834923056544402</v>
      </c>
      <c r="H4" s="465" t="s">
        <v>1147</v>
      </c>
      <c r="I4" s="466">
        <v>1.2910725394818507</v>
      </c>
      <c r="J4" s="466">
        <v>1.3635380279681584</v>
      </c>
      <c r="K4" s="466">
        <v>1.9366088092227765</v>
      </c>
      <c r="L4" s="467" t="s">
        <v>1148</v>
      </c>
    </row>
    <row r="5" spans="1:12">
      <c r="A5" s="461">
        <v>0.77025568680714551</v>
      </c>
      <c r="B5" s="461">
        <v>1.1344291072112742</v>
      </c>
      <c r="C5" s="461">
        <v>0.96281960850893189</v>
      </c>
      <c r="D5" s="463" t="s">
        <v>1149</v>
      </c>
      <c r="E5" s="464">
        <v>1.5475052435849863</v>
      </c>
      <c r="F5" s="464">
        <v>1.5519380279681585</v>
      </c>
      <c r="G5" s="464">
        <v>2.1665073410189808</v>
      </c>
      <c r="H5" s="465" t="s">
        <v>1150</v>
      </c>
      <c r="I5" s="466">
        <v>1.3021067428854951</v>
      </c>
      <c r="J5" s="466">
        <v>1.3635380279681584</v>
      </c>
      <c r="K5" s="466">
        <v>2.6042134857709902</v>
      </c>
      <c r="L5" s="467" t="s">
        <v>1151</v>
      </c>
    </row>
    <row r="6" spans="1:12">
      <c r="A6" s="468">
        <v>0.99184568063334899</v>
      </c>
      <c r="B6" s="462">
        <v>1.2823981211953537</v>
      </c>
      <c r="C6" s="462">
        <v>1.3885839528866886</v>
      </c>
      <c r="D6" s="463" t="s">
        <v>1152</v>
      </c>
      <c r="E6" s="464">
        <v>1.8146280950374063</v>
      </c>
      <c r="F6" s="464">
        <v>1.6775380279681584</v>
      </c>
      <c r="G6" s="464">
        <v>2.7219421425561099</v>
      </c>
      <c r="H6" s="465" t="s">
        <v>1153</v>
      </c>
      <c r="I6" s="466">
        <v>1.6634400762188282</v>
      </c>
      <c r="J6" s="466">
        <v>1.5205380279681586</v>
      </c>
      <c r="K6" s="466">
        <v>3.3268801524376568</v>
      </c>
      <c r="L6" s="467" t="s">
        <v>1154</v>
      </c>
    </row>
    <row r="7" spans="1:12">
      <c r="A7" s="461">
        <v>1.1552683384800866</v>
      </c>
      <c r="B7" s="461">
        <v>1.3810441305180732</v>
      </c>
      <c r="C7" s="461">
        <v>1.7329025077201299</v>
      </c>
      <c r="D7" s="463" t="s">
        <v>1155</v>
      </c>
      <c r="E7" s="464">
        <v>2.1030729790386591</v>
      </c>
      <c r="F7" s="464">
        <v>1.8031380279681586</v>
      </c>
      <c r="G7" s="464">
        <v>3.3649167664618544</v>
      </c>
      <c r="H7" s="465" t="s">
        <v>1156</v>
      </c>
      <c r="I7" s="466">
        <v>1.9702588219471699</v>
      </c>
      <c r="J7" s="466">
        <v>1.6775380279681584</v>
      </c>
      <c r="K7" s="466">
        <v>4.9256470548679241</v>
      </c>
      <c r="L7" s="467" t="s">
        <v>1157</v>
      </c>
    </row>
    <row r="8" spans="1:12">
      <c r="A8" s="461">
        <v>1.3312498869586749</v>
      </c>
      <c r="B8" s="461">
        <v>1.4796901398407925</v>
      </c>
      <c r="C8" s="461">
        <v>2.1299998191338796</v>
      </c>
      <c r="D8" s="463" t="s">
        <v>1158</v>
      </c>
      <c r="E8" s="464">
        <v>2.336061460128585</v>
      </c>
      <c r="F8" s="464">
        <v>2.3614605629283569</v>
      </c>
      <c r="G8" s="464">
        <v>3.5040921901928779</v>
      </c>
      <c r="H8" s="465" t="s">
        <v>1159</v>
      </c>
      <c r="I8" s="466">
        <v>2.0247734095521621</v>
      </c>
      <c r="J8" s="466">
        <v>1.6775380279681584</v>
      </c>
      <c r="K8" s="466">
        <v>4.0495468191043242</v>
      </c>
      <c r="L8" s="467" t="s">
        <v>1160</v>
      </c>
    </row>
    <row r="9" spans="1:12">
      <c r="A9" s="468">
        <v>1.6187729346047177</v>
      </c>
      <c r="B9" s="462">
        <v>1.6276591538248721</v>
      </c>
      <c r="C9" s="462">
        <v>2.8328526355582562</v>
      </c>
      <c r="D9" s="463" t="s">
        <v>1161</v>
      </c>
      <c r="E9" s="464">
        <v>2.5757233538637863</v>
      </c>
      <c r="F9" s="464">
        <v>1.9915380279681585</v>
      </c>
      <c r="G9" s="464">
        <v>4.507515869261626</v>
      </c>
      <c r="H9" s="465" t="s">
        <v>1162</v>
      </c>
      <c r="I9" s="466">
        <v>2.3861067428854961</v>
      </c>
      <c r="J9" s="466">
        <v>1.8345380279681585</v>
      </c>
      <c r="K9" s="466">
        <v>4.7722134857709912</v>
      </c>
      <c r="L9" s="467" t="s">
        <v>1163</v>
      </c>
    </row>
    <row r="10" spans="1:12">
      <c r="A10" s="461">
        <v>1.9345596866842412</v>
      </c>
      <c r="B10" s="461">
        <v>1.7756281678089512</v>
      </c>
      <c r="C10" s="461">
        <v>3.675663404700058</v>
      </c>
      <c r="D10" s="463" t="s">
        <v>1164</v>
      </c>
      <c r="E10" s="464">
        <v>3.0963576696793602</v>
      </c>
      <c r="F10" s="464">
        <v>2.1799380279681584</v>
      </c>
      <c r="G10" s="464">
        <v>5.8830795723907849</v>
      </c>
      <c r="H10" s="465" t="s">
        <v>1165</v>
      </c>
      <c r="I10" s="466">
        <v>2.4313254886138362</v>
      </c>
      <c r="J10" s="466">
        <v>1.8345380279681585</v>
      </c>
      <c r="K10" s="466">
        <v>6.0783137215345899</v>
      </c>
      <c r="L10" s="467" t="s">
        <v>1166</v>
      </c>
    </row>
    <row r="11" spans="1:12">
      <c r="A11" s="461">
        <v>2.0423202288137872</v>
      </c>
      <c r="B11" s="461">
        <v>2.2713243646556172</v>
      </c>
      <c r="C11" s="461">
        <v>3.4413095855512315</v>
      </c>
      <c r="D11" s="463" t="s">
        <v>1167</v>
      </c>
      <c r="E11" s="464">
        <v>3.3990343277904946</v>
      </c>
      <c r="F11" s="464">
        <v>2.8324605629283566</v>
      </c>
      <c r="G11" s="464">
        <v>5.9483100736333654</v>
      </c>
      <c r="H11" s="465" t="s">
        <v>1168</v>
      </c>
      <c r="I11" s="466">
        <v>2.4418674038892743</v>
      </c>
      <c r="J11" s="466">
        <v>1.8345380279681585</v>
      </c>
      <c r="K11" s="466">
        <v>5.4942016587508666</v>
      </c>
      <c r="L11" s="467" t="s">
        <v>1169</v>
      </c>
    </row>
    <row r="12" spans="1:12">
      <c r="A12" s="468">
        <v>2.1607874271390597</v>
      </c>
      <c r="B12" s="462">
        <v>1.8742741771316704</v>
      </c>
      <c r="C12" s="462">
        <v>4.3215748542781194</v>
      </c>
      <c r="D12" s="463" t="s">
        <v>1170</v>
      </c>
      <c r="E12" s="464">
        <v>3.4701067428854957</v>
      </c>
      <c r="F12" s="464">
        <v>2.3055380279681588</v>
      </c>
      <c r="G12" s="464">
        <v>6.9402134857709914</v>
      </c>
      <c r="H12" s="465" t="s">
        <v>1171</v>
      </c>
      <c r="I12" s="466">
        <v>2.5306400762188281</v>
      </c>
      <c r="J12" s="466">
        <v>1.8973380279681584</v>
      </c>
      <c r="K12" s="466">
        <v>5.0612801524376572</v>
      </c>
      <c r="L12" s="467" t="s">
        <v>1172</v>
      </c>
    </row>
    <row r="13" spans="1:12">
      <c r="A13" s="461">
        <v>2.3995783887419182</v>
      </c>
      <c r="B13" s="461">
        <v>1.9729201864543902</v>
      </c>
      <c r="C13" s="461">
        <v>5.0391146163580283</v>
      </c>
      <c r="D13" s="463" t="s">
        <v>1173</v>
      </c>
      <c r="E13" s="464">
        <v>4.1327024235188494</v>
      </c>
      <c r="F13" s="464">
        <v>3.115060562928357</v>
      </c>
      <c r="G13" s="464">
        <v>7.8521346046858147</v>
      </c>
      <c r="H13" s="465" t="s">
        <v>1174</v>
      </c>
      <c r="I13" s="466">
        <v>2.7474400762188282</v>
      </c>
      <c r="J13" s="466">
        <v>1.9915380279681585</v>
      </c>
      <c r="K13" s="466">
        <v>5.4948801524376574</v>
      </c>
      <c r="L13" s="467" t="s">
        <v>1175</v>
      </c>
    </row>
    <row r="14" spans="1:12">
      <c r="A14" s="461">
        <v>2.6780010534580887</v>
      </c>
      <c r="B14" s="461">
        <v>2.5894577447213871</v>
      </c>
      <c r="C14" s="461">
        <v>5.0882020015703686</v>
      </c>
      <c r="D14" s="463" t="s">
        <v>1176</v>
      </c>
      <c r="E14" s="464">
        <v>4.4977933298151997</v>
      </c>
      <c r="F14" s="464">
        <v>2.6195380279681588</v>
      </c>
      <c r="G14" s="464">
        <v>10.1200349920842</v>
      </c>
      <c r="H14" s="465" t="s">
        <v>1177</v>
      </c>
      <c r="I14" s="466">
        <v>2.7718587277267486</v>
      </c>
      <c r="J14" s="466">
        <v>1.9915380279681585</v>
      </c>
      <c r="K14" s="466">
        <v>8.3155761831802462</v>
      </c>
      <c r="L14" s="467" t="s">
        <v>1178</v>
      </c>
    </row>
    <row r="15" spans="1:12">
      <c r="A15" s="461">
        <v>2.7813217893931235</v>
      </c>
      <c r="B15" s="461">
        <v>2.1208892004384694</v>
      </c>
      <c r="C15" s="461">
        <v>6.2579740261345282</v>
      </c>
      <c r="D15" s="463" t="s">
        <v>1179</v>
      </c>
      <c r="E15" s="464">
        <v>4.6617783545662546</v>
      </c>
      <c r="F15" s="464">
        <v>3.3034605629283567</v>
      </c>
      <c r="G15" s="464">
        <v>9.3235567091325091</v>
      </c>
      <c r="H15" s="465" t="s">
        <v>1180</v>
      </c>
      <c r="I15" s="466">
        <v>2.8530525890744594</v>
      </c>
      <c r="J15" s="466">
        <v>1.9915380279681585</v>
      </c>
      <c r="K15" s="466">
        <v>6.4193683254175342</v>
      </c>
      <c r="L15" s="467" t="s">
        <v>1181</v>
      </c>
    </row>
    <row r="16" spans="1:12">
      <c r="A16" s="468">
        <v>3.0033233069236727</v>
      </c>
      <c r="B16" s="462">
        <v>2.7374267587054666</v>
      </c>
      <c r="C16" s="462">
        <v>6.0066466138473453</v>
      </c>
      <c r="D16" s="463" t="s">
        <v>1182</v>
      </c>
      <c r="E16" s="464">
        <v>5.5373308684529432</v>
      </c>
      <c r="F16" s="464">
        <v>4.1981521118726342</v>
      </c>
      <c r="G16" s="464">
        <v>11.074661736905886</v>
      </c>
      <c r="H16" s="465" t="s">
        <v>1183</v>
      </c>
      <c r="I16" s="466">
        <v>2.8923921552805036</v>
      </c>
      <c r="J16" s="466">
        <v>1.9915380279681585</v>
      </c>
      <c r="K16" s="466">
        <v>7.2309803882012584</v>
      </c>
      <c r="L16" s="467" t="s">
        <v>1184</v>
      </c>
    </row>
    <row r="17" spans="1:12">
      <c r="A17" s="461">
        <v>3.0515225237874053</v>
      </c>
      <c r="B17" s="461">
        <v>2.2195352097611889</v>
      </c>
      <c r="C17" s="461">
        <v>7.1710779309004025</v>
      </c>
      <c r="D17" s="463" t="s">
        <v>1185</v>
      </c>
      <c r="E17" s="464">
        <v>5.6587921552805041</v>
      </c>
      <c r="F17" s="464">
        <v>2.9335380279681584</v>
      </c>
      <c r="G17" s="464">
        <v>14.146980388201259</v>
      </c>
      <c r="H17" s="465" t="s">
        <v>1186</v>
      </c>
      <c r="I17" s="466">
        <v>3.1087734095521613</v>
      </c>
      <c r="J17" s="466">
        <v>2.1485380279681583</v>
      </c>
      <c r="K17" s="466">
        <v>6.2175468191043226</v>
      </c>
      <c r="L17" s="467" t="s">
        <v>1187</v>
      </c>
    </row>
    <row r="18" spans="1:12">
      <c r="A18" s="461">
        <v>3.1913345372716315</v>
      </c>
      <c r="B18" s="461">
        <v>2.2688582144225484</v>
      </c>
      <c r="C18" s="461">
        <v>7.6592028894519153</v>
      </c>
      <c r="D18" s="463" t="s">
        <v>1188</v>
      </c>
      <c r="E18" s="464">
        <v>6.1243698207512489</v>
      </c>
      <c r="F18" s="464">
        <v>3.7744605629283567</v>
      </c>
      <c r="G18" s="464">
        <v>13.77983209669031</v>
      </c>
      <c r="H18" s="465" t="s">
        <v>1189</v>
      </c>
      <c r="I18" s="466">
        <v>3.1182783545662547</v>
      </c>
      <c r="J18" s="466">
        <v>2.596960562928357</v>
      </c>
      <c r="K18" s="466">
        <v>6.2365567091325085</v>
      </c>
      <c r="L18" s="467" t="s">
        <v>1190</v>
      </c>
    </row>
    <row r="19" spans="1:12">
      <c r="A19" s="461">
        <v>3.4185705771402071</v>
      </c>
      <c r="B19" s="461">
        <v>2.9149895754863624</v>
      </c>
      <c r="C19" s="461">
        <v>7.2473696235372396</v>
      </c>
      <c r="D19" s="463" t="s">
        <v>1191</v>
      </c>
      <c r="E19" s="464">
        <v>6.1295859675220594</v>
      </c>
      <c r="F19" s="464">
        <v>4.9896126748009912</v>
      </c>
      <c r="G19" s="464">
        <v>12.259171935044121</v>
      </c>
      <c r="H19" s="465" t="s">
        <v>1192</v>
      </c>
      <c r="I19" s="466">
        <v>3.3240783545662538</v>
      </c>
      <c r="J19" s="466">
        <v>2.6911605629283564</v>
      </c>
      <c r="K19" s="466">
        <v>6.6481567091325076</v>
      </c>
      <c r="L19" s="467" t="s">
        <v>1193</v>
      </c>
    </row>
    <row r="20" spans="1:12">
      <c r="A20" s="461">
        <v>3.4803820053529164</v>
      </c>
      <c r="B20" s="461">
        <v>2.3675042237452679</v>
      </c>
      <c r="C20" s="461">
        <v>8.7009550133822913</v>
      </c>
      <c r="D20" s="463" t="s">
        <v>1194</v>
      </c>
      <c r="E20" s="464">
        <v>6.7775522321982313</v>
      </c>
      <c r="F20" s="464">
        <v>3.6024031687002478</v>
      </c>
      <c r="G20" s="464">
        <v>16.943880580495581</v>
      </c>
      <c r="H20" s="465" t="s">
        <v>1195</v>
      </c>
      <c r="I20" s="466">
        <v>3.3327476166156371</v>
      </c>
      <c r="J20" s="466">
        <v>2.1485380279681583</v>
      </c>
      <c r="K20" s="466">
        <v>9.9982428498469123</v>
      </c>
      <c r="L20" s="467" t="s">
        <v>1196</v>
      </c>
    </row>
    <row r="21" spans="1:12">
      <c r="A21" s="468">
        <v>3.8990306423702923</v>
      </c>
      <c r="B21" s="462">
        <v>3.1073492936656648</v>
      </c>
      <c r="C21" s="462">
        <v>8.7728189453331584</v>
      </c>
      <c r="D21" s="463" t="s">
        <v>1197</v>
      </c>
      <c r="E21" s="464">
        <v>6.9531089724080601</v>
      </c>
      <c r="F21" s="464">
        <v>3.2475380279681589</v>
      </c>
      <c r="G21" s="464">
        <v>19.121049674122162</v>
      </c>
      <c r="H21" s="465" t="s">
        <v>1198</v>
      </c>
      <c r="I21" s="466">
        <v>3.3534588219471693</v>
      </c>
      <c r="J21" s="466">
        <v>2.1485380279681583</v>
      </c>
      <c r="K21" s="466">
        <v>8.3836470548679216</v>
      </c>
      <c r="L21" s="467" t="s">
        <v>1199</v>
      </c>
    </row>
    <row r="22" spans="1:12">
      <c r="A22" s="461">
        <v>4.2579718830095334</v>
      </c>
      <c r="B22" s="461">
        <v>2.6141192470520673</v>
      </c>
      <c r="C22" s="461">
        <v>11.709422678276217</v>
      </c>
      <c r="D22" s="463" t="s">
        <v>1200</v>
      </c>
      <c r="E22" s="464">
        <v>7.3826762373692327</v>
      </c>
      <c r="F22" s="464">
        <v>4.8261521118726334</v>
      </c>
      <c r="G22" s="464">
        <v>16.611021534080773</v>
      </c>
      <c r="H22" s="465" t="s">
        <v>1201</v>
      </c>
      <c r="I22" s="466">
        <v>3.6327783545662542</v>
      </c>
      <c r="J22" s="466">
        <v>2.8324605629283566</v>
      </c>
      <c r="K22" s="466">
        <v>7.2655567091325084</v>
      </c>
      <c r="L22" s="467" t="s">
        <v>1202</v>
      </c>
    </row>
    <row r="23" spans="1:12">
      <c r="A23" s="468">
        <v>4.4929683684855277</v>
      </c>
      <c r="B23" s="462">
        <v>3.3293028146417836</v>
      </c>
      <c r="C23" s="462">
        <v>10.783124084365266</v>
      </c>
      <c r="D23" s="463" t="s">
        <v>1203</v>
      </c>
      <c r="E23" s="464">
        <v>7.7868544945227036</v>
      </c>
      <c r="F23" s="464">
        <v>4.2454605629283568</v>
      </c>
      <c r="G23" s="464">
        <v>19.467136236306761</v>
      </c>
      <c r="H23" s="465" t="s">
        <v>1204</v>
      </c>
      <c r="I23" s="466">
        <v>3.6754229594448304</v>
      </c>
      <c r="J23" s="466">
        <v>2.3055380279681588</v>
      </c>
      <c r="K23" s="466">
        <v>8.2697016587508685</v>
      </c>
      <c r="L23" s="467" t="s">
        <v>1205</v>
      </c>
    </row>
    <row r="24" spans="1:12">
      <c r="A24" s="468">
        <v>4.5546935662755992</v>
      </c>
      <c r="B24" s="462">
        <v>3.3514981667393959</v>
      </c>
      <c r="C24" s="462">
        <v>10.999584962555572</v>
      </c>
      <c r="D24" s="463" t="s">
        <v>1206</v>
      </c>
      <c r="E24" s="464">
        <v>8.3060880010862128</v>
      </c>
      <c r="F24" s="464">
        <v>5.7746126748009905</v>
      </c>
      <c r="G24" s="464">
        <v>18.688698002443981</v>
      </c>
      <c r="H24" s="465" t="s">
        <v>1207</v>
      </c>
      <c r="I24" s="466">
        <v>3.7683698207512477</v>
      </c>
      <c r="J24" s="466">
        <v>2.8324605629283566</v>
      </c>
      <c r="K24" s="466">
        <v>8.4788320966903079</v>
      </c>
      <c r="L24" s="467" t="s">
        <v>1208</v>
      </c>
    </row>
    <row r="25" spans="1:12">
      <c r="A25" s="461">
        <v>4.7622211397174929</v>
      </c>
      <c r="B25" s="461">
        <v>2.7620882610361464</v>
      </c>
      <c r="C25" s="461">
        <v>13.81044130518073</v>
      </c>
      <c r="D25" s="463" t="s">
        <v>1209</v>
      </c>
      <c r="E25" s="464">
        <v>8.3624829364677318</v>
      </c>
      <c r="F25" s="464">
        <v>3.9949031687002479</v>
      </c>
      <c r="G25" s="464">
        <v>22.99682807528626</v>
      </c>
      <c r="H25" s="465" t="s">
        <v>1210</v>
      </c>
      <c r="I25" s="466">
        <v>3.8052544945227051</v>
      </c>
      <c r="J25" s="466">
        <v>2.8324605629283566</v>
      </c>
      <c r="K25" s="466">
        <v>9.5131362363067637</v>
      </c>
      <c r="L25" s="467" t="s">
        <v>1211</v>
      </c>
    </row>
    <row r="26" spans="1:12">
      <c r="A26" s="461">
        <v>4.9124770164918239</v>
      </c>
      <c r="B26" s="461">
        <v>3.4772718286258626</v>
      </c>
      <c r="C26" s="461">
        <v>12.28119254122956</v>
      </c>
      <c r="D26" s="463" t="s">
        <v>1212</v>
      </c>
      <c r="E26" s="464">
        <v>8.3807476166156345</v>
      </c>
      <c r="F26" s="464">
        <v>3.5615380279681585</v>
      </c>
      <c r="G26" s="464">
        <v>25.142242849846905</v>
      </c>
      <c r="H26" s="465" t="s">
        <v>1213</v>
      </c>
      <c r="I26" s="466">
        <v>3.8145254886138367</v>
      </c>
      <c r="J26" s="466">
        <v>2.3055380279681588</v>
      </c>
      <c r="K26" s="466">
        <v>9.5363137215345901</v>
      </c>
      <c r="L26" s="467" t="s">
        <v>1214</v>
      </c>
    </row>
    <row r="27" spans="1:12">
      <c r="A27" s="468">
        <v>5.1140939610237037</v>
      </c>
      <c r="B27" s="462">
        <v>2.8607342703588658</v>
      </c>
      <c r="C27" s="462">
        <v>15.342281883071113</v>
      </c>
      <c r="D27" s="463" t="s">
        <v>1215</v>
      </c>
      <c r="E27" s="464">
        <v>9.4943507561884193</v>
      </c>
      <c r="F27" s="464">
        <v>5.4541521118726335</v>
      </c>
      <c r="G27" s="464">
        <v>23.735876890471044</v>
      </c>
      <c r="H27" s="465" t="s">
        <v>1216</v>
      </c>
      <c r="I27" s="466">
        <v>3.8936365055045266</v>
      </c>
      <c r="J27" s="466">
        <v>2.3055380279681588</v>
      </c>
      <c r="K27" s="466">
        <v>11.68090951651358</v>
      </c>
      <c r="L27" s="467" t="s">
        <v>1217</v>
      </c>
    </row>
    <row r="28" spans="1:12">
      <c r="A28" s="461">
        <v>5.7008593676935515</v>
      </c>
      <c r="B28" s="461">
        <v>4.3700182129964746</v>
      </c>
      <c r="C28" s="461">
        <v>13.767575372979927</v>
      </c>
      <c r="D28" s="463" t="s">
        <v>1218</v>
      </c>
      <c r="E28" s="464">
        <v>9.6492615010843199</v>
      </c>
      <c r="F28" s="464">
        <v>4.7164605629283578</v>
      </c>
      <c r="G28" s="464">
        <v>26.535469127981877</v>
      </c>
      <c r="H28" s="465" t="s">
        <v>1219</v>
      </c>
      <c r="I28" s="466">
        <v>4.1472783545662528</v>
      </c>
      <c r="J28" s="466">
        <v>3.0679605629283566</v>
      </c>
      <c r="K28" s="466">
        <v>8.2945567091325056</v>
      </c>
      <c r="L28" s="467" t="s">
        <v>1220</v>
      </c>
    </row>
    <row r="29" spans="1:12">
      <c r="A29" s="468">
        <v>6.043681707243187</v>
      </c>
      <c r="B29" s="462">
        <v>3.8471943635860608</v>
      </c>
      <c r="C29" s="462">
        <v>16.620124694918761</v>
      </c>
      <c r="D29" s="463" t="s">
        <v>1221</v>
      </c>
      <c r="E29" s="464">
        <v>9.9417107431924645</v>
      </c>
      <c r="F29" s="464">
        <v>3.8755380279681582</v>
      </c>
      <c r="G29" s="464">
        <v>32.310559915375514</v>
      </c>
      <c r="H29" s="465" t="s">
        <v>1222</v>
      </c>
      <c r="I29" s="466">
        <v>4.2755921552805018</v>
      </c>
      <c r="J29" s="466">
        <v>2.4625380279681583</v>
      </c>
      <c r="K29" s="466">
        <v>10.688980388201253</v>
      </c>
      <c r="L29" s="467" t="s">
        <v>1223</v>
      </c>
    </row>
    <row r="30" spans="1:12">
      <c r="A30" s="468">
        <v>6.0487499969297822</v>
      </c>
      <c r="B30" s="462">
        <v>3.1073492936656648</v>
      </c>
      <c r="C30" s="462">
        <v>19.65843749002179</v>
      </c>
      <c r="D30" s="463" t="s">
        <v>1224</v>
      </c>
      <c r="E30" s="464">
        <v>10.114052215965144</v>
      </c>
      <c r="F30" s="464">
        <v>4.3874031687002484</v>
      </c>
      <c r="G30" s="464">
        <v>30.342156647895433</v>
      </c>
      <c r="H30" s="465" t="s">
        <v>1225</v>
      </c>
      <c r="I30" s="466">
        <v>4.3573698207512477</v>
      </c>
      <c r="J30" s="466">
        <v>3.0679605629283566</v>
      </c>
      <c r="K30" s="466">
        <v>9.8040820966903084</v>
      </c>
      <c r="L30" s="467" t="s">
        <v>1226</v>
      </c>
    </row>
    <row r="31" spans="1:12">
      <c r="A31" s="461">
        <v>6.1620454944571641</v>
      </c>
      <c r="B31" s="461">
        <v>4.5377164288450968</v>
      </c>
      <c r="C31" s="461">
        <v>15.40511373614291</v>
      </c>
      <c r="D31" s="463" t="s">
        <v>1227</v>
      </c>
      <c r="E31" s="464">
        <v>10.815099352447152</v>
      </c>
      <c r="F31" s="464">
        <v>6.5596126748009906</v>
      </c>
      <c r="G31" s="464">
        <v>27.037748381117883</v>
      </c>
      <c r="H31" s="465" t="s">
        <v>1228</v>
      </c>
      <c r="I31" s="466">
        <v>4.468854494522704</v>
      </c>
      <c r="J31" s="466">
        <v>3.0679605629283566</v>
      </c>
      <c r="K31" s="466">
        <v>11.172136236306761</v>
      </c>
      <c r="L31" s="467" t="s">
        <v>1229</v>
      </c>
    </row>
    <row r="32" spans="1:12">
      <c r="A32" s="468">
        <v>6.5291389425593129</v>
      </c>
      <c r="B32" s="462">
        <v>3.9951633775701398</v>
      </c>
      <c r="C32" s="462">
        <v>18.608045986294041</v>
      </c>
      <c r="D32" s="463" t="s">
        <v>1230</v>
      </c>
      <c r="E32" s="464">
        <v>11.6360002487737</v>
      </c>
      <c r="F32" s="464">
        <v>4.1895380279681582</v>
      </c>
      <c r="G32" s="464">
        <v>40.726000870707942</v>
      </c>
      <c r="H32" s="465" t="s">
        <v>1231</v>
      </c>
      <c r="I32" s="466">
        <v>4.5192188988648994</v>
      </c>
      <c r="J32" s="466">
        <v>2.8174031687002481</v>
      </c>
      <c r="K32" s="466">
        <v>11.298047247162247</v>
      </c>
      <c r="L32" s="467" t="s">
        <v>1232</v>
      </c>
    </row>
    <row r="33" spans="1:12">
      <c r="A33" s="468">
        <v>6.7789340444551138</v>
      </c>
      <c r="B33" s="462">
        <v>4.0691478845621791</v>
      </c>
      <c r="C33" s="462">
        <v>19.65890872891983</v>
      </c>
      <c r="D33" s="463" t="s">
        <v>1233</v>
      </c>
      <c r="E33" s="464">
        <v>11.711610257238545</v>
      </c>
      <c r="F33" s="464">
        <v>5.1874605629283579</v>
      </c>
      <c r="G33" s="464">
        <v>35.134830771715635</v>
      </c>
      <c r="H33" s="465" t="s">
        <v>1234</v>
      </c>
      <c r="I33" s="466">
        <v>4.6001633270762579</v>
      </c>
      <c r="J33" s="466">
        <v>2.8174031687002481</v>
      </c>
      <c r="K33" s="466">
        <v>13.800489981228774</v>
      </c>
      <c r="L33" s="467" t="s">
        <v>1235</v>
      </c>
    </row>
    <row r="34" spans="1:12">
      <c r="A34" s="461">
        <v>7.0619412461094448</v>
      </c>
      <c r="B34" s="461">
        <v>3.3539643169724638</v>
      </c>
      <c r="C34" s="461">
        <v>24.716794361383059</v>
      </c>
      <c r="D34" s="463" t="s">
        <v>1236</v>
      </c>
      <c r="E34" s="464">
        <v>11.781779576390694</v>
      </c>
      <c r="F34" s="464">
        <v>7.5618422517134265</v>
      </c>
      <c r="G34" s="464">
        <v>29.454448940976732</v>
      </c>
      <c r="H34" s="465" t="s">
        <v>1237</v>
      </c>
      <c r="I34" s="466">
        <v>4.9463698207512472</v>
      </c>
      <c r="J34" s="466">
        <v>3.3034605629283567</v>
      </c>
      <c r="K34" s="466">
        <v>11.129332096690307</v>
      </c>
      <c r="L34" s="467" t="s">
        <v>1238</v>
      </c>
    </row>
    <row r="35" spans="1:12">
      <c r="A35" s="468">
        <v>7.2452980573414605</v>
      </c>
      <c r="B35" s="462">
        <v>5.548838024402972</v>
      </c>
      <c r="C35" s="462">
        <v>18.113245143353652</v>
      </c>
      <c r="D35" s="463" t="s">
        <v>1239</v>
      </c>
      <c r="E35" s="464">
        <v>12.032266553330194</v>
      </c>
      <c r="F35" s="464">
        <v>4.7799031687002485</v>
      </c>
      <c r="G35" s="464">
        <v>39.104866298323131</v>
      </c>
      <c r="H35" s="465" t="s">
        <v>1240</v>
      </c>
      <c r="I35" s="466">
        <v>5.0154142832823032</v>
      </c>
      <c r="J35" s="466">
        <v>2.6195380279681588</v>
      </c>
      <c r="K35" s="466">
        <v>15.046242849846912</v>
      </c>
      <c r="L35" s="467" t="s">
        <v>1241</v>
      </c>
    </row>
    <row r="36" spans="1:12">
      <c r="A36" s="461">
        <v>7.2926575665943272</v>
      </c>
      <c r="B36" s="461">
        <v>4.2171168985462586</v>
      </c>
      <c r="C36" s="461">
        <v>21.87797269978298</v>
      </c>
      <c r="D36" s="463" t="s">
        <v>1242</v>
      </c>
      <c r="E36" s="464">
        <v>13.463617524225128</v>
      </c>
      <c r="F36" s="464">
        <v>4.5035380279681583</v>
      </c>
      <c r="G36" s="464">
        <v>50.488565715844231</v>
      </c>
      <c r="H36" s="465" t="s">
        <v>1243</v>
      </c>
      <c r="I36" s="466">
        <v>5.1324544945227037</v>
      </c>
      <c r="J36" s="466">
        <v>3.3034605629283567</v>
      </c>
      <c r="K36" s="466">
        <v>12.83113623630676</v>
      </c>
      <c r="L36" s="467" t="s">
        <v>1244</v>
      </c>
    </row>
    <row r="37" spans="1:12">
      <c r="A37" s="461">
        <v>7.3713414507464305</v>
      </c>
      <c r="B37" s="461">
        <v>4.2393122506438701</v>
      </c>
      <c r="C37" s="461">
        <v>22.224594474000487</v>
      </c>
      <c r="D37" s="463" t="s">
        <v>1245</v>
      </c>
      <c r="E37" s="464">
        <v>13.973914205387091</v>
      </c>
      <c r="F37" s="464">
        <v>5.658460562928358</v>
      </c>
      <c r="G37" s="464">
        <v>45.415221167508044</v>
      </c>
      <c r="H37" s="465" t="s">
        <v>1246</v>
      </c>
      <c r="I37" s="466">
        <v>5.207610257238545</v>
      </c>
      <c r="J37" s="466">
        <v>3.3034605629283567</v>
      </c>
      <c r="K37" s="466">
        <v>15.622830771715636</v>
      </c>
      <c r="L37" s="467" t="s">
        <v>1247</v>
      </c>
    </row>
    <row r="38" spans="1:12">
      <c r="A38" s="461">
        <v>7.3867074862800877</v>
      </c>
      <c r="B38" s="461">
        <v>3.8533597391687309</v>
      </c>
      <c r="C38" s="461">
        <v>24.006799330410285</v>
      </c>
      <c r="D38" s="463" t="s">
        <v>1248</v>
      </c>
      <c r="E38" s="464">
        <v>14.117130579019815</v>
      </c>
      <c r="F38" s="464">
        <v>5.1724031687002476</v>
      </c>
      <c r="G38" s="464">
        <v>49.409957026569344</v>
      </c>
      <c r="H38" s="465" t="s">
        <v>1249</v>
      </c>
      <c r="I38" s="466">
        <v>5.7960544945227026</v>
      </c>
      <c r="J38" s="466">
        <v>3.5389605629283567</v>
      </c>
      <c r="K38" s="466">
        <v>14.490136236306757</v>
      </c>
      <c r="L38" s="467" t="s">
        <v>1250</v>
      </c>
    </row>
    <row r="39" spans="1:12">
      <c r="A39" s="468">
        <v>7.6236172126667077</v>
      </c>
      <c r="B39" s="462">
        <v>5.0309464754586948</v>
      </c>
      <c r="C39" s="462">
        <v>20.964947334833447</v>
      </c>
      <c r="D39" s="463" t="s">
        <v>1251</v>
      </c>
      <c r="E39" s="464">
        <v>14.51702476029925</v>
      </c>
      <c r="F39" s="464">
        <v>6.7101521118726337</v>
      </c>
      <c r="G39" s="464">
        <v>43.551074280897758</v>
      </c>
      <c r="H39" s="465" t="s">
        <v>1252</v>
      </c>
      <c r="I39" s="466">
        <v>5.8837132744062695</v>
      </c>
      <c r="J39" s="466">
        <v>4.1981521118726342</v>
      </c>
      <c r="K39" s="466">
        <v>13.238354867414106</v>
      </c>
      <c r="L39" s="467" t="s">
        <v>1253</v>
      </c>
    </row>
    <row r="40" spans="1:12">
      <c r="A40" s="468">
        <v>8.0985770620039741</v>
      </c>
      <c r="B40" s="462">
        <v>4.4390704195223778</v>
      </c>
      <c r="C40" s="462">
        <v>25.510517745312519</v>
      </c>
      <c r="D40" s="463" t="s">
        <v>1254</v>
      </c>
      <c r="E40" s="464">
        <v>15.424563612696096</v>
      </c>
      <c r="F40" s="464">
        <v>4.8175380279681583</v>
      </c>
      <c r="G40" s="464">
        <v>61.698254450784383</v>
      </c>
      <c r="H40" s="465" t="s">
        <v>1255</v>
      </c>
      <c r="I40" s="466">
        <v>6.0206102572385456</v>
      </c>
      <c r="J40" s="466">
        <v>3.5389605629283567</v>
      </c>
      <c r="K40" s="466">
        <v>18.061830771715638</v>
      </c>
      <c r="L40" s="467" t="s">
        <v>1256</v>
      </c>
    </row>
    <row r="41" spans="1:12">
      <c r="A41" s="468">
        <v>8.1536686291759235</v>
      </c>
      <c r="B41" s="462">
        <v>3.6005793402792619</v>
      </c>
      <c r="C41" s="462">
        <v>30.576257359409716</v>
      </c>
      <c r="D41" s="463" t="s">
        <v>1257</v>
      </c>
      <c r="E41" s="464">
        <v>16.368647688702421</v>
      </c>
      <c r="F41" s="464">
        <v>5.5649031687002477</v>
      </c>
      <c r="G41" s="464">
        <v>61.382428832634069</v>
      </c>
      <c r="H41" s="465" t="s">
        <v>1258</v>
      </c>
      <c r="I41" s="466">
        <v>6.1002174228550858</v>
      </c>
      <c r="J41" s="466">
        <v>4.1981521118726342</v>
      </c>
      <c r="K41" s="466">
        <v>15.250543557137714</v>
      </c>
      <c r="L41" s="467" t="s">
        <v>1259</v>
      </c>
    </row>
    <row r="42" spans="1:12">
      <c r="A42" s="461">
        <v>8.2521922817321371</v>
      </c>
      <c r="B42" s="461">
        <v>5.2282384941041347</v>
      </c>
      <c r="C42" s="461">
        <v>23.51874800293659</v>
      </c>
      <c r="D42" s="463" t="s">
        <v>1260</v>
      </c>
      <c r="E42" s="464">
        <v>16.436182947245467</v>
      </c>
      <c r="F42" s="464">
        <v>6.1294605629283572</v>
      </c>
      <c r="G42" s="464">
        <v>57.526640315359131</v>
      </c>
      <c r="H42" s="465" t="s">
        <v>1261</v>
      </c>
      <c r="I42" s="466">
        <v>6.1371920610600812</v>
      </c>
      <c r="J42" s="466">
        <v>2.9335380279681584</v>
      </c>
      <c r="K42" s="466">
        <v>18.411576183180244</v>
      </c>
      <c r="L42" s="467" t="s">
        <v>1262</v>
      </c>
    </row>
    <row r="43" spans="1:12">
      <c r="A43" s="468">
        <v>8.3814385058140317</v>
      </c>
      <c r="B43" s="462">
        <v>3.6499023449406223</v>
      </c>
      <c r="C43" s="462">
        <v>31.849466322093324</v>
      </c>
      <c r="D43" s="463" t="s">
        <v>1263</v>
      </c>
      <c r="E43" s="464">
        <v>16.831474024095943</v>
      </c>
      <c r="F43" s="464">
        <v>8.12961267480099</v>
      </c>
      <c r="G43" s="464">
        <v>50.494422072287833</v>
      </c>
      <c r="H43" s="465" t="s">
        <v>1264</v>
      </c>
      <c r="I43" s="466">
        <v>6.1401358714103651</v>
      </c>
      <c r="J43" s="466">
        <v>4.1981521118726342</v>
      </c>
      <c r="K43" s="466">
        <v>18.420407614231095</v>
      </c>
      <c r="L43" s="467" t="s">
        <v>1265</v>
      </c>
    </row>
    <row r="44" spans="1:12">
      <c r="A44" s="468">
        <v>8.6123498605796804</v>
      </c>
      <c r="B44" s="462">
        <v>3.6992253496019813</v>
      </c>
      <c r="C44" s="462">
        <v>33.157546963231773</v>
      </c>
      <c r="D44" s="463" t="s">
        <v>1266</v>
      </c>
      <c r="E44" s="464">
        <v>18.68849168102868</v>
      </c>
      <c r="F44" s="464">
        <v>9.4458422517134277</v>
      </c>
      <c r="G44" s="464">
        <v>56.065475043086046</v>
      </c>
      <c r="H44" s="465" t="s">
        <v>1267</v>
      </c>
      <c r="I44" s="466">
        <v>6.4596544945227059</v>
      </c>
      <c r="J44" s="466">
        <v>3.7744605629283567</v>
      </c>
      <c r="K44" s="466">
        <v>16.149136236306763</v>
      </c>
      <c r="L44" s="467" t="s">
        <v>1268</v>
      </c>
    </row>
    <row r="45" spans="1:12">
      <c r="A45" s="461">
        <v>8.638503236921709</v>
      </c>
      <c r="B45" s="461">
        <v>4.1616285183022299</v>
      </c>
      <c r="C45" s="461">
        <v>30.234761329225986</v>
      </c>
      <c r="D45" s="463" t="s">
        <v>1269</v>
      </c>
      <c r="E45" s="464">
        <v>18.786820429129328</v>
      </c>
      <c r="F45" s="464">
        <v>5.9574031687002478</v>
      </c>
      <c r="G45" s="464">
        <v>75.147281716517298</v>
      </c>
      <c r="H45" s="465" t="s">
        <v>1270</v>
      </c>
      <c r="I45" s="466">
        <v>6.8336102572385453</v>
      </c>
      <c r="J45" s="466">
        <v>3.7744605629283567</v>
      </c>
      <c r="K45" s="466">
        <v>20.500830771715638</v>
      </c>
      <c r="L45" s="467" t="s">
        <v>1271</v>
      </c>
    </row>
    <row r="46" spans="1:12">
      <c r="A46" s="461">
        <v>8.6594134920628996</v>
      </c>
      <c r="B46" s="461">
        <v>4.5870394335064573</v>
      </c>
      <c r="C46" s="461">
        <v>28.143093849204423</v>
      </c>
      <c r="D46" s="463" t="s">
        <v>1272</v>
      </c>
      <c r="E46" s="464">
        <v>19.098423524071695</v>
      </c>
      <c r="F46" s="464">
        <v>6.6004605629283573</v>
      </c>
      <c r="G46" s="464">
        <v>71.61908821526886</v>
      </c>
      <c r="H46" s="465" t="s">
        <v>1273</v>
      </c>
      <c r="I46" s="466">
        <v>7.3571077715207016</v>
      </c>
      <c r="J46" s="466">
        <v>3.6024031687002478</v>
      </c>
      <c r="K46" s="466">
        <v>22.071323314562104</v>
      </c>
      <c r="L46" s="467" t="s">
        <v>1274</v>
      </c>
    </row>
    <row r="47" spans="1:12">
      <c r="A47" s="468">
        <v>9.2421467078406927</v>
      </c>
      <c r="B47" s="462">
        <v>5.5241765220722927</v>
      </c>
      <c r="C47" s="462">
        <v>27.726440123522078</v>
      </c>
      <c r="D47" s="463" t="s">
        <v>1275</v>
      </c>
      <c r="E47" s="464">
        <v>19.524970947531592</v>
      </c>
      <c r="F47" s="464">
        <v>11.337344596654047</v>
      </c>
      <c r="G47" s="464">
        <v>58.574912842594777</v>
      </c>
      <c r="H47" s="465" t="s">
        <v>1276</v>
      </c>
      <c r="I47" s="466">
        <v>7.6052258171150537</v>
      </c>
      <c r="J47" s="466">
        <v>3.6024031687002478</v>
      </c>
      <c r="K47" s="466">
        <v>26.618290359902684</v>
      </c>
      <c r="L47" s="467" t="s">
        <v>1277</v>
      </c>
    </row>
    <row r="48" spans="1:12">
      <c r="A48" s="461">
        <v>9.3239328365891474</v>
      </c>
      <c r="B48" s="461">
        <v>3.8471943635860608</v>
      </c>
      <c r="C48" s="461">
        <v>37.29573134635659</v>
      </c>
      <c r="D48" s="463" t="s">
        <v>1278</v>
      </c>
      <c r="E48" s="464">
        <v>19.746445242239165</v>
      </c>
      <c r="F48" s="464">
        <v>5.4455380279681584</v>
      </c>
      <c r="G48" s="464">
        <v>88.859003590076227</v>
      </c>
      <c r="H48" s="465" t="s">
        <v>1279</v>
      </c>
      <c r="I48" s="466">
        <v>7.6714288202022702</v>
      </c>
      <c r="J48" s="466">
        <v>3.2475380279681589</v>
      </c>
      <c r="K48" s="466">
        <v>26.850000870707945</v>
      </c>
      <c r="L48" s="467" t="s">
        <v>1280</v>
      </c>
    </row>
    <row r="49" spans="1:12">
      <c r="A49" s="468">
        <v>9.3442503967594455</v>
      </c>
      <c r="B49" s="462">
        <v>5.5537703248691104</v>
      </c>
      <c r="C49" s="462">
        <v>28.172914946229728</v>
      </c>
      <c r="D49" s="463" t="s">
        <v>1281</v>
      </c>
      <c r="E49" s="464">
        <v>20.60578683091029</v>
      </c>
      <c r="F49" s="464">
        <v>7.9661521118726339</v>
      </c>
      <c r="G49" s="464">
        <v>72.120253908186015</v>
      </c>
      <c r="H49" s="465" t="s">
        <v>1282</v>
      </c>
      <c r="I49" s="466">
        <v>7.797284089521753</v>
      </c>
      <c r="J49" s="466">
        <v>4.8261521118726334</v>
      </c>
      <c r="K49" s="466">
        <v>19.493210223804383</v>
      </c>
      <c r="L49" s="467" t="s">
        <v>1283</v>
      </c>
    </row>
    <row r="50" spans="1:12">
      <c r="A50" s="468">
        <v>10.063789261663713</v>
      </c>
      <c r="B50" s="462">
        <v>3.9951633775701398</v>
      </c>
      <c r="C50" s="462">
        <v>41.76472543590441</v>
      </c>
      <c r="D50" s="463" t="s">
        <v>1284</v>
      </c>
      <c r="E50" s="464">
        <v>21.960641216809314</v>
      </c>
      <c r="F50" s="464">
        <v>7.0714605629283573</v>
      </c>
      <c r="G50" s="464">
        <v>87.842564867237257</v>
      </c>
      <c r="H50" s="465" t="s">
        <v>1285</v>
      </c>
      <c r="I50" s="466">
        <v>8.3321907249641765</v>
      </c>
      <c r="J50" s="466">
        <v>3.4045380279681585</v>
      </c>
      <c r="K50" s="466">
        <v>29.16266753737462</v>
      </c>
      <c r="L50" s="467" t="s">
        <v>1286</v>
      </c>
    </row>
    <row r="51" spans="1:12">
      <c r="A51" s="468">
        <v>10.136216160867395</v>
      </c>
      <c r="B51" s="462">
        <v>6.1592102070872992</v>
      </c>
      <c r="C51" s="462">
        <v>30.408648482602182</v>
      </c>
      <c r="D51" s="463" t="s">
        <v>1287</v>
      </c>
      <c r="E51" s="464">
        <v>24.0500232161742</v>
      </c>
      <c r="F51" s="464">
        <v>8.5941521118726332</v>
      </c>
      <c r="G51" s="464">
        <v>90.187587060653243</v>
      </c>
      <c r="H51" s="465" t="s">
        <v>1288</v>
      </c>
      <c r="I51" s="466">
        <v>8.4596102572385448</v>
      </c>
      <c r="J51" s="466">
        <v>4.2454605629283568</v>
      </c>
      <c r="K51" s="466">
        <v>25.378830771715638</v>
      </c>
      <c r="L51" s="467" t="s">
        <v>1289</v>
      </c>
    </row>
    <row r="52" spans="1:12">
      <c r="A52" s="468">
        <v>10.143955839018659</v>
      </c>
      <c r="B52" s="462">
        <v>4.956961968466655</v>
      </c>
      <c r="C52" s="462">
        <v>35.503845436565314</v>
      </c>
      <c r="D52" s="463" t="s">
        <v>1290</v>
      </c>
      <c r="E52" s="464">
        <v>24.179769431015405</v>
      </c>
      <c r="F52" s="464">
        <v>9.6996126748009903</v>
      </c>
      <c r="G52" s="464">
        <v>84.629193008553926</v>
      </c>
      <c r="H52" s="465" t="s">
        <v>1291</v>
      </c>
      <c r="I52" s="466">
        <v>8.7356115186740375</v>
      </c>
      <c r="J52" s="466">
        <v>4.2454605629283568</v>
      </c>
      <c r="K52" s="466">
        <v>30.574640315359133</v>
      </c>
      <c r="L52" s="467" t="s">
        <v>1292</v>
      </c>
    </row>
    <row r="53" spans="1:12">
      <c r="A53" s="461">
        <v>10.270237123520717</v>
      </c>
      <c r="B53" s="461">
        <v>4.5315510532624268</v>
      </c>
      <c r="C53" s="461">
        <v>39.026901069378724</v>
      </c>
      <c r="D53" s="463" t="s">
        <v>1293</v>
      </c>
      <c r="E53" s="464">
        <v>27.192274622323957</v>
      </c>
      <c r="F53" s="464">
        <v>11.329842251713426</v>
      </c>
      <c r="G53" s="464">
        <v>95.172961178133846</v>
      </c>
      <c r="H53" s="465" t="s">
        <v>1294</v>
      </c>
      <c r="I53" s="466">
        <v>8.7817660191138209</v>
      </c>
      <c r="J53" s="466">
        <v>5.7746126748009905</v>
      </c>
      <c r="K53" s="466">
        <v>21.954415047784551</v>
      </c>
      <c r="L53" s="467" t="s">
        <v>1295</v>
      </c>
    </row>
    <row r="54" spans="1:12">
      <c r="A54" s="461">
        <v>10.288616207406459</v>
      </c>
      <c r="B54" s="461">
        <v>5.8201145500404508</v>
      </c>
      <c r="C54" s="461">
        <v>32.409141053330345</v>
      </c>
      <c r="D54" s="463" t="s">
        <v>1296</v>
      </c>
      <c r="E54" s="464">
        <v>27.760853943083966</v>
      </c>
      <c r="F54" s="464">
        <v>9.2221521118726351</v>
      </c>
      <c r="G54" s="464">
        <v>111.04341577233586</v>
      </c>
      <c r="H54" s="465" t="s">
        <v>1297</v>
      </c>
      <c r="I54" s="466">
        <v>8.9929526297260853</v>
      </c>
      <c r="J54" s="466">
        <v>3.5615380279681585</v>
      </c>
      <c r="K54" s="466">
        <v>31.475334204041296</v>
      </c>
      <c r="L54" s="467" t="s">
        <v>1298</v>
      </c>
    </row>
    <row r="55" spans="1:12">
      <c r="A55" s="461">
        <v>10.555936190629387</v>
      </c>
      <c r="B55" s="461">
        <v>4.5932048090891273</v>
      </c>
      <c r="C55" s="461">
        <v>40.640354333923142</v>
      </c>
      <c r="D55" s="463" t="s">
        <v>1299</v>
      </c>
      <c r="E55" s="464">
        <v>28.285023206077781</v>
      </c>
      <c r="F55" s="464">
        <v>8.0134605629283584</v>
      </c>
      <c r="G55" s="464">
        <v>127.28260442735001</v>
      </c>
      <c r="H55" s="465" t="s">
        <v>1300</v>
      </c>
      <c r="I55" s="466">
        <v>9.2332020075912382</v>
      </c>
      <c r="J55" s="466">
        <v>3.9949031687002479</v>
      </c>
      <c r="K55" s="466">
        <v>32.316207026569337</v>
      </c>
      <c r="L55" s="467" t="s">
        <v>1301</v>
      </c>
    </row>
    <row r="56" spans="1:12">
      <c r="A56" s="461">
        <v>10.979211825826829</v>
      </c>
      <c r="B56" s="461">
        <v>6.7819131409369673</v>
      </c>
      <c r="C56" s="461">
        <v>32.937635477480484</v>
      </c>
      <c r="D56" s="463" t="s">
        <v>1302</v>
      </c>
      <c r="E56" s="464">
        <v>28.353563984959479</v>
      </c>
      <c r="F56" s="464">
        <v>10.484612674800992</v>
      </c>
      <c r="G56" s="464">
        <v>106.32586494359805</v>
      </c>
      <c r="H56" s="465" t="s">
        <v>1303</v>
      </c>
      <c r="I56" s="466">
        <v>9.3392302793627646</v>
      </c>
      <c r="J56" s="466">
        <v>3.5615380279681585</v>
      </c>
      <c r="K56" s="466">
        <v>37.356921117451058</v>
      </c>
      <c r="L56" s="467" t="s">
        <v>1304</v>
      </c>
    </row>
    <row r="57" spans="1:12">
      <c r="A57" s="461">
        <v>11.436593764081397</v>
      </c>
      <c r="B57" s="461">
        <v>4.7781660765692262</v>
      </c>
      <c r="C57" s="461">
        <v>45.74637505632559</v>
      </c>
      <c r="D57" s="463" t="s">
        <v>1305</v>
      </c>
      <c r="E57" s="464">
        <v>29.744383619261551</v>
      </c>
      <c r="F57" s="464">
        <v>13.849344596654047</v>
      </c>
      <c r="G57" s="464">
        <v>104.10534266741543</v>
      </c>
      <c r="H57" s="465" t="s">
        <v>1306</v>
      </c>
      <c r="I57" s="466">
        <v>10.047190102829338</v>
      </c>
      <c r="J57" s="466">
        <v>4.1911531687002483</v>
      </c>
      <c r="K57" s="466">
        <v>35.165165359902687</v>
      </c>
      <c r="L57" s="467" t="s">
        <v>1307</v>
      </c>
    </row>
    <row r="58" spans="1:12">
      <c r="A58" s="468">
        <v>11.628322816911734</v>
      </c>
      <c r="B58" s="462">
        <v>4.2911014055382983</v>
      </c>
      <c r="C58" s="462">
        <v>51.746036535257218</v>
      </c>
      <c r="D58" s="463" t="s">
        <v>1308</v>
      </c>
      <c r="E58" s="464">
        <v>32.860515297479054</v>
      </c>
      <c r="F58" s="464">
        <v>11.269612674800992</v>
      </c>
      <c r="G58" s="464">
        <v>131.44206118991622</v>
      </c>
      <c r="H58" s="465" t="s">
        <v>1309</v>
      </c>
      <c r="I58" s="466">
        <v>10.085610257238546</v>
      </c>
      <c r="J58" s="466">
        <v>4.7164605629283578</v>
      </c>
      <c r="K58" s="466">
        <v>30.256830771715638</v>
      </c>
      <c r="L58" s="467" t="s">
        <v>1310</v>
      </c>
    </row>
    <row r="59" spans="1:12">
      <c r="A59" s="468">
        <v>11.746289268066093</v>
      </c>
      <c r="B59" s="462">
        <v>5.3268845034268537</v>
      </c>
      <c r="C59" s="462">
        <v>44.048584755247852</v>
      </c>
      <c r="D59" s="463" t="s">
        <v>1311</v>
      </c>
      <c r="E59" s="464">
        <v>35.409351799139472</v>
      </c>
      <c r="F59" s="464">
        <v>8.9554605629283568</v>
      </c>
      <c r="G59" s="464">
        <v>177.04675899569736</v>
      </c>
      <c r="H59" s="465" t="s">
        <v>1312</v>
      </c>
      <c r="I59" s="466">
        <v>10.328580315854806</v>
      </c>
      <c r="J59" s="466">
        <v>5.4541521118726335</v>
      </c>
      <c r="K59" s="466">
        <v>30.985740947564423</v>
      </c>
      <c r="L59" s="467" t="s">
        <v>1313</v>
      </c>
    </row>
    <row r="60" spans="1:12">
      <c r="A60" s="468">
        <v>12.080891207515945</v>
      </c>
      <c r="B60" s="462">
        <v>5.4008690104188934</v>
      </c>
      <c r="C60" s="462">
        <v>45.907386588560591</v>
      </c>
      <c r="D60" s="463" t="s">
        <v>1314</v>
      </c>
      <c r="E60" s="464">
        <v>35.982346638521598</v>
      </c>
      <c r="F60" s="464">
        <v>10.478152111872635</v>
      </c>
      <c r="G60" s="464">
        <v>161.9205598733472</v>
      </c>
      <c r="H60" s="465" t="s">
        <v>1315</v>
      </c>
      <c r="I60" s="466">
        <v>10.637024926148388</v>
      </c>
      <c r="J60" s="466">
        <v>5.4541521118726335</v>
      </c>
      <c r="K60" s="466">
        <v>37.229587241519354</v>
      </c>
      <c r="L60" s="467" t="s">
        <v>1316</v>
      </c>
    </row>
    <row r="61" spans="1:12">
      <c r="A61" s="468">
        <v>12.114610550589372</v>
      </c>
      <c r="B61" s="462">
        <v>5.4082674611180961</v>
      </c>
      <c r="C61" s="462">
        <v>46.096093144992558</v>
      </c>
      <c r="D61" s="463" t="s">
        <v>1317</v>
      </c>
      <c r="E61" s="464">
        <v>37.294226836530036</v>
      </c>
      <c r="F61" s="464">
        <v>13.213842251713427</v>
      </c>
      <c r="G61" s="464">
        <v>149.17690734612015</v>
      </c>
      <c r="H61" s="465" t="s">
        <v>1318</v>
      </c>
      <c r="I61" s="466">
        <v>10.660754375816893</v>
      </c>
      <c r="J61" s="466">
        <v>4.7164605629283578</v>
      </c>
      <c r="K61" s="466">
        <v>37.312640315359118</v>
      </c>
      <c r="L61" s="467" t="s">
        <v>1319</v>
      </c>
    </row>
    <row r="62" spans="1:12">
      <c r="A62" s="468">
        <v>12.252336015375334</v>
      </c>
      <c r="B62" s="462">
        <v>7.1518356758971642</v>
      </c>
      <c r="C62" s="462">
        <v>38.594858448432305</v>
      </c>
      <c r="D62" s="463" t="s">
        <v>1320</v>
      </c>
      <c r="E62" s="464">
        <v>42.09425277220776</v>
      </c>
      <c r="F62" s="464">
        <v>16.36134459665405</v>
      </c>
      <c r="G62" s="464">
        <v>168.37701108883107</v>
      </c>
      <c r="H62" s="465" t="s">
        <v>1321</v>
      </c>
      <c r="I62" s="466">
        <v>10.838141216809312</v>
      </c>
      <c r="J62" s="466">
        <v>4.7164605629283578</v>
      </c>
      <c r="K62" s="466">
        <v>43.352564867237248</v>
      </c>
      <c r="L62" s="467" t="s">
        <v>1322</v>
      </c>
    </row>
    <row r="63" spans="1:12">
      <c r="A63" s="468">
        <v>12.352592094688029</v>
      </c>
      <c r="B63" s="462">
        <v>4.9631273440493251</v>
      </c>
      <c r="C63" s="462">
        <v>51.263257192955329</v>
      </c>
      <c r="D63" s="463" t="s">
        <v>1323</v>
      </c>
      <c r="E63" s="464">
        <v>42.874005914749915</v>
      </c>
      <c r="F63" s="464">
        <v>12.839612674800993</v>
      </c>
      <c r="G63" s="464">
        <v>192.93302661637463</v>
      </c>
      <c r="H63" s="465" t="s">
        <v>1324</v>
      </c>
      <c r="I63" s="466">
        <v>11.140519316313229</v>
      </c>
      <c r="J63" s="466">
        <v>3.8755380279681582</v>
      </c>
      <c r="K63" s="466">
        <v>50.132336923409532</v>
      </c>
      <c r="L63" s="467" t="s">
        <v>1325</v>
      </c>
    </row>
    <row r="64" spans="1:12">
      <c r="A64" s="468">
        <v>12.420204956158063</v>
      </c>
      <c r="B64" s="462">
        <v>5.4748535174109332</v>
      </c>
      <c r="C64" s="462">
        <v>47.817789081208545</v>
      </c>
      <c r="D64" s="463" t="s">
        <v>1326</v>
      </c>
      <c r="E64" s="464">
        <v>43.333641558596248</v>
      </c>
      <c r="F64" s="464">
        <v>9.897460562928357</v>
      </c>
      <c r="G64" s="464">
        <v>238.33502857227936</v>
      </c>
      <c r="H64" s="465" t="s">
        <v>1327</v>
      </c>
      <c r="I64" s="466">
        <v>11.276403762462659</v>
      </c>
      <c r="J64" s="466">
        <v>4.3874031687002484</v>
      </c>
      <c r="K64" s="466">
        <v>45.105615049850634</v>
      </c>
      <c r="L64" s="467" t="s">
        <v>1328</v>
      </c>
    </row>
    <row r="65" spans="1:12">
      <c r="A65" s="461">
        <v>12.519875043086044</v>
      </c>
      <c r="B65" s="461">
        <v>7.9903267551402797</v>
      </c>
      <c r="C65" s="461">
        <v>37.55962512925813</v>
      </c>
      <c r="D65" s="463" t="s">
        <v>1329</v>
      </c>
      <c r="E65" s="464">
        <v>45.270337242244032</v>
      </c>
      <c r="F65" s="464">
        <v>11.734152111872634</v>
      </c>
      <c r="G65" s="464">
        <v>226.35168621122014</v>
      </c>
      <c r="H65" s="465" t="s">
        <v>1330</v>
      </c>
      <c r="I65" s="466">
        <v>11.623325804388323</v>
      </c>
      <c r="J65" s="466">
        <v>4.9519605629283578</v>
      </c>
      <c r="K65" s="466">
        <v>40.681640315359132</v>
      </c>
      <c r="L65" s="467" t="s">
        <v>1331</v>
      </c>
    </row>
    <row r="66" spans="1:12">
      <c r="A66" s="468">
        <v>12.950183476837742</v>
      </c>
      <c r="B66" s="462">
        <v>6.5106366152994886</v>
      </c>
      <c r="C66" s="462">
        <v>45.325642168932099</v>
      </c>
      <c r="D66" s="463" t="s">
        <v>1332</v>
      </c>
      <c r="E66" s="464">
        <v>45.619467859455348</v>
      </c>
      <c r="F66" s="464">
        <v>19.28460093227195</v>
      </c>
      <c r="G66" s="464">
        <v>182.47787143782139</v>
      </c>
      <c r="H66" s="465" t="s">
        <v>1333</v>
      </c>
      <c r="I66" s="466">
        <v>11.775918468540386</v>
      </c>
      <c r="J66" s="466">
        <v>6.5596126748009906</v>
      </c>
      <c r="K66" s="466">
        <v>35.327755405621154</v>
      </c>
      <c r="L66" s="467" t="s">
        <v>1334</v>
      </c>
    </row>
    <row r="67" spans="1:12">
      <c r="A67" s="461">
        <v>13.466417274658562</v>
      </c>
      <c r="B67" s="461">
        <v>5.6968070383870524</v>
      </c>
      <c r="C67" s="461">
        <v>53.86566909863425</v>
      </c>
      <c r="D67" s="463" t="s">
        <v>1335</v>
      </c>
      <c r="E67" s="464">
        <v>48.994958566009991</v>
      </c>
      <c r="F67" s="464">
        <v>15.097842251713427</v>
      </c>
      <c r="G67" s="464">
        <v>220.47731354704496</v>
      </c>
      <c r="H67" s="465" t="s">
        <v>1336</v>
      </c>
      <c r="I67" s="466">
        <v>11.778312299427416</v>
      </c>
      <c r="J67" s="466">
        <v>4.0011380279681585</v>
      </c>
      <c r="K67" s="466">
        <v>51.824574117480623</v>
      </c>
      <c r="L67" s="467" t="s">
        <v>1337</v>
      </c>
    </row>
    <row r="68" spans="1:12">
      <c r="A68" s="468">
        <v>14.005893248129066</v>
      </c>
      <c r="B68" s="462">
        <v>8.4342337970925172</v>
      </c>
      <c r="C68" s="462">
        <v>44.118563731606564</v>
      </c>
      <c r="D68" s="463" t="s">
        <v>1338</v>
      </c>
      <c r="E68" s="464">
        <v>52.057902192849319</v>
      </c>
      <c r="F68" s="464">
        <v>10.839460562928357</v>
      </c>
      <c r="G68" s="464">
        <v>312.34741315709596</v>
      </c>
      <c r="H68" s="465" t="s">
        <v>1339</v>
      </c>
      <c r="I68" s="466">
        <v>12.084531335777314</v>
      </c>
      <c r="J68" s="466">
        <v>6.5596126748009906</v>
      </c>
      <c r="K68" s="466">
        <v>42.295859675220598</v>
      </c>
      <c r="L68" s="467" t="s">
        <v>1340</v>
      </c>
    </row>
    <row r="69" spans="1:12">
      <c r="A69" s="461">
        <v>14.555036614595412</v>
      </c>
      <c r="B69" s="461">
        <v>5.9187605593631698</v>
      </c>
      <c r="C69" s="461">
        <v>60.403401950570952</v>
      </c>
      <c r="D69" s="463" t="s">
        <v>1341</v>
      </c>
      <c r="E69" s="464">
        <v>54.220417857585851</v>
      </c>
      <c r="F69" s="464">
        <v>14.409612674800991</v>
      </c>
      <c r="G69" s="464">
        <v>271.10208928792929</v>
      </c>
      <c r="H69" s="465" t="s">
        <v>1342</v>
      </c>
      <c r="I69" s="466">
        <v>12.381896946029428</v>
      </c>
      <c r="J69" s="466">
        <v>4.1895380279681582</v>
      </c>
      <c r="K69" s="466">
        <v>49.527587784117713</v>
      </c>
      <c r="L69" s="467" t="s">
        <v>1343</v>
      </c>
    </row>
    <row r="70" spans="1:12">
      <c r="A70" s="461">
        <v>14.627359024038414</v>
      </c>
      <c r="B70" s="461">
        <v>5.3947036348362225</v>
      </c>
      <c r="C70" s="461">
        <v>65.82311560817287</v>
      </c>
      <c r="D70" s="463" t="s">
        <v>1344</v>
      </c>
      <c r="E70" s="464">
        <v>55.624871779264481</v>
      </c>
      <c r="F70" s="464">
        <v>12.990152111872636</v>
      </c>
      <c r="G70" s="464">
        <v>305.93679478595459</v>
      </c>
      <c r="H70" s="465" t="s">
        <v>1345</v>
      </c>
      <c r="I70" s="466">
        <v>12.422802538077031</v>
      </c>
      <c r="J70" s="466">
        <v>6.0821521118726345</v>
      </c>
      <c r="K70" s="466">
        <v>37.268407614231094</v>
      </c>
      <c r="L70" s="467" t="s">
        <v>1346</v>
      </c>
    </row>
    <row r="71" spans="1:12">
      <c r="A71" s="461">
        <v>14.790366885688458</v>
      </c>
      <c r="B71" s="461">
        <v>4.8336544568132558</v>
      </c>
      <c r="C71" s="461">
        <v>73.951834428442297</v>
      </c>
      <c r="D71" s="463" t="s">
        <v>1347</v>
      </c>
      <c r="E71" s="464">
        <v>56.575537357075909</v>
      </c>
      <c r="F71" s="464">
        <v>18.87334459665405</v>
      </c>
      <c r="G71" s="464">
        <v>254.58991810684157</v>
      </c>
      <c r="H71" s="465" t="s">
        <v>1348</v>
      </c>
      <c r="I71" s="466">
        <v>12.585897232959754</v>
      </c>
      <c r="J71" s="466">
        <v>5.1874605629283579</v>
      </c>
      <c r="K71" s="466">
        <v>44.050640315359146</v>
      </c>
      <c r="L71" s="467" t="s">
        <v>1349</v>
      </c>
    </row>
    <row r="72" spans="1:12">
      <c r="A72" s="461">
        <v>15.03972556657939</v>
      </c>
      <c r="B72" s="461">
        <v>7.0038666619130856</v>
      </c>
      <c r="C72" s="461">
        <v>56.39897087467272</v>
      </c>
      <c r="D72" s="463" t="s">
        <v>1350</v>
      </c>
      <c r="E72" s="464">
        <v>56.720023772414727</v>
      </c>
      <c r="F72" s="464">
        <v>11.310460562928359</v>
      </c>
      <c r="G72" s="464">
        <v>354.50014857759203</v>
      </c>
      <c r="H72" s="465" t="s">
        <v>1351</v>
      </c>
      <c r="I72" s="466">
        <v>12.832491681028682</v>
      </c>
      <c r="J72" s="466">
        <v>7.5618422517134265</v>
      </c>
      <c r="K72" s="466">
        <v>38.497475043086041</v>
      </c>
      <c r="L72" s="467" t="s">
        <v>1352</v>
      </c>
    </row>
    <row r="73" spans="1:12">
      <c r="A73" s="468">
        <v>15.497588759896075</v>
      </c>
      <c r="B73" s="462">
        <v>8.014988257470959</v>
      </c>
      <c r="C73" s="462">
        <v>54.241560659636264</v>
      </c>
      <c r="D73" s="463" t="s">
        <v>1353</v>
      </c>
      <c r="E73" s="464">
        <v>58.640870991553882</v>
      </c>
      <c r="F73" s="464">
        <v>11.498860562928357</v>
      </c>
      <c r="G73" s="464">
        <v>372.36953079636714</v>
      </c>
      <c r="H73" s="465" t="s">
        <v>1354</v>
      </c>
      <c r="I73" s="466">
        <v>12.861704501498419</v>
      </c>
      <c r="J73" s="466">
        <v>4.1895380279681582</v>
      </c>
      <c r="K73" s="466">
        <v>57.877670256742881</v>
      </c>
      <c r="L73" s="467" t="s">
        <v>1355</v>
      </c>
    </row>
    <row r="74" spans="1:12">
      <c r="A74" s="468">
        <v>15.520498159380432</v>
      </c>
      <c r="B74" s="462">
        <v>7.1123772721680734</v>
      </c>
      <c r="C74" s="462">
        <v>59.055495496442539</v>
      </c>
      <c r="D74" s="463" t="s">
        <v>1356</v>
      </c>
      <c r="E74" s="464">
        <v>61.582140423099567</v>
      </c>
      <c r="F74" s="464">
        <v>11.781460562928357</v>
      </c>
      <c r="G74" s="464">
        <v>400.28391275014718</v>
      </c>
      <c r="H74" s="465" t="s">
        <v>1357</v>
      </c>
      <c r="I74" s="466">
        <v>13.062641216809311</v>
      </c>
      <c r="J74" s="466">
        <v>5.1874605629283579</v>
      </c>
      <c r="K74" s="466">
        <v>52.250564867237252</v>
      </c>
      <c r="L74" s="467" t="s">
        <v>1358</v>
      </c>
    </row>
    <row r="75" spans="1:12">
      <c r="A75" s="461">
        <v>16.819700437625436</v>
      </c>
      <c r="B75" s="461">
        <v>6.3552691506162047</v>
      </c>
      <c r="C75" s="461">
        <v>74.763568445245056</v>
      </c>
      <c r="D75" s="463" t="s">
        <v>1359</v>
      </c>
      <c r="E75" s="464">
        <v>62.294835956181629</v>
      </c>
      <c r="F75" s="464">
        <v>16.981842251713427</v>
      </c>
      <c r="G75" s="464">
        <v>311.47417978090817</v>
      </c>
      <c r="H75" s="465" t="s">
        <v>1360</v>
      </c>
      <c r="I75" s="469">
        <v>13.075249657716684</v>
      </c>
      <c r="J75" s="469">
        <v>4.1895380279681582</v>
      </c>
      <c r="K75" s="469">
        <v>65.376248288583412</v>
      </c>
      <c r="L75" s="470" t="s">
        <v>1361</v>
      </c>
    </row>
    <row r="76" spans="1:12">
      <c r="A76" s="468">
        <v>16.85949817066507</v>
      </c>
      <c r="B76" s="462">
        <v>6.3626676013154082</v>
      </c>
      <c r="C76" s="462">
        <v>75.024766859459547</v>
      </c>
      <c r="D76" s="463" t="s">
        <v>1362</v>
      </c>
      <c r="E76" s="464">
        <v>62.585708151025919</v>
      </c>
      <c r="F76" s="464">
        <v>22.42460093227195</v>
      </c>
      <c r="G76" s="464">
        <v>281.63568667961664</v>
      </c>
      <c r="H76" s="465" t="s">
        <v>1363</v>
      </c>
      <c r="I76" s="466">
        <v>13.129215402338861</v>
      </c>
      <c r="J76" s="466">
        <v>6.0821521118726345</v>
      </c>
      <c r="K76" s="466">
        <v>45.952253908186009</v>
      </c>
      <c r="L76" s="467" t="s">
        <v>1364</v>
      </c>
    </row>
    <row r="77" spans="1:12">
      <c r="A77" s="461">
        <v>17.260067118455005</v>
      </c>
      <c r="B77" s="461">
        <v>6.4366521083074479</v>
      </c>
      <c r="C77" s="461">
        <v>77.67030203304752</v>
      </c>
      <c r="D77" s="463" t="s">
        <v>1365</v>
      </c>
      <c r="E77" s="464">
        <v>66.899863491741854</v>
      </c>
      <c r="F77" s="464">
        <v>15.979612674800991</v>
      </c>
      <c r="G77" s="464">
        <v>367.94924920458016</v>
      </c>
      <c r="H77" s="465" t="s">
        <v>1366</v>
      </c>
      <c r="I77" s="466">
        <v>13.141023206077778</v>
      </c>
      <c r="J77" s="466">
        <v>5.1874605629283579</v>
      </c>
      <c r="K77" s="466">
        <v>59.134604427349998</v>
      </c>
      <c r="L77" s="467" t="s">
        <v>1367</v>
      </c>
    </row>
    <row r="78" spans="1:12">
      <c r="A78" s="468">
        <v>17.286299417112478</v>
      </c>
      <c r="B78" s="462">
        <v>7.4970967085266818</v>
      </c>
      <c r="C78" s="462">
        <v>69.14519766844991</v>
      </c>
      <c r="D78" s="463" t="s">
        <v>1368</v>
      </c>
      <c r="E78" s="464">
        <v>67.045980932925076</v>
      </c>
      <c r="F78" s="464">
        <v>14.246152111872634</v>
      </c>
      <c r="G78" s="464">
        <v>402.27588559755048</v>
      </c>
      <c r="H78" s="465" t="s">
        <v>1369</v>
      </c>
      <c r="I78" s="466">
        <v>13.307520609750625</v>
      </c>
      <c r="J78" s="466">
        <v>6.0821521118726345</v>
      </c>
      <c r="K78" s="466">
        <v>53.230082439002508</v>
      </c>
      <c r="L78" s="467" t="s">
        <v>1370</v>
      </c>
    </row>
    <row r="79" spans="1:12">
      <c r="A79" s="468">
        <v>17.802597729782434</v>
      </c>
      <c r="B79" s="462">
        <v>9.4700168949810717</v>
      </c>
      <c r="C79" s="462">
        <v>62.309092054238519</v>
      </c>
      <c r="D79" s="463" t="s">
        <v>1371</v>
      </c>
      <c r="E79" s="464">
        <v>67.408284922270951</v>
      </c>
      <c r="F79" s="464">
        <v>19.120654456813259</v>
      </c>
      <c r="G79" s="464">
        <v>337.04142461135478</v>
      </c>
      <c r="H79" s="465" t="s">
        <v>1372</v>
      </c>
      <c r="I79" s="466">
        <v>13.486566085423545</v>
      </c>
      <c r="J79" s="466">
        <v>4.7799031687002485</v>
      </c>
      <c r="K79" s="466">
        <v>60.689547384405948</v>
      </c>
      <c r="L79" s="467" t="s">
        <v>1373</v>
      </c>
    </row>
    <row r="80" spans="1:12">
      <c r="A80" s="461">
        <v>18.051067788751354</v>
      </c>
      <c r="B80" s="461">
        <v>8.6315258157379553</v>
      </c>
      <c r="C80" s="461">
        <v>67.691504207817573</v>
      </c>
      <c r="D80" s="463" t="s">
        <v>1374</v>
      </c>
      <c r="E80" s="464">
        <v>71.906361050204723</v>
      </c>
      <c r="F80" s="464">
        <v>12.723460562928357</v>
      </c>
      <c r="G80" s="464">
        <v>503.34452735143304</v>
      </c>
      <c r="H80" s="465" t="s">
        <v>1375</v>
      </c>
      <c r="I80" s="466">
        <v>13.903230279362759</v>
      </c>
      <c r="J80" s="466">
        <v>4.5035380279681583</v>
      </c>
      <c r="K80" s="466">
        <v>55.61292111745103</v>
      </c>
      <c r="L80" s="467" t="s">
        <v>1376</v>
      </c>
    </row>
    <row r="81" spans="1:12">
      <c r="A81" s="461">
        <v>18.639166795083788</v>
      </c>
      <c r="B81" s="461">
        <v>8.7671640785566964</v>
      </c>
      <c r="C81" s="461">
        <v>70.922029655293812</v>
      </c>
      <c r="D81" s="463" t="s">
        <v>1377</v>
      </c>
      <c r="E81" s="464">
        <v>73.156507894747449</v>
      </c>
      <c r="F81" s="464">
        <v>14.874152111872634</v>
      </c>
      <c r="G81" s="464">
        <v>457.22817434217154</v>
      </c>
      <c r="H81" s="465" t="s">
        <v>1378</v>
      </c>
      <c r="I81" s="466">
        <v>14.174891216809314</v>
      </c>
      <c r="J81" s="466">
        <v>5.422960562928357</v>
      </c>
      <c r="K81" s="466">
        <v>56.699564867237257</v>
      </c>
      <c r="L81" s="467" t="s">
        <v>1379</v>
      </c>
    </row>
    <row r="82" spans="1:12">
      <c r="A82" s="461">
        <v>18.709622571655366</v>
      </c>
      <c r="B82" s="461">
        <v>7.7930347364948416</v>
      </c>
      <c r="C82" s="461">
        <v>77.644933672369774</v>
      </c>
      <c r="D82" s="463" t="s">
        <v>1380</v>
      </c>
      <c r="E82" s="464">
        <v>73.188812744289393</v>
      </c>
      <c r="F82" s="464">
        <v>21.385344596654051</v>
      </c>
      <c r="G82" s="464">
        <v>365.94406372144704</v>
      </c>
      <c r="H82" s="465" t="s">
        <v>1381</v>
      </c>
      <c r="I82" s="466">
        <v>14.277602039225677</v>
      </c>
      <c r="J82" s="466">
        <v>4.9369031687002485</v>
      </c>
      <c r="K82" s="466">
        <v>62.821448972592982</v>
      </c>
      <c r="L82" s="467" t="s">
        <v>1382</v>
      </c>
    </row>
    <row r="83" spans="1:12">
      <c r="A83" s="468">
        <v>19.333592675966059</v>
      </c>
      <c r="B83" s="462">
        <v>6.8065746432676466</v>
      </c>
      <c r="C83" s="462">
        <v>91.83456521083879</v>
      </c>
      <c r="D83" s="463" t="s">
        <v>1383</v>
      </c>
      <c r="E83" s="464">
        <v>75.675380881354343</v>
      </c>
      <c r="F83" s="464">
        <v>15.125352111872635</v>
      </c>
      <c r="G83" s="464">
        <v>480.53866859660019</v>
      </c>
      <c r="H83" s="465" t="s">
        <v>1384</v>
      </c>
      <c r="I83" s="466">
        <v>14.303696246318163</v>
      </c>
      <c r="J83" s="466">
        <v>7.3446126748009908</v>
      </c>
      <c r="K83" s="466">
        <v>42.911088738954483</v>
      </c>
      <c r="L83" s="467" t="s">
        <v>1385</v>
      </c>
    </row>
    <row r="84" spans="1:12">
      <c r="A84" s="461">
        <v>19.714846152026848</v>
      </c>
      <c r="B84" s="461">
        <v>5.5734995267336522</v>
      </c>
      <c r="C84" s="461">
        <v>113.36036537415437</v>
      </c>
      <c r="D84" s="463" t="s">
        <v>1386</v>
      </c>
      <c r="E84" s="464">
        <v>77.194092008674559</v>
      </c>
      <c r="F84" s="464">
        <v>18.865842251713431</v>
      </c>
      <c r="G84" s="464">
        <v>424.56750604771003</v>
      </c>
      <c r="H84" s="465" t="s">
        <v>1387</v>
      </c>
      <c r="I84" s="469">
        <v>14.582889686683597</v>
      </c>
      <c r="J84" s="469">
        <v>4.5035380279681583</v>
      </c>
      <c r="K84" s="469">
        <v>65.623003590076181</v>
      </c>
      <c r="L84" s="470" t="s">
        <v>1388</v>
      </c>
    </row>
    <row r="85" spans="1:12">
      <c r="A85" s="468">
        <v>20.800779483729293</v>
      </c>
      <c r="B85" s="462">
        <v>9.2480633740049534</v>
      </c>
      <c r="C85" s="462">
        <v>83.203117934917188</v>
      </c>
      <c r="D85" s="463" t="s">
        <v>1389</v>
      </c>
      <c r="E85" s="464">
        <v>79.533685945539716</v>
      </c>
      <c r="F85" s="464">
        <v>15.502152111872633</v>
      </c>
      <c r="G85" s="464">
        <v>516.96895864600822</v>
      </c>
      <c r="H85" s="465" t="s">
        <v>1390</v>
      </c>
      <c r="I85" s="469">
        <v>14.996316324383345</v>
      </c>
      <c r="J85" s="469">
        <v>4.5035380279681583</v>
      </c>
      <c r="K85" s="469">
        <v>74.981581621916717</v>
      </c>
      <c r="L85" s="470" t="s">
        <v>1391</v>
      </c>
    </row>
    <row r="86" spans="1:12">
      <c r="A86" s="461">
        <v>21.487236762592122</v>
      </c>
      <c r="B86" s="461">
        <v>10.372627880283954</v>
      </c>
      <c r="C86" s="461">
        <v>81.758935881663007</v>
      </c>
      <c r="D86" s="463" t="s">
        <v>1392</v>
      </c>
      <c r="E86" s="464">
        <v>80.912417727721149</v>
      </c>
      <c r="F86" s="464">
        <v>17.549612674800994</v>
      </c>
      <c r="G86" s="464">
        <v>485.47450636632692</v>
      </c>
      <c r="H86" s="465" t="s">
        <v>1393</v>
      </c>
      <c r="I86" s="466">
        <v>15.031612095795989</v>
      </c>
      <c r="J86" s="466">
        <v>5.1724031687002476</v>
      </c>
      <c r="K86" s="466">
        <v>60.126448383183948</v>
      </c>
      <c r="L86" s="467" t="s">
        <v>1394</v>
      </c>
    </row>
    <row r="87" spans="1:12">
      <c r="A87" s="468">
        <v>21.524920517372557</v>
      </c>
      <c r="B87" s="462">
        <v>7.1764971782278444</v>
      </c>
      <c r="C87" s="462">
        <v>107.62460258686279</v>
      </c>
      <c r="D87" s="463" t="s">
        <v>1395</v>
      </c>
      <c r="E87" s="464">
        <v>81.612412316564175</v>
      </c>
      <c r="F87" s="464">
        <v>28.306681678089511</v>
      </c>
      <c r="G87" s="464">
        <v>408.06206158282089</v>
      </c>
      <c r="H87" s="465" t="s">
        <v>1396</v>
      </c>
      <c r="I87" s="466">
        <v>15.108340859586834</v>
      </c>
      <c r="J87" s="466">
        <v>7.3446126748009908</v>
      </c>
      <c r="K87" s="466">
        <v>52.879193008553926</v>
      </c>
      <c r="L87" s="467" t="s">
        <v>1397</v>
      </c>
    </row>
    <row r="88" spans="1:12">
      <c r="A88" s="468">
        <v>22.250574315144988</v>
      </c>
      <c r="B88" s="462">
        <v>8.4835568017538776</v>
      </c>
      <c r="C88" s="462">
        <v>100.12758441815245</v>
      </c>
      <c r="D88" s="463" t="s">
        <v>1398</v>
      </c>
      <c r="E88" s="464">
        <v>82.215337445718291</v>
      </c>
      <c r="F88" s="464">
        <v>25.564600932271951</v>
      </c>
      <c r="G88" s="464">
        <v>411.07668722859142</v>
      </c>
      <c r="H88" s="465" t="s">
        <v>1399</v>
      </c>
      <c r="I88" s="466">
        <v>15.287141216809321</v>
      </c>
      <c r="J88" s="466">
        <v>5.658460562928358</v>
      </c>
      <c r="K88" s="466">
        <v>61.148564867237283</v>
      </c>
      <c r="L88" s="467" t="s">
        <v>1400</v>
      </c>
    </row>
    <row r="89" spans="1:12">
      <c r="A89" s="461">
        <v>22.251025448399773</v>
      </c>
      <c r="B89" s="461">
        <v>7.2948723894151124</v>
      </c>
      <c r="C89" s="461">
        <v>113.03520927787083</v>
      </c>
      <c r="D89" s="463" t="s">
        <v>1401</v>
      </c>
      <c r="E89" s="464">
        <v>83.030567594793794</v>
      </c>
      <c r="F89" s="464">
        <v>13.665460562928358</v>
      </c>
      <c r="G89" s="464">
        <v>622.72925696095353</v>
      </c>
      <c r="H89" s="465" t="s">
        <v>1402</v>
      </c>
      <c r="I89" s="466">
        <v>15.621405878529341</v>
      </c>
      <c r="J89" s="466">
        <v>6.7101521118726337</v>
      </c>
      <c r="K89" s="466">
        <v>54.674920574852699</v>
      </c>
      <c r="L89" s="467" t="s">
        <v>1403</v>
      </c>
    </row>
    <row r="90" spans="1:12">
      <c r="A90" s="461">
        <v>24.026586455389381</v>
      </c>
      <c r="B90" s="461">
        <v>10.949707034821866</v>
      </c>
      <c r="C90" s="461">
        <v>96.106345821557525</v>
      </c>
      <c r="D90" s="463" t="s">
        <v>1404</v>
      </c>
      <c r="E90" s="464">
        <v>84.209621251208645</v>
      </c>
      <c r="F90" s="464">
        <v>21.318654456813256</v>
      </c>
      <c r="G90" s="464">
        <v>463.15291688164751</v>
      </c>
      <c r="H90" s="465" t="s">
        <v>1405</v>
      </c>
      <c r="I90" s="466">
        <v>15.665023206077779</v>
      </c>
      <c r="J90" s="466">
        <v>5.658460562928358</v>
      </c>
      <c r="K90" s="466">
        <v>70.492604427350003</v>
      </c>
      <c r="L90" s="467" t="s">
        <v>1406</v>
      </c>
    </row>
    <row r="91" spans="1:12">
      <c r="A91" s="468">
        <v>24.968287120652008</v>
      </c>
      <c r="B91" s="462">
        <v>8.9767868483674746</v>
      </c>
      <c r="C91" s="462">
        <v>118.59936382309704</v>
      </c>
      <c r="D91" s="463" t="s">
        <v>1407</v>
      </c>
      <c r="E91" s="464">
        <v>86.177516816157052</v>
      </c>
      <c r="F91" s="464">
        <v>16.130152111872636</v>
      </c>
      <c r="G91" s="464">
        <v>581.69823850906016</v>
      </c>
      <c r="H91" s="465" t="s">
        <v>1408</v>
      </c>
      <c r="I91" s="466">
        <v>15.760491681028681</v>
      </c>
      <c r="J91" s="466">
        <v>8.5038422517134276</v>
      </c>
      <c r="K91" s="466">
        <v>47.281475043086047</v>
      </c>
      <c r="L91" s="467" t="s">
        <v>1409</v>
      </c>
    </row>
    <row r="92" spans="1:12">
      <c r="A92" s="461">
        <v>25.276076393538379</v>
      </c>
      <c r="B92" s="461">
        <v>7.7683732341641623</v>
      </c>
      <c r="C92" s="461">
        <v>136.49081252510726</v>
      </c>
      <c r="D92" s="463" t="s">
        <v>1410</v>
      </c>
      <c r="E92" s="464">
        <v>88.418627426257828</v>
      </c>
      <c r="F92" s="464">
        <v>18.334612674800994</v>
      </c>
      <c r="G92" s="464">
        <v>552.61642141411141</v>
      </c>
      <c r="H92" s="465" t="s">
        <v>1411</v>
      </c>
      <c r="I92" s="466">
        <v>16.198187276417297</v>
      </c>
      <c r="J92" s="466">
        <v>6.7101521118726337</v>
      </c>
      <c r="K92" s="466">
        <v>64.792749105669188</v>
      </c>
      <c r="L92" s="467" t="s">
        <v>1412</v>
      </c>
    </row>
    <row r="93" spans="1:12">
      <c r="A93" s="468">
        <v>26.180846640705361</v>
      </c>
      <c r="B93" s="462">
        <v>10.345500227720208</v>
      </c>
      <c r="C93" s="462">
        <v>116.37386331793533</v>
      </c>
      <c r="D93" s="463" t="s">
        <v>1413</v>
      </c>
      <c r="E93" s="464">
        <v>91.514433738642836</v>
      </c>
      <c r="F93" s="464">
        <v>18.648612674800994</v>
      </c>
      <c r="G93" s="464">
        <v>581.11665424038199</v>
      </c>
      <c r="H93" s="465" t="s">
        <v>1414</v>
      </c>
      <c r="I93" s="466">
        <v>16.24545774963271</v>
      </c>
      <c r="J93" s="466">
        <v>6.7101521118726337</v>
      </c>
      <c r="K93" s="466">
        <v>73.104559873347199</v>
      </c>
      <c r="L93" s="467" t="s">
        <v>1415</v>
      </c>
    </row>
    <row r="94" spans="1:12">
      <c r="A94" s="461">
        <v>26.26098711038869</v>
      </c>
      <c r="B94" s="461">
        <v>7.9163422481482399</v>
      </c>
      <c r="C94" s="461">
        <v>144.43542910713779</v>
      </c>
      <c r="D94" s="463" t="s">
        <v>1416</v>
      </c>
      <c r="E94" s="464">
        <v>91.934445078663188</v>
      </c>
      <c r="F94" s="464">
        <v>23.897344596654047</v>
      </c>
      <c r="G94" s="464">
        <v>505.63944793264756</v>
      </c>
      <c r="H94" s="465" t="s">
        <v>1417</v>
      </c>
      <c r="I94" s="469">
        <v>16.304074871868785</v>
      </c>
      <c r="J94" s="469">
        <v>4.8175380279681583</v>
      </c>
      <c r="K94" s="469">
        <v>73.36833692340953</v>
      </c>
      <c r="L94" s="470" t="s">
        <v>1418</v>
      </c>
    </row>
    <row r="95" spans="1:12">
      <c r="A95" s="461">
        <v>26.888978788537639</v>
      </c>
      <c r="B95" s="461">
        <v>10.481138490538948</v>
      </c>
      <c r="C95" s="461">
        <v>121.00040454841938</v>
      </c>
      <c r="D95" s="463" t="s">
        <v>1419</v>
      </c>
      <c r="E95" s="464">
        <v>93.088001990189596</v>
      </c>
      <c r="F95" s="464">
        <v>16.758152111872633</v>
      </c>
      <c r="G95" s="464">
        <v>651.61601393132707</v>
      </c>
      <c r="H95" s="465" t="s">
        <v>1420</v>
      </c>
      <c r="I95" s="466">
        <v>16.606969844242887</v>
      </c>
      <c r="J95" s="466">
        <v>5.8468605629283568</v>
      </c>
      <c r="K95" s="466">
        <v>73.070667314668697</v>
      </c>
      <c r="L95" s="467" t="s">
        <v>1421</v>
      </c>
    </row>
    <row r="96" spans="1:12">
      <c r="A96" s="461">
        <v>27.773694681338952</v>
      </c>
      <c r="B96" s="461">
        <v>8.1382957691243583</v>
      </c>
      <c r="C96" s="461">
        <v>156.92137494956506</v>
      </c>
      <c r="D96" s="463" t="s">
        <v>1422</v>
      </c>
      <c r="E96" s="464">
        <v>93.692882057908363</v>
      </c>
      <c r="F96" s="464">
        <v>20.749842251713432</v>
      </c>
      <c r="G96" s="464">
        <v>562.15729234745015</v>
      </c>
      <c r="H96" s="465" t="s">
        <v>1423</v>
      </c>
      <c r="I96" s="466">
        <v>16.628846050895383</v>
      </c>
      <c r="J96" s="466">
        <v>8.5038422517134276</v>
      </c>
      <c r="K96" s="466">
        <v>58.200961178133845</v>
      </c>
      <c r="L96" s="467" t="s">
        <v>1424</v>
      </c>
    </row>
    <row r="97" spans="1:12">
      <c r="A97" s="461">
        <v>27.843056042823331</v>
      </c>
      <c r="B97" s="461">
        <v>9.4700168949810717</v>
      </c>
      <c r="C97" s="461">
        <v>139.21528021411666</v>
      </c>
      <c r="D97" s="463" t="s">
        <v>1425</v>
      </c>
      <c r="E97" s="464">
        <v>94.954762697338566</v>
      </c>
      <c r="F97" s="464">
        <v>14.60746056292836</v>
      </c>
      <c r="G97" s="464">
        <v>759.63810157870853</v>
      </c>
      <c r="H97" s="465" t="s">
        <v>1426</v>
      </c>
      <c r="I97" s="469">
        <v>16.917382991050012</v>
      </c>
      <c r="J97" s="469">
        <v>4.8175380279681583</v>
      </c>
      <c r="K97" s="469">
        <v>84.586914955250066</v>
      </c>
      <c r="L97" s="470" t="s">
        <v>1427</v>
      </c>
    </row>
    <row r="98" spans="1:12">
      <c r="A98" s="461">
        <v>28.442371922007784</v>
      </c>
      <c r="B98" s="461">
        <v>8.2344756282140139</v>
      </c>
      <c r="C98" s="461">
        <v>162.54815553427449</v>
      </c>
      <c r="D98" s="463" t="s">
        <v>1428</v>
      </c>
      <c r="E98" s="464">
        <v>96.258132426641552</v>
      </c>
      <c r="F98" s="464">
        <v>19.119612674800994</v>
      </c>
      <c r="G98" s="464">
        <v>625.6778607731701</v>
      </c>
      <c r="H98" s="465" t="s">
        <v>1429</v>
      </c>
      <c r="I98" s="469">
        <v>17.344926282762888</v>
      </c>
      <c r="J98" s="469">
        <v>4.8175380279681583</v>
      </c>
      <c r="K98" s="469">
        <v>104.06955769657732</v>
      </c>
      <c r="L98" s="470" t="s">
        <v>1430</v>
      </c>
    </row>
    <row r="99" spans="1:12">
      <c r="A99" s="461">
        <v>28.796152916808406</v>
      </c>
      <c r="B99" s="461">
        <v>9.6278505098974261</v>
      </c>
      <c r="C99" s="461">
        <v>146.28445681738668</v>
      </c>
      <c r="D99" s="463" t="s">
        <v>1431</v>
      </c>
      <c r="E99" s="464">
        <v>102.54213728154753</v>
      </c>
      <c r="F99" s="464">
        <v>21.691842251713428</v>
      </c>
      <c r="G99" s="464">
        <v>640.88835800967195</v>
      </c>
      <c r="H99" s="465" t="s">
        <v>1432</v>
      </c>
      <c r="I99" s="466">
        <v>17.511641216809316</v>
      </c>
      <c r="J99" s="466">
        <v>6.1294605629283572</v>
      </c>
      <c r="K99" s="466">
        <v>70.046564867237251</v>
      </c>
      <c r="L99" s="467" t="s">
        <v>1433</v>
      </c>
    </row>
    <row r="100" spans="1:12">
      <c r="A100" s="461">
        <v>28.805727450113608</v>
      </c>
      <c r="B100" s="461">
        <v>8.2862647831084395</v>
      </c>
      <c r="C100" s="461">
        <v>165.63293283815324</v>
      </c>
      <c r="D100" s="463" t="s">
        <v>1434</v>
      </c>
      <c r="E100" s="464">
        <v>102.87719499207634</v>
      </c>
      <c r="F100" s="464">
        <v>23.516654456813257</v>
      </c>
      <c r="G100" s="464">
        <v>617.26316995245804</v>
      </c>
      <c r="H100" s="465" t="s">
        <v>1435</v>
      </c>
      <c r="I100" s="466">
        <v>17.643520609750627</v>
      </c>
      <c r="J100" s="466">
        <v>7.0241521118726338</v>
      </c>
      <c r="K100" s="466">
        <v>70.57408243900251</v>
      </c>
      <c r="L100" s="467" t="s">
        <v>1436</v>
      </c>
    </row>
    <row r="101" spans="1:12">
      <c r="A101" s="461">
        <v>31.192245138962338</v>
      </c>
      <c r="B101" s="461">
        <v>12.429397174662659</v>
      </c>
      <c r="C101" s="461">
        <v>140.36510312533053</v>
      </c>
      <c r="D101" s="463" t="s">
        <v>1437</v>
      </c>
      <c r="E101" s="464">
        <v>104.50924965177197</v>
      </c>
      <c r="F101" s="464">
        <v>28.704600932271951</v>
      </c>
      <c r="G101" s="464">
        <v>574.80087308474583</v>
      </c>
      <c r="H101" s="465" t="s">
        <v>1438</v>
      </c>
      <c r="I101" s="466">
        <v>18.132150383396361</v>
      </c>
      <c r="J101" s="466">
        <v>8.12961267480099</v>
      </c>
      <c r="K101" s="466">
        <v>63.462526341887269</v>
      </c>
      <c r="L101" s="467" t="s">
        <v>1439</v>
      </c>
    </row>
    <row r="102" spans="1:12">
      <c r="A102" s="461">
        <v>31.468273323488368</v>
      </c>
      <c r="B102" s="461">
        <v>8.6561873180686373</v>
      </c>
      <c r="C102" s="461">
        <v>188.80963994093023</v>
      </c>
      <c r="D102" s="463" t="s">
        <v>1440</v>
      </c>
      <c r="E102" s="464">
        <v>106.19381676801049</v>
      </c>
      <c r="F102" s="464">
        <v>22.068642251713428</v>
      </c>
      <c r="G102" s="464">
        <v>674.33073647686649</v>
      </c>
      <c r="H102" s="465" t="s">
        <v>1441</v>
      </c>
      <c r="I102" s="466">
        <v>18.189023206077778</v>
      </c>
      <c r="J102" s="466">
        <v>6.1294605629283572</v>
      </c>
      <c r="K102" s="466">
        <v>81.850604427349992</v>
      </c>
      <c r="L102" s="467" t="s">
        <v>1442</v>
      </c>
    </row>
    <row r="103" spans="1:12">
      <c r="A103" s="461">
        <v>32.769371193177797</v>
      </c>
      <c r="B103" s="461">
        <v>10.259184969562829</v>
      </c>
      <c r="C103" s="461">
        <v>176.95460444316012</v>
      </c>
      <c r="D103" s="463" t="s">
        <v>1443</v>
      </c>
      <c r="E103" s="464">
        <v>107.70894019380103</v>
      </c>
      <c r="F103" s="464">
        <v>18.014152111872633</v>
      </c>
      <c r="G103" s="464">
        <v>807.8170514535077</v>
      </c>
      <c r="H103" s="465" t="s">
        <v>1444</v>
      </c>
      <c r="I103" s="469">
        <v>18.240684139380395</v>
      </c>
      <c r="J103" s="469">
        <v>5.5649031687002477</v>
      </c>
      <c r="K103" s="469">
        <v>91.203420696901972</v>
      </c>
      <c r="L103" s="470" t="s">
        <v>1445</v>
      </c>
    </row>
    <row r="104" spans="1:12">
      <c r="A104" s="461">
        <v>33.762303549047807</v>
      </c>
      <c r="B104" s="461">
        <v>11.714213607072942</v>
      </c>
      <c r="C104" s="461">
        <v>168.81151774523903</v>
      </c>
      <c r="D104" s="463" t="s">
        <v>1446</v>
      </c>
      <c r="E104" s="464">
        <v>111.79131364309673</v>
      </c>
      <c r="F104" s="464">
        <v>22.633842251713432</v>
      </c>
      <c r="G104" s="464">
        <v>726.6435386801287</v>
      </c>
      <c r="H104" s="465" t="s">
        <v>1447</v>
      </c>
      <c r="I104" s="469">
        <v>18.467751799139467</v>
      </c>
      <c r="J104" s="469">
        <v>6.1294605629283572</v>
      </c>
      <c r="K104" s="469">
        <v>92.338758995697361</v>
      </c>
      <c r="L104" s="470" t="s">
        <v>1448</v>
      </c>
    </row>
    <row r="105" spans="1:12">
      <c r="A105" s="468">
        <v>34.063775064076268</v>
      </c>
      <c r="B105" s="462">
        <v>10.456476988208269</v>
      </c>
      <c r="C105" s="462">
        <v>187.35076285241948</v>
      </c>
      <c r="D105" s="463" t="s">
        <v>1449</v>
      </c>
      <c r="E105" s="464">
        <v>112.81267845674046</v>
      </c>
      <c r="F105" s="464">
        <v>26.409344596654051</v>
      </c>
      <c r="G105" s="464">
        <v>676.87607074044274</v>
      </c>
      <c r="H105" s="465" t="s">
        <v>1450</v>
      </c>
      <c r="I105" s="466">
        <v>18.777181964145722</v>
      </c>
      <c r="J105" s="466">
        <v>8.12961267480099</v>
      </c>
      <c r="K105" s="466">
        <v>75.108727856582888</v>
      </c>
      <c r="L105" s="467" t="s">
        <v>1451</v>
      </c>
    </row>
    <row r="106" spans="1:12">
      <c r="A106" s="468">
        <v>34.248625233416163</v>
      </c>
      <c r="B106" s="462">
        <v>9.0261098530288333</v>
      </c>
      <c r="C106" s="462">
        <v>214.05390770885103</v>
      </c>
      <c r="D106" s="463" t="s">
        <v>1452</v>
      </c>
      <c r="E106" s="464">
        <v>112.9108530860892</v>
      </c>
      <c r="F106" s="464">
        <v>24.61565445681326</v>
      </c>
      <c r="G106" s="464">
        <v>705.69283178805756</v>
      </c>
      <c r="H106" s="465" t="s">
        <v>1453</v>
      </c>
      <c r="I106" s="466">
        <v>19.088853943083969</v>
      </c>
      <c r="J106" s="466">
        <v>7.3381521118726338</v>
      </c>
      <c r="K106" s="466">
        <v>76.35541577233586</v>
      </c>
      <c r="L106" s="467" t="s">
        <v>1454</v>
      </c>
    </row>
    <row r="107" spans="1:12">
      <c r="A107" s="461">
        <v>34.934900533305196</v>
      </c>
      <c r="B107" s="461">
        <v>11.91150562571838</v>
      </c>
      <c r="C107" s="461">
        <v>177.46929470919039</v>
      </c>
      <c r="D107" s="463" t="s">
        <v>1455</v>
      </c>
      <c r="E107" s="464">
        <v>112.93704463215852</v>
      </c>
      <c r="F107" s="464">
        <v>20.689612674800991</v>
      </c>
      <c r="G107" s="464">
        <v>790.55931242510951</v>
      </c>
      <c r="H107" s="465" t="s">
        <v>1456</v>
      </c>
      <c r="I107" s="469">
        <v>19.38533125084351</v>
      </c>
      <c r="J107" s="469">
        <v>5.1315380279681584</v>
      </c>
      <c r="K107" s="469">
        <v>106.61932187963929</v>
      </c>
      <c r="L107" s="470" t="s">
        <v>1457</v>
      </c>
    </row>
    <row r="108" spans="1:12">
      <c r="A108" s="461">
        <v>35.393751785193267</v>
      </c>
      <c r="B108" s="461">
        <v>9.1740788670129145</v>
      </c>
      <c r="C108" s="461">
        <v>224.75032383597721</v>
      </c>
      <c r="D108" s="463" t="s">
        <v>1458</v>
      </c>
      <c r="E108" s="464">
        <v>114.34103818808927</v>
      </c>
      <c r="F108" s="464">
        <v>16.02046056292836</v>
      </c>
      <c r="G108" s="464">
        <v>1000.484084145781</v>
      </c>
      <c r="H108" s="465" t="s">
        <v>1459</v>
      </c>
      <c r="I108" s="466">
        <v>19.534939231114194</v>
      </c>
      <c r="J108" s="466">
        <v>7.3381521118726338</v>
      </c>
      <c r="K108" s="466">
        <v>87.907226540013866</v>
      </c>
      <c r="L108" s="467" t="s">
        <v>1460</v>
      </c>
    </row>
    <row r="109" spans="1:12">
      <c r="A109" s="468">
        <v>36.052500267022985</v>
      </c>
      <c r="B109" s="462">
        <v>10.752415016176425</v>
      </c>
      <c r="C109" s="462">
        <v>203.69662650867986</v>
      </c>
      <c r="D109" s="463" t="s">
        <v>1461</v>
      </c>
      <c r="E109" s="464">
        <v>117.05496216981631</v>
      </c>
      <c r="F109" s="464">
        <v>25.055254456813259</v>
      </c>
      <c r="G109" s="464">
        <v>743.29900977833358</v>
      </c>
      <c r="H109" s="465" t="s">
        <v>1462</v>
      </c>
      <c r="I109" s="466">
        <v>19.736141216809315</v>
      </c>
      <c r="J109" s="466">
        <v>6.6004605629283573</v>
      </c>
      <c r="K109" s="466">
        <v>78.944564867237261</v>
      </c>
      <c r="L109" s="467" t="s">
        <v>1463</v>
      </c>
    </row>
    <row r="110" spans="1:12">
      <c r="A110" s="461">
        <v>36.931841109059306</v>
      </c>
      <c r="B110" s="461">
        <v>10.880654828295969</v>
      </c>
      <c r="C110" s="461">
        <v>211.06547193827393</v>
      </c>
      <c r="D110" s="463" t="s">
        <v>1464</v>
      </c>
      <c r="E110" s="464">
        <v>121.20312620432475</v>
      </c>
      <c r="F110" s="464">
        <v>16.491460562928356</v>
      </c>
      <c r="G110" s="464">
        <v>1090.8281358389227</v>
      </c>
      <c r="H110" s="465" t="s">
        <v>1465</v>
      </c>
      <c r="I110" s="466">
        <v>20.149988908038246</v>
      </c>
      <c r="J110" s="466">
        <v>9.4458422517134277</v>
      </c>
      <c r="K110" s="466">
        <v>70.524961178133864</v>
      </c>
      <c r="L110" s="467" t="s">
        <v>1466</v>
      </c>
    </row>
    <row r="111" spans="1:12">
      <c r="A111" s="461">
        <v>37.409730182386411</v>
      </c>
      <c r="B111" s="461">
        <v>10.949707034821866</v>
      </c>
      <c r="C111" s="461">
        <v>215.1059485487219</v>
      </c>
      <c r="D111" s="463" t="s">
        <v>1467</v>
      </c>
      <c r="E111" s="464">
        <v>121.4404199050104</v>
      </c>
      <c r="F111" s="464">
        <v>23.575842251713429</v>
      </c>
      <c r="G111" s="464">
        <v>819.72283435882014</v>
      </c>
      <c r="H111" s="465" t="s">
        <v>1468</v>
      </c>
      <c r="I111" s="469">
        <v>20.713023206077779</v>
      </c>
      <c r="J111" s="469">
        <v>6.6004605629283573</v>
      </c>
      <c r="K111" s="469">
        <v>93.208604427349997</v>
      </c>
      <c r="L111" s="470" t="s">
        <v>1469</v>
      </c>
    </row>
    <row r="112" spans="1:12">
      <c r="A112" s="461">
        <v>38.942225883504555</v>
      </c>
      <c r="B112" s="461">
        <v>9.6179859089651512</v>
      </c>
      <c r="C112" s="461">
        <v>258.96580212530529</v>
      </c>
      <c r="D112" s="463" t="s">
        <v>1470</v>
      </c>
      <c r="E112" s="464">
        <v>123.39650890156877</v>
      </c>
      <c r="F112" s="464">
        <v>19.270152111872633</v>
      </c>
      <c r="G112" s="464">
        <v>987.17207121255012</v>
      </c>
      <c r="H112" s="465" t="s">
        <v>1471</v>
      </c>
      <c r="I112" s="469">
        <v>20.759516324383352</v>
      </c>
      <c r="J112" s="469">
        <v>5.4455380279681584</v>
      </c>
      <c r="K112" s="469">
        <v>103.79758162191676</v>
      </c>
      <c r="L112" s="470" t="s">
        <v>1472</v>
      </c>
    </row>
    <row r="113" spans="1:12">
      <c r="A113" s="461">
        <v>39.299816131934591</v>
      </c>
      <c r="B113" s="461">
        <v>13.90908731450345</v>
      </c>
      <c r="C113" s="461">
        <v>196.49908065967296</v>
      </c>
      <c r="D113" s="463" t="s">
        <v>1473</v>
      </c>
      <c r="E113" s="464">
        <v>124.05157545889014</v>
      </c>
      <c r="F113" s="464">
        <v>27.665344596654048</v>
      </c>
      <c r="G113" s="464">
        <v>775.32234661806342</v>
      </c>
      <c r="H113" s="465" t="s">
        <v>1474</v>
      </c>
      <c r="I113" s="466">
        <v>20.830226836530038</v>
      </c>
      <c r="J113" s="466">
        <v>9.4458422517134277</v>
      </c>
      <c r="K113" s="466">
        <v>83.320907346120151</v>
      </c>
      <c r="L113" s="467" t="s">
        <v>1475</v>
      </c>
    </row>
    <row r="114" spans="1:12">
      <c r="A114" s="461">
        <v>40.684448109684773</v>
      </c>
      <c r="B114" s="461">
        <v>14.145837736877981</v>
      </c>
      <c r="C114" s="461">
        <v>206.67699639719865</v>
      </c>
      <c r="D114" s="463" t="s">
        <v>1476</v>
      </c>
      <c r="E114" s="464">
        <v>129.46804070801332</v>
      </c>
      <c r="F114" s="464">
        <v>31.844600932271952</v>
      </c>
      <c r="G114" s="464">
        <v>776.80824424807986</v>
      </c>
      <c r="H114" s="465" t="s">
        <v>1477</v>
      </c>
      <c r="I114" s="466">
        <v>21.272919438874428</v>
      </c>
      <c r="J114" s="466">
        <v>11.337344596654047</v>
      </c>
      <c r="K114" s="466">
        <v>85.091677755497713</v>
      </c>
      <c r="L114" s="467" t="s">
        <v>1478</v>
      </c>
    </row>
    <row r="115" spans="1:12">
      <c r="A115" s="468">
        <v>40.91275168818963</v>
      </c>
      <c r="B115" s="462">
        <v>11.442937081435463</v>
      </c>
      <c r="C115" s="462">
        <v>245.47651012913781</v>
      </c>
      <c r="D115" s="463" t="s">
        <v>1479</v>
      </c>
      <c r="E115" s="464">
        <v>130.94918150961936</v>
      </c>
      <c r="F115" s="464">
        <v>22.259612674800991</v>
      </c>
      <c r="G115" s="464">
        <v>982.11886132214511</v>
      </c>
      <c r="H115" s="465" t="s">
        <v>1480</v>
      </c>
      <c r="I115" s="469">
        <v>21.29135179913947</v>
      </c>
      <c r="J115" s="469">
        <v>6.6004605629283573</v>
      </c>
      <c r="K115" s="469">
        <v>106.45675899569734</v>
      </c>
      <c r="L115" s="470" t="s">
        <v>1481</v>
      </c>
    </row>
    <row r="116" spans="1:12">
      <c r="A116" s="461">
        <v>43.10517262770216</v>
      </c>
      <c r="B116" s="461">
        <v>10.113682105811804</v>
      </c>
      <c r="C116" s="461">
        <v>301.08963080449956</v>
      </c>
      <c r="D116" s="463" t="s">
        <v>1482</v>
      </c>
      <c r="E116" s="464">
        <v>131.48946357796373</v>
      </c>
      <c r="F116" s="464">
        <v>24.517842251713429</v>
      </c>
      <c r="G116" s="464">
        <v>920.4262450457461</v>
      </c>
      <c r="H116" s="465" t="s">
        <v>1483</v>
      </c>
      <c r="I116" s="466">
        <v>21.979520609750626</v>
      </c>
      <c r="J116" s="466">
        <v>7.9661521118726339</v>
      </c>
      <c r="K116" s="466">
        <v>87.918082439002518</v>
      </c>
      <c r="L116" s="467" t="s">
        <v>1484</v>
      </c>
    </row>
    <row r="117" spans="1:12">
      <c r="A117" s="461">
        <v>43.871507356234488</v>
      </c>
      <c r="B117" s="461">
        <v>13.317211258567134</v>
      </c>
      <c r="C117" s="461">
        <v>247.87401656272485</v>
      </c>
      <c r="D117" s="463" t="s">
        <v>1485</v>
      </c>
      <c r="E117" s="464">
        <v>134.28267276417293</v>
      </c>
      <c r="F117" s="464">
        <v>35.842681678089505</v>
      </c>
      <c r="G117" s="464">
        <v>805.69603658503763</v>
      </c>
      <c r="H117" s="465" t="s">
        <v>1486</v>
      </c>
      <c r="I117" s="469">
        <v>21.986704060540664</v>
      </c>
      <c r="J117" s="469">
        <v>5.4455380279681584</v>
      </c>
      <c r="K117" s="469">
        <v>131.92022436324399</v>
      </c>
      <c r="L117" s="470" t="s">
        <v>1487</v>
      </c>
    </row>
    <row r="118" spans="1:12">
      <c r="A118" s="468">
        <v>44.572841170908298</v>
      </c>
      <c r="B118" s="462">
        <v>11.93616712804906</v>
      </c>
      <c r="C118" s="462">
        <v>278.5802573181769</v>
      </c>
      <c r="D118" s="463" t="s">
        <v>1488</v>
      </c>
      <c r="E118" s="464">
        <v>134.37795941624375</v>
      </c>
      <c r="F118" s="464">
        <v>26.813654456813261</v>
      </c>
      <c r="G118" s="464">
        <v>907.05122605964539</v>
      </c>
      <c r="H118" s="465" t="s">
        <v>1489</v>
      </c>
      <c r="I118" s="466">
        <v>22.298015297479061</v>
      </c>
      <c r="J118" s="466">
        <v>8.9146126748009902</v>
      </c>
      <c r="K118" s="466">
        <v>89.192061189916245</v>
      </c>
      <c r="L118" s="467" t="s">
        <v>1490</v>
      </c>
    </row>
    <row r="119" spans="1:12">
      <c r="A119" s="461">
        <v>44.95541636583593</v>
      </c>
      <c r="B119" s="461">
        <v>13.477511023716552</v>
      </c>
      <c r="C119" s="461">
        <v>256.92020453075236</v>
      </c>
      <c r="D119" s="463" t="s">
        <v>1491</v>
      </c>
      <c r="E119" s="464">
        <v>135.82368186843581</v>
      </c>
      <c r="F119" s="464">
        <v>28.921344596654048</v>
      </c>
      <c r="G119" s="464">
        <v>882.85393214483304</v>
      </c>
      <c r="H119" s="465" t="s">
        <v>1492</v>
      </c>
      <c r="I119" s="466">
        <v>22.781413322157334</v>
      </c>
      <c r="J119" s="466">
        <v>8.9146126748009902</v>
      </c>
      <c r="K119" s="466">
        <v>102.51635994970799</v>
      </c>
      <c r="L119" s="467" t="s">
        <v>1493</v>
      </c>
    </row>
    <row r="120" spans="1:12">
      <c r="A120" s="468">
        <v>45.544556540493339</v>
      </c>
      <c r="B120" s="462">
        <v>13.563826281873935</v>
      </c>
      <c r="C120" s="462">
        <v>261.88120010783666</v>
      </c>
      <c r="D120" s="463" t="s">
        <v>1494</v>
      </c>
      <c r="E120" s="464">
        <v>136.16889713907423</v>
      </c>
      <c r="F120" s="464">
        <v>36.929298695843656</v>
      </c>
      <c r="G120" s="464">
        <v>817.01338283444545</v>
      </c>
      <c r="H120" s="465" t="s">
        <v>1495</v>
      </c>
      <c r="I120" s="466">
        <v>22.824420712595675</v>
      </c>
      <c r="J120" s="466">
        <v>7.9661521118726339</v>
      </c>
      <c r="K120" s="466">
        <v>102.70989320668055</v>
      </c>
      <c r="L120" s="467" t="s">
        <v>1496</v>
      </c>
    </row>
    <row r="121" spans="1:12">
      <c r="A121" s="461">
        <v>46.080856305905066</v>
      </c>
      <c r="B121" s="461">
        <v>12.133459146694499</v>
      </c>
      <c r="C121" s="461">
        <v>292.61343754249714</v>
      </c>
      <c r="D121" s="463" t="s">
        <v>1497</v>
      </c>
      <c r="E121" s="464">
        <v>142.94689989119024</v>
      </c>
      <c r="F121" s="464">
        <v>33.414600932271952</v>
      </c>
      <c r="G121" s="464">
        <v>893.4181243199389</v>
      </c>
      <c r="H121" s="465" t="s">
        <v>1498</v>
      </c>
      <c r="I121" s="469">
        <v>23.139137242244029</v>
      </c>
      <c r="J121" s="469">
        <v>7.9661521118726339</v>
      </c>
      <c r="K121" s="469">
        <v>115.69568621122013</v>
      </c>
      <c r="L121" s="470" t="s">
        <v>1499</v>
      </c>
    </row>
    <row r="122" spans="1:12">
      <c r="A122" s="468">
        <v>49.296363955657313</v>
      </c>
      <c r="B122" s="462">
        <v>18.150865715380387</v>
      </c>
      <c r="C122" s="462">
        <v>246.48181977828656</v>
      </c>
      <c r="D122" s="463" t="s">
        <v>1500</v>
      </c>
      <c r="E122" s="464">
        <v>145.81142264223331</v>
      </c>
      <c r="F122" s="464">
        <v>27.912654456813257</v>
      </c>
      <c r="G122" s="464">
        <v>1020.6799584956332</v>
      </c>
      <c r="H122" s="465" t="s">
        <v>1501</v>
      </c>
      <c r="I122" s="469">
        <v>23.237023206077776</v>
      </c>
      <c r="J122" s="469">
        <v>7.0714605629283573</v>
      </c>
      <c r="K122" s="469">
        <v>104.56660442735</v>
      </c>
      <c r="L122" s="470" t="s">
        <v>1502</v>
      </c>
    </row>
    <row r="123" spans="1:12">
      <c r="A123" s="468">
        <v>50.755689016383677</v>
      </c>
      <c r="B123" s="462">
        <v>12.725335202630816</v>
      </c>
      <c r="C123" s="462">
        <v>337.52533195895143</v>
      </c>
      <c r="D123" s="463" t="s">
        <v>1503</v>
      </c>
      <c r="E123" s="464">
        <v>148.92780771945465</v>
      </c>
      <c r="F123" s="464">
        <v>21.154152111872637</v>
      </c>
      <c r="G123" s="464">
        <v>1303.1183175452281</v>
      </c>
      <c r="H123" s="465" t="s">
        <v>1504</v>
      </c>
      <c r="I123" s="469">
        <v>23.661239694667646</v>
      </c>
      <c r="J123" s="469">
        <v>6.3499031687002478</v>
      </c>
      <c r="K123" s="469">
        <v>130.13681832067206</v>
      </c>
      <c r="L123" s="470" t="s">
        <v>1505</v>
      </c>
    </row>
    <row r="124" spans="1:12">
      <c r="A124" s="468">
        <v>51.082807118018629</v>
      </c>
      <c r="B124" s="462">
        <v>18.466532945213096</v>
      </c>
      <c r="C124" s="462">
        <v>259.50066015953462</v>
      </c>
      <c r="D124" s="463" t="s">
        <v>1506</v>
      </c>
      <c r="E124" s="464">
        <v>149.45169820898698</v>
      </c>
      <c r="F124" s="464">
        <v>37.726681678089506</v>
      </c>
      <c r="G124" s="464">
        <v>934.07311380616852</v>
      </c>
      <c r="H124" s="465" t="s">
        <v>1507</v>
      </c>
      <c r="I124" s="469">
        <v>24.114951799139472</v>
      </c>
      <c r="J124" s="469">
        <v>7.0714605629283573</v>
      </c>
      <c r="K124" s="469">
        <v>120.57475899569737</v>
      </c>
      <c r="L124" s="470" t="s">
        <v>1508</v>
      </c>
    </row>
    <row r="125" spans="1:12">
      <c r="A125" s="468">
        <v>51.248064212830471</v>
      </c>
      <c r="B125" s="462">
        <v>15.83268449629648</v>
      </c>
      <c r="C125" s="462">
        <v>289.55156280249219</v>
      </c>
      <c r="D125" s="463" t="s">
        <v>1509</v>
      </c>
      <c r="E125" s="464">
        <v>150.29456343303463</v>
      </c>
      <c r="F125" s="464">
        <v>23.829612674800991</v>
      </c>
      <c r="G125" s="464">
        <v>1202.3565074642768</v>
      </c>
      <c r="H125" s="465" t="s">
        <v>1510</v>
      </c>
      <c r="I125" s="469">
        <v>24.673902192849322</v>
      </c>
      <c r="J125" s="469">
        <v>7.0714605629283573</v>
      </c>
      <c r="K125" s="469">
        <v>148.04341315709596</v>
      </c>
      <c r="L125" s="470" t="s">
        <v>1511</v>
      </c>
    </row>
    <row r="126" spans="1:12">
      <c r="A126" s="461">
        <v>51.576639509365421</v>
      </c>
      <c r="B126" s="461">
        <v>11.053285344610716</v>
      </c>
      <c r="C126" s="461">
        <v>393.01399306136449</v>
      </c>
      <c r="D126" s="463" t="s">
        <v>1512</v>
      </c>
      <c r="E126" s="464">
        <v>151.77710951535028</v>
      </c>
      <c r="F126" s="464">
        <v>38.891798695843661</v>
      </c>
      <c r="G126" s="464">
        <v>948.60693447093922</v>
      </c>
      <c r="H126" s="465" t="s">
        <v>1513</v>
      </c>
      <c r="I126" s="466">
        <v>24.87018727641729</v>
      </c>
      <c r="J126" s="466">
        <v>8.5941521118726332</v>
      </c>
      <c r="K126" s="466">
        <v>99.480749105669162</v>
      </c>
      <c r="L126" s="467" t="s">
        <v>1514</v>
      </c>
    </row>
    <row r="127" spans="1:12">
      <c r="A127" s="461">
        <v>52.530463031257568</v>
      </c>
      <c r="B127" s="461">
        <v>16.025044214475788</v>
      </c>
      <c r="C127" s="461">
        <v>300.211596223637</v>
      </c>
      <c r="D127" s="463" t="s">
        <v>1515</v>
      </c>
      <c r="E127" s="464">
        <v>152.78738819257356</v>
      </c>
      <c r="F127" s="464">
        <v>26.401842251713429</v>
      </c>
      <c r="G127" s="464">
        <v>1145.9054114443018</v>
      </c>
      <c r="H127" s="465" t="s">
        <v>1516</v>
      </c>
      <c r="I127" s="466">
        <v>24.946226836530037</v>
      </c>
      <c r="J127" s="466">
        <v>10.387842251713428</v>
      </c>
      <c r="K127" s="466">
        <v>99.784907346120136</v>
      </c>
      <c r="L127" s="467" t="s">
        <v>1517</v>
      </c>
    </row>
    <row r="128" spans="1:12">
      <c r="A128" s="461">
        <v>53.227580897718553</v>
      </c>
      <c r="B128" s="461">
        <v>16.128622524264639</v>
      </c>
      <c r="C128" s="461">
        <v>306.05859016188168</v>
      </c>
      <c r="D128" s="463" t="s">
        <v>1518</v>
      </c>
      <c r="E128" s="464">
        <v>157.97156193791332</v>
      </c>
      <c r="F128" s="464">
        <v>21.782152111872634</v>
      </c>
      <c r="G128" s="464">
        <v>1421.7440574412196</v>
      </c>
      <c r="H128" s="465" t="s">
        <v>1519</v>
      </c>
      <c r="I128" s="466">
        <v>25.818848630812386</v>
      </c>
      <c r="J128" s="466">
        <v>9.6996126748009903</v>
      </c>
      <c r="K128" s="466">
        <v>103.27539452324955</v>
      </c>
      <c r="L128" s="467" t="s">
        <v>1520</v>
      </c>
    </row>
    <row r="129" spans="1:12">
      <c r="A129" s="468">
        <v>54.380968833639315</v>
      </c>
      <c r="B129" s="462">
        <v>14.796901398407925</v>
      </c>
      <c r="C129" s="462">
        <v>339.88105521024573</v>
      </c>
      <c r="D129" s="463" t="s">
        <v>1521</v>
      </c>
      <c r="E129" s="464">
        <v>160.96757602083119</v>
      </c>
      <c r="F129" s="464">
        <v>31.433344596654052</v>
      </c>
      <c r="G129" s="464">
        <v>1126.7730321458184</v>
      </c>
      <c r="H129" s="465" t="s">
        <v>1522</v>
      </c>
      <c r="I129" s="469">
        <v>26.113902194077152</v>
      </c>
      <c r="J129" s="469">
        <v>8.5941521118726332</v>
      </c>
      <c r="K129" s="469">
        <v>117.5125598733472</v>
      </c>
      <c r="L129" s="470" t="s">
        <v>1523</v>
      </c>
    </row>
    <row r="130" spans="1:12">
      <c r="A130" s="461">
        <v>56.242486165641417</v>
      </c>
      <c r="B130" s="461">
        <v>15.043516421714726</v>
      </c>
      <c r="C130" s="461">
        <v>357.13978715182299</v>
      </c>
      <c r="D130" s="463" t="s">
        <v>1524</v>
      </c>
      <c r="E130" s="464">
        <v>168.21918425895447</v>
      </c>
      <c r="F130" s="464">
        <v>40.85429869584366</v>
      </c>
      <c r="G130" s="464">
        <v>1093.4246976832042</v>
      </c>
      <c r="H130" s="465" t="s">
        <v>1525</v>
      </c>
      <c r="I130" s="466">
        <v>26.478252772207764</v>
      </c>
      <c r="J130" s="466">
        <v>12.593344596654049</v>
      </c>
      <c r="K130" s="466">
        <v>105.91301108883104</v>
      </c>
      <c r="L130" s="467" t="s">
        <v>1526</v>
      </c>
    </row>
    <row r="131" spans="1:12">
      <c r="A131" s="468">
        <v>56.243222494691231</v>
      </c>
      <c r="B131" s="462">
        <v>13.386263465093041</v>
      </c>
      <c r="C131" s="462">
        <v>392.85890912541822</v>
      </c>
      <c r="D131" s="463" t="s">
        <v>1527</v>
      </c>
      <c r="E131" s="464">
        <v>170.07819919573308</v>
      </c>
      <c r="F131" s="464">
        <v>30.110654456813258</v>
      </c>
      <c r="G131" s="464">
        <v>1275.586493967998</v>
      </c>
      <c r="H131" s="465" t="s">
        <v>1528</v>
      </c>
      <c r="I131" s="469">
        <v>26.799931840675846</v>
      </c>
      <c r="J131" s="469">
        <v>9.6996126748009903</v>
      </c>
      <c r="K131" s="469">
        <v>120.5996932830413</v>
      </c>
      <c r="L131" s="470" t="s">
        <v>1529</v>
      </c>
    </row>
    <row r="132" spans="1:12">
      <c r="A132" s="461">
        <v>56.279261375737683</v>
      </c>
      <c r="B132" s="461">
        <v>11.541583090758182</v>
      </c>
      <c r="C132" s="461">
        <v>447.4201279371145</v>
      </c>
      <c r="D132" s="463" t="s">
        <v>1530</v>
      </c>
      <c r="E132" s="464">
        <v>175.68512973447451</v>
      </c>
      <c r="F132" s="464">
        <v>28.285842251713429</v>
      </c>
      <c r="G132" s="464">
        <v>1405.4810378757961</v>
      </c>
      <c r="H132" s="465" t="s">
        <v>1531</v>
      </c>
      <c r="I132" s="469">
        <v>26.827670575577354</v>
      </c>
      <c r="J132" s="469">
        <v>8.5941521118726332</v>
      </c>
      <c r="K132" s="469">
        <v>134.13835287788675</v>
      </c>
      <c r="L132" s="470" t="s">
        <v>1532</v>
      </c>
    </row>
    <row r="133" spans="1:12">
      <c r="A133" s="461">
        <v>59.978511122199315</v>
      </c>
      <c r="B133" s="461">
        <v>11.91150562571838</v>
      </c>
      <c r="C133" s="461">
        <v>491.82379120203444</v>
      </c>
      <c r="D133" s="463" t="s">
        <v>1533</v>
      </c>
      <c r="E133" s="464">
        <v>180.2666492058213</v>
      </c>
      <c r="F133" s="464">
        <v>29.335130110018735</v>
      </c>
      <c r="G133" s="464">
        <v>1442.1331936465704</v>
      </c>
      <c r="H133" s="465" t="s">
        <v>1534</v>
      </c>
      <c r="I133" s="469">
        <v>27.120417857585863</v>
      </c>
      <c r="J133" s="469">
        <v>9.6996126748009903</v>
      </c>
      <c r="K133" s="469">
        <v>135.60208928792932</v>
      </c>
      <c r="L133" s="470" t="s">
        <v>1535</v>
      </c>
    </row>
    <row r="134" spans="1:12">
      <c r="A134" s="461">
        <v>60.475849808982424</v>
      </c>
      <c r="B134" s="461">
        <v>18.644095761993988</v>
      </c>
      <c r="C134" s="461">
        <v>347.73613640164893</v>
      </c>
      <c r="D134" s="463" t="s">
        <v>1536</v>
      </c>
      <c r="E134" s="464">
        <v>181.81250388708901</v>
      </c>
      <c r="F134" s="464">
        <v>26.184612674800992</v>
      </c>
      <c r="G134" s="464">
        <v>1590.8594090120289</v>
      </c>
      <c r="H134" s="465" t="s">
        <v>1537</v>
      </c>
      <c r="I134" s="469">
        <v>27.717277922232604</v>
      </c>
      <c r="J134" s="469">
        <v>7.5424605629283574</v>
      </c>
      <c r="K134" s="469">
        <v>152.44502857227934</v>
      </c>
      <c r="L134" s="470" t="s">
        <v>1538</v>
      </c>
    </row>
    <row r="135" spans="1:12">
      <c r="A135" s="461">
        <v>62.015511401810429</v>
      </c>
      <c r="B135" s="461">
        <v>15.783361491635121</v>
      </c>
      <c r="C135" s="461">
        <v>412.40315082203932</v>
      </c>
      <c r="D135" s="463" t="s">
        <v>1539</v>
      </c>
      <c r="E135" s="464">
        <v>187.38179178518376</v>
      </c>
      <c r="F135" s="464">
        <v>38.124600932271953</v>
      </c>
      <c r="G135" s="464">
        <v>1311.6725424962863</v>
      </c>
      <c r="H135" s="465" t="s">
        <v>1540</v>
      </c>
      <c r="I135" s="469">
        <v>28.096902192849324</v>
      </c>
      <c r="J135" s="469">
        <v>7.5424605629283574</v>
      </c>
      <c r="K135" s="469">
        <v>168.58141315709594</v>
      </c>
      <c r="L135" s="470" t="s">
        <v>1541</v>
      </c>
    </row>
    <row r="136" spans="1:12">
      <c r="A136" s="468">
        <v>63.254088962424682</v>
      </c>
      <c r="B136" s="462">
        <v>12.229639005784142</v>
      </c>
      <c r="C136" s="462">
        <v>532.28315861880367</v>
      </c>
      <c r="D136" s="463" t="s">
        <v>1542</v>
      </c>
      <c r="E136" s="464">
        <v>188.24444943245317</v>
      </c>
      <c r="F136" s="464">
        <v>33.945344596654053</v>
      </c>
      <c r="G136" s="464">
        <v>1411.8333707433985</v>
      </c>
      <c r="H136" s="465" t="s">
        <v>1543</v>
      </c>
      <c r="I136" s="466">
        <v>29.062226836530034</v>
      </c>
      <c r="J136" s="466">
        <v>11.329842251713426</v>
      </c>
      <c r="K136" s="466">
        <v>116.24890734612013</v>
      </c>
      <c r="L136" s="467" t="s">
        <v>1544</v>
      </c>
    </row>
    <row r="137" spans="1:12">
      <c r="A137" s="461">
        <v>63.690500609504411</v>
      </c>
      <c r="B137" s="461">
        <v>17.60831266410543</v>
      </c>
      <c r="C137" s="461">
        <v>398.06562880940254</v>
      </c>
      <c r="D137" s="463" t="s">
        <v>1545</v>
      </c>
      <c r="E137" s="464">
        <v>192.98512127598099</v>
      </c>
      <c r="F137" s="464">
        <v>26.969612674800992</v>
      </c>
      <c r="G137" s="464">
        <v>1736.8660914838288</v>
      </c>
      <c r="H137" s="465" t="s">
        <v>1546</v>
      </c>
      <c r="I137" s="466">
        <v>29.339681964145711</v>
      </c>
      <c r="J137" s="466">
        <v>10.484612674800992</v>
      </c>
      <c r="K137" s="466">
        <v>117.35872785658285</v>
      </c>
      <c r="L137" s="467" t="s">
        <v>1547</v>
      </c>
    </row>
    <row r="138" spans="1:12">
      <c r="A138" s="468">
        <v>65.229349033407388</v>
      </c>
      <c r="B138" s="462">
        <v>14.402317361117047</v>
      </c>
      <c r="C138" s="462">
        <v>489.22011775055546</v>
      </c>
      <c r="D138" s="463" t="s">
        <v>1548</v>
      </c>
      <c r="E138" s="464">
        <v>196.21147378011008</v>
      </c>
      <c r="F138" s="464">
        <v>32.308654456813258</v>
      </c>
      <c r="G138" s="464">
        <v>1569.6917902408807</v>
      </c>
      <c r="H138" s="465" t="s">
        <v>1549</v>
      </c>
      <c r="I138" s="469">
        <v>29.403383675558644</v>
      </c>
      <c r="J138" s="469">
        <v>9.2221521118726351</v>
      </c>
      <c r="K138" s="469">
        <v>132.3152265400139</v>
      </c>
      <c r="L138" s="470" t="s">
        <v>1550</v>
      </c>
    </row>
    <row r="139" spans="1:12">
      <c r="A139" s="468">
        <v>65.896155125022347</v>
      </c>
      <c r="B139" s="462">
        <v>17.904250692073592</v>
      </c>
      <c r="C139" s="462">
        <v>418.44058504389187</v>
      </c>
      <c r="D139" s="463" t="s">
        <v>1551</v>
      </c>
      <c r="E139" s="464">
        <v>196.81319726173339</v>
      </c>
      <c r="F139" s="464">
        <v>24.294152111872634</v>
      </c>
      <c r="G139" s="464">
        <v>1968.1319726173342</v>
      </c>
      <c r="H139" s="465" t="s">
        <v>1552</v>
      </c>
      <c r="I139" s="469">
        <v>29.762151799139474</v>
      </c>
      <c r="J139" s="469">
        <v>8.0134605629283584</v>
      </c>
      <c r="K139" s="469">
        <v>148.81075899569737</v>
      </c>
      <c r="L139" s="470" t="s">
        <v>1553</v>
      </c>
    </row>
    <row r="140" spans="1:12">
      <c r="A140" s="468">
        <v>66.402782813713259</v>
      </c>
      <c r="B140" s="462">
        <v>20.972141582010167</v>
      </c>
      <c r="C140" s="462">
        <v>379.49190378037127</v>
      </c>
      <c r="D140" s="463" t="s">
        <v>1554</v>
      </c>
      <c r="E140" s="464">
        <v>198.42603325387859</v>
      </c>
      <c r="F140" s="464">
        <v>32.728775329958282</v>
      </c>
      <c r="G140" s="464">
        <v>1587.4082660310287</v>
      </c>
      <c r="H140" s="465" t="s">
        <v>1555</v>
      </c>
      <c r="I140" s="469">
        <v>30.146958566009982</v>
      </c>
      <c r="J140" s="469">
        <v>11.329842251713426</v>
      </c>
      <c r="K140" s="469">
        <v>135.66131354704493</v>
      </c>
      <c r="L140" s="470" t="s">
        <v>1556</v>
      </c>
    </row>
    <row r="141" spans="1:12">
      <c r="A141" s="461">
        <v>67.418955666981461</v>
      </c>
      <c r="B141" s="461">
        <v>14.639067783491585</v>
      </c>
      <c r="C141" s="461">
        <v>513.7324421823987</v>
      </c>
      <c r="D141" s="463" t="s">
        <v>1557</v>
      </c>
      <c r="E141" s="464">
        <v>199.76127797127822</v>
      </c>
      <c r="F141" s="464">
        <v>43.378681678089507</v>
      </c>
      <c r="G141" s="464">
        <v>1398.3289457989474</v>
      </c>
      <c r="H141" s="465" t="s">
        <v>1558</v>
      </c>
      <c r="I141" s="469">
        <v>30.516203908910693</v>
      </c>
      <c r="J141" s="469">
        <v>9.2221521118726351</v>
      </c>
      <c r="K141" s="469">
        <v>152.58101954455344</v>
      </c>
      <c r="L141" s="470" t="s">
        <v>1559</v>
      </c>
    </row>
    <row r="142" spans="1:12">
      <c r="A142" s="461">
        <v>68.796168495576808</v>
      </c>
      <c r="B142" s="461">
        <v>16.609521819712896</v>
      </c>
      <c r="C142" s="461">
        <v>480.54123694160393</v>
      </c>
      <c r="D142" s="463" t="s">
        <v>1560</v>
      </c>
      <c r="E142" s="464">
        <v>203.60469411929262</v>
      </c>
      <c r="F142" s="464">
        <v>44.779298695843657</v>
      </c>
      <c r="G142" s="464">
        <v>1425.2328588350483</v>
      </c>
      <c r="H142" s="465" t="s">
        <v>1561</v>
      </c>
      <c r="I142" s="469">
        <v>30.818450359194362</v>
      </c>
      <c r="J142" s="469">
        <v>10.484612674800992</v>
      </c>
      <c r="K142" s="469">
        <v>138.68302661637463</v>
      </c>
      <c r="L142" s="470" t="s">
        <v>1562</v>
      </c>
    </row>
    <row r="143" spans="1:12">
      <c r="A143" s="468">
        <v>69.831868749165835</v>
      </c>
      <c r="B143" s="462">
        <v>14.895547407730644</v>
      </c>
      <c r="C143" s="462">
        <v>541.19698280603518</v>
      </c>
      <c r="D143" s="463" t="s">
        <v>1563</v>
      </c>
      <c r="E143" s="464">
        <v>213.03146743826247</v>
      </c>
      <c r="F143" s="464">
        <v>31.11184225171343</v>
      </c>
      <c r="G143" s="464">
        <v>1864.0253400847964</v>
      </c>
      <c r="H143" s="465" t="s">
        <v>1564</v>
      </c>
      <c r="I143" s="469">
        <v>30.840550649505332</v>
      </c>
      <c r="J143" s="469">
        <v>8.0134605629283584</v>
      </c>
      <c r="K143" s="469">
        <v>169.62302857227934</v>
      </c>
      <c r="L143" s="470" t="s">
        <v>1565</v>
      </c>
    </row>
    <row r="144" spans="1:12">
      <c r="A144" s="461">
        <v>70.799724401147429</v>
      </c>
      <c r="B144" s="461">
        <v>12.932491822208519</v>
      </c>
      <c r="C144" s="461">
        <v>629.40954992620073</v>
      </c>
      <c r="D144" s="463" t="s">
        <v>1566</v>
      </c>
      <c r="E144" s="464">
        <v>217.65436849219674</v>
      </c>
      <c r="F144" s="464">
        <v>36.457344596654046</v>
      </c>
      <c r="G144" s="464">
        <v>1741.2349479375739</v>
      </c>
      <c r="H144" s="465" t="s">
        <v>1567</v>
      </c>
      <c r="I144" s="469">
        <v>31.149092044036212</v>
      </c>
      <c r="J144" s="469">
        <v>9.2221521118726351</v>
      </c>
      <c r="K144" s="469">
        <v>186.89455226421728</v>
      </c>
      <c r="L144" s="470" t="s">
        <v>1568</v>
      </c>
    </row>
    <row r="145" spans="1:12">
      <c r="A145" s="461">
        <v>72.518627293504011</v>
      </c>
      <c r="B145" s="461">
        <v>20.370400925141578</v>
      </c>
      <c r="C145" s="461">
        <v>453.24142058440009</v>
      </c>
      <c r="D145" s="463" t="s">
        <v>1569</v>
      </c>
      <c r="E145" s="464">
        <v>220.33726261082128</v>
      </c>
      <c r="F145" s="464">
        <v>41.264600932271954</v>
      </c>
      <c r="G145" s="464">
        <v>1652.5294695811597</v>
      </c>
      <c r="H145" s="465" t="s">
        <v>1570</v>
      </c>
      <c r="I145" s="469">
        <v>31.519902192849322</v>
      </c>
      <c r="J145" s="469">
        <v>8.0134605629283584</v>
      </c>
      <c r="K145" s="469">
        <v>189.11941315709595</v>
      </c>
      <c r="L145" s="470" t="s">
        <v>1571</v>
      </c>
    </row>
    <row r="146" spans="1:12">
      <c r="A146" s="461">
        <v>72.739267061847016</v>
      </c>
      <c r="B146" s="461">
        <v>18.792064775978066</v>
      </c>
      <c r="C146" s="461">
        <v>483.71612596128256</v>
      </c>
      <c r="D146" s="463" t="s">
        <v>1572</v>
      </c>
      <c r="E146" s="464">
        <v>226.28018564862225</v>
      </c>
      <c r="F146" s="464">
        <v>32.053842251713434</v>
      </c>
      <c r="G146" s="464">
        <v>2036.5216708376001</v>
      </c>
      <c r="H146" s="465" t="s">
        <v>1573</v>
      </c>
      <c r="I146" s="469">
        <v>31.637084524252522</v>
      </c>
      <c r="J146" s="469">
        <v>10.484612674800992</v>
      </c>
      <c r="K146" s="469">
        <v>158.1854226212626</v>
      </c>
      <c r="L146" s="470" t="s">
        <v>1574</v>
      </c>
    </row>
    <row r="147" spans="1:12">
      <c r="A147" s="468">
        <v>73.626977941305611</v>
      </c>
      <c r="B147" s="462">
        <v>15.290131445021524</v>
      </c>
      <c r="C147" s="462">
        <v>585.33447463337961</v>
      </c>
      <c r="D147" s="463" t="s">
        <v>1575</v>
      </c>
      <c r="E147" s="464">
        <v>232.84993252531032</v>
      </c>
      <c r="F147" s="464">
        <v>33.291530110018734</v>
      </c>
      <c r="G147" s="464">
        <v>2095.6493927277929</v>
      </c>
      <c r="H147" s="465" t="s">
        <v>1576</v>
      </c>
      <c r="I147" s="469">
        <v>32.592129949668497</v>
      </c>
      <c r="J147" s="469">
        <v>13.849344596654047</v>
      </c>
      <c r="K147" s="469">
        <v>146.66458477350824</v>
      </c>
      <c r="L147" s="470" t="s">
        <v>1577</v>
      </c>
    </row>
    <row r="148" spans="1:12">
      <c r="A148" s="468">
        <v>78.512231623762077</v>
      </c>
      <c r="B148" s="462">
        <v>15.783361491635121</v>
      </c>
      <c r="C148" s="462">
        <v>643.8002993148491</v>
      </c>
      <c r="D148" s="463" t="s">
        <v>1578</v>
      </c>
      <c r="E148" s="464">
        <v>237.30266676470498</v>
      </c>
      <c r="F148" s="464">
        <v>47.146681678089507</v>
      </c>
      <c r="G148" s="464">
        <v>1779.7700007352869</v>
      </c>
      <c r="H148" s="465" t="s">
        <v>1579</v>
      </c>
      <c r="I148" s="469">
        <v>34.836968877712884</v>
      </c>
      <c r="J148" s="469">
        <v>11.269612674800992</v>
      </c>
      <c r="K148" s="469">
        <v>156.76635994970798</v>
      </c>
      <c r="L148" s="470" t="s">
        <v>1580</v>
      </c>
    </row>
    <row r="149" spans="1:12">
      <c r="A149" s="468">
        <v>79.907718140995371</v>
      </c>
      <c r="B149" s="462">
        <v>17.879589189742909</v>
      </c>
      <c r="C149" s="462">
        <v>599.30788605746534</v>
      </c>
      <c r="D149" s="463" t="s">
        <v>1581</v>
      </c>
      <c r="E149" s="464">
        <v>238.91113270299144</v>
      </c>
      <c r="F149" s="464">
        <v>35.605654456813255</v>
      </c>
      <c r="G149" s="464">
        <v>2090.472411151175</v>
      </c>
      <c r="H149" s="465" t="s">
        <v>1582</v>
      </c>
      <c r="I149" s="469">
        <v>35.636203155147321</v>
      </c>
      <c r="J149" s="469">
        <v>9.8501521118726334</v>
      </c>
      <c r="K149" s="469">
        <v>213.81721893088394</v>
      </c>
      <c r="L149" s="470" t="s">
        <v>1583</v>
      </c>
    </row>
    <row r="150" spans="1:12">
      <c r="A150" s="468">
        <v>80.781645826915565</v>
      </c>
      <c r="B150" s="462">
        <v>19.78345716967139</v>
      </c>
      <c r="C150" s="462">
        <v>564.25979610100524</v>
      </c>
      <c r="D150" s="463" t="s">
        <v>1584</v>
      </c>
      <c r="E150" s="464">
        <v>239.92143788553599</v>
      </c>
      <c r="F150" s="464">
        <v>26.806152111872635</v>
      </c>
      <c r="G150" s="464">
        <v>2639.1358167408957</v>
      </c>
      <c r="H150" s="465" t="s">
        <v>1585</v>
      </c>
      <c r="I150" s="469">
        <v>35.750835956181632</v>
      </c>
      <c r="J150" s="469">
        <v>12.271842251713426</v>
      </c>
      <c r="K150" s="469">
        <v>178.75417978090817</v>
      </c>
      <c r="L150" s="470" t="s">
        <v>1586</v>
      </c>
    </row>
    <row r="151" spans="1:12">
      <c r="A151" s="468">
        <v>80.882238087743843</v>
      </c>
      <c r="B151" s="462">
        <v>23.083166181516365</v>
      </c>
      <c r="C151" s="462">
        <v>505.51398804839897</v>
      </c>
      <c r="D151" s="463" t="s">
        <v>1587</v>
      </c>
      <c r="E151" s="464">
        <v>241.0088064483765</v>
      </c>
      <c r="F151" s="464">
        <v>30.109612674800992</v>
      </c>
      <c r="G151" s="464">
        <v>2410.0880644837648</v>
      </c>
      <c r="H151" s="465" t="s">
        <v>1588</v>
      </c>
      <c r="I151" s="469">
        <v>36.153751190919195</v>
      </c>
      <c r="J151" s="469">
        <v>11.269612674800992</v>
      </c>
      <c r="K151" s="469">
        <v>180.76875595459595</v>
      </c>
      <c r="L151" s="470" t="s">
        <v>1589</v>
      </c>
    </row>
    <row r="152" spans="1:12">
      <c r="A152" s="461">
        <v>82.616502397545645</v>
      </c>
      <c r="B152" s="461">
        <v>18.175527217711071</v>
      </c>
      <c r="C152" s="461">
        <v>629.53774826929782</v>
      </c>
      <c r="D152" s="463" t="s">
        <v>1590</v>
      </c>
      <c r="E152" s="464">
        <v>242.32504883866369</v>
      </c>
      <c r="F152" s="464">
        <v>48.704298695843654</v>
      </c>
      <c r="G152" s="464">
        <v>1817.4378662899778</v>
      </c>
      <c r="H152" s="465" t="s">
        <v>1591</v>
      </c>
      <c r="I152" s="469">
        <v>36.801306616610063</v>
      </c>
      <c r="J152" s="469">
        <v>11.269612674800992</v>
      </c>
      <c r="K152" s="469">
        <v>220.80783969966038</v>
      </c>
      <c r="L152" s="470" t="s">
        <v>1592</v>
      </c>
    </row>
    <row r="153" spans="1:12">
      <c r="A153" s="468">
        <v>82.83917841663272</v>
      </c>
      <c r="B153" s="462">
        <v>16.20753933172281</v>
      </c>
      <c r="C153" s="462">
        <v>697.0916863759644</v>
      </c>
      <c r="D153" s="463" t="s">
        <v>1593</v>
      </c>
      <c r="E153" s="464">
        <v>254.0776294653555</v>
      </c>
      <c r="F153" s="464">
        <v>36.704654456813259</v>
      </c>
      <c r="G153" s="464">
        <v>2286.6986651881998</v>
      </c>
      <c r="H153" s="465" t="s">
        <v>1594</v>
      </c>
      <c r="I153" s="469">
        <v>37.893270575577361</v>
      </c>
      <c r="J153" s="469">
        <v>10.478152111872635</v>
      </c>
      <c r="K153" s="469">
        <v>189.46635287788681</v>
      </c>
      <c r="L153" s="470" t="s">
        <v>1595</v>
      </c>
    </row>
    <row r="154" spans="1:12">
      <c r="A154" s="461">
        <v>82.944246566586841</v>
      </c>
      <c r="B154" s="461">
        <v>21.751445055659651</v>
      </c>
      <c r="C154" s="461">
        <v>551.57923966780254</v>
      </c>
      <c r="D154" s="463" t="s">
        <v>1596</v>
      </c>
      <c r="E154" s="464">
        <v>255.95869774665147</v>
      </c>
      <c r="F154" s="464">
        <v>44.404600932271954</v>
      </c>
      <c r="G154" s="464">
        <v>2047.6695819732117</v>
      </c>
      <c r="H154" s="465" t="s">
        <v>1597</v>
      </c>
      <c r="I154" s="469">
        <v>38.365902192849326</v>
      </c>
      <c r="J154" s="469">
        <v>8.9554605629283568</v>
      </c>
      <c r="K154" s="469">
        <v>230.19541315709594</v>
      </c>
      <c r="L154" s="470" t="s">
        <v>1598</v>
      </c>
    </row>
    <row r="155" spans="1:12">
      <c r="A155" s="468">
        <v>83.112177952157083</v>
      </c>
      <c r="B155" s="462">
        <v>20.412325479103743</v>
      </c>
      <c r="C155" s="462">
        <v>580.53856299581719</v>
      </c>
      <c r="D155" s="463" t="s">
        <v>1599</v>
      </c>
      <c r="E155" s="464">
        <v>257.03775628742096</v>
      </c>
      <c r="F155" s="464">
        <v>37.187575329958285</v>
      </c>
      <c r="G155" s="464">
        <v>2313.3398065867887</v>
      </c>
      <c r="H155" s="465" t="s">
        <v>1600</v>
      </c>
      <c r="I155" s="469">
        <v>39.247479410956068</v>
      </c>
      <c r="J155" s="469">
        <v>15.105344596654049</v>
      </c>
      <c r="K155" s="469">
        <v>196.23739705478036</v>
      </c>
      <c r="L155" s="470" t="s">
        <v>1601</v>
      </c>
    </row>
    <row r="156" spans="1:12">
      <c r="A156" s="461">
        <v>84.380299134899914</v>
      </c>
      <c r="B156" s="461">
        <v>14.108845483381966</v>
      </c>
      <c r="C156" s="461">
        <v>817.22319712150556</v>
      </c>
      <c r="D156" s="463" t="s">
        <v>1602</v>
      </c>
      <c r="E156" s="464">
        <v>265.76881555399444</v>
      </c>
      <c r="F156" s="464">
        <v>40.225344596654047</v>
      </c>
      <c r="G156" s="464">
        <v>2325.4771360974514</v>
      </c>
      <c r="H156" s="465" t="s">
        <v>1603</v>
      </c>
      <c r="I156" s="469">
        <v>39.273841476234175</v>
      </c>
      <c r="J156" s="469">
        <v>10.478152111872635</v>
      </c>
      <c r="K156" s="469">
        <v>216.00612811928792</v>
      </c>
      <c r="L156" s="470" t="s">
        <v>1604</v>
      </c>
    </row>
    <row r="157" spans="1:12">
      <c r="A157" s="461">
        <v>85.60206595416544</v>
      </c>
      <c r="B157" s="461">
        <v>18.496126748009907</v>
      </c>
      <c r="C157" s="461">
        <v>663.41601114478215</v>
      </c>
      <c r="D157" s="463" t="s">
        <v>1605</v>
      </c>
      <c r="E157" s="464">
        <v>278.04509865306881</v>
      </c>
      <c r="F157" s="464">
        <v>50.914681678089508</v>
      </c>
      <c r="G157" s="464">
        <v>2224.3607892245504</v>
      </c>
      <c r="H157" s="465" t="s">
        <v>1606</v>
      </c>
      <c r="I157" s="469">
        <v>39.570958566009978</v>
      </c>
      <c r="J157" s="469">
        <v>13.213842251713427</v>
      </c>
      <c r="K157" s="469">
        <v>178.06931354704491</v>
      </c>
      <c r="L157" s="470" t="s">
        <v>1607</v>
      </c>
    </row>
    <row r="158" spans="1:12">
      <c r="A158" s="461">
        <v>89.81269452285197</v>
      </c>
      <c r="B158" s="461">
        <v>16.868467594185034</v>
      </c>
      <c r="C158" s="461">
        <v>785.86107707495478</v>
      </c>
      <c r="D158" s="463" t="s">
        <v>1608</v>
      </c>
      <c r="E158" s="464">
        <v>282.87353534618978</v>
      </c>
      <c r="F158" s="464">
        <v>41.481344596654054</v>
      </c>
      <c r="G158" s="464">
        <v>2545.861818115708</v>
      </c>
      <c r="H158" s="465" t="s">
        <v>1609</v>
      </c>
      <c r="I158" s="469">
        <v>39.725789621633297</v>
      </c>
      <c r="J158" s="469">
        <v>8.9554605629283568</v>
      </c>
      <c r="K158" s="469">
        <v>278.08052735143303</v>
      </c>
      <c r="L158" s="470" t="s">
        <v>1610</v>
      </c>
    </row>
    <row r="159" spans="1:12">
      <c r="A159" s="461">
        <v>90.090816354482143</v>
      </c>
      <c r="B159" s="461">
        <v>14.574947877431807</v>
      </c>
      <c r="C159" s="461">
        <v>900.90816354482138</v>
      </c>
      <c r="D159" s="463" t="s">
        <v>1611</v>
      </c>
      <c r="E159" s="464">
        <v>283.27481439311578</v>
      </c>
      <c r="F159" s="464">
        <v>35.821842251713427</v>
      </c>
      <c r="G159" s="464">
        <v>2832.7481439311578</v>
      </c>
      <c r="H159" s="465" t="s">
        <v>1612</v>
      </c>
      <c r="I159" s="469">
        <v>39.806567594793798</v>
      </c>
      <c r="J159" s="469">
        <v>8.9554605629283568</v>
      </c>
      <c r="K159" s="469">
        <v>298.54925696095347</v>
      </c>
      <c r="L159" s="470" t="s">
        <v>1613</v>
      </c>
    </row>
    <row r="160" spans="1:12">
      <c r="A160" s="461">
        <v>90.298906313575429</v>
      </c>
      <c r="B160" s="461">
        <v>18.989356794623507</v>
      </c>
      <c r="C160" s="461">
        <v>717.87630519292452</v>
      </c>
      <c r="D160" s="463" t="s">
        <v>1614</v>
      </c>
      <c r="E160" s="464">
        <v>284.37996500599905</v>
      </c>
      <c r="F160" s="464">
        <v>52.629298695843652</v>
      </c>
      <c r="G160" s="464">
        <v>2275.0397200479924</v>
      </c>
      <c r="H160" s="465" t="s">
        <v>1615</v>
      </c>
      <c r="I160" s="469">
        <v>40.123314266258426</v>
      </c>
      <c r="J160" s="469">
        <v>10.478152111872635</v>
      </c>
      <c r="K160" s="469">
        <v>240.7398855975506</v>
      </c>
      <c r="L160" s="470" t="s">
        <v>1616</v>
      </c>
    </row>
    <row r="161" spans="1:12">
      <c r="A161" s="461">
        <v>92.217019827627325</v>
      </c>
      <c r="B161" s="461">
        <v>22.908069514968528</v>
      </c>
      <c r="C161" s="461">
        <v>644.13588349597683</v>
      </c>
      <c r="D161" s="463" t="s">
        <v>1617</v>
      </c>
      <c r="E161" s="464">
        <v>292.15295768026925</v>
      </c>
      <c r="F161" s="464">
        <v>37.247930110018736</v>
      </c>
      <c r="G161" s="464">
        <v>2921.5295768026926</v>
      </c>
      <c r="H161" s="465" t="s">
        <v>1618</v>
      </c>
      <c r="I161" s="469">
        <v>41.05963595618163</v>
      </c>
      <c r="J161" s="469">
        <v>13.213842251713427</v>
      </c>
      <c r="K161" s="469">
        <v>205.29817978090816</v>
      </c>
      <c r="L161" s="470" t="s">
        <v>1619</v>
      </c>
    </row>
    <row r="162" spans="1:12">
      <c r="A162" s="461">
        <v>92.647457034154627</v>
      </c>
      <c r="B162" s="461">
        <v>24.661502330679873</v>
      </c>
      <c r="C162" s="461">
        <v>616.10558927712827</v>
      </c>
      <c r="D162" s="463" t="s">
        <v>1620</v>
      </c>
      <c r="E162" s="464">
        <v>294.36567513309888</v>
      </c>
      <c r="F162" s="464">
        <v>33.249612674800993</v>
      </c>
      <c r="G162" s="464">
        <v>3238.0224264640869</v>
      </c>
      <c r="H162" s="465" t="s">
        <v>1621</v>
      </c>
      <c r="I162" s="469">
        <v>41.66088205790836</v>
      </c>
      <c r="J162" s="469">
        <v>13.213842251713427</v>
      </c>
      <c r="K162" s="469">
        <v>249.96529234745017</v>
      </c>
      <c r="L162" s="470" t="s">
        <v>1622</v>
      </c>
    </row>
    <row r="163" spans="1:12">
      <c r="A163" s="468">
        <v>92.810564083237551</v>
      </c>
      <c r="B163" s="462">
        <v>17.144676420288647</v>
      </c>
      <c r="C163" s="462">
        <v>825.0859146999818</v>
      </c>
      <c r="D163" s="463" t="s">
        <v>1623</v>
      </c>
      <c r="E163" s="464">
        <v>298.54363774731695</v>
      </c>
      <c r="F163" s="464">
        <v>29.883352111872636</v>
      </c>
      <c r="G163" s="464">
        <v>3649.6959714609497</v>
      </c>
      <c r="H163" s="465" t="s">
        <v>1624</v>
      </c>
      <c r="I163" s="469">
        <v>44.583833653372203</v>
      </c>
      <c r="J163" s="469">
        <v>16.36134459665405</v>
      </c>
      <c r="K163" s="469">
        <v>200.62725144017489</v>
      </c>
      <c r="L163" s="470" t="s">
        <v>1625</v>
      </c>
    </row>
    <row r="164" spans="1:12">
      <c r="A164" s="461">
        <v>93.970314144528743</v>
      </c>
      <c r="B164" s="461">
        <v>21.307538013707415</v>
      </c>
      <c r="C164" s="461">
        <v>704.77735608396563</v>
      </c>
      <c r="D164" s="463" t="s">
        <v>1626</v>
      </c>
      <c r="E164" s="464">
        <v>312.58371597621601</v>
      </c>
      <c r="F164" s="464">
        <v>30.574152111872635</v>
      </c>
      <c r="G164" s="464">
        <v>3907.2964497027001</v>
      </c>
      <c r="H164" s="465" t="s">
        <v>1627</v>
      </c>
      <c r="I164" s="469">
        <v>45.187084524252533</v>
      </c>
      <c r="J164" s="469">
        <v>12.839612674800993</v>
      </c>
      <c r="K164" s="469">
        <v>225.93542262126269</v>
      </c>
      <c r="L164" s="470" t="s">
        <v>1628</v>
      </c>
    </row>
    <row r="165" spans="1:12">
      <c r="A165" s="461">
        <v>96.281960850893185</v>
      </c>
      <c r="B165" s="461">
        <v>28.360727680281858</v>
      </c>
      <c r="C165" s="461">
        <v>601.76225531808245</v>
      </c>
      <c r="D165" s="463" t="s">
        <v>1629</v>
      </c>
      <c r="E165" s="464">
        <v>314.38979691568585</v>
      </c>
      <c r="F165" s="464">
        <v>49.114600932271948</v>
      </c>
      <c r="G165" s="464">
        <v>2750.9107230122513</v>
      </c>
      <c r="H165" s="465" t="s">
        <v>1630</v>
      </c>
      <c r="I165" s="469">
        <v>45.21190219284933</v>
      </c>
      <c r="J165" s="469">
        <v>9.897460562928357</v>
      </c>
      <c r="K165" s="469">
        <v>271.27141315709594</v>
      </c>
      <c r="L165" s="470" t="s">
        <v>1631</v>
      </c>
    </row>
    <row r="166" spans="1:12">
      <c r="A166" s="468">
        <v>97.18701609422844</v>
      </c>
      <c r="B166" s="462">
        <v>21.662663647269216</v>
      </c>
      <c r="C166" s="462">
        <v>740.56506263802078</v>
      </c>
      <c r="D166" s="463" t="s">
        <v>1632</v>
      </c>
      <c r="E166" s="464">
        <v>319.41005833375908</v>
      </c>
      <c r="F166" s="464">
        <v>41.10065445681326</v>
      </c>
      <c r="G166" s="464">
        <v>3194.1005833375903</v>
      </c>
      <c r="H166" s="465" t="s">
        <v>1633</v>
      </c>
      <c r="I166" s="469">
        <v>46.035746077622747</v>
      </c>
      <c r="J166" s="469">
        <v>16.36134459665405</v>
      </c>
      <c r="K166" s="469">
        <v>230.17873038811371</v>
      </c>
      <c r="L166" s="470" t="s">
        <v>1634</v>
      </c>
    </row>
    <row r="167" spans="1:12">
      <c r="A167" s="461">
        <v>100.73303012751829</v>
      </c>
      <c r="B167" s="461">
        <v>22.047383083627807</v>
      </c>
      <c r="C167" s="461">
        <v>780.68098348826686</v>
      </c>
      <c r="D167" s="463" t="s">
        <v>1635</v>
      </c>
      <c r="E167" s="464">
        <v>323.22239619959436</v>
      </c>
      <c r="F167" s="464">
        <v>41.646375329958289</v>
      </c>
      <c r="G167" s="464">
        <v>3232.2239619959441</v>
      </c>
      <c r="H167" s="465" t="s">
        <v>1636</v>
      </c>
      <c r="I167" s="469">
        <v>46.839257431135778</v>
      </c>
      <c r="J167" s="469">
        <v>12.839612674800993</v>
      </c>
      <c r="K167" s="469">
        <v>257.61591587124678</v>
      </c>
      <c r="L167" s="470" t="s">
        <v>1637</v>
      </c>
    </row>
    <row r="168" spans="1:12">
      <c r="A168" s="468">
        <v>101.70476036669569</v>
      </c>
      <c r="B168" s="462">
        <v>20.136116653000119</v>
      </c>
      <c r="C168" s="462">
        <v>855.84555848574439</v>
      </c>
      <c r="D168" s="463" t="s">
        <v>1638</v>
      </c>
      <c r="E168" s="464">
        <v>335.19992918653941</v>
      </c>
      <c r="F168" s="464">
        <v>50.684600932271948</v>
      </c>
      <c r="G168" s="464">
        <v>3016.7993626788543</v>
      </c>
      <c r="H168" s="465" t="s">
        <v>1639</v>
      </c>
      <c r="I168" s="469">
        <v>47.770932478776125</v>
      </c>
      <c r="J168" s="469">
        <v>9.897460562928357</v>
      </c>
      <c r="K168" s="469">
        <v>334.39652735143284</v>
      </c>
      <c r="L168" s="470" t="s">
        <v>1640</v>
      </c>
    </row>
    <row r="169" spans="1:12">
      <c r="A169" s="468">
        <v>103.11938597899533</v>
      </c>
      <c r="B169" s="462">
        <v>25.983358855604315</v>
      </c>
      <c r="C169" s="462">
        <v>720.28891106328228</v>
      </c>
      <c r="D169" s="463" t="s">
        <v>1641</v>
      </c>
      <c r="E169" s="464">
        <v>338.93779167925811</v>
      </c>
      <c r="F169" s="464">
        <v>31.830152111872636</v>
      </c>
      <c r="G169" s="464">
        <v>4406.191291830356</v>
      </c>
      <c r="H169" s="465" t="s">
        <v>1642</v>
      </c>
      <c r="I169" s="469">
        <v>47.829084394387841</v>
      </c>
      <c r="J169" s="469">
        <v>12.839612674800993</v>
      </c>
      <c r="K169" s="469">
        <v>286.97450636632709</v>
      </c>
      <c r="L169" s="470" t="s">
        <v>1643</v>
      </c>
    </row>
    <row r="170" spans="1:12">
      <c r="A170" s="468">
        <v>104.1479406951085</v>
      </c>
      <c r="B170" s="462">
        <v>18.150865715380387</v>
      </c>
      <c r="C170" s="462">
        <v>978.99064253402003</v>
      </c>
      <c r="D170" s="463" t="s">
        <v>1644</v>
      </c>
      <c r="E170" s="464">
        <v>345.16031112802006</v>
      </c>
      <c r="F170" s="464">
        <v>56.566681678089509</v>
      </c>
      <c r="G170" s="464">
        <v>3020.1527223701751</v>
      </c>
      <c r="H170" s="465" t="s">
        <v>1645</v>
      </c>
      <c r="I170" s="469">
        <v>48.451367594793801</v>
      </c>
      <c r="J170" s="469">
        <v>9.897460562928357</v>
      </c>
      <c r="K170" s="469">
        <v>363.38525696095348</v>
      </c>
      <c r="L170" s="470" t="s">
        <v>1646</v>
      </c>
    </row>
    <row r="171" spans="1:12">
      <c r="A171" s="468">
        <v>106.31282909247305</v>
      </c>
      <c r="B171" s="462">
        <v>22.639259139564128</v>
      </c>
      <c r="C171" s="462">
        <v>845.18699128516073</v>
      </c>
      <c r="D171" s="463" t="s">
        <v>1647</v>
      </c>
      <c r="E171" s="464">
        <v>346.66913246876999</v>
      </c>
      <c r="F171" s="464">
        <v>39.589842251713428</v>
      </c>
      <c r="G171" s="464">
        <v>3813.3604571564697</v>
      </c>
      <c r="H171" s="465" t="s">
        <v>1648</v>
      </c>
      <c r="I171" s="469">
        <v>48.732262697338577</v>
      </c>
      <c r="J171" s="469">
        <v>9.897460562928357</v>
      </c>
      <c r="K171" s="469">
        <v>389.85810157870861</v>
      </c>
      <c r="L171" s="470" t="s">
        <v>1649</v>
      </c>
    </row>
    <row r="172" spans="1:12">
      <c r="A172" s="468">
        <v>107.43460429916144</v>
      </c>
      <c r="B172" s="462">
        <v>24.686163833010557</v>
      </c>
      <c r="C172" s="462">
        <v>805.75953224371074</v>
      </c>
      <c r="D172" s="463" t="s">
        <v>1650</v>
      </c>
      <c r="E172" s="464">
        <v>353.71418142894828</v>
      </c>
      <c r="F172" s="464">
        <v>58.516798695843654</v>
      </c>
      <c r="G172" s="464">
        <v>3094.9990875032977</v>
      </c>
      <c r="H172" s="465" t="s">
        <v>1651</v>
      </c>
      <c r="I172" s="469">
        <v>49.09753648848065</v>
      </c>
      <c r="J172" s="469">
        <v>11.734152111872634</v>
      </c>
      <c r="K172" s="469">
        <v>294.58521893088391</v>
      </c>
      <c r="L172" s="470" t="s">
        <v>1652</v>
      </c>
    </row>
    <row r="173" spans="1:12">
      <c r="A173" s="468">
        <v>108.54673119686997</v>
      </c>
      <c r="B173" s="462">
        <v>15.988051960979744</v>
      </c>
      <c r="C173" s="462">
        <v>1189.1294402617104</v>
      </c>
      <c r="D173" s="463" t="s">
        <v>1653</v>
      </c>
      <c r="E173" s="464">
        <v>356.62536426802234</v>
      </c>
      <c r="F173" s="464">
        <v>46.505344596654048</v>
      </c>
      <c r="G173" s="464">
        <v>3566.2536426802235</v>
      </c>
      <c r="H173" s="465" t="s">
        <v>1654</v>
      </c>
      <c r="I173" s="469">
        <v>49.682004112384945</v>
      </c>
      <c r="J173" s="469">
        <v>19.28460093227195</v>
      </c>
      <c r="K173" s="469">
        <v>248.41002056192471</v>
      </c>
      <c r="L173" s="470" t="s">
        <v>1655</v>
      </c>
    </row>
    <row r="174" spans="1:12">
      <c r="A174" s="461">
        <v>110.34283197046008</v>
      </c>
      <c r="B174" s="461">
        <v>20.962276981077895</v>
      </c>
      <c r="C174" s="461">
        <v>965.49977974152569</v>
      </c>
      <c r="D174" s="463" t="s">
        <v>1656</v>
      </c>
      <c r="E174" s="464">
        <v>366.99602229016841</v>
      </c>
      <c r="F174" s="464">
        <v>37.096112674800992</v>
      </c>
      <c r="G174" s="464">
        <v>4486.5263724973092</v>
      </c>
      <c r="H174" s="465" t="s">
        <v>1657</v>
      </c>
      <c r="I174" s="469">
        <v>50.799240085427698</v>
      </c>
      <c r="J174" s="469">
        <v>11.734152111872634</v>
      </c>
      <c r="K174" s="469">
        <v>355.59468059799394</v>
      </c>
      <c r="L174" s="470" t="s">
        <v>1658</v>
      </c>
    </row>
    <row r="175" spans="1:12">
      <c r="A175" s="468">
        <v>110.76825042106108</v>
      </c>
      <c r="B175" s="462">
        <v>18.71314796851987</v>
      </c>
      <c r="C175" s="462">
        <v>1072.7905053279765</v>
      </c>
      <c r="D175" s="463" t="s">
        <v>1659</v>
      </c>
      <c r="E175" s="464">
        <v>369.1323963179828</v>
      </c>
      <c r="F175" s="464">
        <v>58.450681678089516</v>
      </c>
      <c r="G175" s="464">
        <v>3322.1915668618453</v>
      </c>
      <c r="H175" s="465" t="s">
        <v>1660</v>
      </c>
      <c r="I175" s="469">
        <v>50.852051304912173</v>
      </c>
      <c r="J175" s="469">
        <v>11.734152111872634</v>
      </c>
      <c r="K175" s="469">
        <v>381.39038478684125</v>
      </c>
      <c r="L175" s="470" t="s">
        <v>1661</v>
      </c>
    </row>
    <row r="176" spans="1:12">
      <c r="A176" s="461">
        <v>114.05722531104939</v>
      </c>
      <c r="B176" s="461">
        <v>21.307538013707415</v>
      </c>
      <c r="C176" s="461">
        <v>1013.9687330152292</v>
      </c>
      <c r="D176" s="463" t="s">
        <v>1662</v>
      </c>
      <c r="E176" s="464">
        <v>378.49266294147515</v>
      </c>
      <c r="F176" s="464">
        <v>60.479298695843653</v>
      </c>
      <c r="G176" s="464">
        <v>3406.4339664732761</v>
      </c>
      <c r="H176" s="465" t="s">
        <v>1663</v>
      </c>
      <c r="I176" s="469">
        <v>51.677235956181647</v>
      </c>
      <c r="J176" s="469">
        <v>15.097842251713427</v>
      </c>
      <c r="K176" s="469">
        <v>258.38617978090821</v>
      </c>
      <c r="L176" s="470" t="s">
        <v>1664</v>
      </c>
    </row>
    <row r="177" spans="1:12">
      <c r="A177" s="461">
        <v>115.24227311472576</v>
      </c>
      <c r="B177" s="461">
        <v>25.549316414584354</v>
      </c>
      <c r="C177" s="461">
        <v>893.12761663912465</v>
      </c>
      <c r="D177" s="463" t="s">
        <v>1665</v>
      </c>
      <c r="E177" s="464">
        <v>384.40077590182307</v>
      </c>
      <c r="F177" s="464">
        <v>37.959612674800994</v>
      </c>
      <c r="G177" s="464">
        <v>4805.0096987727884</v>
      </c>
      <c r="H177" s="465" t="s">
        <v>1666</v>
      </c>
      <c r="I177" s="469">
        <v>53.569364735947261</v>
      </c>
      <c r="J177" s="469">
        <v>15.097842251713427</v>
      </c>
      <c r="K177" s="469">
        <v>294.63150604770993</v>
      </c>
      <c r="L177" s="470" t="s">
        <v>1667</v>
      </c>
    </row>
    <row r="178" spans="1:12">
      <c r="A178" s="468">
        <v>118.32293508550767</v>
      </c>
      <c r="B178" s="462">
        <v>19.334617827253023</v>
      </c>
      <c r="C178" s="462">
        <v>1183.2293508550767</v>
      </c>
      <c r="D178" s="463" t="s">
        <v>1668</v>
      </c>
      <c r="E178" s="464">
        <v>392.20886769900488</v>
      </c>
      <c r="F178" s="464">
        <v>45.49665445681326</v>
      </c>
      <c r="G178" s="464">
        <v>4314.2975446890541</v>
      </c>
      <c r="H178" s="465" t="s">
        <v>1669</v>
      </c>
      <c r="I178" s="469">
        <v>54.668882057908363</v>
      </c>
      <c r="J178" s="469">
        <v>15.097842251713427</v>
      </c>
      <c r="K178" s="469">
        <v>328.0132923474502</v>
      </c>
      <c r="L178" s="470" t="s">
        <v>1670</v>
      </c>
    </row>
    <row r="179" spans="1:12">
      <c r="A179" s="468">
        <v>119.86867637089225</v>
      </c>
      <c r="B179" s="462">
        <v>24.015370969616072</v>
      </c>
      <c r="C179" s="462">
        <v>1008.6949116610583</v>
      </c>
      <c r="D179" s="463" t="s">
        <v>1671</v>
      </c>
      <c r="E179" s="464">
        <v>396.98006656895461</v>
      </c>
      <c r="F179" s="464">
        <v>46.105175329958286</v>
      </c>
      <c r="G179" s="464">
        <v>4366.7807322585013</v>
      </c>
      <c r="H179" s="465" t="s">
        <v>1672</v>
      </c>
      <c r="I179" s="469">
        <v>55.816075335919002</v>
      </c>
      <c r="J179" s="469">
        <v>10.839460562928357</v>
      </c>
      <c r="K179" s="469">
        <v>390.71252735143304</v>
      </c>
      <c r="L179" s="470" t="s">
        <v>1673</v>
      </c>
    </row>
    <row r="180" spans="1:12">
      <c r="A180" s="461">
        <v>120.31780453263512</v>
      </c>
      <c r="B180" s="461">
        <v>28.015466647652342</v>
      </c>
      <c r="C180" s="461">
        <v>902.38353399476352</v>
      </c>
      <c r="D180" s="463" t="s">
        <v>1674</v>
      </c>
      <c r="E180" s="464">
        <v>403.93292793692694</v>
      </c>
      <c r="F180" s="464">
        <v>66.369872284066275</v>
      </c>
      <c r="G180" s="464">
        <v>3635.3963514323427</v>
      </c>
      <c r="H180" s="465" t="s">
        <v>1675</v>
      </c>
      <c r="I180" s="469">
        <v>57.096167594793791</v>
      </c>
      <c r="J180" s="469">
        <v>10.839460562928357</v>
      </c>
      <c r="K180" s="469">
        <v>428.2212569609535</v>
      </c>
      <c r="L180" s="470" t="s">
        <v>1676</v>
      </c>
    </row>
    <row r="181" spans="1:12">
      <c r="A181" s="468">
        <v>121.68629177659217</v>
      </c>
      <c r="B181" s="462">
        <v>26.239838479843392</v>
      </c>
      <c r="C181" s="462">
        <v>967.4060196239077</v>
      </c>
      <c r="D181" s="463" t="s">
        <v>1677</v>
      </c>
      <c r="E181" s="464">
        <v>417.07910133583715</v>
      </c>
      <c r="F181" s="464">
        <v>39.529612674800994</v>
      </c>
      <c r="G181" s="464">
        <v>5422.0283173658827</v>
      </c>
      <c r="H181" s="465" t="s">
        <v>1678</v>
      </c>
      <c r="I181" s="469">
        <v>57.976762697338572</v>
      </c>
      <c r="J181" s="469">
        <v>10.839460562928357</v>
      </c>
      <c r="K181" s="469">
        <v>463.81410157870857</v>
      </c>
      <c r="L181" s="470" t="s">
        <v>1679</v>
      </c>
    </row>
    <row r="182" spans="1:12">
      <c r="A182" s="461">
        <v>123.39212737064912</v>
      </c>
      <c r="B182" s="461">
        <v>31.985968522891799</v>
      </c>
      <c r="C182" s="461">
        <v>861.894009683984</v>
      </c>
      <c r="D182" s="463" t="s">
        <v>1680</v>
      </c>
      <c r="E182" s="464">
        <v>425.10618846132166</v>
      </c>
      <c r="F182" s="464">
        <v>56.964600932271949</v>
      </c>
      <c r="G182" s="464">
        <v>4251.0618846132165</v>
      </c>
      <c r="H182" s="465" t="s">
        <v>1681</v>
      </c>
      <c r="I182" s="469">
        <v>58.071758710702881</v>
      </c>
      <c r="J182" s="469">
        <v>12.990152111872636</v>
      </c>
      <c r="K182" s="469">
        <v>348.43055226421728</v>
      </c>
      <c r="L182" s="470" t="s">
        <v>1682</v>
      </c>
    </row>
    <row r="183" spans="1:12">
      <c r="A183" s="468">
        <v>124.51665311112902</v>
      </c>
      <c r="B183" s="462">
        <v>28.48896749240139</v>
      </c>
      <c r="C183" s="462">
        <v>948.81689670680316</v>
      </c>
      <c r="D183" s="463" t="s">
        <v>1683</v>
      </c>
      <c r="E183" s="464">
        <v>433.04886041816218</v>
      </c>
      <c r="F183" s="464">
        <v>44.205642251713435</v>
      </c>
      <c r="G183" s="464">
        <v>5294.022318612032</v>
      </c>
      <c r="H183" s="465" t="s">
        <v>1684</v>
      </c>
      <c r="I183" s="469">
        <v>58.539126204324731</v>
      </c>
      <c r="J183" s="469">
        <v>10.839460562928357</v>
      </c>
      <c r="K183" s="469">
        <v>526.85213583892255</v>
      </c>
      <c r="L183" s="470" t="s">
        <v>1685</v>
      </c>
    </row>
    <row r="184" spans="1:12">
      <c r="A184" s="461">
        <v>128.10892635113515</v>
      </c>
      <c r="B184" s="461">
        <v>22.565274632572088</v>
      </c>
      <c r="C184" s="461">
        <v>1204.2239077006702</v>
      </c>
      <c r="D184" s="463" t="s">
        <v>1686</v>
      </c>
      <c r="E184" s="464">
        <v>438.91003833010166</v>
      </c>
      <c r="F184" s="464">
        <v>51.529344596654049</v>
      </c>
      <c r="G184" s="464">
        <v>4828.0104216311183</v>
      </c>
      <c r="H184" s="465" t="s">
        <v>1687</v>
      </c>
      <c r="I184" s="469">
        <v>58.856862172165613</v>
      </c>
      <c r="J184" s="469">
        <v>14.409612674800991</v>
      </c>
      <c r="K184" s="469">
        <v>353.14117303299366</v>
      </c>
      <c r="L184" s="470" t="s">
        <v>1688</v>
      </c>
    </row>
    <row r="185" spans="1:12">
      <c r="A185" s="468">
        <v>129.14706354121267</v>
      </c>
      <c r="B185" s="462">
        <v>29.00192674087954</v>
      </c>
      <c r="C185" s="462">
        <v>1000.8897424443983</v>
      </c>
      <c r="D185" s="463" t="s">
        <v>1689</v>
      </c>
      <c r="E185" s="464">
        <v>448.21168251774878</v>
      </c>
      <c r="F185" s="464">
        <v>46.05092011001873</v>
      </c>
      <c r="G185" s="464">
        <v>5479.3878187794799</v>
      </c>
      <c r="H185" s="465" t="s">
        <v>1690</v>
      </c>
      <c r="I185" s="469">
        <v>59.612279410956091</v>
      </c>
      <c r="J185" s="469">
        <v>18.87334459665405</v>
      </c>
      <c r="K185" s="469">
        <v>298.0613970547804</v>
      </c>
      <c r="L185" s="470" t="s">
        <v>1691</v>
      </c>
    </row>
    <row r="186" spans="1:12">
      <c r="A186" s="468">
        <v>130.13983838044746</v>
      </c>
      <c r="B186" s="462">
        <v>25.006763363309393</v>
      </c>
      <c r="C186" s="462">
        <v>1138.7235858289152</v>
      </c>
      <c r="D186" s="463" t="s">
        <v>1692</v>
      </c>
      <c r="E186" s="464">
        <v>453.76019017931782</v>
      </c>
      <c r="F186" s="464">
        <v>45.241842251713436</v>
      </c>
      <c r="G186" s="464">
        <v>5672.0023772414725</v>
      </c>
      <c r="H186" s="465" t="s">
        <v>1693</v>
      </c>
      <c r="I186" s="469">
        <v>60.838070398508222</v>
      </c>
      <c r="J186" s="469">
        <v>14.409612674800991</v>
      </c>
      <c r="K186" s="469">
        <v>456.28552798881168</v>
      </c>
      <c r="L186" s="470" t="s">
        <v>1694</v>
      </c>
    </row>
    <row r="187" spans="1:12">
      <c r="A187" s="461">
        <v>134.55760350100348</v>
      </c>
      <c r="B187" s="461">
        <v>25.421076602464819</v>
      </c>
      <c r="C187" s="461">
        <v>1196.2170951239209</v>
      </c>
      <c r="D187" s="463" t="s">
        <v>1695</v>
      </c>
      <c r="E187" s="464">
        <v>469.80979770698281</v>
      </c>
      <c r="F187" s="464">
        <v>47.138930110018734</v>
      </c>
      <c r="G187" s="464">
        <v>5872.6224713372849</v>
      </c>
      <c r="H187" s="465" t="s">
        <v>1696</v>
      </c>
      <c r="I187" s="469">
        <v>60.84180653692043</v>
      </c>
      <c r="J187" s="469">
        <v>14.409612674800991</v>
      </c>
      <c r="K187" s="469">
        <v>425.89264575844294</v>
      </c>
      <c r="L187" s="470" t="s">
        <v>1697</v>
      </c>
    </row>
    <row r="188" spans="1:12">
      <c r="A188" s="468">
        <v>136.31723695625277</v>
      </c>
      <c r="B188" s="462">
        <v>23.268127448996463</v>
      </c>
      <c r="C188" s="462">
        <v>1320.232439921308</v>
      </c>
      <c r="D188" s="463" t="s">
        <v>1698</v>
      </c>
      <c r="E188" s="464">
        <v>473.02212787108351</v>
      </c>
      <c r="F188" s="464">
        <v>65.986681678089511</v>
      </c>
      <c r="G188" s="464">
        <v>4730.2212787108347</v>
      </c>
      <c r="H188" s="465" t="s">
        <v>1699</v>
      </c>
      <c r="I188" s="469">
        <v>61.371430561618162</v>
      </c>
      <c r="J188" s="469">
        <v>12.990152111872636</v>
      </c>
      <c r="K188" s="469">
        <v>429.60001393132711</v>
      </c>
      <c r="L188" s="470" t="s">
        <v>1700</v>
      </c>
    </row>
    <row r="189" spans="1:12">
      <c r="A189" s="468">
        <v>136.436602763194</v>
      </c>
      <c r="B189" s="462">
        <v>29.791094815461289</v>
      </c>
      <c r="C189" s="462">
        <v>1084.6709919673924</v>
      </c>
      <c r="D189" s="463" t="s">
        <v>1701</v>
      </c>
      <c r="E189" s="464">
        <v>485.94155981109014</v>
      </c>
      <c r="F189" s="464">
        <v>68.329298695843647</v>
      </c>
      <c r="G189" s="464">
        <v>4859.4155981109006</v>
      </c>
      <c r="H189" s="465" t="s">
        <v>1702</v>
      </c>
      <c r="I189" s="469">
        <v>61.418567594793799</v>
      </c>
      <c r="J189" s="469">
        <v>11.310460562928359</v>
      </c>
      <c r="K189" s="469">
        <v>460.6392569609535</v>
      </c>
      <c r="L189" s="470" t="s">
        <v>1703</v>
      </c>
    </row>
    <row r="190" spans="1:12">
      <c r="A190" s="461">
        <v>137.3485439880246</v>
      </c>
      <c r="B190" s="461">
        <v>27.845302281570635</v>
      </c>
      <c r="C190" s="461">
        <v>1155.7879976592271</v>
      </c>
      <c r="D190" s="463" t="s">
        <v>1704</v>
      </c>
      <c r="E190" s="464">
        <v>491.56278872461502</v>
      </c>
      <c r="F190" s="464">
        <v>50.881754456813262</v>
      </c>
      <c r="G190" s="464">
        <v>6009.3550921584192</v>
      </c>
      <c r="H190" s="465" t="s">
        <v>1705</v>
      </c>
      <c r="I190" s="469">
        <v>62.223429082689954</v>
      </c>
      <c r="J190" s="469">
        <v>12.990152111872636</v>
      </c>
      <c r="K190" s="469">
        <v>466.67571812017468</v>
      </c>
      <c r="L190" s="470" t="s">
        <v>1706</v>
      </c>
    </row>
    <row r="191" spans="1:12">
      <c r="A191" s="461">
        <v>142.7509096140343</v>
      </c>
      <c r="B191" s="461">
        <v>21.218756605316958</v>
      </c>
      <c r="C191" s="461">
        <v>1563.8362148217459</v>
      </c>
      <c r="D191" s="463" t="s">
        <v>1707</v>
      </c>
      <c r="E191" s="464">
        <v>492.65712338479653</v>
      </c>
      <c r="F191" s="464">
        <v>47.125842251713429</v>
      </c>
      <c r="G191" s="464">
        <v>6404.5426040023549</v>
      </c>
      <c r="H191" s="465" t="s">
        <v>1708</v>
      </c>
      <c r="I191" s="469">
        <v>62.543175568235441</v>
      </c>
      <c r="J191" s="469">
        <v>12.990152111872636</v>
      </c>
      <c r="K191" s="469">
        <v>500.34540454588358</v>
      </c>
      <c r="L191" s="470" t="s">
        <v>1709</v>
      </c>
    </row>
    <row r="192" spans="1:12">
      <c r="A192" s="468">
        <v>145.68645057170542</v>
      </c>
      <c r="B192" s="462">
        <v>24.044964772412882</v>
      </c>
      <c r="C192" s="462">
        <v>1456.8645057170543</v>
      </c>
      <c r="D192" s="463" t="s">
        <v>1710</v>
      </c>
      <c r="E192" s="464">
        <v>497.65394222985867</v>
      </c>
      <c r="F192" s="464">
        <v>51.567205329958284</v>
      </c>
      <c r="G192" s="464">
        <v>6083.8194437600214</v>
      </c>
      <c r="H192" s="465" t="s">
        <v>1711</v>
      </c>
      <c r="I192" s="469">
        <v>62.551345123407124</v>
      </c>
      <c r="J192" s="469">
        <v>18.87334459665405</v>
      </c>
      <c r="K192" s="469">
        <v>375.3080707404427</v>
      </c>
      <c r="L192" s="470" t="s">
        <v>1712</v>
      </c>
    </row>
    <row r="193" spans="1:12">
      <c r="A193" s="468">
        <v>149.22137847950628</v>
      </c>
      <c r="B193" s="462">
        <v>29.00192674087954</v>
      </c>
      <c r="C193" s="462">
        <v>1305.6870616956801</v>
      </c>
      <c r="D193" s="463" t="s">
        <v>1713</v>
      </c>
      <c r="E193" s="464">
        <v>510.38107992226622</v>
      </c>
      <c r="F193" s="464">
        <v>49.117130110018735</v>
      </c>
      <c r="G193" s="464">
        <v>6634.9540389894601</v>
      </c>
      <c r="H193" s="465" t="s">
        <v>1714</v>
      </c>
      <c r="I193" s="469">
        <v>62.599012697338573</v>
      </c>
      <c r="J193" s="469">
        <v>11.310460562928359</v>
      </c>
      <c r="K193" s="469">
        <v>500.79210157870853</v>
      </c>
      <c r="L193" s="470" t="s">
        <v>1715</v>
      </c>
    </row>
    <row r="194" spans="1:12">
      <c r="A194" s="461">
        <v>149.54481047303992</v>
      </c>
      <c r="B194" s="461">
        <v>35.117979318888146</v>
      </c>
      <c r="C194" s="461">
        <v>1139.5314558045643</v>
      </c>
      <c r="D194" s="463" t="s">
        <v>1716</v>
      </c>
      <c r="E194" s="464">
        <v>515.40669541761054</v>
      </c>
      <c r="F194" s="464">
        <v>52.090654456813262</v>
      </c>
      <c r="G194" s="464">
        <v>6442.5836927201317</v>
      </c>
      <c r="H194" s="465" t="s">
        <v>1717</v>
      </c>
      <c r="I194" s="469">
        <v>63.379889553493932</v>
      </c>
      <c r="J194" s="469">
        <v>11.310460562928359</v>
      </c>
      <c r="K194" s="469">
        <v>538.72906120469838</v>
      </c>
      <c r="L194" s="470" t="s">
        <v>1718</v>
      </c>
    </row>
    <row r="195" spans="1:12">
      <c r="A195" s="468">
        <v>151.27570735797474</v>
      </c>
      <c r="B195" s="462">
        <v>26.930360545102431</v>
      </c>
      <c r="C195" s="462">
        <v>1421.9916491649624</v>
      </c>
      <c r="D195" s="463" t="s">
        <v>1719</v>
      </c>
      <c r="E195" s="464">
        <v>521.68916629539171</v>
      </c>
      <c r="F195" s="464">
        <v>75.161872284066291</v>
      </c>
      <c r="G195" s="464">
        <v>5216.8916629539181</v>
      </c>
      <c r="H195" s="465" t="s">
        <v>1720</v>
      </c>
      <c r="I195" s="469">
        <v>63.761126204324732</v>
      </c>
      <c r="J195" s="469">
        <v>11.310460562928359</v>
      </c>
      <c r="K195" s="469">
        <v>573.8501358389226</v>
      </c>
      <c r="L195" s="470" t="s">
        <v>1721</v>
      </c>
    </row>
    <row r="196" spans="1:12">
      <c r="A196" s="461">
        <v>154.16175677741947</v>
      </c>
      <c r="B196" s="461">
        <v>31.625910588863864</v>
      </c>
      <c r="C196" s="461">
        <v>1297.271183281985</v>
      </c>
      <c r="D196" s="463" t="s">
        <v>1722</v>
      </c>
      <c r="E196" s="464">
        <v>521.81616324019546</v>
      </c>
      <c r="F196" s="464">
        <v>52.793375329958288</v>
      </c>
      <c r="G196" s="464">
        <v>6522.7020405024441</v>
      </c>
      <c r="H196" s="465" t="s">
        <v>1723</v>
      </c>
      <c r="I196" s="469">
        <v>63.861218193061866</v>
      </c>
      <c r="J196" s="469">
        <v>11.781460562928357</v>
      </c>
      <c r="K196" s="469">
        <v>447.02852735143301</v>
      </c>
      <c r="L196" s="470" t="s">
        <v>1724</v>
      </c>
    </row>
    <row r="197" spans="1:12">
      <c r="A197" s="468">
        <v>161.04523247810326</v>
      </c>
      <c r="B197" s="462">
        <v>27.773783924811649</v>
      </c>
      <c r="C197" s="462">
        <v>1559.7230765504298</v>
      </c>
      <c r="D197" s="463" t="s">
        <v>1725</v>
      </c>
      <c r="E197" s="464">
        <v>525.67792252511799</v>
      </c>
      <c r="F197" s="464">
        <v>63.24460093227195</v>
      </c>
      <c r="G197" s="464">
        <v>5782.4571477762984</v>
      </c>
      <c r="H197" s="465" t="s">
        <v>1726</v>
      </c>
      <c r="I197" s="469">
        <v>65.948670779051625</v>
      </c>
      <c r="J197" s="469">
        <v>22.42460093227195</v>
      </c>
      <c r="K197" s="469">
        <v>329.74335389525811</v>
      </c>
      <c r="L197" s="470" t="s">
        <v>1727</v>
      </c>
    </row>
    <row r="198" spans="1:12">
      <c r="A198" s="468">
        <v>167.60490157083254</v>
      </c>
      <c r="B198" s="462">
        <v>32.947767113788316</v>
      </c>
      <c r="C198" s="462">
        <v>1466.5428887447847</v>
      </c>
      <c r="D198" s="463" t="s">
        <v>1728</v>
      </c>
      <c r="E198" s="464">
        <v>551.33760758655637</v>
      </c>
      <c r="F198" s="464">
        <v>57.683744596654051</v>
      </c>
      <c r="G198" s="464">
        <v>6740.1022527456507</v>
      </c>
      <c r="H198" s="465" t="s">
        <v>1729</v>
      </c>
      <c r="I198" s="469">
        <v>67.221262697338616</v>
      </c>
      <c r="J198" s="469">
        <v>11.781460562928357</v>
      </c>
      <c r="K198" s="469">
        <v>537.77010157870893</v>
      </c>
      <c r="L198" s="470" t="s">
        <v>1730</v>
      </c>
    </row>
    <row r="199" spans="1:12">
      <c r="A199" s="461">
        <v>172.19936413898046</v>
      </c>
      <c r="B199" s="461">
        <v>28.705988712911378</v>
      </c>
      <c r="C199" s="461">
        <v>1721.9936413898047</v>
      </c>
      <c r="D199" s="463" t="s">
        <v>1731</v>
      </c>
      <c r="E199" s="464">
        <v>560.20589207678415</v>
      </c>
      <c r="F199" s="464">
        <v>54.288654456813255</v>
      </c>
      <c r="G199" s="464">
        <v>7282.6765969981934</v>
      </c>
      <c r="H199" s="465" t="s">
        <v>1732</v>
      </c>
      <c r="I199" s="469">
        <v>67.676882057908358</v>
      </c>
      <c r="J199" s="469">
        <v>16.981842251713427</v>
      </c>
      <c r="K199" s="469">
        <v>406.06129234745021</v>
      </c>
      <c r="L199" s="470" t="s">
        <v>1733</v>
      </c>
    </row>
    <row r="200" spans="1:12">
      <c r="A200" s="461">
        <v>172.40447402331287</v>
      </c>
      <c r="B200" s="461">
        <v>41.549699126729458</v>
      </c>
      <c r="C200" s="461">
        <v>1313.7220920576442</v>
      </c>
      <c r="D200" s="463" t="s">
        <v>1734</v>
      </c>
      <c r="E200" s="464">
        <v>562.49521010893011</v>
      </c>
      <c r="F200" s="464">
        <v>83.816322983270254</v>
      </c>
      <c r="G200" s="464">
        <v>5624.9521010893013</v>
      </c>
      <c r="H200" s="465" t="s">
        <v>1735</v>
      </c>
      <c r="I200" s="469">
        <v>68.801374041346619</v>
      </c>
      <c r="J200" s="469">
        <v>22.42460093227195</v>
      </c>
      <c r="K200" s="469">
        <v>412.80824424807969</v>
      </c>
      <c r="L200" s="470" t="s">
        <v>1736</v>
      </c>
    </row>
    <row r="201" spans="1:12">
      <c r="A201" s="468">
        <v>173.39003227801899</v>
      </c>
      <c r="B201" s="462">
        <v>33.500184765995527</v>
      </c>
      <c r="C201" s="462">
        <v>1541.4373869515891</v>
      </c>
      <c r="D201" s="463" t="s">
        <v>1737</v>
      </c>
      <c r="E201" s="464">
        <v>567.2147782572149</v>
      </c>
      <c r="F201" s="464">
        <v>55.022775329958286</v>
      </c>
      <c r="G201" s="464">
        <v>7373.7921173437935</v>
      </c>
      <c r="H201" s="465" t="s">
        <v>1738</v>
      </c>
      <c r="I201" s="469">
        <v>68.983126204324734</v>
      </c>
      <c r="J201" s="469">
        <v>11.781460562928357</v>
      </c>
      <c r="K201" s="469">
        <v>620.84813583892253</v>
      </c>
      <c r="L201" s="470" t="s">
        <v>1739</v>
      </c>
    </row>
    <row r="202" spans="1:12">
      <c r="A202" s="468">
        <v>173.66603037200022</v>
      </c>
      <c r="B202" s="462">
        <v>31.246123452971403</v>
      </c>
      <c r="C202" s="462">
        <v>1632.4606854968022</v>
      </c>
      <c r="D202" s="463" t="s">
        <v>1740</v>
      </c>
      <c r="E202" s="464">
        <v>578.33639036255352</v>
      </c>
      <c r="F202" s="464">
        <v>59.06534459665405</v>
      </c>
      <c r="G202" s="464">
        <v>7229.2048795319188</v>
      </c>
      <c r="H202" s="465" t="s">
        <v>1741</v>
      </c>
      <c r="I202" s="469">
        <v>69.795388192573583</v>
      </c>
      <c r="J202" s="469">
        <v>16.981842251713427</v>
      </c>
      <c r="K202" s="469">
        <v>523.46541144430182</v>
      </c>
      <c r="L202" s="470" t="s">
        <v>1742</v>
      </c>
    </row>
    <row r="203" spans="1:12">
      <c r="A203" s="461">
        <v>175.83045795519132</v>
      </c>
      <c r="B203" s="461">
        <v>26.387807493827474</v>
      </c>
      <c r="C203" s="461">
        <v>1925.3435146093448</v>
      </c>
      <c r="D203" s="463" t="s">
        <v>1743</v>
      </c>
      <c r="E203" s="464">
        <v>589.7136295246836</v>
      </c>
      <c r="F203" s="464">
        <v>73.522681678089512</v>
      </c>
      <c r="G203" s="464">
        <v>6486.8499247715181</v>
      </c>
      <c r="H203" s="465" t="s">
        <v>1744</v>
      </c>
      <c r="I203" s="469">
        <v>69.884639949943406</v>
      </c>
      <c r="J203" s="469">
        <v>15.979612674800991</v>
      </c>
      <c r="K203" s="469">
        <v>419.30783969966041</v>
      </c>
      <c r="L203" s="470" t="s">
        <v>1745</v>
      </c>
    </row>
    <row r="204" spans="1:12">
      <c r="A204" s="461">
        <v>175.99661098269459</v>
      </c>
      <c r="B204" s="461">
        <v>26.400138244992807</v>
      </c>
      <c r="C204" s="461">
        <v>1928.0428733154192</v>
      </c>
      <c r="D204" s="463" t="s">
        <v>1746</v>
      </c>
      <c r="E204" s="464">
        <v>606.72587408735149</v>
      </c>
      <c r="F204" s="464">
        <v>76.179298695843656</v>
      </c>
      <c r="G204" s="464">
        <v>6673.9846149608675</v>
      </c>
      <c r="H204" s="465" t="s">
        <v>1747</v>
      </c>
      <c r="I204" s="469">
        <v>69.8848921493923</v>
      </c>
      <c r="J204" s="469">
        <v>16.981842251713427</v>
      </c>
      <c r="K204" s="469">
        <v>489.19424504574613</v>
      </c>
      <c r="L204" s="470" t="s">
        <v>1748</v>
      </c>
    </row>
    <row r="205" spans="1:12">
      <c r="A205" s="461">
        <v>177.79577017935745</v>
      </c>
      <c r="B205" s="461">
        <v>43.126802200776432</v>
      </c>
      <c r="C205" s="461">
        <v>1354.8037687667038</v>
      </c>
      <c r="D205" s="463" t="s">
        <v>1749</v>
      </c>
      <c r="E205" s="464">
        <v>629.07837251477281</v>
      </c>
      <c r="F205" s="464">
        <v>61.577344596654051</v>
      </c>
      <c r="G205" s="464">
        <v>8178.0188426920458</v>
      </c>
      <c r="H205" s="465" t="s">
        <v>1750</v>
      </c>
      <c r="I205" s="469">
        <v>71.943621037808683</v>
      </c>
      <c r="J205" s="469">
        <v>14.246152111872634</v>
      </c>
      <c r="K205" s="469">
        <v>503.60534726466074</v>
      </c>
      <c r="L205" s="470" t="s">
        <v>1751</v>
      </c>
    </row>
    <row r="206" spans="1:12">
      <c r="A206" s="468">
        <v>178.78717863559592</v>
      </c>
      <c r="B206" s="461">
        <v>23.72436524211404</v>
      </c>
      <c r="C206" s="461">
        <v>2185.6732588201603</v>
      </c>
      <c r="D206" s="463" t="s">
        <v>1752</v>
      </c>
      <c r="E206" s="464">
        <v>654.38201731689571</v>
      </c>
      <c r="F206" s="464">
        <v>83.953872284066279</v>
      </c>
      <c r="G206" s="464">
        <v>7198.202190485853</v>
      </c>
      <c r="H206" s="465" t="s">
        <v>1753</v>
      </c>
      <c r="I206" s="469">
        <v>73.044750547631892</v>
      </c>
      <c r="J206" s="469">
        <v>19.120654456813259</v>
      </c>
      <c r="K206" s="469">
        <v>438.26850328579144</v>
      </c>
      <c r="L206" s="470" t="s">
        <v>1754</v>
      </c>
    </row>
    <row r="207" spans="1:12">
      <c r="A207" s="461">
        <v>179.99003878462474</v>
      </c>
      <c r="B207" s="461">
        <v>30.094677909151951</v>
      </c>
      <c r="C207" s="461">
        <v>1799.9003878462474</v>
      </c>
      <c r="D207" s="463" t="s">
        <v>1755</v>
      </c>
      <c r="E207" s="464">
        <v>663.4137676120107</v>
      </c>
      <c r="F207" s="464">
        <v>70.937600932271948</v>
      </c>
      <c r="G207" s="464">
        <v>8110.2333090568318</v>
      </c>
      <c r="H207" s="465" t="s">
        <v>1756</v>
      </c>
      <c r="I207" s="469">
        <v>73.224124847611577</v>
      </c>
      <c r="J207" s="469">
        <v>12.252460562928356</v>
      </c>
      <c r="K207" s="469">
        <v>622.40506120469843</v>
      </c>
      <c r="L207" s="470" t="s">
        <v>1757</v>
      </c>
    </row>
    <row r="208" spans="1:12">
      <c r="A208" s="461">
        <v>185.30764153412588</v>
      </c>
      <c r="B208" s="461">
        <v>36.844284482035739</v>
      </c>
      <c r="C208" s="461">
        <v>1621.4418634236013</v>
      </c>
      <c r="D208" s="463" t="s">
        <v>1758</v>
      </c>
      <c r="E208" s="464">
        <v>664.24454075835035</v>
      </c>
      <c r="F208" s="464">
        <v>54.661842251713431</v>
      </c>
      <c r="G208" s="464">
        <v>9963.6681113752566</v>
      </c>
      <c r="H208" s="465" t="s">
        <v>1759</v>
      </c>
      <c r="I208" s="469">
        <v>73.865616060729906</v>
      </c>
      <c r="J208" s="469">
        <v>15.979612674800991</v>
      </c>
      <c r="K208" s="469">
        <v>517.0593124251094</v>
      </c>
      <c r="L208" s="470" t="s">
        <v>1760</v>
      </c>
    </row>
    <row r="209" spans="1:12">
      <c r="A209" s="468">
        <v>185.85667211292025</v>
      </c>
      <c r="B209" s="462">
        <v>39.039158189466249</v>
      </c>
      <c r="C209" s="462">
        <v>1563.9838958302241</v>
      </c>
      <c r="D209" s="463" t="s">
        <v>1761</v>
      </c>
      <c r="E209" s="464">
        <v>696.53391458598094</v>
      </c>
      <c r="F209" s="464">
        <v>72.664600932271952</v>
      </c>
      <c r="G209" s="464">
        <v>8706.6739323247602</v>
      </c>
      <c r="H209" s="465" t="s">
        <v>1762</v>
      </c>
      <c r="I209" s="469">
        <v>74.205126204324728</v>
      </c>
      <c r="J209" s="469">
        <v>12.252460562928356</v>
      </c>
      <c r="K209" s="469">
        <v>667.84613583892258</v>
      </c>
      <c r="L209" s="470" t="s">
        <v>1763</v>
      </c>
    </row>
    <row r="210" spans="1:12">
      <c r="A210" s="461">
        <v>195.29744152239394</v>
      </c>
      <c r="B210" s="461">
        <v>35.512563356179022</v>
      </c>
      <c r="C210" s="461">
        <v>1835.795950310503</v>
      </c>
      <c r="D210" s="463" t="s">
        <v>1764</v>
      </c>
      <c r="E210" s="464">
        <v>710.20242131222358</v>
      </c>
      <c r="F210" s="464">
        <v>93.864322983270256</v>
      </c>
      <c r="G210" s="464">
        <v>7812.2266344344589</v>
      </c>
      <c r="H210" s="465" t="s">
        <v>1765</v>
      </c>
      <c r="I210" s="469">
        <v>74.385767594793791</v>
      </c>
      <c r="J210" s="469">
        <v>12.723460562928357</v>
      </c>
      <c r="K210" s="469">
        <v>557.89325696095352</v>
      </c>
      <c r="L210" s="470" t="s">
        <v>1766</v>
      </c>
    </row>
    <row r="211" spans="1:12">
      <c r="A211" s="461">
        <v>197.87948861767865</v>
      </c>
      <c r="B211" s="461">
        <v>33.317689648748512</v>
      </c>
      <c r="C211" s="461">
        <v>1978.7948861767866</v>
      </c>
      <c r="D211" s="463" t="s">
        <v>1767</v>
      </c>
      <c r="E211" s="464">
        <v>750.10649498783005</v>
      </c>
      <c r="F211" s="464">
        <v>82.754281678089512</v>
      </c>
      <c r="G211" s="464">
        <v>9170.0519012262248</v>
      </c>
      <c r="H211" s="465" t="s">
        <v>1768</v>
      </c>
      <c r="I211" s="469">
        <v>74.573310306844164</v>
      </c>
      <c r="J211" s="469">
        <v>19.120654456813259</v>
      </c>
      <c r="K211" s="469">
        <v>559.29982730133122</v>
      </c>
      <c r="L211" s="470" t="s">
        <v>1769</v>
      </c>
    </row>
    <row r="212" spans="1:12">
      <c r="A212" s="468">
        <v>200.40237783540863</v>
      </c>
      <c r="B212" s="462">
        <v>33.776146977075811</v>
      </c>
      <c r="C212" s="462">
        <v>2004.0237783540863</v>
      </c>
      <c r="D212" s="463" t="s">
        <v>1770</v>
      </c>
      <c r="E212" s="464">
        <v>758.06905480770831</v>
      </c>
      <c r="F212" s="464">
        <v>63.080654456813264</v>
      </c>
      <c r="G212" s="464">
        <v>11371.035822115624</v>
      </c>
      <c r="H212" s="465" t="s">
        <v>1771</v>
      </c>
      <c r="I212" s="469">
        <v>74.713842234902117</v>
      </c>
      <c r="J212" s="469">
        <v>14.246152111872634</v>
      </c>
      <c r="K212" s="469">
        <v>597.71073787921694</v>
      </c>
      <c r="L212" s="470" t="s">
        <v>1772</v>
      </c>
    </row>
    <row r="213" spans="1:12">
      <c r="A213" s="461">
        <v>208.10393886931567</v>
      </c>
      <c r="B213" s="461">
        <v>31.517399978608879</v>
      </c>
      <c r="C213" s="461">
        <v>2278.7381306190068</v>
      </c>
      <c r="D213" s="463" t="s">
        <v>1773</v>
      </c>
      <c r="E213" s="464">
        <v>758.81891521450859</v>
      </c>
      <c r="F213" s="464">
        <v>75.804600932271953</v>
      </c>
      <c r="G213" s="464">
        <v>9864.6458977886105</v>
      </c>
      <c r="H213" s="465" t="s">
        <v>1774</v>
      </c>
      <c r="I213" s="469">
        <v>74.860292620730448</v>
      </c>
      <c r="J213" s="469">
        <v>15.979612674800991</v>
      </c>
      <c r="K213" s="469">
        <v>561.45219465547825</v>
      </c>
      <c r="L213" s="470" t="s">
        <v>1775</v>
      </c>
    </row>
    <row r="214" spans="1:12">
      <c r="A214" s="468">
        <v>208.10917230086113</v>
      </c>
      <c r="B214" s="462">
        <v>36.637127862458009</v>
      </c>
      <c r="C214" s="462">
        <v>2015.5373337338399</v>
      </c>
      <c r="D214" s="463" t="s">
        <v>1776</v>
      </c>
      <c r="E214" s="464">
        <v>772.8595833547455</v>
      </c>
      <c r="F214" s="464">
        <v>85.795548695843664</v>
      </c>
      <c r="G214" s="464">
        <v>9448.2084065117651</v>
      </c>
      <c r="H214" s="465" t="s">
        <v>1777</v>
      </c>
      <c r="I214" s="469">
        <v>74.968063013207527</v>
      </c>
      <c r="J214" s="469">
        <v>12.252460562928356</v>
      </c>
      <c r="K214" s="469">
        <v>749.68063013207518</v>
      </c>
      <c r="L214" s="470" t="s">
        <v>1778</v>
      </c>
    </row>
    <row r="215" spans="1:12">
      <c r="A215" s="461">
        <v>208.3019105730433</v>
      </c>
      <c r="B215" s="461">
        <v>31.532196880007302</v>
      </c>
      <c r="C215" s="461">
        <v>2281.9474303276893</v>
      </c>
      <c r="D215" s="463" t="s">
        <v>1779</v>
      </c>
      <c r="E215" s="464">
        <v>784.48647946159656</v>
      </c>
      <c r="F215" s="464">
        <v>59.371842251713431</v>
      </c>
      <c r="G215" s="464">
        <v>12747.905291250943</v>
      </c>
      <c r="H215" s="465" t="s">
        <v>1780</v>
      </c>
      <c r="I215" s="469">
        <v>74.990089308899996</v>
      </c>
      <c r="J215" s="469">
        <v>19.120654456813259</v>
      </c>
      <c r="K215" s="469">
        <v>524.93062516229998</v>
      </c>
      <c r="L215" s="470" t="s">
        <v>1781</v>
      </c>
    </row>
    <row r="216" spans="1:12">
      <c r="A216" s="468">
        <v>215.08809086248101</v>
      </c>
      <c r="B216" s="462">
        <v>46.25511377142319</v>
      </c>
      <c r="C216" s="462">
        <v>1809.9662846077777</v>
      </c>
      <c r="D216" s="463" t="s">
        <v>1782</v>
      </c>
      <c r="E216" s="464">
        <v>786.99362793393868</v>
      </c>
      <c r="F216" s="464">
        <v>65.656315836807735</v>
      </c>
      <c r="G216" s="464">
        <v>11804.904419009079</v>
      </c>
      <c r="H216" s="465" t="s">
        <v>1783</v>
      </c>
      <c r="I216" s="469">
        <v>75.190396766367911</v>
      </c>
      <c r="J216" s="469">
        <v>15.979612674800991</v>
      </c>
      <c r="K216" s="469">
        <v>601.52317413094329</v>
      </c>
      <c r="L216" s="470" t="s">
        <v>1784</v>
      </c>
    </row>
    <row r="217" spans="1:12">
      <c r="A217" s="461">
        <v>216.18728641114743</v>
      </c>
      <c r="B217" s="461">
        <v>39.729680254725281</v>
      </c>
      <c r="C217" s="461">
        <v>2032.1604922647857</v>
      </c>
      <c r="D217" s="463" t="s">
        <v>1785</v>
      </c>
      <c r="E217" s="464">
        <v>788.75327164075679</v>
      </c>
      <c r="F217" s="464">
        <v>84.826681678089514</v>
      </c>
      <c r="G217" s="464">
        <v>9859.4158955094608</v>
      </c>
      <c r="H217" s="465" t="s">
        <v>1786</v>
      </c>
      <c r="I217" s="469">
        <v>75.35467304902437</v>
      </c>
      <c r="J217" s="469">
        <v>14.246152111872634</v>
      </c>
      <c r="K217" s="469">
        <v>678.19205744121928</v>
      </c>
      <c r="L217" s="470" t="s">
        <v>1787</v>
      </c>
    </row>
    <row r="218" spans="1:12">
      <c r="A218" s="468">
        <v>217.81280313438924</v>
      </c>
      <c r="B218" s="462">
        <v>33.062196484602651</v>
      </c>
      <c r="C218" s="462">
        <v>2386.139258337234</v>
      </c>
      <c r="D218" s="463" t="s">
        <v>1788</v>
      </c>
      <c r="E218" s="464">
        <v>812.90515900071603</v>
      </c>
      <c r="F218" s="464">
        <v>87.954298695843661</v>
      </c>
      <c r="G218" s="464">
        <v>10161.314487508949</v>
      </c>
      <c r="H218" s="465" t="s">
        <v>1789</v>
      </c>
      <c r="I218" s="469">
        <v>76.465762697338576</v>
      </c>
      <c r="J218" s="469">
        <v>12.723460562928357</v>
      </c>
      <c r="K218" s="469">
        <v>611.72610157870861</v>
      </c>
      <c r="L218" s="470" t="s">
        <v>1790</v>
      </c>
    </row>
    <row r="219" spans="1:12">
      <c r="A219" s="468">
        <v>220.74293771956584</v>
      </c>
      <c r="B219" s="462">
        <v>29.532149040989154</v>
      </c>
      <c r="C219" s="462">
        <v>2698.5824136216925</v>
      </c>
      <c r="D219" s="463" t="s">
        <v>1791</v>
      </c>
      <c r="E219" s="464">
        <v>815.04398537131533</v>
      </c>
      <c r="F219" s="464">
        <v>61.975430110018735</v>
      </c>
      <c r="G219" s="464">
        <v>13244.464762283873</v>
      </c>
      <c r="H219" s="465" t="s">
        <v>1792</v>
      </c>
      <c r="I219" s="469">
        <v>79.280495749356589</v>
      </c>
      <c r="J219" s="469">
        <v>14.874152111872634</v>
      </c>
      <c r="K219" s="469">
        <v>594.60371812017445</v>
      </c>
      <c r="L219" s="470" t="s">
        <v>1793</v>
      </c>
    </row>
    <row r="220" spans="1:12">
      <c r="A220" s="461">
        <v>222.02646442221209</v>
      </c>
      <c r="B220" s="461">
        <v>48.028275788999061</v>
      </c>
      <c r="C220" s="461">
        <v>1868.3526981129148</v>
      </c>
      <c r="D220" s="463" t="s">
        <v>1794</v>
      </c>
      <c r="E220" s="464">
        <v>837.28538329501737</v>
      </c>
      <c r="F220" s="464">
        <v>94.724072284066281</v>
      </c>
      <c r="G220" s="464">
        <v>10235.813810781588</v>
      </c>
      <c r="H220" s="465" t="s">
        <v>1795</v>
      </c>
      <c r="I220" s="469">
        <v>79.305122901184902</v>
      </c>
      <c r="J220" s="469">
        <v>21.385344596654051</v>
      </c>
      <c r="K220" s="469">
        <v>475.83073740710944</v>
      </c>
      <c r="L220" s="470" t="s">
        <v>1796</v>
      </c>
    </row>
    <row r="221" spans="1:12">
      <c r="A221" s="461">
        <v>222.74444834258665</v>
      </c>
      <c r="B221" s="461">
        <v>37.880067579924287</v>
      </c>
      <c r="C221" s="461">
        <v>2227.4444834258666</v>
      </c>
      <c r="D221" s="463" t="s">
        <v>1797</v>
      </c>
      <c r="E221" s="464">
        <v>853.37913875323261</v>
      </c>
      <c r="F221" s="464">
        <v>71.62534459665406</v>
      </c>
      <c r="G221" s="464">
        <v>12800.687081298489</v>
      </c>
      <c r="H221" s="465" t="s">
        <v>1798</v>
      </c>
      <c r="I221" s="469">
        <v>79.427126204324722</v>
      </c>
      <c r="J221" s="469">
        <v>12.723460562928357</v>
      </c>
      <c r="K221" s="469">
        <v>714.84413583892263</v>
      </c>
      <c r="L221" s="470" t="s">
        <v>1799</v>
      </c>
    </row>
    <row r="222" spans="1:12">
      <c r="A222" s="461">
        <v>224.04749029489236</v>
      </c>
      <c r="B222" s="461">
        <v>26.535776507811548</v>
      </c>
      <c r="C222" s="461">
        <v>3058.2482425252806</v>
      </c>
      <c r="D222" s="463" t="s">
        <v>1800</v>
      </c>
      <c r="E222" s="464">
        <v>861.50030919445828</v>
      </c>
      <c r="F222" s="464">
        <v>88.594681678089515</v>
      </c>
      <c r="G222" s="464">
        <v>11199.504019527956</v>
      </c>
      <c r="H222" s="465" t="s">
        <v>1801</v>
      </c>
      <c r="I222" s="469">
        <v>80.589338321342026</v>
      </c>
      <c r="J222" s="469">
        <v>21.385344596654051</v>
      </c>
      <c r="K222" s="469">
        <v>604.42003741006511</v>
      </c>
      <c r="L222" s="470" t="s">
        <v>1802</v>
      </c>
    </row>
    <row r="223" spans="1:12">
      <c r="A223" s="468">
        <v>239.45539102995534</v>
      </c>
      <c r="B223" s="462">
        <v>36.597669458728937</v>
      </c>
      <c r="C223" s="462">
        <v>2622.0365317780111</v>
      </c>
      <c r="D223" s="463" t="s">
        <v>1803</v>
      </c>
      <c r="E223" s="464">
        <v>881.42572094425407</v>
      </c>
      <c r="F223" s="464">
        <v>97.141872284066281</v>
      </c>
      <c r="G223" s="464">
        <v>11017.821511803175</v>
      </c>
      <c r="H223" s="465" t="s">
        <v>1804</v>
      </c>
      <c r="I223" s="469">
        <v>80.684882057908368</v>
      </c>
      <c r="J223" s="469">
        <v>18.865842251713431</v>
      </c>
      <c r="K223" s="469">
        <v>484.10929234745021</v>
      </c>
      <c r="L223" s="470" t="s">
        <v>1805</v>
      </c>
    </row>
    <row r="224" spans="1:12">
      <c r="A224" s="461">
        <v>239.6847115917769</v>
      </c>
      <c r="B224" s="461">
        <v>36.614932510360433</v>
      </c>
      <c r="C224" s="461">
        <v>2625.7460154879154</v>
      </c>
      <c r="D224" s="463" t="s">
        <v>1806</v>
      </c>
      <c r="E224" s="464">
        <v>888.29883109983189</v>
      </c>
      <c r="F224" s="464">
        <v>91.879298695843659</v>
      </c>
      <c r="G224" s="464">
        <v>11547.884804297815</v>
      </c>
      <c r="H224" s="465" t="s">
        <v>1807</v>
      </c>
      <c r="I224" s="469">
        <v>80.789863013207523</v>
      </c>
      <c r="J224" s="469">
        <v>12.723460562928357</v>
      </c>
      <c r="K224" s="469">
        <v>807.89863013207525</v>
      </c>
      <c r="L224" s="470" t="s">
        <v>1808</v>
      </c>
    </row>
    <row r="225" spans="1:12">
      <c r="A225" s="468">
        <v>242.77293841172445</v>
      </c>
      <c r="B225" s="462">
        <v>37.120493308139324</v>
      </c>
      <c r="C225" s="462">
        <v>2659.5775403004413</v>
      </c>
      <c r="D225" s="463" t="s">
        <v>1809</v>
      </c>
      <c r="E225" s="464">
        <v>896.90001657342964</v>
      </c>
      <c r="F225" s="464">
        <v>68.575654456813254</v>
      </c>
      <c r="G225" s="464">
        <v>14574.625269318232</v>
      </c>
      <c r="H225" s="465" t="s">
        <v>1810</v>
      </c>
      <c r="I225" s="469">
        <v>80.799175568235427</v>
      </c>
      <c r="J225" s="469">
        <v>14.874152111872634</v>
      </c>
      <c r="K225" s="469">
        <v>646.39340454588341</v>
      </c>
      <c r="L225" s="470" t="s">
        <v>1811</v>
      </c>
    </row>
    <row r="226" spans="1:12">
      <c r="A226" s="461">
        <v>246.81167915293182</v>
      </c>
      <c r="B226" s="461">
        <v>42.393122506438715</v>
      </c>
      <c r="C226" s="461">
        <v>2468.1167915293181</v>
      </c>
      <c r="D226" s="463" t="s">
        <v>1812</v>
      </c>
      <c r="E226" s="464">
        <v>908.455083912335</v>
      </c>
      <c r="F226" s="464">
        <v>69.513875329958296</v>
      </c>
      <c r="G226" s="464">
        <v>14762.395113575443</v>
      </c>
      <c r="H226" s="465" t="s">
        <v>1813</v>
      </c>
      <c r="I226" s="469">
        <v>81.217480782735947</v>
      </c>
      <c r="J226" s="469">
        <v>21.385344596654051</v>
      </c>
      <c r="K226" s="469">
        <v>568.52236547915163</v>
      </c>
      <c r="L226" s="470" t="s">
        <v>1814</v>
      </c>
    </row>
    <row r="227" spans="1:12">
      <c r="A227" s="468">
        <v>252.09996726461995</v>
      </c>
      <c r="B227" s="462">
        <v>45.303179781458937</v>
      </c>
      <c r="C227" s="462">
        <v>2441.5881829578439</v>
      </c>
      <c r="D227" s="463" t="s">
        <v>1815</v>
      </c>
      <c r="E227" s="464">
        <v>914.40803454238983</v>
      </c>
      <c r="F227" s="464">
        <v>106.17312298327026</v>
      </c>
      <c r="G227" s="464">
        <v>11178.638222280713</v>
      </c>
      <c r="H227" s="465" t="s">
        <v>1816</v>
      </c>
      <c r="I227" s="469">
        <v>81.785538024523987</v>
      </c>
      <c r="J227" s="469">
        <v>14.874152111872634</v>
      </c>
      <c r="K227" s="469">
        <v>695.17707320845375</v>
      </c>
      <c r="L227" s="470" t="s">
        <v>1817</v>
      </c>
    </row>
    <row r="228" spans="1:12">
      <c r="A228" s="461">
        <v>261.63882527093347</v>
      </c>
      <c r="B228" s="461">
        <v>35.290609835202901</v>
      </c>
      <c r="C228" s="461">
        <v>3198.5346389371621</v>
      </c>
      <c r="D228" s="463" t="s">
        <v>1818</v>
      </c>
      <c r="E228" s="464">
        <v>914.72830550471417</v>
      </c>
      <c r="F228" s="464">
        <v>64.081842251713439</v>
      </c>
      <c r="G228" s="464">
        <v>16007.745346332496</v>
      </c>
      <c r="H228" s="465" t="s">
        <v>1819</v>
      </c>
      <c r="I228" s="469">
        <v>82.239413789765081</v>
      </c>
      <c r="J228" s="469">
        <v>14.874152111872634</v>
      </c>
      <c r="K228" s="469">
        <v>740.15472410788573</v>
      </c>
      <c r="L228" s="470" t="s">
        <v>1820</v>
      </c>
    </row>
    <row r="229" spans="1:12">
      <c r="A229" s="468">
        <v>269.90254506962094</v>
      </c>
      <c r="B229" s="462">
        <v>41.628615934187629</v>
      </c>
      <c r="C229" s="462">
        <v>2955.4328685123496</v>
      </c>
      <c r="D229" s="463" t="s">
        <v>1821</v>
      </c>
      <c r="E229" s="464">
        <v>951.12188451645602</v>
      </c>
      <c r="F229" s="464">
        <v>66.920930110018745</v>
      </c>
      <c r="G229" s="464">
        <v>16644.632979037979</v>
      </c>
      <c r="H229" s="465" t="s">
        <v>1822</v>
      </c>
      <c r="I229" s="469">
        <v>82.515811513999125</v>
      </c>
      <c r="J229" s="469">
        <v>15.502152111872633</v>
      </c>
      <c r="K229" s="469">
        <v>577.61068059799391</v>
      </c>
      <c r="L229" s="470" t="s">
        <v>1823</v>
      </c>
    </row>
    <row r="230" spans="1:12">
      <c r="A230" s="468">
        <v>270.09842839238246</v>
      </c>
      <c r="B230" s="462">
        <v>46.856854428291768</v>
      </c>
      <c r="C230" s="462">
        <v>2700.9842839238245</v>
      </c>
      <c r="D230" s="463" t="s">
        <v>1824</v>
      </c>
      <c r="E230" s="464">
        <v>963.77079054595981</v>
      </c>
      <c r="F230" s="464">
        <v>108.93632298327026</v>
      </c>
      <c r="G230" s="464">
        <v>12047.134881824499</v>
      </c>
      <c r="H230" s="465" t="s">
        <v>1825</v>
      </c>
      <c r="I230" s="469">
        <v>85.286035006535144</v>
      </c>
      <c r="J230" s="469">
        <v>18.865842251713431</v>
      </c>
      <c r="K230" s="469">
        <v>597.00224504574589</v>
      </c>
      <c r="L230" s="470" t="s">
        <v>1826</v>
      </c>
    </row>
    <row r="231" spans="1:12">
      <c r="A231" s="461">
        <v>270.16274518209673</v>
      </c>
      <c r="B231" s="461">
        <v>41.648345136052157</v>
      </c>
      <c r="C231" s="461">
        <v>2959.63287346987</v>
      </c>
      <c r="D231" s="463" t="s">
        <v>1827</v>
      </c>
      <c r="E231" s="464">
        <v>964.57453027544591</v>
      </c>
      <c r="F231" s="464">
        <v>101.53787228406628</v>
      </c>
      <c r="G231" s="464">
        <v>12539.468893580797</v>
      </c>
      <c r="H231" s="465" t="s">
        <v>1828</v>
      </c>
      <c r="I231" s="469">
        <v>85.710262697338578</v>
      </c>
      <c r="J231" s="469">
        <v>13.665460562928358</v>
      </c>
      <c r="K231" s="469">
        <v>685.68210157870851</v>
      </c>
      <c r="L231" s="470" t="s">
        <v>1829</v>
      </c>
    </row>
    <row r="232" spans="1:12">
      <c r="A232" s="468">
        <v>273.70361184848235</v>
      </c>
      <c r="B232" s="462">
        <v>37.008530087558064</v>
      </c>
      <c r="C232" s="462">
        <v>3346.0266548476966</v>
      </c>
      <c r="D232" s="463" t="s">
        <v>1830</v>
      </c>
      <c r="E232" s="464">
        <v>1010.9001411707604</v>
      </c>
      <c r="F232" s="464">
        <v>77.905344596654061</v>
      </c>
      <c r="G232" s="464">
        <v>16427.127294024856</v>
      </c>
      <c r="H232" s="465" t="s">
        <v>1831</v>
      </c>
      <c r="I232" s="469">
        <v>86.393788192573581</v>
      </c>
      <c r="J232" s="469">
        <v>18.865842251713431</v>
      </c>
      <c r="K232" s="469">
        <v>647.95341144430176</v>
      </c>
      <c r="L232" s="470" t="s">
        <v>1832</v>
      </c>
    </row>
    <row r="233" spans="1:12">
      <c r="A233" s="461">
        <v>276.98277413994128</v>
      </c>
      <c r="B233" s="461">
        <v>33.04641312311103</v>
      </c>
      <c r="C233" s="461">
        <v>3780.8148670101987</v>
      </c>
      <c r="D233" s="463" t="s">
        <v>1833</v>
      </c>
      <c r="E233" s="464">
        <v>1034.6243741810536</v>
      </c>
      <c r="F233" s="464">
        <v>88.364600932271955</v>
      </c>
      <c r="G233" s="464">
        <v>15519.365612715801</v>
      </c>
      <c r="H233" s="465" t="s">
        <v>1834</v>
      </c>
      <c r="I233" s="469">
        <v>86.705129734474497</v>
      </c>
      <c r="J233" s="469">
        <v>18.865842251713431</v>
      </c>
      <c r="K233" s="469">
        <v>693.64103787579597</v>
      </c>
      <c r="L233" s="470" t="s">
        <v>1835</v>
      </c>
    </row>
    <row r="234" spans="1:12">
      <c r="A234" s="468">
        <v>293.15440072406903</v>
      </c>
      <c r="B234" s="462">
        <v>53.771939681814402</v>
      </c>
      <c r="C234" s="462">
        <v>2839.2003710126082</v>
      </c>
      <c r="D234" s="463" t="s">
        <v>1836</v>
      </c>
      <c r="E234" s="464">
        <v>1036.0743225774513</v>
      </c>
      <c r="F234" s="464">
        <v>120.21003377570142</v>
      </c>
      <c r="G234" s="464">
        <v>12950.92903221814</v>
      </c>
      <c r="H234" s="465" t="s">
        <v>1837</v>
      </c>
      <c r="I234" s="469">
        <v>86.884508901568822</v>
      </c>
      <c r="J234" s="469">
        <v>15.502152111872633</v>
      </c>
      <c r="K234" s="469">
        <v>695.07607121255057</v>
      </c>
      <c r="L234" s="470" t="s">
        <v>1838</v>
      </c>
    </row>
    <row r="235" spans="1:12">
      <c r="A235" s="468">
        <v>299.46295947875996</v>
      </c>
      <c r="B235" s="462">
        <v>46.610239404984966</v>
      </c>
      <c r="C235" s="462">
        <v>3279.1194062924219</v>
      </c>
      <c r="D235" s="463" t="s">
        <v>1839</v>
      </c>
      <c r="E235" s="464">
        <v>1047.3975412299465</v>
      </c>
      <c r="F235" s="464">
        <v>74.070654456813259</v>
      </c>
      <c r="G235" s="464">
        <v>18329.456971524061</v>
      </c>
      <c r="H235" s="465" t="s">
        <v>1840</v>
      </c>
      <c r="I235" s="469">
        <v>86.889425584539467</v>
      </c>
      <c r="J235" s="469">
        <v>17.549612674800994</v>
      </c>
      <c r="K235" s="469">
        <v>608.22597909177637</v>
      </c>
      <c r="L235" s="470" t="s">
        <v>1841</v>
      </c>
    </row>
    <row r="236" spans="1:12">
      <c r="A236" s="461">
        <v>301.49284280833967</v>
      </c>
      <c r="B236" s="461">
        <v>40.999747624755294</v>
      </c>
      <c r="C236" s="461">
        <v>3685.7500033319525</v>
      </c>
      <c r="D236" s="463" t="s">
        <v>1842</v>
      </c>
      <c r="E236" s="464">
        <v>1056.8284628400356</v>
      </c>
      <c r="F236" s="464">
        <v>113.96032298327026</v>
      </c>
      <c r="G236" s="464">
        <v>13738.770016920462</v>
      </c>
      <c r="H236" s="465" t="s">
        <v>1843</v>
      </c>
      <c r="I236" s="469">
        <v>87.43467276417293</v>
      </c>
      <c r="J236" s="469">
        <v>28.306681678089511</v>
      </c>
      <c r="K236" s="469">
        <v>524.60803658503755</v>
      </c>
      <c r="L236" s="470" t="s">
        <v>1844</v>
      </c>
    </row>
    <row r="237" spans="1:12">
      <c r="A237" s="461">
        <v>302.97493540227606</v>
      </c>
      <c r="B237" s="461">
        <v>55.858302778989916</v>
      </c>
      <c r="C237" s="461">
        <v>2934.3122493710434</v>
      </c>
      <c r="D237" s="463" t="s">
        <v>1845</v>
      </c>
      <c r="E237" s="464">
        <v>1061.0011272009501</v>
      </c>
      <c r="F237" s="464">
        <v>75.087375329958292</v>
      </c>
      <c r="G237" s="464">
        <v>18567.519726016624</v>
      </c>
      <c r="H237" s="465" t="s">
        <v>1846</v>
      </c>
      <c r="I237" s="469">
        <v>87.960972769854138</v>
      </c>
      <c r="J237" s="469">
        <v>21.318654456813256</v>
      </c>
      <c r="K237" s="469">
        <v>527.7658366191248</v>
      </c>
      <c r="L237" s="470" t="s">
        <v>1847</v>
      </c>
    </row>
    <row r="238" spans="1:12">
      <c r="A238" s="468">
        <v>305.42163016917777</v>
      </c>
      <c r="B238" s="462">
        <v>41.567948638454141</v>
      </c>
      <c r="C238" s="462">
        <v>3733.7794288181981</v>
      </c>
      <c r="D238" s="463" t="s">
        <v>1848</v>
      </c>
      <c r="E238" s="464">
        <v>1138.5475745754675</v>
      </c>
      <c r="F238" s="464">
        <v>125.86203377570141</v>
      </c>
      <c r="G238" s="464">
        <v>14801.118469481078</v>
      </c>
      <c r="H238" s="465" t="s">
        <v>1849</v>
      </c>
      <c r="I238" s="469">
        <v>88.882514842952688</v>
      </c>
      <c r="J238" s="469">
        <v>17.549612674800994</v>
      </c>
      <c r="K238" s="469">
        <v>666.61886132214511</v>
      </c>
      <c r="L238" s="470" t="s">
        <v>1850</v>
      </c>
    </row>
    <row r="239" spans="1:12">
      <c r="A239" s="468">
        <v>314.39852905547673</v>
      </c>
      <c r="B239" s="462">
        <v>55.636349258013801</v>
      </c>
      <c r="C239" s="462">
        <v>3143.9852905547673</v>
      </c>
      <c r="D239" s="463" t="s">
        <v>1851</v>
      </c>
      <c r="E239" s="464">
        <v>1181.7542998845672</v>
      </c>
      <c r="F239" s="464">
        <v>84.185344596654062</v>
      </c>
      <c r="G239" s="464">
        <v>20680.700247979927</v>
      </c>
      <c r="H239" s="465" t="s">
        <v>1852</v>
      </c>
      <c r="I239" s="469">
        <v>89.023596263568848</v>
      </c>
      <c r="J239" s="469">
        <v>25.564600932271951</v>
      </c>
      <c r="K239" s="469">
        <v>534.14157758141312</v>
      </c>
      <c r="L239" s="470" t="s">
        <v>1853</v>
      </c>
    </row>
    <row r="240" spans="1:12">
      <c r="A240" s="461">
        <v>317.57736471286916</v>
      </c>
      <c r="B240" s="461">
        <v>31.556858382338028</v>
      </c>
      <c r="C240" s="461">
        <v>5143.1654215249155</v>
      </c>
      <c r="D240" s="463" t="s">
        <v>1854</v>
      </c>
      <c r="E240" s="464">
        <v>1184.4902567420784</v>
      </c>
      <c r="F240" s="464">
        <v>103.66668167808952</v>
      </c>
      <c r="G240" s="464">
        <v>17767.353851131174</v>
      </c>
      <c r="H240" s="465" t="s">
        <v>1855</v>
      </c>
      <c r="I240" s="469">
        <v>89.124154530505834</v>
      </c>
      <c r="J240" s="469">
        <v>15.502152111872633</v>
      </c>
      <c r="K240" s="469">
        <v>802.11739077455252</v>
      </c>
      <c r="L240" s="470" t="s">
        <v>1856</v>
      </c>
    </row>
    <row r="241" spans="1:12">
      <c r="A241" s="468">
        <v>325.01217943327021</v>
      </c>
      <c r="B241" s="462">
        <v>57.800396087530963</v>
      </c>
      <c r="C241" s="462">
        <v>3250.1217943327019</v>
      </c>
      <c r="D241" s="463" t="s">
        <v>1857</v>
      </c>
      <c r="E241" s="464">
        <v>1223.2089689656088</v>
      </c>
      <c r="F241" s="464">
        <v>107.57929869584366</v>
      </c>
      <c r="G241" s="464">
        <v>18348.134534484132</v>
      </c>
      <c r="H241" s="465" t="s">
        <v>1858</v>
      </c>
      <c r="I241" s="469">
        <v>89.871126204324725</v>
      </c>
      <c r="J241" s="469">
        <v>13.665460562928358</v>
      </c>
      <c r="K241" s="469">
        <v>808.84013583892261</v>
      </c>
      <c r="L241" s="470" t="s">
        <v>1859</v>
      </c>
    </row>
    <row r="242" spans="1:12">
      <c r="A242" s="461">
        <v>328.47457433282494</v>
      </c>
      <c r="B242" s="461">
        <v>51.567201373451624</v>
      </c>
      <c r="C242" s="461">
        <v>3598.4389618160976</v>
      </c>
      <c r="D242" s="463" t="s">
        <v>1860</v>
      </c>
      <c r="E242" s="464">
        <v>1228.6686963179156</v>
      </c>
      <c r="F242" s="464">
        <v>96.214600932271949</v>
      </c>
      <c r="G242" s="464">
        <v>19965.866315166128</v>
      </c>
      <c r="H242" s="465" t="s">
        <v>1861</v>
      </c>
      <c r="I242" s="469">
        <v>90.211230099701268</v>
      </c>
      <c r="J242" s="469">
        <v>17.549612674800994</v>
      </c>
      <c r="K242" s="469">
        <v>721.68984079761015</v>
      </c>
      <c r="L242" s="470" t="s">
        <v>1862</v>
      </c>
    </row>
    <row r="243" spans="1:12">
      <c r="A243" s="468">
        <v>328.72408591547787</v>
      </c>
      <c r="B243" s="462">
        <v>39.507726733749166</v>
      </c>
      <c r="C243" s="462">
        <v>4487.0837727462722</v>
      </c>
      <c r="D243" s="463" t="s">
        <v>1863</v>
      </c>
      <c r="E243" s="464">
        <v>1334.5064307144794</v>
      </c>
      <c r="F243" s="464">
        <v>119.12187228406628</v>
      </c>
      <c r="G243" s="464">
        <v>20017.596460717192</v>
      </c>
      <c r="H243" s="465" t="s">
        <v>1864</v>
      </c>
      <c r="I243" s="469">
        <v>90.651873527134427</v>
      </c>
      <c r="J243" s="469">
        <v>16.130152111872636</v>
      </c>
      <c r="K243" s="469">
        <v>679.88905145350805</v>
      </c>
      <c r="L243" s="470" t="s">
        <v>1865</v>
      </c>
    </row>
    <row r="244" spans="1:12">
      <c r="A244" s="468">
        <v>340.32283766182883</v>
      </c>
      <c r="B244" s="462">
        <v>46.659562409646334</v>
      </c>
      <c r="C244" s="462">
        <v>4160.4466904158571</v>
      </c>
      <c r="D244" s="463" t="s">
        <v>1866</v>
      </c>
      <c r="E244" s="464">
        <v>1383.392357047273</v>
      </c>
      <c r="F244" s="464">
        <v>85.060654456813239</v>
      </c>
      <c r="G244" s="464">
        <v>27667.847140945458</v>
      </c>
      <c r="H244" s="465" t="s">
        <v>1867</v>
      </c>
      <c r="I244" s="469">
        <v>90.874010164869844</v>
      </c>
      <c r="J244" s="469">
        <v>17.549612674800994</v>
      </c>
      <c r="K244" s="469">
        <v>817.86609148382865</v>
      </c>
      <c r="L244" s="470" t="s">
        <v>1868</v>
      </c>
    </row>
    <row r="245" spans="1:12">
      <c r="A245" s="468">
        <v>344.01636296989159</v>
      </c>
      <c r="B245" s="462">
        <v>41.436502831031703</v>
      </c>
      <c r="C245" s="462">
        <v>4695.8233545390203</v>
      </c>
      <c r="D245" s="463" t="s">
        <v>1869</v>
      </c>
      <c r="E245" s="464">
        <v>1401.5929666512168</v>
      </c>
      <c r="F245" s="464">
        <v>86.234375329958297</v>
      </c>
      <c r="G245" s="464">
        <v>28031.859333024335</v>
      </c>
      <c r="H245" s="465" t="s">
        <v>1870</v>
      </c>
      <c r="I245" s="469">
        <v>92.433463013207529</v>
      </c>
      <c r="J245" s="469">
        <v>13.665460562928358</v>
      </c>
      <c r="K245" s="469">
        <v>924.33463013207518</v>
      </c>
      <c r="L245" s="470" t="s">
        <v>1871</v>
      </c>
    </row>
    <row r="246" spans="1:12">
      <c r="A246" s="461">
        <v>379.28951567150727</v>
      </c>
      <c r="B246" s="461">
        <v>45.919717339725935</v>
      </c>
      <c r="C246" s="461">
        <v>5177.3018889160739</v>
      </c>
      <c r="D246" s="463" t="s">
        <v>1872</v>
      </c>
      <c r="E246" s="464">
        <v>1412.3600972923498</v>
      </c>
      <c r="F246" s="464">
        <v>113.08668167808952</v>
      </c>
      <c r="G246" s="464">
        <v>22950.851581000687</v>
      </c>
      <c r="H246" s="465" t="s">
        <v>1873</v>
      </c>
      <c r="I246" s="469">
        <v>92.695422642233325</v>
      </c>
      <c r="J246" s="469">
        <v>21.318654456813256</v>
      </c>
      <c r="K246" s="469">
        <v>648.86795849563316</v>
      </c>
      <c r="L246" s="470" t="s">
        <v>1874</v>
      </c>
    </row>
    <row r="247" spans="1:12">
      <c r="A247" s="468">
        <v>383.37580590093091</v>
      </c>
      <c r="B247" s="462">
        <v>61.28876559220565</v>
      </c>
      <c r="C247" s="462">
        <v>4199.8819536446981</v>
      </c>
      <c r="D247" s="463" t="s">
        <v>1875</v>
      </c>
      <c r="E247" s="464">
        <v>1439.3792529020752</v>
      </c>
      <c r="F247" s="464">
        <v>104.06460093227196</v>
      </c>
      <c r="G247" s="464">
        <v>25189.136925786319</v>
      </c>
      <c r="H247" s="465" t="s">
        <v>1876</v>
      </c>
      <c r="I247" s="469">
        <v>93.674288084621949</v>
      </c>
      <c r="J247" s="469">
        <v>21.318654456813256</v>
      </c>
      <c r="K247" s="469">
        <v>702.55716063466468</v>
      </c>
      <c r="L247" s="470" t="s">
        <v>1877</v>
      </c>
    </row>
    <row r="248" spans="1:12">
      <c r="A248" s="461">
        <v>384.28207748264293</v>
      </c>
      <c r="B248" s="461">
        <v>46.558203635067223</v>
      </c>
      <c r="C248" s="461">
        <v>5245.4503576380757</v>
      </c>
      <c r="D248" s="463" t="s">
        <v>1878</v>
      </c>
      <c r="E248" s="464">
        <v>1459.6124610500399</v>
      </c>
      <c r="F248" s="464">
        <v>117.39179869584366</v>
      </c>
      <c r="G248" s="464">
        <v>23718.702492063148</v>
      </c>
      <c r="H248" s="465" t="s">
        <v>1879</v>
      </c>
      <c r="I248" s="469">
        <v>93.725640446776737</v>
      </c>
      <c r="J248" s="469">
        <v>21.318654456813256</v>
      </c>
      <c r="K248" s="469">
        <v>749.80512357421401</v>
      </c>
      <c r="L248" s="470" t="s">
        <v>1880</v>
      </c>
    </row>
    <row r="249" spans="1:12">
      <c r="A249" s="461">
        <v>393.29574144537906</v>
      </c>
      <c r="B249" s="461">
        <v>39.322765466269068</v>
      </c>
      <c r="C249" s="461">
        <v>6369.4245327079143</v>
      </c>
      <c r="D249" s="463" t="s">
        <v>1881</v>
      </c>
      <c r="E249" s="464">
        <v>1471.7314991422713</v>
      </c>
      <c r="F249" s="464">
        <v>134.05632298327026</v>
      </c>
      <c r="G249" s="464">
        <v>22075.972487134073</v>
      </c>
      <c r="H249" s="465" t="s">
        <v>1882</v>
      </c>
      <c r="I249" s="469">
        <v>94.755577240210229</v>
      </c>
      <c r="J249" s="469">
        <v>16.130152111872636</v>
      </c>
      <c r="K249" s="469">
        <v>805.42240654178704</v>
      </c>
      <c r="L249" s="470" t="s">
        <v>1883</v>
      </c>
    </row>
    <row r="250" spans="1:12">
      <c r="A250" s="461">
        <v>396.58416546562518</v>
      </c>
      <c r="B250" s="461">
        <v>63.688329768980779</v>
      </c>
      <c r="C250" s="461">
        <v>4344.5795326759244</v>
      </c>
      <c r="D250" s="463" t="s">
        <v>1884</v>
      </c>
      <c r="E250" s="464">
        <v>1563.4622189788124</v>
      </c>
      <c r="F250" s="464">
        <v>96.745344596654064</v>
      </c>
      <c r="G250" s="464">
        <v>31269.244379576248</v>
      </c>
      <c r="H250" s="465" t="s">
        <v>1885</v>
      </c>
      <c r="I250" s="469">
        <v>95.893625954063779</v>
      </c>
      <c r="J250" s="469">
        <v>18.334612674800994</v>
      </c>
      <c r="K250" s="469">
        <v>719.20219465547825</v>
      </c>
      <c r="L250" s="470" t="s">
        <v>1886</v>
      </c>
    </row>
    <row r="251" spans="1:12">
      <c r="A251" s="461">
        <v>414.9813776942504</v>
      </c>
      <c r="B251" s="461">
        <v>57.831222965444312</v>
      </c>
      <c r="C251" s="461">
        <v>5073.1473423122106</v>
      </c>
      <c r="D251" s="463" t="s">
        <v>1887</v>
      </c>
      <c r="E251" s="464">
        <v>1596.0492829352909</v>
      </c>
      <c r="F251" s="464">
        <v>130.11187228406629</v>
      </c>
      <c r="G251" s="464">
        <v>25935.800847698476</v>
      </c>
      <c r="H251" s="465" t="s">
        <v>1888</v>
      </c>
      <c r="I251" s="469">
        <v>96.008895271246544</v>
      </c>
      <c r="J251" s="469">
        <v>16.130152111872636</v>
      </c>
      <c r="K251" s="469">
        <v>864.08005744121897</v>
      </c>
      <c r="L251" s="470" t="s">
        <v>1889</v>
      </c>
    </row>
    <row r="252" spans="1:12">
      <c r="A252" s="468">
        <v>428.69701536605004</v>
      </c>
      <c r="B252" s="462">
        <v>52.282384941041343</v>
      </c>
      <c r="C252" s="462">
        <v>5851.7142597465836</v>
      </c>
      <c r="D252" s="463" t="s">
        <v>1890</v>
      </c>
      <c r="E252" s="464">
        <v>1596.4496815649068</v>
      </c>
      <c r="F252" s="464">
        <v>148.47003377570141</v>
      </c>
      <c r="G252" s="464">
        <v>23946.745223473601</v>
      </c>
      <c r="H252" s="465" t="s">
        <v>1891</v>
      </c>
      <c r="I252" s="469">
        <v>96.058900678962701</v>
      </c>
      <c r="J252" s="469">
        <v>23.897344596654047</v>
      </c>
      <c r="K252" s="469">
        <v>576.35340407377612</v>
      </c>
      <c r="L252" s="470" t="s">
        <v>1892</v>
      </c>
    </row>
    <row r="253" spans="1:12">
      <c r="A253" s="468">
        <v>435.00209474619101</v>
      </c>
      <c r="B253" s="462">
        <v>70.813037792314176</v>
      </c>
      <c r="C253" s="462">
        <v>4765.4479479445226</v>
      </c>
      <c r="D253" s="463" t="s">
        <v>1893</v>
      </c>
      <c r="E253" s="464">
        <v>1660.2305797471975</v>
      </c>
      <c r="F253" s="464">
        <v>122.50668167808952</v>
      </c>
      <c r="G253" s="464">
        <v>29054.035145575959</v>
      </c>
      <c r="H253" s="465" t="s">
        <v>1894</v>
      </c>
      <c r="I253" s="469">
        <v>96.33756241602326</v>
      </c>
      <c r="J253" s="469">
        <v>16.758152111872633</v>
      </c>
      <c r="K253" s="469">
        <v>722.53171812017445</v>
      </c>
      <c r="L253" s="470" t="s">
        <v>1895</v>
      </c>
    </row>
    <row r="254" spans="1:12">
      <c r="A254" s="468">
        <v>467.58055857740067</v>
      </c>
      <c r="B254" s="462">
        <v>47.039349545538833</v>
      </c>
      <c r="C254" s="462">
        <v>7572.4671461610033</v>
      </c>
      <c r="D254" s="463" t="s">
        <v>1896</v>
      </c>
      <c r="E254" s="464">
        <v>1708.9462792499207</v>
      </c>
      <c r="F254" s="464">
        <v>162.36300466135975</v>
      </c>
      <c r="G254" s="464">
        <v>25634.194188748814</v>
      </c>
      <c r="H254" s="465" t="s">
        <v>1897</v>
      </c>
      <c r="I254" s="469">
        <v>96.917730595066757</v>
      </c>
      <c r="J254" s="469">
        <v>16.130152111872636</v>
      </c>
      <c r="K254" s="469">
        <v>969.17730595066757</v>
      </c>
      <c r="L254" s="470" t="s">
        <v>1898</v>
      </c>
    </row>
    <row r="255" spans="1:12">
      <c r="A255" s="468">
        <v>485.7541402366229</v>
      </c>
      <c r="B255" s="462">
        <v>68.805591502596855</v>
      </c>
      <c r="C255" s="462">
        <v>5938.3443643927149</v>
      </c>
      <c r="D255" s="463" t="s">
        <v>1899</v>
      </c>
      <c r="E255" s="464">
        <v>1716.8500422306529</v>
      </c>
      <c r="F255" s="464">
        <v>127.20429869584366</v>
      </c>
      <c r="G255" s="464">
        <v>30044.87573903643</v>
      </c>
      <c r="H255" s="465" t="s">
        <v>1900</v>
      </c>
      <c r="I255" s="469">
        <v>97.721646766367911</v>
      </c>
      <c r="J255" s="469">
        <v>18.334612674800994</v>
      </c>
      <c r="K255" s="469">
        <v>781.77317413094329</v>
      </c>
      <c r="L255" s="470" t="s">
        <v>1901</v>
      </c>
    </row>
    <row r="256" spans="1:12">
      <c r="A256" s="461">
        <v>489.58918494593752</v>
      </c>
      <c r="B256" s="461">
        <v>49.344706783410864</v>
      </c>
      <c r="C256" s="461">
        <v>7928.8968501994577</v>
      </c>
      <c r="D256" s="463" t="s">
        <v>1902</v>
      </c>
      <c r="E256" s="464">
        <v>1765.7161137848764</v>
      </c>
      <c r="F256" s="464">
        <v>146.61632298327027</v>
      </c>
      <c r="G256" s="464">
        <v>28692.886849004241</v>
      </c>
      <c r="H256" s="465" t="s">
        <v>1903</v>
      </c>
      <c r="I256" s="469">
        <v>98.884970688412309</v>
      </c>
      <c r="J256" s="469">
        <v>18.334612674800994</v>
      </c>
      <c r="K256" s="469">
        <v>840.52225085150451</v>
      </c>
      <c r="L256" s="470" t="s">
        <v>1904</v>
      </c>
    </row>
    <row r="257" spans="1:12">
      <c r="A257" s="468">
        <v>502.85631373509943</v>
      </c>
      <c r="B257" s="462">
        <v>71.518356758971635</v>
      </c>
      <c r="C257" s="462">
        <v>6147.4184354115905</v>
      </c>
      <c r="D257" s="463" t="s">
        <v>1905</v>
      </c>
      <c r="E257" s="464">
        <v>1880.9266576969105</v>
      </c>
      <c r="F257" s="464">
        <v>141.10187228406627</v>
      </c>
      <c r="G257" s="464">
        <v>32916.216509695936</v>
      </c>
      <c r="H257" s="465" t="s">
        <v>1906</v>
      </c>
      <c r="I257" s="469">
        <v>99.055175568235427</v>
      </c>
      <c r="J257" s="469">
        <v>16.758152111872633</v>
      </c>
      <c r="K257" s="469">
        <v>792.44140454588342</v>
      </c>
      <c r="L257" s="470" t="s">
        <v>1907</v>
      </c>
    </row>
    <row r="258" spans="1:12">
      <c r="A258" s="468">
        <v>524.10934194283425</v>
      </c>
      <c r="B258" s="462">
        <v>64.859751129688078</v>
      </c>
      <c r="C258" s="462">
        <v>7154.0925175196871</v>
      </c>
      <c r="D258" s="463" t="s">
        <v>1908</v>
      </c>
      <c r="E258" s="464">
        <v>1910.7993935768172</v>
      </c>
      <c r="F258" s="464">
        <v>119.76460093227195</v>
      </c>
      <c r="G258" s="464">
        <v>38215.987871536345</v>
      </c>
      <c r="H258" s="465" t="s">
        <v>1909</v>
      </c>
      <c r="I258" s="469">
        <v>99.383269424129125</v>
      </c>
      <c r="J258" s="469">
        <v>18.334612674800994</v>
      </c>
      <c r="K258" s="469">
        <v>894.44942481716203</v>
      </c>
      <c r="L258" s="470" t="s">
        <v>1910</v>
      </c>
    </row>
    <row r="259" spans="1:12">
      <c r="A259" s="468">
        <v>540.45002551321716</v>
      </c>
      <c r="B259" s="462">
        <v>54.706610620147245</v>
      </c>
      <c r="C259" s="462">
        <v>8752.5881631865523</v>
      </c>
      <c r="D259" s="463" t="s">
        <v>1911</v>
      </c>
      <c r="E259" s="464">
        <v>1921.6441853066649</v>
      </c>
      <c r="F259" s="464">
        <v>162.60003377570141</v>
      </c>
      <c r="G259" s="464">
        <v>31226.718011233304</v>
      </c>
      <c r="H259" s="465" t="s">
        <v>1912</v>
      </c>
      <c r="I259" s="469">
        <v>99.913235108348957</v>
      </c>
      <c r="J259" s="469">
        <v>19.119612674800994</v>
      </c>
      <c r="K259" s="469">
        <v>699.39264575844277</v>
      </c>
      <c r="L259" s="470" t="s">
        <v>1913</v>
      </c>
    </row>
    <row r="260" spans="1:12">
      <c r="A260" s="468">
        <v>547.65982553524884</v>
      </c>
      <c r="B260" s="462">
        <v>55.470623962351603</v>
      </c>
      <c r="C260" s="462">
        <v>8869.3508745433537</v>
      </c>
      <c r="D260" s="463" t="s">
        <v>1914</v>
      </c>
      <c r="E260" s="464">
        <v>1998.5030878261084</v>
      </c>
      <c r="F260" s="464">
        <v>109.30534459665407</v>
      </c>
      <c r="G260" s="464">
        <v>44966.319476087432</v>
      </c>
      <c r="H260" s="465" t="s">
        <v>1915</v>
      </c>
      <c r="I260" s="469">
        <v>100.31512620432476</v>
      </c>
      <c r="J260" s="469">
        <v>14.60746056292836</v>
      </c>
      <c r="K260" s="469">
        <v>902.8361358389227</v>
      </c>
      <c r="L260" s="470" t="s">
        <v>1916</v>
      </c>
    </row>
    <row r="261" spans="1:12">
      <c r="A261" s="468">
        <v>552.77835313982712</v>
      </c>
      <c r="B261" s="462">
        <v>79.58266802110397</v>
      </c>
      <c r="C261" s="462">
        <v>6757.7153671343867</v>
      </c>
      <c r="D261" s="463" t="s">
        <v>1917</v>
      </c>
      <c r="E261" s="464">
        <v>2064.1180914844454</v>
      </c>
      <c r="F261" s="464">
        <v>178.06300466135974</v>
      </c>
      <c r="G261" s="464">
        <v>33541.918986622237</v>
      </c>
      <c r="H261" s="465" t="s">
        <v>1918</v>
      </c>
      <c r="I261" s="469">
        <v>100.68717786367803</v>
      </c>
      <c r="J261" s="469">
        <v>20.749842251713432</v>
      </c>
      <c r="K261" s="469">
        <v>704.81024504574634</v>
      </c>
      <c r="L261" s="470" t="s">
        <v>1919</v>
      </c>
    </row>
    <row r="262" spans="1:12">
      <c r="A262" s="468">
        <v>566.39779520917944</v>
      </c>
      <c r="B262" s="462">
        <v>51.729967288834075</v>
      </c>
      <c r="C262" s="462">
        <v>10070.552798819212</v>
      </c>
      <c r="D262" s="463" t="s">
        <v>1920</v>
      </c>
      <c r="E262" s="464">
        <v>2086.3694238295998</v>
      </c>
      <c r="F262" s="464">
        <v>159.17632298327027</v>
      </c>
      <c r="G262" s="464">
        <v>36511.464917017998</v>
      </c>
      <c r="H262" s="465" t="s">
        <v>1921</v>
      </c>
      <c r="I262" s="469">
        <v>101.15500459225973</v>
      </c>
      <c r="J262" s="469">
        <v>23.897344596654047</v>
      </c>
      <c r="K262" s="469">
        <v>708.0850321458181</v>
      </c>
      <c r="L262" s="470" t="s">
        <v>1922</v>
      </c>
    </row>
    <row r="263" spans="1:12">
      <c r="A263" s="468">
        <v>611.92223526590612</v>
      </c>
      <c r="B263" s="462">
        <v>62.324548690094204</v>
      </c>
      <c r="C263" s="462">
        <v>9910.0806001313485</v>
      </c>
      <c r="D263" s="463" t="s">
        <v>1923</v>
      </c>
      <c r="E263" s="464">
        <v>2215.9729889421924</v>
      </c>
      <c r="F263" s="464">
        <v>141.34668167808954</v>
      </c>
      <c r="G263" s="464">
        <v>44319.45977884384</v>
      </c>
      <c r="H263" s="465" t="s">
        <v>1924</v>
      </c>
      <c r="I263" s="469">
        <v>102.02770182553004</v>
      </c>
      <c r="J263" s="469">
        <v>23.897344596654047</v>
      </c>
      <c r="K263" s="469">
        <v>816.22161460424024</v>
      </c>
      <c r="L263" s="470" t="s">
        <v>1925</v>
      </c>
    </row>
    <row r="264" spans="1:12">
      <c r="A264" s="468">
        <v>615.10191947029875</v>
      </c>
      <c r="B264" s="462">
        <v>77.239825299689372</v>
      </c>
      <c r="C264" s="462">
        <v>8396.1412007695781</v>
      </c>
      <c r="D264" s="463" t="s">
        <v>1926</v>
      </c>
      <c r="E264" s="464">
        <v>2276.8419386903411</v>
      </c>
      <c r="F264" s="464">
        <v>176.7300337757014</v>
      </c>
      <c r="G264" s="464">
        <v>39844.733927080975</v>
      </c>
      <c r="H264" s="465" t="s">
        <v>1927</v>
      </c>
      <c r="I264" s="469">
        <v>102.12036054356423</v>
      </c>
      <c r="J264" s="469">
        <v>23.897344596654047</v>
      </c>
      <c r="K264" s="469">
        <v>765.90270407673188</v>
      </c>
      <c r="L264" s="470" t="s">
        <v>1928</v>
      </c>
    </row>
    <row r="265" spans="1:12">
      <c r="A265" s="461">
        <v>616.18877723719993</v>
      </c>
      <c r="B265" s="461">
        <v>90.16245252096563</v>
      </c>
      <c r="C265" s="461">
        <v>7532.9078017247693</v>
      </c>
      <c r="D265" s="463" t="s">
        <v>1929</v>
      </c>
      <c r="E265" s="464">
        <v>2293.8269050582935</v>
      </c>
      <c r="F265" s="464">
        <v>146.82929869584368</v>
      </c>
      <c r="G265" s="464">
        <v>45876.538101165868</v>
      </c>
      <c r="H265" s="465" t="s">
        <v>1930</v>
      </c>
      <c r="I265" s="469">
        <v>102.89363601198735</v>
      </c>
      <c r="J265" s="469">
        <v>16.758152111872633</v>
      </c>
      <c r="K265" s="469">
        <v>926.0427241078861</v>
      </c>
      <c r="L265" s="470" t="s">
        <v>1931</v>
      </c>
    </row>
    <row r="266" spans="1:12">
      <c r="A266" s="468">
        <v>637.17577399625554</v>
      </c>
      <c r="B266" s="462">
        <v>80.304016964276343</v>
      </c>
      <c r="C266" s="462">
        <v>8697.4493150488888</v>
      </c>
      <c r="D266" s="463" t="s">
        <v>1932</v>
      </c>
      <c r="E266" s="464">
        <v>2448.8852644429262</v>
      </c>
      <c r="F266" s="464">
        <v>135.46460093227196</v>
      </c>
      <c r="G266" s="464">
        <v>55099.918449965837</v>
      </c>
      <c r="H266" s="465" t="s">
        <v>1933</v>
      </c>
      <c r="I266" s="469">
        <v>102.99218819257356</v>
      </c>
      <c r="J266" s="469">
        <v>20.749842251713432</v>
      </c>
      <c r="K266" s="469">
        <v>772.44141144430182</v>
      </c>
      <c r="L266" s="470" t="s">
        <v>1934</v>
      </c>
    </row>
    <row r="267" spans="1:12">
      <c r="A267" s="468">
        <v>655.21434635971605</v>
      </c>
      <c r="B267" s="462">
        <v>60.178997987325054</v>
      </c>
      <c r="C267" s="462">
        <v>11649.711078275752</v>
      </c>
      <c r="D267" s="463" t="s">
        <v>1935</v>
      </c>
      <c r="E267" s="464">
        <v>2452.6281900197146</v>
      </c>
      <c r="F267" s="464">
        <v>193.76300466135973</v>
      </c>
      <c r="G267" s="464">
        <v>42920.993325345007</v>
      </c>
      <c r="H267" s="465" t="s">
        <v>1936</v>
      </c>
      <c r="I267" s="469">
        <v>104.07706301320752</v>
      </c>
      <c r="J267" s="469">
        <v>14.60746056292836</v>
      </c>
      <c r="K267" s="469">
        <v>1040.7706301320752</v>
      </c>
      <c r="L267" s="470" t="s">
        <v>1937</v>
      </c>
    </row>
    <row r="268" spans="1:12">
      <c r="A268" s="468">
        <v>664.01065157917901</v>
      </c>
      <c r="B268" s="462">
        <v>61.02118829191771</v>
      </c>
      <c r="C268" s="462">
        <v>11806.109385077805</v>
      </c>
      <c r="D268" s="463" t="s">
        <v>1938</v>
      </c>
      <c r="E268" s="464">
        <v>2486.8770215005411</v>
      </c>
      <c r="F268" s="464">
        <v>121.86534459665407</v>
      </c>
      <c r="G268" s="464">
        <v>62171.925537513518</v>
      </c>
      <c r="H268" s="465" t="s">
        <v>1939</v>
      </c>
      <c r="I268" s="469">
        <v>104.50112973447449</v>
      </c>
      <c r="J268" s="469">
        <v>20.749842251713432</v>
      </c>
      <c r="K268" s="469">
        <v>836.00903787579603</v>
      </c>
      <c r="L268" s="470" t="s">
        <v>1940</v>
      </c>
    </row>
    <row r="269" spans="1:12">
      <c r="A269" s="468">
        <v>701.813392301156</v>
      </c>
      <c r="B269" s="462">
        <v>89.422607451045238</v>
      </c>
      <c r="C269" s="462">
        <v>9579.7528049107805</v>
      </c>
      <c r="D269" s="463" t="s">
        <v>1941</v>
      </c>
      <c r="E269" s="464">
        <v>2520.6840829369726</v>
      </c>
      <c r="F269" s="464">
        <v>163.08187228406629</v>
      </c>
      <c r="G269" s="464">
        <v>50413.68165873945</v>
      </c>
      <c r="H269" s="465" t="s">
        <v>1942</v>
      </c>
      <c r="I269" s="469">
        <v>104.60199726173347</v>
      </c>
      <c r="J269" s="469">
        <v>16.758152111872633</v>
      </c>
      <c r="K269" s="469">
        <v>1046.0199726173346</v>
      </c>
      <c r="L269" s="470" t="s">
        <v>1943</v>
      </c>
    </row>
    <row r="270" spans="1:12">
      <c r="A270" s="461">
        <v>742.48451266590041</v>
      </c>
      <c r="B270" s="461">
        <v>68.578705681154588</v>
      </c>
      <c r="C270" s="461">
        <v>13201.374635199709</v>
      </c>
      <c r="D270" s="463" t="s">
        <v>1944</v>
      </c>
      <c r="E270" s="464">
        <v>2807.6806085738153</v>
      </c>
      <c r="F270" s="464">
        <v>184.29632298327024</v>
      </c>
      <c r="G270" s="464">
        <v>56153.612171476307</v>
      </c>
      <c r="H270" s="465" t="s">
        <v>1945</v>
      </c>
      <c r="I270" s="469">
        <v>105.12818564862222</v>
      </c>
      <c r="J270" s="469">
        <v>20.749842251713432</v>
      </c>
      <c r="K270" s="469">
        <v>946.15367083759998</v>
      </c>
      <c r="L270" s="470" t="s">
        <v>1946</v>
      </c>
    </row>
    <row r="271" spans="1:12">
      <c r="A271" s="461">
        <v>744.50419480524204</v>
      </c>
      <c r="B271" s="461">
        <v>59.246793199225365</v>
      </c>
      <c r="C271" s="461">
        <v>15128.325238442516</v>
      </c>
      <c r="D271" s="463" t="s">
        <v>1947</v>
      </c>
      <c r="E271" s="464">
        <v>2851.7167889304355</v>
      </c>
      <c r="F271" s="464">
        <v>160.18668167808954</v>
      </c>
      <c r="G271" s="464">
        <v>64163.6277509348</v>
      </c>
      <c r="H271" s="465" t="s">
        <v>1948</v>
      </c>
      <c r="I271" s="469">
        <v>105.23206343303461</v>
      </c>
      <c r="J271" s="469">
        <v>19.119612674800994</v>
      </c>
      <c r="K271" s="469">
        <v>841.856507464277</v>
      </c>
      <c r="L271" s="470" t="s">
        <v>1949</v>
      </c>
    </row>
    <row r="272" spans="1:12">
      <c r="A272" s="461">
        <v>750.74667331818421</v>
      </c>
      <c r="B272" s="461">
        <v>77.41245581600414</v>
      </c>
      <c r="C272" s="461">
        <v>12158.342374387992</v>
      </c>
      <c r="D272" s="463" t="s">
        <v>1950</v>
      </c>
      <c r="E272" s="464">
        <v>2954.138738705441</v>
      </c>
      <c r="F272" s="464">
        <v>166.45429869584365</v>
      </c>
      <c r="G272" s="464">
        <v>66468.121620872422</v>
      </c>
      <c r="H272" s="465" t="s">
        <v>1951</v>
      </c>
      <c r="I272" s="469">
        <v>106.24014404165148</v>
      </c>
      <c r="J272" s="469">
        <v>14.60746056292836</v>
      </c>
      <c r="K272" s="469">
        <v>1168.6415844581663</v>
      </c>
      <c r="L272" s="470" t="s">
        <v>1952</v>
      </c>
    </row>
    <row r="273" spans="1:12">
      <c r="A273" s="468">
        <v>784.38019531636201</v>
      </c>
      <c r="B273" s="462">
        <v>101.40809758375566</v>
      </c>
      <c r="C273" s="462">
        <v>10706.78966606834</v>
      </c>
      <c r="D273" s="463" t="s">
        <v>1953</v>
      </c>
      <c r="E273" s="464">
        <v>3053.6371464429926</v>
      </c>
      <c r="F273" s="464">
        <v>151.16460093227198</v>
      </c>
      <c r="G273" s="464">
        <v>76340.928661074824</v>
      </c>
      <c r="H273" s="465" t="s">
        <v>1954</v>
      </c>
      <c r="I273" s="469">
        <v>107.89252868338836</v>
      </c>
      <c r="J273" s="469">
        <v>19.119612674800994</v>
      </c>
      <c r="K273" s="469">
        <v>971.03275815049517</v>
      </c>
      <c r="L273" s="470" t="s">
        <v>1955</v>
      </c>
    </row>
    <row r="274" spans="1:12">
      <c r="A274" s="461">
        <v>862.16777400159435</v>
      </c>
      <c r="B274" s="461">
        <v>68.948628216114869</v>
      </c>
      <c r="C274" s="461">
        <v>17519.249167712398</v>
      </c>
      <c r="D274" s="463" t="s">
        <v>1956</v>
      </c>
      <c r="E274" s="464">
        <v>3077.2447571520156</v>
      </c>
      <c r="F274" s="464">
        <v>204.99003377570142</v>
      </c>
      <c r="G274" s="464">
        <v>61544.89514304031</v>
      </c>
      <c r="H274" s="465" t="s">
        <v>1957</v>
      </c>
      <c r="I274" s="469">
        <v>109.24581848579108</v>
      </c>
      <c r="J274" s="469">
        <v>28.704600932271951</v>
      </c>
      <c r="K274" s="469">
        <v>655.47491091474649</v>
      </c>
      <c r="L274" s="470" t="s">
        <v>1958</v>
      </c>
    </row>
    <row r="275" spans="1:12">
      <c r="A275" s="468">
        <v>873.83563199248579</v>
      </c>
      <c r="B275" s="461">
        <v>69.91609895254733</v>
      </c>
      <c r="C275" s="461">
        <v>17756.340042087311</v>
      </c>
      <c r="D275" s="463" t="s">
        <v>1959</v>
      </c>
      <c r="E275" s="464">
        <v>3253.777418126564</v>
      </c>
      <c r="F275" s="464">
        <v>185.06187228406631</v>
      </c>
      <c r="G275" s="464">
        <v>73209.991907847696</v>
      </c>
      <c r="H275" s="465" t="s">
        <v>1960</v>
      </c>
      <c r="I275" s="469">
        <v>109.91584817628599</v>
      </c>
      <c r="J275" s="469">
        <v>19.904612674800994</v>
      </c>
      <c r="K275" s="469">
        <v>824.36886132214511</v>
      </c>
      <c r="L275" s="470" t="s">
        <v>1961</v>
      </c>
    </row>
    <row r="276" spans="1:12">
      <c r="A276" s="468">
        <v>884.19628901472663</v>
      </c>
      <c r="B276" s="461">
        <v>92.303070923268706</v>
      </c>
      <c r="C276" s="461">
        <v>14319.558900593498</v>
      </c>
      <c r="D276" s="463" t="s">
        <v>1962</v>
      </c>
      <c r="E276" s="464">
        <v>3329.6595312669333</v>
      </c>
      <c r="F276" s="464">
        <v>225.16300466135974</v>
      </c>
      <c r="G276" s="464">
        <v>66593.190625338655</v>
      </c>
      <c r="H276" s="465" t="s">
        <v>1963</v>
      </c>
      <c r="I276" s="469">
        <v>110.40075597556667</v>
      </c>
      <c r="J276" s="469">
        <v>23.516654456813257</v>
      </c>
      <c r="K276" s="469">
        <v>772.8052918289668</v>
      </c>
      <c r="L276" s="470" t="s">
        <v>1964</v>
      </c>
    </row>
    <row r="277" spans="1:12">
      <c r="A277" s="468">
        <v>912.45780248839515</v>
      </c>
      <c r="B277" s="462">
        <v>85.230152054829659</v>
      </c>
      <c r="C277" s="462">
        <v>16223.499728243667</v>
      </c>
      <c r="D277" s="463" t="s">
        <v>1965</v>
      </c>
      <c r="E277" s="464">
        <v>3567.4615624739517</v>
      </c>
      <c r="F277" s="464">
        <v>179.02668167808952</v>
      </c>
      <c r="G277" s="464">
        <v>89186.539061848787</v>
      </c>
      <c r="H277" s="465" t="s">
        <v>1966</v>
      </c>
      <c r="I277" s="469">
        <v>111.22584223490207</v>
      </c>
      <c r="J277" s="469">
        <v>18.014152111872633</v>
      </c>
      <c r="K277" s="469">
        <v>889.80673787921648</v>
      </c>
      <c r="L277" s="470" t="s">
        <v>1967</v>
      </c>
    </row>
    <row r="278" spans="1:12">
      <c r="A278" s="468">
        <v>916.73538903891927</v>
      </c>
      <c r="B278" s="462">
        <v>95.99489782217141</v>
      </c>
      <c r="C278" s="462">
        <v>14846.529625485295</v>
      </c>
      <c r="D278" s="463" t="s">
        <v>1968</v>
      </c>
      <c r="E278" s="464">
        <v>3635.6628555781763</v>
      </c>
      <c r="F278" s="464">
        <v>209.41632298327025</v>
      </c>
      <c r="G278" s="464">
        <v>81802.414250508969</v>
      </c>
      <c r="H278" s="465" t="s">
        <v>1969</v>
      </c>
      <c r="I278" s="469">
        <v>111.29138819257358</v>
      </c>
      <c r="J278" s="469">
        <v>21.691842251713428</v>
      </c>
      <c r="K278" s="469">
        <v>834.68541144430185</v>
      </c>
      <c r="L278" s="470" t="s">
        <v>1970</v>
      </c>
    </row>
    <row r="279" spans="1:12">
      <c r="A279" s="461">
        <v>978.04590477018951</v>
      </c>
      <c r="B279" s="461">
        <v>78.601140228342999</v>
      </c>
      <c r="C279" s="461">
        <v>19873.892784930249</v>
      </c>
      <c r="D279" s="463" t="s">
        <v>1971</v>
      </c>
      <c r="E279" s="464">
        <v>3697.7850519262438</v>
      </c>
      <c r="F279" s="464">
        <v>186.07929869584365</v>
      </c>
      <c r="G279" s="464">
        <v>92444.626298156087</v>
      </c>
      <c r="H279" s="465" t="s">
        <v>1972</v>
      </c>
      <c r="I279" s="469">
        <v>113.39912973447451</v>
      </c>
      <c r="J279" s="469">
        <v>21.691842251713428</v>
      </c>
      <c r="K279" s="469">
        <v>907.19303787579611</v>
      </c>
      <c r="L279" s="470" t="s">
        <v>1973</v>
      </c>
    </row>
    <row r="280" spans="1:12">
      <c r="A280" s="468">
        <v>1012.4116363767174</v>
      </c>
      <c r="B280" s="462">
        <v>106.99639401188777</v>
      </c>
      <c r="C280" s="462">
        <v>16396.006451120938</v>
      </c>
      <c r="D280" s="463" t="s">
        <v>1974</v>
      </c>
      <c r="E280" s="464">
        <v>3997.6546165045147</v>
      </c>
      <c r="F280" s="464">
        <v>233.25003377570141</v>
      </c>
      <c r="G280" s="464">
        <v>89947.228871351574</v>
      </c>
      <c r="H280" s="465" t="s">
        <v>1975</v>
      </c>
      <c r="I280" s="469">
        <v>114.22280711344342</v>
      </c>
      <c r="J280" s="469">
        <v>23.516654456813257</v>
      </c>
      <c r="K280" s="469">
        <v>913.7824569075475</v>
      </c>
      <c r="L280" s="470" t="s">
        <v>1976</v>
      </c>
    </row>
    <row r="281" spans="1:12">
      <c r="A281" s="461">
        <v>1076.4608280080279</v>
      </c>
      <c r="B281" s="461">
        <v>101.68430640985927</v>
      </c>
      <c r="C281" s="461">
        <v>19139.473521982734</v>
      </c>
      <c r="D281" s="463" t="s">
        <v>1977</v>
      </c>
      <c r="E281" s="464">
        <v>4080.2058902808276</v>
      </c>
      <c r="F281" s="464">
        <v>207.0418722840663</v>
      </c>
      <c r="G281" s="464">
        <v>102005.14725702068</v>
      </c>
      <c r="H281" s="465" t="s">
        <v>1978</v>
      </c>
      <c r="I281" s="469">
        <v>114.71024992237984</v>
      </c>
      <c r="J281" s="469">
        <v>21.691842251713428</v>
      </c>
      <c r="K281" s="469">
        <v>975.03712434022873</v>
      </c>
      <c r="L281" s="470" t="s">
        <v>1979</v>
      </c>
    </row>
    <row r="282" spans="1:12">
      <c r="A282" s="468">
        <v>1097.4965258627285</v>
      </c>
      <c r="B282" s="462">
        <v>77.718258444904606</v>
      </c>
      <c r="C282" s="462">
        <v>25088.770581221972</v>
      </c>
      <c r="D282" s="463" t="s">
        <v>1980</v>
      </c>
      <c r="E282" s="464">
        <v>4340.0349372768778</v>
      </c>
      <c r="F282" s="464">
        <v>256.56300466135974</v>
      </c>
      <c r="G282" s="464">
        <v>97650.786088729757</v>
      </c>
      <c r="H282" s="465" t="s">
        <v>1981</v>
      </c>
      <c r="I282" s="469">
        <v>114.81036321375521</v>
      </c>
      <c r="J282" s="469">
        <v>28.704600932271951</v>
      </c>
      <c r="K282" s="469">
        <v>803.67254249628638</v>
      </c>
      <c r="L282" s="470" t="s">
        <v>1982</v>
      </c>
    </row>
    <row r="283" spans="1:12">
      <c r="A283" s="468">
        <v>1112.4412854092634</v>
      </c>
      <c r="B283" s="462">
        <v>78.811009613176964</v>
      </c>
      <c r="C283" s="462">
        <v>25430.407784455761</v>
      </c>
      <c r="D283" s="463" t="s">
        <v>1983</v>
      </c>
      <c r="E283" s="464">
        <v>4570.3148461646379</v>
      </c>
      <c r="F283" s="464">
        <v>234.53632298327025</v>
      </c>
      <c r="G283" s="464">
        <v>114257.87115411596</v>
      </c>
      <c r="H283" s="465" t="s">
        <v>1984</v>
      </c>
      <c r="I283" s="469">
        <v>114.90457853154953</v>
      </c>
      <c r="J283" s="469">
        <v>19.904612674800994</v>
      </c>
      <c r="K283" s="469">
        <v>976.68891751817091</v>
      </c>
      <c r="L283" s="470" t="s">
        <v>1985</v>
      </c>
    </row>
    <row r="284" spans="1:12">
      <c r="A284" s="468">
        <v>1116.5453460355195</v>
      </c>
      <c r="B284" s="462">
        <v>105.76701812070331</v>
      </c>
      <c r="C284" s="462">
        <v>19852.176252511541</v>
      </c>
      <c r="D284" s="463" t="s">
        <v>1986</v>
      </c>
      <c r="E284" s="464">
        <v>5038.0694044805896</v>
      </c>
      <c r="F284" s="464">
        <v>261.5100337757014</v>
      </c>
      <c r="G284" s="464">
        <v>125951.73511201472</v>
      </c>
      <c r="H284" s="465" t="s">
        <v>1987</v>
      </c>
      <c r="I284" s="469">
        <v>115.22418564862221</v>
      </c>
      <c r="J284" s="469">
        <v>21.691842251713428</v>
      </c>
      <c r="K284" s="469">
        <v>1037.0176708376</v>
      </c>
      <c r="L284" s="470" t="s">
        <v>1988</v>
      </c>
    </row>
    <row r="285" spans="1:12">
      <c r="A285" s="461">
        <v>1135.5314071660341</v>
      </c>
      <c r="B285" s="461">
        <v>121.49242508186137</v>
      </c>
      <c r="C285" s="461">
        <v>18389.931139053922</v>
      </c>
      <c r="D285" s="463" t="s">
        <v>1989</v>
      </c>
      <c r="E285" s="464">
        <v>5483.7511886207303</v>
      </c>
      <c r="F285" s="464">
        <v>287.96300466135972</v>
      </c>
      <c r="G285" s="464">
        <v>137093.77971551826</v>
      </c>
      <c r="H285" s="465" t="s">
        <v>1990</v>
      </c>
      <c r="I285" s="469">
        <v>116.08832072082087</v>
      </c>
      <c r="J285" s="469">
        <v>22.633842251713432</v>
      </c>
      <c r="K285" s="469">
        <v>812.61824504574611</v>
      </c>
      <c r="L285" s="470" t="s">
        <v>1991</v>
      </c>
    </row>
    <row r="286" spans="1:12">
      <c r="A286" s="468">
        <v>1204.5183435773481</v>
      </c>
      <c r="B286" s="461">
        <v>97.758195238815034</v>
      </c>
      <c r="C286" s="461">
        <v>24475.812741491711</v>
      </c>
      <c r="D286" s="463" t="s">
        <v>1992</v>
      </c>
      <c r="E286" s="471"/>
      <c r="F286" s="471"/>
      <c r="G286" s="471"/>
      <c r="H286" s="471"/>
      <c r="I286" s="469">
        <v>116.40178794264763</v>
      </c>
      <c r="J286" s="469">
        <v>19.904612674800994</v>
      </c>
      <c r="K286" s="469">
        <v>1047.6160914838288</v>
      </c>
      <c r="L286" s="470" t="s">
        <v>1993</v>
      </c>
    </row>
    <row r="287" spans="1:12">
      <c r="A287" s="461">
        <v>1234.6350563081605</v>
      </c>
      <c r="B287" s="461">
        <v>117.94116874624348</v>
      </c>
      <c r="C287" s="461">
        <v>21951.811301159094</v>
      </c>
      <c r="D287" s="463" t="s">
        <v>1994</v>
      </c>
      <c r="E287" s="471"/>
      <c r="F287" s="471"/>
      <c r="G287" s="471"/>
      <c r="H287" s="471"/>
      <c r="I287" s="469">
        <v>116.66311749346877</v>
      </c>
      <c r="J287" s="469">
        <v>18.014152111872633</v>
      </c>
      <c r="K287" s="469">
        <v>1049.9680574412189</v>
      </c>
      <c r="L287" s="470" t="s">
        <v>1995</v>
      </c>
    </row>
    <row r="288" spans="1:12">
      <c r="A288" s="468">
        <v>1246.0360729447157</v>
      </c>
      <c r="B288" s="462">
        <v>88.623574775531168</v>
      </c>
      <c r="C288" s="462">
        <v>28484.3846275162</v>
      </c>
      <c r="D288" s="463" t="s">
        <v>1996</v>
      </c>
      <c r="E288" s="471"/>
      <c r="F288" s="471"/>
      <c r="G288" s="471"/>
      <c r="H288" s="471"/>
      <c r="I288" s="469">
        <v>116.92695928739711</v>
      </c>
      <c r="J288" s="469">
        <v>20.689612674800991</v>
      </c>
      <c r="K288" s="469">
        <v>876.95219465547837</v>
      </c>
      <c r="L288" s="470" t="s">
        <v>1997</v>
      </c>
    </row>
    <row r="289" spans="1:12">
      <c r="A289" s="468">
        <v>1253.6924308852483</v>
      </c>
      <c r="B289" s="461">
        <v>135.79116413318954</v>
      </c>
      <c r="C289" s="461">
        <v>20303.548918186592</v>
      </c>
      <c r="D289" s="463" t="s">
        <v>1998</v>
      </c>
      <c r="E289" s="471"/>
      <c r="F289" s="471"/>
      <c r="G289" s="471"/>
      <c r="H289" s="471"/>
      <c r="I289" s="469">
        <v>117.40047311504317</v>
      </c>
      <c r="J289" s="469">
        <v>19.904612674800994</v>
      </c>
      <c r="K289" s="469">
        <v>1174.0047311504316</v>
      </c>
      <c r="L289" s="470" t="s">
        <v>1999</v>
      </c>
    </row>
    <row r="290" spans="1:12">
      <c r="A290" s="461">
        <v>1361.2006903261799</v>
      </c>
      <c r="B290" s="461">
        <v>86.487888673694329</v>
      </c>
      <c r="C290" s="461">
        <v>34574.497534284965</v>
      </c>
      <c r="D290" s="463" t="s">
        <v>2000</v>
      </c>
      <c r="E290" s="471"/>
      <c r="F290" s="471"/>
      <c r="G290" s="471"/>
      <c r="H290" s="471"/>
      <c r="I290" s="469">
        <v>119.97053059506676</v>
      </c>
      <c r="J290" s="469">
        <v>18.014152111872633</v>
      </c>
      <c r="K290" s="469">
        <v>1199.7053059506675</v>
      </c>
      <c r="L290" s="470" t="s">
        <v>2001</v>
      </c>
    </row>
    <row r="291" spans="1:12">
      <c r="A291" s="461">
        <v>1379.8277053722923</v>
      </c>
      <c r="B291" s="461">
        <v>87.705920273806598</v>
      </c>
      <c r="C291" s="461">
        <v>35047.623716456219</v>
      </c>
      <c r="D291" s="463" t="s">
        <v>2002</v>
      </c>
      <c r="E291" s="471"/>
      <c r="F291" s="471"/>
      <c r="G291" s="471"/>
      <c r="H291" s="471"/>
      <c r="I291" s="469">
        <v>120.25289676636791</v>
      </c>
      <c r="J291" s="469">
        <v>20.689612674800991</v>
      </c>
      <c r="K291" s="469">
        <v>962.02317413094318</v>
      </c>
      <c r="L291" s="470" t="s">
        <v>2003</v>
      </c>
    </row>
    <row r="292" spans="1:12">
      <c r="A292" s="468">
        <v>1387.1202582241519</v>
      </c>
      <c r="B292" s="461">
        <v>134.00073906398211</v>
      </c>
      <c r="C292" s="461">
        <v>24662.998191225426</v>
      </c>
      <c r="D292" s="463" t="s">
        <v>2004</v>
      </c>
      <c r="E292" s="471"/>
      <c r="F292" s="471"/>
      <c r="G292" s="471"/>
      <c r="H292" s="471"/>
      <c r="I292" s="469">
        <v>121.09252840178358</v>
      </c>
      <c r="J292" s="469">
        <v>26.409344596654051</v>
      </c>
      <c r="K292" s="469">
        <v>847.64769881248515</v>
      </c>
      <c r="L292" s="470" t="s">
        <v>2005</v>
      </c>
    </row>
    <row r="293" spans="1:12">
      <c r="A293" s="468">
        <v>1424.0656286975855</v>
      </c>
      <c r="B293" s="462">
        <v>116.7179582306418</v>
      </c>
      <c r="C293" s="462">
        <v>28937.013575134933</v>
      </c>
      <c r="D293" s="463" t="s">
        <v>2006</v>
      </c>
      <c r="E293" s="471"/>
      <c r="F293" s="471"/>
      <c r="G293" s="471"/>
      <c r="H293" s="471"/>
      <c r="I293" s="469">
        <v>121.14713485523302</v>
      </c>
      <c r="J293" s="469">
        <v>18.014152111872633</v>
      </c>
      <c r="K293" s="469">
        <v>1332.6184834075632</v>
      </c>
      <c r="L293" s="470" t="s">
        <v>2007</v>
      </c>
    </row>
    <row r="294" spans="1:12">
      <c r="A294" s="468">
        <v>1477.8871421606891</v>
      </c>
      <c r="B294" s="462">
        <v>121.42707210068504</v>
      </c>
      <c r="C294" s="462">
        <v>30030.666728705204</v>
      </c>
      <c r="D294" s="463" t="s">
        <v>2008</v>
      </c>
      <c r="E294" s="471"/>
      <c r="F294" s="471"/>
      <c r="G294" s="471"/>
      <c r="H294" s="471"/>
      <c r="I294" s="469">
        <v>121.54246301320752</v>
      </c>
      <c r="J294" s="469">
        <v>16.02046056292836</v>
      </c>
      <c r="K294" s="469">
        <v>1215.4246301320752</v>
      </c>
      <c r="L294" s="470" t="s">
        <v>2009</v>
      </c>
    </row>
    <row r="295" spans="1:12">
      <c r="A295" s="461">
        <v>1534.0545083433608</v>
      </c>
      <c r="B295" s="461">
        <v>149.86301736307547</v>
      </c>
      <c r="C295" s="461">
        <v>27275.489158344953</v>
      </c>
      <c r="D295" s="463" t="s">
        <v>2010</v>
      </c>
      <c r="E295" s="471"/>
      <c r="F295" s="471"/>
      <c r="G295" s="471"/>
      <c r="H295" s="471"/>
      <c r="I295" s="469">
        <v>122.29712973447457</v>
      </c>
      <c r="J295" s="469">
        <v>22.633842251713432</v>
      </c>
      <c r="K295" s="469">
        <v>978.37703787579653</v>
      </c>
      <c r="L295" s="470" t="s">
        <v>2011</v>
      </c>
    </row>
    <row r="296" spans="1:12">
      <c r="A296" s="468">
        <v>1537.1142559628486</v>
      </c>
      <c r="B296" s="462">
        <v>110.28623842280042</v>
      </c>
      <c r="C296" s="462">
        <v>35138.431891310713</v>
      </c>
      <c r="D296" s="463" t="s">
        <v>2012</v>
      </c>
      <c r="E296" s="471"/>
      <c r="F296" s="471"/>
      <c r="G296" s="471"/>
      <c r="H296" s="471"/>
      <c r="I296" s="469">
        <v>122.3257547512886</v>
      </c>
      <c r="J296" s="469">
        <v>24.61565445681326</v>
      </c>
      <c r="K296" s="469">
        <v>917.44316063466442</v>
      </c>
      <c r="L296" s="470" t="s">
        <v>2013</v>
      </c>
    </row>
    <row r="297" spans="1:12">
      <c r="A297" s="468">
        <v>1546.4551679670826</v>
      </c>
      <c r="B297" s="461">
        <v>98.646009322719493</v>
      </c>
      <c r="C297" s="461">
        <v>39279.961266363898</v>
      </c>
      <c r="D297" s="463" t="s">
        <v>2014</v>
      </c>
      <c r="E297" s="471"/>
      <c r="F297" s="471"/>
      <c r="G297" s="471"/>
      <c r="H297" s="471"/>
      <c r="I297" s="469">
        <v>123.65138276578645</v>
      </c>
      <c r="J297" s="469">
        <v>26.409344596654051</v>
      </c>
      <c r="K297" s="469">
        <v>927.38537074339831</v>
      </c>
      <c r="L297" s="470" t="s">
        <v>2015</v>
      </c>
    </row>
    <row r="298" spans="1:12">
      <c r="A298" s="468">
        <v>1636.8303933847619</v>
      </c>
      <c r="B298" s="462">
        <v>135.48042920382309</v>
      </c>
      <c r="C298" s="462">
        <v>33260.393593578359</v>
      </c>
      <c r="D298" s="463" t="s">
        <v>2016</v>
      </c>
      <c r="E298" s="471"/>
      <c r="F298" s="471"/>
      <c r="G298" s="471"/>
      <c r="H298" s="471"/>
      <c r="I298" s="469">
        <v>124.47139044677672</v>
      </c>
      <c r="J298" s="469">
        <v>24.61565445681326</v>
      </c>
      <c r="K298" s="469">
        <v>995.7711235742139</v>
      </c>
      <c r="L298" s="470" t="s">
        <v>2017</v>
      </c>
    </row>
    <row r="299" spans="1:12">
      <c r="A299" s="468">
        <v>1675.5741850051431</v>
      </c>
      <c r="B299" s="462">
        <v>165.52800364352333</v>
      </c>
      <c r="C299" s="462">
        <v>29791.709009391445</v>
      </c>
      <c r="D299" s="463" t="s">
        <v>2018</v>
      </c>
      <c r="E299" s="471"/>
      <c r="F299" s="471"/>
      <c r="G299" s="471"/>
      <c r="H299" s="471"/>
      <c r="I299" s="469">
        <v>124.9110472019069</v>
      </c>
      <c r="J299" s="469">
        <v>20.689612674800991</v>
      </c>
      <c r="K299" s="469">
        <v>1124.199424817162</v>
      </c>
      <c r="L299" s="470" t="s">
        <v>2019</v>
      </c>
    </row>
    <row r="300" spans="1:12">
      <c r="A300" s="461">
        <v>1820.3118030084981</v>
      </c>
      <c r="B300" s="461">
        <v>131.75161005142422</v>
      </c>
      <c r="C300" s="461">
        <v>41612.327816774268</v>
      </c>
      <c r="D300" s="463" t="s">
        <v>2020</v>
      </c>
      <c r="E300" s="471"/>
      <c r="F300" s="471"/>
      <c r="G300" s="471"/>
      <c r="H300" s="471"/>
      <c r="I300" s="469">
        <v>124.97842423507872</v>
      </c>
      <c r="J300" s="469">
        <v>26.409344596654051</v>
      </c>
      <c r="K300" s="469">
        <v>1124.8058181157087</v>
      </c>
      <c r="L300" s="470" t="s">
        <v>2021</v>
      </c>
    </row>
    <row r="301" spans="1:12">
      <c r="A301" s="461">
        <v>1842.953786675738</v>
      </c>
      <c r="B301" s="461">
        <v>154.04560815835882</v>
      </c>
      <c r="C301" s="461">
        <v>37448.820945250991</v>
      </c>
      <c r="D301" s="463" t="s">
        <v>2022</v>
      </c>
      <c r="E301" s="471"/>
      <c r="F301" s="471"/>
      <c r="G301" s="471"/>
      <c r="H301" s="471"/>
      <c r="I301" s="469">
        <v>125.15303515886339</v>
      </c>
      <c r="J301" s="469">
        <v>26.409344596654051</v>
      </c>
      <c r="K301" s="469">
        <v>1001.2242812709071</v>
      </c>
      <c r="L301" s="470" t="s">
        <v>2023</v>
      </c>
    </row>
    <row r="302" spans="1:12">
      <c r="A302" s="461">
        <v>1880.6777995239422</v>
      </c>
      <c r="B302" s="461">
        <v>108.70790227363689</v>
      </c>
      <c r="C302" s="461">
        <v>52564.944496694181</v>
      </c>
      <c r="D302" s="463" t="s">
        <v>2024</v>
      </c>
      <c r="E302" s="471"/>
      <c r="F302" s="471"/>
      <c r="G302" s="471"/>
      <c r="H302" s="471"/>
      <c r="I302" s="469">
        <v>125.32018564862223</v>
      </c>
      <c r="J302" s="469">
        <v>22.633842251713432</v>
      </c>
      <c r="K302" s="469">
        <v>1127.8816708376</v>
      </c>
      <c r="L302" s="470" t="s">
        <v>2025</v>
      </c>
    </row>
    <row r="303" spans="1:12">
      <c r="A303" s="468">
        <v>1889.896690513842</v>
      </c>
      <c r="B303" s="461">
        <v>137.08712608066676</v>
      </c>
      <c r="C303" s="461">
        <v>43203.038345146429</v>
      </c>
      <c r="D303" s="463" t="s">
        <v>2026</v>
      </c>
      <c r="E303" s="471"/>
      <c r="F303" s="471"/>
      <c r="G303" s="471"/>
      <c r="H303" s="471"/>
      <c r="I303" s="469">
        <v>125.50505313256058</v>
      </c>
      <c r="J303" s="469">
        <v>16.02046056292836</v>
      </c>
      <c r="K303" s="469">
        <v>1380.5555844581663</v>
      </c>
      <c r="L303" s="470" t="s">
        <v>2027</v>
      </c>
    </row>
    <row r="304" spans="1:12">
      <c r="A304" s="468">
        <v>1910.2459077542744</v>
      </c>
      <c r="B304" s="461">
        <v>122.81428160678578</v>
      </c>
      <c r="C304" s="461">
        <v>48520.246056958567</v>
      </c>
      <c r="D304" s="463" t="s">
        <v>2028</v>
      </c>
      <c r="E304" s="471"/>
      <c r="F304" s="471"/>
      <c r="G304" s="471"/>
      <c r="H304" s="471"/>
      <c r="I304" s="469">
        <v>125.68915850756247</v>
      </c>
      <c r="J304" s="469">
        <v>24.61565445681326</v>
      </c>
      <c r="K304" s="469">
        <v>1068.3578473142811</v>
      </c>
      <c r="L304" s="470" t="s">
        <v>2029</v>
      </c>
    </row>
    <row r="305" spans="1:12">
      <c r="A305" s="468">
        <v>2042.5754733903771</v>
      </c>
      <c r="B305" s="462">
        <v>172.41349509424927</v>
      </c>
      <c r="C305" s="462">
        <v>41505.133619292457</v>
      </c>
      <c r="D305" s="463" t="s">
        <v>2030</v>
      </c>
      <c r="E305" s="471"/>
      <c r="F305" s="471"/>
      <c r="G305" s="471"/>
      <c r="H305" s="471"/>
      <c r="I305" s="469">
        <v>125.97814798387404</v>
      </c>
      <c r="J305" s="469">
        <v>24.61565445681326</v>
      </c>
      <c r="K305" s="469">
        <v>1133.8033318548662</v>
      </c>
      <c r="L305" s="470" t="s">
        <v>2031</v>
      </c>
    </row>
    <row r="306" spans="1:12">
      <c r="A306" s="468">
        <v>2095.7722543570258</v>
      </c>
      <c r="B306" s="462">
        <v>153.01968966140257</v>
      </c>
      <c r="C306" s="462">
        <v>47909.353734601602</v>
      </c>
      <c r="D306" s="463" t="s">
        <v>2032</v>
      </c>
      <c r="E306" s="471"/>
      <c r="F306" s="471"/>
      <c r="G306" s="471"/>
      <c r="H306" s="471"/>
      <c r="I306" s="469">
        <v>126.90880644837651</v>
      </c>
      <c r="J306" s="469">
        <v>20.689612674800991</v>
      </c>
      <c r="K306" s="469">
        <v>1269.088064483765</v>
      </c>
      <c r="L306" s="470" t="s">
        <v>2033</v>
      </c>
    </row>
    <row r="307" spans="1:12">
      <c r="A307" s="468">
        <v>2235.8336341315326</v>
      </c>
      <c r="B307" s="462">
        <v>190.58409001149408</v>
      </c>
      <c r="C307" s="462">
        <v>45432.139445552741</v>
      </c>
      <c r="D307" s="463" t="s">
        <v>2034</v>
      </c>
      <c r="E307" s="471"/>
      <c r="F307" s="471"/>
      <c r="G307" s="471"/>
      <c r="H307" s="471"/>
      <c r="I307" s="469">
        <v>127.36426301320753</v>
      </c>
      <c r="J307" s="469">
        <v>16.491460562928356</v>
      </c>
      <c r="K307" s="469">
        <v>1273.6426301320753</v>
      </c>
      <c r="L307" s="470" t="s">
        <v>2035</v>
      </c>
    </row>
    <row r="308" spans="1:12">
      <c r="A308" s="468">
        <v>2244.5804903697376</v>
      </c>
      <c r="B308" s="462">
        <v>118.69087841709619</v>
      </c>
      <c r="C308" s="462">
        <v>68414.813346469615</v>
      </c>
      <c r="D308" s="463" t="s">
        <v>2036</v>
      </c>
      <c r="E308" s="471"/>
      <c r="F308" s="471"/>
      <c r="G308" s="471"/>
      <c r="H308" s="471"/>
      <c r="I308" s="469">
        <v>127.88978819257356</v>
      </c>
      <c r="J308" s="469">
        <v>23.575842251713429</v>
      </c>
      <c r="K308" s="469">
        <v>959.17341144430168</v>
      </c>
      <c r="L308" s="470" t="s">
        <v>2037</v>
      </c>
    </row>
    <row r="309" spans="1:12">
      <c r="A309" s="468">
        <v>2265.2001142523691</v>
      </c>
      <c r="B309" s="462">
        <v>146.78526187220663</v>
      </c>
      <c r="C309" s="462">
        <v>57536.082902010166</v>
      </c>
      <c r="D309" s="463" t="s">
        <v>2038</v>
      </c>
      <c r="E309" s="471"/>
      <c r="F309" s="471"/>
      <c r="G309" s="471"/>
      <c r="H309" s="471"/>
      <c r="I309" s="469">
        <v>128.45063028072497</v>
      </c>
      <c r="J309" s="469">
        <v>16.02046056292836</v>
      </c>
      <c r="K309" s="469">
        <v>1605.6328785090623</v>
      </c>
      <c r="L309" s="470" t="s">
        <v>2039</v>
      </c>
    </row>
    <row r="310" spans="1:12">
      <c r="A310" s="468">
        <v>2325.6222555046375</v>
      </c>
      <c r="B310" s="461">
        <v>135.39164779543253</v>
      </c>
      <c r="C310" s="461">
        <v>65001.142041354622</v>
      </c>
      <c r="D310" s="463" t="s">
        <v>2040</v>
      </c>
      <c r="E310" s="471"/>
      <c r="F310" s="471"/>
      <c r="G310" s="471"/>
      <c r="H310" s="471"/>
      <c r="I310" s="469">
        <v>130.43259897495028</v>
      </c>
      <c r="J310" s="469">
        <v>19.270152111872633</v>
      </c>
      <c r="K310" s="469">
        <v>1173.8933907745525</v>
      </c>
      <c r="L310" s="470" t="s">
        <v>2041</v>
      </c>
    </row>
    <row r="311" spans="1:12">
      <c r="A311" s="468">
        <v>2352.5748897995077</v>
      </c>
      <c r="B311" s="461">
        <v>152.74718006064847</v>
      </c>
      <c r="C311" s="461">
        <v>59755.402200907491</v>
      </c>
      <c r="D311" s="463" t="s">
        <v>2042</v>
      </c>
      <c r="E311" s="471"/>
      <c r="F311" s="471"/>
      <c r="G311" s="471"/>
      <c r="H311" s="471"/>
      <c r="I311" s="469">
        <v>131.92668949619693</v>
      </c>
      <c r="J311" s="469">
        <v>16.491460562928356</v>
      </c>
      <c r="K311" s="469">
        <v>1451.1935844581665</v>
      </c>
      <c r="L311" s="470" t="s">
        <v>2043</v>
      </c>
    </row>
    <row r="312" spans="1:12">
      <c r="A312" s="468">
        <v>2363.6378309797956</v>
      </c>
      <c r="B312" s="462">
        <v>174.0904772527355</v>
      </c>
      <c r="C312" s="462">
        <v>54032.760816198126</v>
      </c>
      <c r="D312" s="463" t="s">
        <v>2044</v>
      </c>
      <c r="E312" s="471"/>
      <c r="F312" s="471"/>
      <c r="G312" s="471"/>
      <c r="H312" s="471"/>
      <c r="I312" s="469">
        <v>133.704132275321</v>
      </c>
      <c r="J312" s="469">
        <v>23.575842251713429</v>
      </c>
      <c r="K312" s="469">
        <v>1136.4851243402284</v>
      </c>
      <c r="L312" s="470" t="s">
        <v>2045</v>
      </c>
    </row>
    <row r="313" spans="1:12">
      <c r="A313" s="468">
        <v>2611.462053353931</v>
      </c>
      <c r="B313" s="461">
        <v>170.55895011898204</v>
      </c>
      <c r="C313" s="461">
        <v>66331.13615518983</v>
      </c>
      <c r="D313" s="463" t="s">
        <v>2046</v>
      </c>
      <c r="E313" s="471"/>
      <c r="F313" s="471"/>
      <c r="G313" s="471"/>
      <c r="H313" s="471"/>
      <c r="I313" s="469">
        <v>134.41689387689757</v>
      </c>
      <c r="J313" s="469">
        <v>27.665344596654048</v>
      </c>
      <c r="K313" s="469">
        <v>1008.1267040767318</v>
      </c>
      <c r="L313" s="470" t="s">
        <v>2047</v>
      </c>
    </row>
    <row r="314" spans="1:12">
      <c r="A314" s="468">
        <v>2624.0494345441653</v>
      </c>
      <c r="B314" s="462">
        <v>194.96397282542281</v>
      </c>
      <c r="C314" s="462">
        <v>59985.770073679611</v>
      </c>
      <c r="D314" s="463" t="s">
        <v>2048</v>
      </c>
      <c r="E314" s="471"/>
      <c r="F314" s="471"/>
      <c r="G314" s="471"/>
      <c r="H314" s="471"/>
      <c r="I314" s="469">
        <v>135.27373009970123</v>
      </c>
      <c r="J314" s="469">
        <v>22.259612674800991</v>
      </c>
      <c r="K314" s="469">
        <v>1082.1898407976096</v>
      </c>
      <c r="L314" s="470" t="s">
        <v>2049</v>
      </c>
    </row>
    <row r="315" spans="1:12">
      <c r="A315" s="468">
        <v>2760.7702139873654</v>
      </c>
      <c r="B315" s="462">
        <v>161.87810129858272</v>
      </c>
      <c r="C315" s="462">
        <v>77163.527480946868</v>
      </c>
      <c r="D315" s="463" t="s">
        <v>2050</v>
      </c>
      <c r="E315" s="471"/>
      <c r="F315" s="471"/>
      <c r="G315" s="471"/>
      <c r="H315" s="471"/>
      <c r="I315" s="469">
        <v>135.33906392840009</v>
      </c>
      <c r="J315" s="469">
        <v>19.270152111872633</v>
      </c>
      <c r="K315" s="469">
        <v>1353.3906392840011</v>
      </c>
      <c r="L315" s="470" t="s">
        <v>2051</v>
      </c>
    </row>
    <row r="316" spans="1:12">
      <c r="A316" s="468">
        <v>2778.1172884767725</v>
      </c>
      <c r="B316" s="461">
        <v>147.87036797475653</v>
      </c>
      <c r="C316" s="461">
        <v>84677.014952772035</v>
      </c>
      <c r="D316" s="463" t="s">
        <v>2052</v>
      </c>
      <c r="E316" s="471"/>
      <c r="F316" s="471"/>
      <c r="G316" s="471"/>
      <c r="H316" s="471"/>
      <c r="I316" s="469">
        <v>135.41618564862222</v>
      </c>
      <c r="J316" s="469">
        <v>23.575842251713429</v>
      </c>
      <c r="K316" s="469">
        <v>1218.7456708376001</v>
      </c>
      <c r="L316" s="470" t="s">
        <v>2053</v>
      </c>
    </row>
    <row r="317" spans="1:12">
      <c r="A317" s="468">
        <v>2868.0435005643358</v>
      </c>
      <c r="B317" s="462">
        <v>168.4688877964569</v>
      </c>
      <c r="C317" s="462">
        <v>80161.815840773183</v>
      </c>
      <c r="D317" s="463" t="s">
        <v>2054</v>
      </c>
      <c r="E317" s="471"/>
      <c r="F317" s="471"/>
      <c r="G317" s="471"/>
      <c r="H317" s="471"/>
      <c r="I317" s="469">
        <v>136.18898819257356</v>
      </c>
      <c r="J317" s="469">
        <v>24.517842251713429</v>
      </c>
      <c r="K317" s="469">
        <v>1021.4174114443017</v>
      </c>
      <c r="L317" s="470" t="s">
        <v>2055</v>
      </c>
    </row>
    <row r="318" spans="1:12">
      <c r="A318" s="468">
        <v>2877.1466474134995</v>
      </c>
      <c r="B318" s="461">
        <v>215.64017637946483</v>
      </c>
      <c r="C318" s="461">
        <v>65771.572359872604</v>
      </c>
      <c r="D318" s="463" t="s">
        <v>2056</v>
      </c>
      <c r="E318" s="471"/>
      <c r="F318" s="471"/>
      <c r="G318" s="471"/>
      <c r="H318" s="471"/>
      <c r="I318" s="469">
        <v>136.25422101608939</v>
      </c>
      <c r="J318" s="469">
        <v>16.491460562928356</v>
      </c>
      <c r="K318" s="469">
        <v>1771.304873209162</v>
      </c>
      <c r="L318" s="470" t="s">
        <v>2057</v>
      </c>
    </row>
    <row r="319" spans="1:12">
      <c r="A319" s="461">
        <v>2949.1748035779242</v>
      </c>
      <c r="B319" s="461">
        <v>194.13534634711198</v>
      </c>
      <c r="C319" s="461">
        <v>74909.040010879267</v>
      </c>
      <c r="D319" s="463" t="s">
        <v>2058</v>
      </c>
      <c r="E319" s="471"/>
      <c r="F319" s="471"/>
      <c r="G319" s="471"/>
      <c r="H319" s="471"/>
      <c r="I319" s="469">
        <v>136.44761439311571</v>
      </c>
      <c r="J319" s="469">
        <v>23.575842251713429</v>
      </c>
      <c r="K319" s="469">
        <v>1364.4761439311574</v>
      </c>
      <c r="L319" s="470" t="s">
        <v>2059</v>
      </c>
    </row>
    <row r="320" spans="1:12">
      <c r="A320" s="468">
        <v>3186.2665366755941</v>
      </c>
      <c r="B320" s="461">
        <v>188.16726278308747</v>
      </c>
      <c r="C320" s="461">
        <v>89056.149700082868</v>
      </c>
      <c r="D320" s="463" t="s">
        <v>2060</v>
      </c>
      <c r="E320" s="471"/>
      <c r="F320" s="471"/>
      <c r="G320" s="471"/>
      <c r="H320" s="471"/>
      <c r="I320" s="469">
        <v>136.71570182553006</v>
      </c>
      <c r="J320" s="469">
        <v>27.665344596654048</v>
      </c>
      <c r="K320" s="469">
        <v>1093.7256146042403</v>
      </c>
      <c r="L320" s="470" t="s">
        <v>2061</v>
      </c>
    </row>
    <row r="321" spans="1:12">
      <c r="A321" s="468">
        <v>3278.4802560697099</v>
      </c>
      <c r="B321" s="462">
        <v>217.51445055659653</v>
      </c>
      <c r="C321" s="462">
        <v>83273.398504170633</v>
      </c>
      <c r="D321" s="463" t="s">
        <v>2062</v>
      </c>
      <c r="E321" s="471"/>
      <c r="F321" s="471"/>
      <c r="G321" s="471"/>
      <c r="H321" s="471"/>
      <c r="I321" s="469">
        <v>138.11489243099055</v>
      </c>
      <c r="J321" s="469">
        <v>19.270152111872633</v>
      </c>
      <c r="K321" s="469">
        <v>1519.2638167408959</v>
      </c>
      <c r="L321" s="470" t="s">
        <v>2063</v>
      </c>
    </row>
    <row r="322" spans="1:12">
      <c r="A322" s="468">
        <v>3300.9049285993869</v>
      </c>
      <c r="B322" s="462">
        <v>176.85256551377145</v>
      </c>
      <c r="C322" s="462">
        <v>100611.58222370931</v>
      </c>
      <c r="D322" s="463" t="s">
        <v>2064</v>
      </c>
      <c r="E322" s="471"/>
      <c r="F322" s="471"/>
      <c r="G322" s="471"/>
      <c r="H322" s="471"/>
      <c r="I322" s="469">
        <v>138.13635016100463</v>
      </c>
      <c r="J322" s="469">
        <v>27.665344596654048</v>
      </c>
      <c r="K322" s="469">
        <v>1243.2271514490419</v>
      </c>
      <c r="L322" s="470" t="s">
        <v>2065</v>
      </c>
    </row>
    <row r="323" spans="1:12">
      <c r="A323" s="468">
        <v>3429.939338145618</v>
      </c>
      <c r="B323" s="462">
        <v>184.06728802061195</v>
      </c>
      <c r="C323" s="462">
        <v>104544.55102667843</v>
      </c>
      <c r="D323" s="463" t="s">
        <v>2066</v>
      </c>
      <c r="E323" s="471"/>
      <c r="F323" s="471"/>
      <c r="G323" s="471"/>
      <c r="H323" s="471"/>
      <c r="I323" s="469">
        <v>139.00083940423141</v>
      </c>
      <c r="J323" s="469">
        <v>31.844600932271952</v>
      </c>
      <c r="K323" s="469">
        <v>973.00587582961987</v>
      </c>
      <c r="L323" s="470" t="s">
        <v>2067</v>
      </c>
    </row>
    <row r="324" spans="1:12">
      <c r="A324" s="468">
        <v>3599.5191146010507</v>
      </c>
      <c r="B324" s="462">
        <v>240.69626274743561</v>
      </c>
      <c r="C324" s="462">
        <v>91427.785510866684</v>
      </c>
      <c r="D324" s="463" t="s">
        <v>2068</v>
      </c>
      <c r="E324" s="471"/>
      <c r="F324" s="471"/>
      <c r="G324" s="471"/>
      <c r="H324" s="471"/>
      <c r="I324" s="469">
        <v>140.09312973447453</v>
      </c>
      <c r="J324" s="469">
        <v>24.517842251713429</v>
      </c>
      <c r="K324" s="469">
        <v>1120.745037875796</v>
      </c>
      <c r="L324" s="470" t="s">
        <v>2069</v>
      </c>
    </row>
    <row r="325" spans="1:12">
      <c r="A325" s="461">
        <v>3602.2550062284467</v>
      </c>
      <c r="B325" s="461">
        <v>214.2591322489468</v>
      </c>
      <c r="C325" s="461">
        <v>100683.02742408508</v>
      </c>
      <c r="D325" s="463" t="s">
        <v>2070</v>
      </c>
      <c r="E325" s="471"/>
      <c r="F325" s="471"/>
      <c r="G325" s="471"/>
      <c r="H325" s="471"/>
      <c r="I325" s="469">
        <v>141.03005221130738</v>
      </c>
      <c r="J325" s="469">
        <v>28.921344596654048</v>
      </c>
      <c r="K325" s="469">
        <v>987.21036547915173</v>
      </c>
      <c r="L325" s="470" t="s">
        <v>2071</v>
      </c>
    </row>
    <row r="326" spans="1:12">
      <c r="A326" s="461">
        <v>3813.0887650559471</v>
      </c>
      <c r="B326" s="461">
        <v>205.63747103414133</v>
      </c>
      <c r="C326" s="461">
        <v>116222.94555890527</v>
      </c>
      <c r="D326" s="463" t="s">
        <v>2072</v>
      </c>
      <c r="E326" s="471"/>
      <c r="F326" s="471"/>
      <c r="G326" s="471"/>
      <c r="H326" s="471"/>
      <c r="I326" s="469">
        <v>141.42673252906641</v>
      </c>
      <c r="J326" s="469">
        <v>26.813654456813261</v>
      </c>
      <c r="K326" s="469">
        <v>1060.700493967998</v>
      </c>
      <c r="L326" s="470" t="s">
        <v>2073</v>
      </c>
    </row>
    <row r="327" spans="1:12">
      <c r="A327" s="468">
        <v>4008.8783262606989</v>
      </c>
      <c r="B327" s="461">
        <v>240.15370969616066</v>
      </c>
      <c r="C327" s="461">
        <v>112048.14921898654</v>
      </c>
      <c r="D327" s="463" t="s">
        <v>2074</v>
      </c>
      <c r="E327" s="471"/>
      <c r="F327" s="471"/>
      <c r="G327" s="471"/>
      <c r="H327" s="471"/>
      <c r="I327" s="469">
        <v>141.8039292774879</v>
      </c>
      <c r="J327" s="469">
        <v>31.844600932271952</v>
      </c>
      <c r="K327" s="469">
        <v>1063.5294695811592</v>
      </c>
      <c r="L327" s="470" t="s">
        <v>2075</v>
      </c>
    </row>
    <row r="328" spans="1:12">
      <c r="A328" s="468">
        <v>4314.8131626868135</v>
      </c>
      <c r="B328" s="462">
        <v>234.22508453586536</v>
      </c>
      <c r="C328" s="462">
        <v>131515.50519869407</v>
      </c>
      <c r="D328" s="463" t="s">
        <v>2076</v>
      </c>
      <c r="E328" s="471"/>
      <c r="F328" s="471"/>
      <c r="G328" s="471"/>
      <c r="H328" s="471"/>
      <c r="I328" s="469">
        <v>141.92956572042539</v>
      </c>
      <c r="J328" s="469">
        <v>22.259612674800991</v>
      </c>
      <c r="K328" s="469">
        <v>1277.3660914838283</v>
      </c>
      <c r="L328" s="470" t="s">
        <v>2077</v>
      </c>
    </row>
    <row r="329" spans="1:12">
      <c r="A329" s="468">
        <v>4406.2781213427807</v>
      </c>
      <c r="B329" s="462">
        <v>265.85099512472902</v>
      </c>
      <c r="C329" s="462">
        <v>123155.47349153073</v>
      </c>
      <c r="D329" s="463" t="s">
        <v>2078</v>
      </c>
      <c r="E329" s="471"/>
      <c r="F329" s="471"/>
      <c r="G329" s="471"/>
      <c r="H329" s="471"/>
      <c r="I329" s="469">
        <v>143.29203107998478</v>
      </c>
      <c r="J329" s="469">
        <v>31.844600932271952</v>
      </c>
      <c r="K329" s="469">
        <v>1146.3362486398782</v>
      </c>
      <c r="L329" s="470" t="s">
        <v>2079</v>
      </c>
    </row>
    <row r="330" spans="1:12">
      <c r="A330" s="468">
        <v>4806.2214968543494</v>
      </c>
      <c r="B330" s="462">
        <v>262.61540601894393</v>
      </c>
      <c r="C330" s="462">
        <v>146493.63122412056</v>
      </c>
      <c r="D330" s="463" t="s">
        <v>2080</v>
      </c>
      <c r="E330" s="471"/>
      <c r="F330" s="471"/>
      <c r="G330" s="471"/>
      <c r="H330" s="471"/>
      <c r="I330" s="469">
        <v>143.4229922569925</v>
      </c>
      <c r="J330" s="469">
        <v>35.842681678089505</v>
      </c>
      <c r="K330" s="469">
        <v>1003.9609457989475</v>
      </c>
      <c r="L330" s="470" t="s">
        <v>2081</v>
      </c>
    </row>
    <row r="331" spans="1:12">
      <c r="A331" s="468">
        <v>5287.4561534429213</v>
      </c>
      <c r="B331" s="462">
        <v>290.80843548337714</v>
      </c>
      <c r="C331" s="462">
        <v>161161.66355694024</v>
      </c>
      <c r="D331" s="463" t="s">
        <v>2082</v>
      </c>
      <c r="E331" s="471"/>
      <c r="F331" s="471"/>
      <c r="G331" s="471"/>
      <c r="H331" s="471"/>
      <c r="I331" s="469">
        <v>144.2674425684898</v>
      </c>
      <c r="J331" s="469">
        <v>22.259612674800991</v>
      </c>
      <c r="K331" s="469">
        <v>1803.3430321061223</v>
      </c>
      <c r="L331" s="470" t="s">
        <v>2083</v>
      </c>
    </row>
    <row r="332" spans="1:12">
      <c r="A332" s="472"/>
      <c r="B332" s="473"/>
      <c r="C332" s="473"/>
      <c r="D332" s="471"/>
      <c r="E332" s="471"/>
      <c r="F332" s="471"/>
      <c r="G332" s="471"/>
      <c r="H332" s="471"/>
      <c r="I332" s="469">
        <v>145.36064650024505</v>
      </c>
      <c r="J332" s="469">
        <v>36.929298695843656</v>
      </c>
      <c r="K332" s="469">
        <v>1017.5245255017152</v>
      </c>
      <c r="L332" s="470" t="s">
        <v>2084</v>
      </c>
    </row>
    <row r="333" spans="1:12">
      <c r="A333" s="472"/>
      <c r="B333" s="474"/>
      <c r="C333" s="474"/>
      <c r="D333" s="471"/>
      <c r="E333" s="471"/>
      <c r="F333" s="471"/>
      <c r="G333" s="471"/>
      <c r="H333" s="471"/>
      <c r="I333" s="469">
        <v>145.51218564862222</v>
      </c>
      <c r="J333" s="469">
        <v>24.517842251713429</v>
      </c>
      <c r="K333" s="469">
        <v>1309.6096708375999</v>
      </c>
      <c r="L333" s="470" t="s">
        <v>2085</v>
      </c>
    </row>
    <row r="334" spans="1:12">
      <c r="A334" s="472"/>
      <c r="B334" s="474"/>
      <c r="C334" s="474"/>
      <c r="D334" s="471"/>
      <c r="E334" s="471"/>
      <c r="F334" s="471"/>
      <c r="G334" s="471"/>
      <c r="H334" s="471"/>
      <c r="I334" s="469">
        <v>145.66106676470494</v>
      </c>
      <c r="J334" s="469">
        <v>35.842681678089505</v>
      </c>
      <c r="K334" s="469">
        <v>1092.458000735287</v>
      </c>
      <c r="L334" s="470" t="s">
        <v>2086</v>
      </c>
    </row>
    <row r="335" spans="1:12">
      <c r="A335" s="472"/>
      <c r="B335" s="473"/>
      <c r="C335" s="473"/>
      <c r="D335" s="471"/>
      <c r="E335" s="471"/>
      <c r="F335" s="471"/>
      <c r="G335" s="471"/>
      <c r="H335" s="471"/>
      <c r="I335" s="469">
        <v>145.92547311504316</v>
      </c>
      <c r="J335" s="469">
        <v>22.259612674800991</v>
      </c>
      <c r="K335" s="469">
        <v>1459.2547311504316</v>
      </c>
      <c r="L335" s="470" t="s">
        <v>2087</v>
      </c>
    </row>
    <row r="336" spans="1:12">
      <c r="A336" s="472"/>
      <c r="B336" s="473"/>
      <c r="C336" s="473"/>
      <c r="D336" s="471"/>
      <c r="E336" s="471"/>
      <c r="F336" s="471"/>
      <c r="G336" s="471"/>
      <c r="H336" s="471"/>
      <c r="I336" s="469">
        <v>146.33309865306876</v>
      </c>
      <c r="J336" s="469">
        <v>35.842681678089505</v>
      </c>
      <c r="K336" s="469">
        <v>1170.6647892245501</v>
      </c>
      <c r="L336" s="470" t="s">
        <v>2088</v>
      </c>
    </row>
    <row r="337" spans="1:12">
      <c r="A337" s="474"/>
      <c r="B337" s="474"/>
      <c r="C337" s="474"/>
      <c r="D337" s="471"/>
      <c r="E337" s="471"/>
      <c r="F337" s="471"/>
      <c r="G337" s="471"/>
      <c r="H337" s="471"/>
      <c r="I337" s="469">
        <v>147.25961452703817</v>
      </c>
      <c r="J337" s="469">
        <v>22.259612674800991</v>
      </c>
      <c r="K337" s="469">
        <v>1619.85575979742</v>
      </c>
      <c r="L337" s="470" t="s">
        <v>2089</v>
      </c>
    </row>
    <row r="338" spans="1:12">
      <c r="A338" s="474"/>
      <c r="B338" s="474"/>
      <c r="C338" s="474"/>
      <c r="D338" s="471"/>
      <c r="E338" s="471"/>
      <c r="F338" s="471"/>
      <c r="G338" s="471"/>
      <c r="H338" s="471"/>
      <c r="I338" s="469">
        <v>147.533382171997</v>
      </c>
      <c r="J338" s="469">
        <v>36.929298695843656</v>
      </c>
      <c r="K338" s="469">
        <v>1106.5003662899776</v>
      </c>
      <c r="L338" s="470" t="s">
        <v>2090</v>
      </c>
    </row>
    <row r="339" spans="1:12">
      <c r="A339" s="472"/>
      <c r="B339" s="474"/>
      <c r="C339" s="474"/>
      <c r="D339" s="471"/>
      <c r="E339" s="471"/>
      <c r="F339" s="471"/>
      <c r="G339" s="471"/>
      <c r="H339" s="471"/>
      <c r="I339" s="469">
        <v>147.5829624291311</v>
      </c>
      <c r="J339" s="469">
        <v>26.813654456813261</v>
      </c>
      <c r="K339" s="469">
        <v>1254.4551806476143</v>
      </c>
      <c r="L339" s="470" t="s">
        <v>2091</v>
      </c>
    </row>
    <row r="340" spans="1:12">
      <c r="A340" s="472"/>
      <c r="B340" s="474"/>
      <c r="C340" s="474"/>
      <c r="D340" s="471"/>
      <c r="E340" s="471"/>
      <c r="F340" s="471"/>
      <c r="G340" s="471"/>
      <c r="H340" s="471"/>
      <c r="I340" s="469">
        <v>147.74201439311574</v>
      </c>
      <c r="J340" s="469">
        <v>24.517842251713429</v>
      </c>
      <c r="K340" s="469">
        <v>1477.4201439311578</v>
      </c>
      <c r="L340" s="470" t="s">
        <v>2092</v>
      </c>
    </row>
    <row r="341" spans="1:12">
      <c r="A341" s="472"/>
      <c r="B341" s="474"/>
      <c r="C341" s="474"/>
      <c r="D341" s="471"/>
      <c r="E341" s="471"/>
      <c r="F341" s="471"/>
      <c r="G341" s="471"/>
      <c r="H341" s="471"/>
      <c r="I341" s="469">
        <v>148.07788167266568</v>
      </c>
      <c r="J341" s="469">
        <v>36.929298695843656</v>
      </c>
      <c r="K341" s="469">
        <v>1184.6230533813255</v>
      </c>
      <c r="L341" s="470" t="s">
        <v>2093</v>
      </c>
    </row>
    <row r="342" spans="1:12">
      <c r="A342" s="472"/>
      <c r="B342" s="474"/>
      <c r="C342" s="474"/>
      <c r="D342" s="471"/>
      <c r="E342" s="471"/>
      <c r="F342" s="471"/>
      <c r="G342" s="471"/>
      <c r="H342" s="471"/>
      <c r="I342" s="469">
        <v>148.27836849219673</v>
      </c>
      <c r="J342" s="469">
        <v>28.921344596654048</v>
      </c>
      <c r="K342" s="469">
        <v>1186.2269479375739</v>
      </c>
      <c r="L342" s="470" t="s">
        <v>2094</v>
      </c>
    </row>
    <row r="343" spans="1:12">
      <c r="A343" s="472"/>
      <c r="B343" s="473"/>
      <c r="C343" s="473"/>
      <c r="D343" s="471"/>
      <c r="E343" s="471"/>
      <c r="F343" s="471"/>
      <c r="G343" s="471"/>
      <c r="H343" s="471"/>
      <c r="I343" s="469">
        <v>149.26896279868888</v>
      </c>
      <c r="J343" s="469">
        <v>26.813654456813261</v>
      </c>
      <c r="K343" s="469">
        <v>1343.4206651881998</v>
      </c>
      <c r="L343" s="470" t="s">
        <v>2095</v>
      </c>
    </row>
    <row r="344" spans="1:12">
      <c r="A344" s="472"/>
      <c r="B344" s="474"/>
      <c r="C344" s="474"/>
      <c r="D344" s="471"/>
      <c r="E344" s="471"/>
      <c r="F344" s="471"/>
      <c r="G344" s="471"/>
      <c r="H344" s="471"/>
      <c r="I344" s="469">
        <v>149.85279166709242</v>
      </c>
      <c r="J344" s="469">
        <v>26.813654456813261</v>
      </c>
      <c r="K344" s="469">
        <v>1498.5279166709242</v>
      </c>
      <c r="L344" s="470" t="s">
        <v>2096</v>
      </c>
    </row>
    <row r="345" spans="1:12">
      <c r="A345" s="472"/>
      <c r="B345" s="473"/>
      <c r="C345" s="473"/>
      <c r="D345" s="471"/>
      <c r="E345" s="471"/>
      <c r="F345" s="471"/>
      <c r="G345" s="471"/>
      <c r="H345" s="471"/>
      <c r="I345" s="469">
        <v>151.29427608693055</v>
      </c>
      <c r="J345" s="469">
        <v>28.921344596654048</v>
      </c>
      <c r="K345" s="469">
        <v>1361.6484847823751</v>
      </c>
      <c r="L345" s="470" t="s">
        <v>2097</v>
      </c>
    </row>
    <row r="346" spans="1:12">
      <c r="A346" s="472"/>
      <c r="B346" s="473"/>
      <c r="C346" s="473"/>
      <c r="D346" s="471"/>
      <c r="E346" s="471"/>
      <c r="F346" s="471"/>
      <c r="G346" s="471"/>
      <c r="H346" s="471"/>
      <c r="I346" s="469">
        <v>154.8928181663768</v>
      </c>
      <c r="J346" s="469">
        <v>33.414600932271952</v>
      </c>
      <c r="K346" s="469">
        <v>1161.696136247826</v>
      </c>
      <c r="L346" s="470" t="s">
        <v>2098</v>
      </c>
    </row>
    <row r="347" spans="1:12">
      <c r="A347" s="474"/>
      <c r="B347" s="474"/>
      <c r="C347" s="474"/>
      <c r="D347" s="471"/>
      <c r="E347" s="471"/>
      <c r="F347" s="471"/>
      <c r="G347" s="471"/>
      <c r="H347" s="471"/>
      <c r="I347" s="469">
        <v>155.21714044677674</v>
      </c>
      <c r="J347" s="469">
        <v>27.912654456813257</v>
      </c>
      <c r="K347" s="469">
        <v>1241.7371235742139</v>
      </c>
      <c r="L347" s="470" t="s">
        <v>2099</v>
      </c>
    </row>
    <row r="348" spans="1:12">
      <c r="A348" s="472"/>
      <c r="B348" s="474"/>
      <c r="C348" s="474"/>
      <c r="D348" s="471"/>
      <c r="E348" s="471"/>
      <c r="F348" s="471"/>
      <c r="G348" s="471"/>
      <c r="H348" s="471"/>
      <c r="I348" s="469">
        <v>155.94791609911979</v>
      </c>
      <c r="J348" s="469">
        <v>30.177344596654049</v>
      </c>
      <c r="K348" s="469">
        <v>1169.6093707433986</v>
      </c>
      <c r="L348" s="470" t="s">
        <v>2100</v>
      </c>
    </row>
    <row r="349" spans="1:12">
      <c r="A349" s="474"/>
      <c r="B349" s="474"/>
      <c r="C349" s="474"/>
      <c r="D349" s="471"/>
      <c r="E349" s="471"/>
      <c r="F349" s="471"/>
      <c r="G349" s="471"/>
      <c r="H349" s="471"/>
      <c r="I349" s="469">
        <v>157.37536441331812</v>
      </c>
      <c r="J349" s="469">
        <v>33.414600932271952</v>
      </c>
      <c r="K349" s="469">
        <v>1259.002915306545</v>
      </c>
      <c r="L349" s="470" t="s">
        <v>2101</v>
      </c>
    </row>
    <row r="350" spans="1:12">
      <c r="A350" s="472"/>
      <c r="B350" s="473"/>
      <c r="C350" s="473"/>
      <c r="D350" s="471"/>
      <c r="E350" s="471"/>
      <c r="F350" s="471"/>
      <c r="G350" s="471"/>
      <c r="H350" s="471"/>
      <c r="I350" s="469">
        <v>157.88912973447452</v>
      </c>
      <c r="J350" s="469">
        <v>26.401842251713429</v>
      </c>
      <c r="K350" s="469">
        <v>1263.1130378757962</v>
      </c>
      <c r="L350" s="470" t="s">
        <v>2102</v>
      </c>
    </row>
    <row r="351" spans="1:12">
      <c r="A351" s="472"/>
      <c r="B351" s="474"/>
      <c r="C351" s="474"/>
      <c r="D351" s="471"/>
      <c r="E351" s="471"/>
      <c r="F351" s="471"/>
      <c r="G351" s="471"/>
      <c r="H351" s="471"/>
      <c r="I351" s="469">
        <v>158.39186392840011</v>
      </c>
      <c r="J351" s="469">
        <v>21.154152111872637</v>
      </c>
      <c r="K351" s="469">
        <v>1583.9186392840011</v>
      </c>
      <c r="L351" s="470" t="s">
        <v>2103</v>
      </c>
    </row>
    <row r="352" spans="1:12">
      <c r="A352" s="472"/>
      <c r="B352" s="473"/>
      <c r="C352" s="473"/>
      <c r="D352" s="471"/>
      <c r="E352" s="471"/>
      <c r="F352" s="471"/>
      <c r="G352" s="471"/>
      <c r="H352" s="471"/>
      <c r="I352" s="469">
        <v>158.94808423894395</v>
      </c>
      <c r="J352" s="469">
        <v>23.829612674800991</v>
      </c>
      <c r="K352" s="469">
        <v>1430.5327581504955</v>
      </c>
      <c r="L352" s="470" t="s">
        <v>2104</v>
      </c>
    </row>
    <row r="353" spans="1:12">
      <c r="A353" s="472"/>
      <c r="B353" s="473"/>
      <c r="C353" s="473"/>
      <c r="D353" s="471"/>
      <c r="E353" s="471"/>
      <c r="F353" s="471"/>
      <c r="G353" s="471"/>
      <c r="H353" s="471"/>
      <c r="I353" s="469">
        <v>160.91437020609624</v>
      </c>
      <c r="J353" s="469">
        <v>27.912654456813257</v>
      </c>
      <c r="K353" s="469">
        <v>1448.2293318548664</v>
      </c>
      <c r="L353" s="470" t="s">
        <v>2105</v>
      </c>
    </row>
    <row r="354" spans="1:12">
      <c r="A354" s="472"/>
      <c r="B354" s="473"/>
      <c r="C354" s="473"/>
      <c r="D354" s="471"/>
      <c r="E354" s="471"/>
      <c r="F354" s="471"/>
      <c r="G354" s="471"/>
      <c r="H354" s="471"/>
      <c r="I354" s="469">
        <v>160.93466676470493</v>
      </c>
      <c r="J354" s="469">
        <v>37.726681678089506</v>
      </c>
      <c r="K354" s="469">
        <v>1207.0100007352869</v>
      </c>
      <c r="L354" s="470" t="s">
        <v>2106</v>
      </c>
    </row>
    <row r="355" spans="1:12">
      <c r="A355" s="472"/>
      <c r="B355" s="473"/>
      <c r="C355" s="473"/>
      <c r="D355" s="471"/>
      <c r="E355" s="471"/>
      <c r="F355" s="471"/>
      <c r="G355" s="471"/>
      <c r="H355" s="471"/>
      <c r="I355" s="469">
        <v>162.79709865306876</v>
      </c>
      <c r="J355" s="469">
        <v>37.726681678089506</v>
      </c>
      <c r="K355" s="469">
        <v>1302.3767892245501</v>
      </c>
      <c r="L355" s="470" t="s">
        <v>2107</v>
      </c>
    </row>
    <row r="356" spans="1:12">
      <c r="A356" s="472"/>
      <c r="B356" s="473"/>
      <c r="C356" s="473"/>
      <c r="D356" s="471"/>
      <c r="E356" s="471"/>
      <c r="F356" s="471"/>
      <c r="G356" s="471"/>
      <c r="H356" s="471"/>
      <c r="I356" s="469">
        <v>162.89565833375912</v>
      </c>
      <c r="J356" s="469">
        <v>27.912654456813257</v>
      </c>
      <c r="K356" s="469">
        <v>1628.9565833375914</v>
      </c>
      <c r="L356" s="470" t="s">
        <v>2108</v>
      </c>
    </row>
    <row r="357" spans="1:12">
      <c r="A357" s="474"/>
      <c r="B357" s="474"/>
      <c r="C357" s="474"/>
      <c r="D357" s="471"/>
      <c r="E357" s="471"/>
      <c r="F357" s="471"/>
      <c r="G357" s="471"/>
      <c r="H357" s="471"/>
      <c r="I357" s="469">
        <v>163.19131559470759</v>
      </c>
      <c r="J357" s="469">
        <v>34.984600932271952</v>
      </c>
      <c r="K357" s="469">
        <v>1142.339209162953</v>
      </c>
      <c r="L357" s="470" t="s">
        <v>2109</v>
      </c>
    </row>
    <row r="358" spans="1:12">
      <c r="A358" s="472"/>
      <c r="B358" s="473"/>
      <c r="C358" s="473"/>
      <c r="D358" s="471"/>
      <c r="E358" s="471"/>
      <c r="F358" s="471"/>
      <c r="G358" s="471"/>
      <c r="H358" s="471"/>
      <c r="I358" s="469">
        <v>163.33199328310812</v>
      </c>
      <c r="J358" s="469">
        <v>38.891798695843661</v>
      </c>
      <c r="K358" s="469">
        <v>1224.9899496233108</v>
      </c>
      <c r="L358" s="470" t="s">
        <v>2110</v>
      </c>
    </row>
    <row r="359" spans="1:12">
      <c r="A359" s="474"/>
      <c r="B359" s="474"/>
      <c r="C359" s="474"/>
      <c r="D359" s="471"/>
      <c r="E359" s="471"/>
      <c r="F359" s="471"/>
      <c r="G359" s="471"/>
      <c r="H359" s="471"/>
      <c r="I359" s="469">
        <v>163.56652879462689</v>
      </c>
      <c r="J359" s="469">
        <v>21.154152111872637</v>
      </c>
      <c r="K359" s="469">
        <v>1799.2318167408957</v>
      </c>
      <c r="L359" s="470" t="s">
        <v>2111</v>
      </c>
    </row>
    <row r="360" spans="1:12">
      <c r="A360" s="472"/>
      <c r="B360" s="473"/>
      <c r="C360" s="473"/>
      <c r="D360" s="471"/>
      <c r="E360" s="471"/>
      <c r="F360" s="471"/>
      <c r="G360" s="471"/>
      <c r="H360" s="471"/>
      <c r="I360" s="469">
        <v>164.9421397817099</v>
      </c>
      <c r="J360" s="469">
        <v>23.829612674800991</v>
      </c>
      <c r="K360" s="469">
        <v>1649.4213978170988</v>
      </c>
      <c r="L360" s="470" t="s">
        <v>2112</v>
      </c>
    </row>
    <row r="361" spans="1:12">
      <c r="A361" s="472"/>
      <c r="B361" s="474"/>
      <c r="C361" s="474"/>
      <c r="D361" s="471"/>
      <c r="E361" s="471"/>
      <c r="F361" s="471"/>
      <c r="G361" s="471"/>
      <c r="H361" s="471"/>
      <c r="I361" s="469">
        <v>165.11564208933234</v>
      </c>
      <c r="J361" s="469">
        <v>38.891798695843661</v>
      </c>
      <c r="K361" s="469">
        <v>1320.9251367146587</v>
      </c>
      <c r="L361" s="470" t="s">
        <v>2113</v>
      </c>
    </row>
    <row r="362" spans="1:12">
      <c r="A362" s="472"/>
      <c r="B362" s="473"/>
      <c r="C362" s="473"/>
      <c r="D362" s="471"/>
      <c r="E362" s="471"/>
      <c r="F362" s="471"/>
      <c r="G362" s="471"/>
      <c r="H362" s="471"/>
      <c r="I362" s="469">
        <v>165.70418564862223</v>
      </c>
      <c r="J362" s="469">
        <v>26.401842251713429</v>
      </c>
      <c r="K362" s="469">
        <v>1491.3376708375999</v>
      </c>
      <c r="L362" s="470" t="s">
        <v>2114</v>
      </c>
    </row>
    <row r="363" spans="1:12">
      <c r="A363" s="472"/>
      <c r="B363" s="473"/>
      <c r="C363" s="473"/>
      <c r="D363" s="471"/>
      <c r="E363" s="471"/>
      <c r="F363" s="471"/>
      <c r="G363" s="471"/>
      <c r="H363" s="471"/>
      <c r="I363" s="469">
        <v>166.07613059506681</v>
      </c>
      <c r="J363" s="469">
        <v>21.782152111872634</v>
      </c>
      <c r="K363" s="469">
        <v>1660.7613059506682</v>
      </c>
      <c r="L363" s="470" t="s">
        <v>2115</v>
      </c>
    </row>
    <row r="364" spans="1:12">
      <c r="A364" s="472"/>
      <c r="B364" s="474"/>
      <c r="C364" s="474"/>
      <c r="D364" s="471"/>
      <c r="E364" s="471"/>
      <c r="F364" s="471"/>
      <c r="G364" s="471"/>
      <c r="H364" s="471"/>
      <c r="I364" s="469">
        <v>166.71342721023089</v>
      </c>
      <c r="J364" s="469">
        <v>31.433344596654052</v>
      </c>
      <c r="K364" s="469">
        <v>1250.3507040767317</v>
      </c>
      <c r="L364" s="470" t="s">
        <v>2116</v>
      </c>
    </row>
    <row r="365" spans="1:12">
      <c r="A365" s="472"/>
      <c r="B365" s="474"/>
      <c r="C365" s="474"/>
      <c r="D365" s="471"/>
      <c r="E365" s="471"/>
      <c r="F365" s="471"/>
      <c r="G365" s="471"/>
      <c r="H365" s="471"/>
      <c r="I365" s="469">
        <v>167.33251597621597</v>
      </c>
      <c r="J365" s="469">
        <v>21.154152111872637</v>
      </c>
      <c r="K365" s="469">
        <v>2091.6564497026998</v>
      </c>
      <c r="L365" s="470" t="s">
        <v>2117</v>
      </c>
    </row>
    <row r="366" spans="1:12">
      <c r="A366" s="472"/>
      <c r="B366" s="474"/>
      <c r="C366" s="474"/>
      <c r="D366" s="471"/>
      <c r="E366" s="471"/>
      <c r="F366" s="471"/>
      <c r="G366" s="471"/>
      <c r="H366" s="471"/>
      <c r="I366" s="469">
        <v>167.92979017931808</v>
      </c>
      <c r="J366" s="469">
        <v>26.401842251713429</v>
      </c>
      <c r="K366" s="469">
        <v>2099.122377241476</v>
      </c>
      <c r="L366" s="470" t="s">
        <v>2118</v>
      </c>
    </row>
    <row r="367" spans="1:12">
      <c r="A367" s="472"/>
      <c r="B367" s="473"/>
      <c r="C367" s="473"/>
      <c r="D367" s="471"/>
      <c r="E367" s="471"/>
      <c r="F367" s="471"/>
      <c r="G367" s="471"/>
      <c r="H367" s="471"/>
      <c r="I367" s="469">
        <v>168.27476604218961</v>
      </c>
      <c r="J367" s="469">
        <v>23.829612674800991</v>
      </c>
      <c r="K367" s="469">
        <v>1851.0224264640856</v>
      </c>
      <c r="L367" s="470" t="s">
        <v>2119</v>
      </c>
    </row>
    <row r="368" spans="1:12">
      <c r="A368" s="472"/>
      <c r="B368" s="474"/>
      <c r="C368" s="474"/>
      <c r="D368" s="471"/>
      <c r="E368" s="471"/>
      <c r="F368" s="471"/>
      <c r="G368" s="471"/>
      <c r="H368" s="471"/>
      <c r="I368" s="469">
        <v>170.33081439311576</v>
      </c>
      <c r="J368" s="469">
        <v>26.401842251713429</v>
      </c>
      <c r="K368" s="469">
        <v>1703.3081439311575</v>
      </c>
      <c r="L368" s="470" t="s">
        <v>2120</v>
      </c>
    </row>
    <row r="369" spans="1:12">
      <c r="A369" s="472"/>
      <c r="B369" s="474"/>
      <c r="C369" s="474"/>
      <c r="D369" s="471"/>
      <c r="E369" s="471"/>
      <c r="F369" s="471"/>
      <c r="G369" s="471"/>
      <c r="H369" s="471"/>
      <c r="I369" s="469">
        <v>171.40370182553005</v>
      </c>
      <c r="J369" s="469">
        <v>31.433344596654052</v>
      </c>
      <c r="K369" s="469">
        <v>1371.2296146042404</v>
      </c>
      <c r="L369" s="470" t="s">
        <v>2121</v>
      </c>
    </row>
    <row r="370" spans="1:12">
      <c r="A370" s="472"/>
      <c r="B370" s="474"/>
      <c r="C370" s="474"/>
      <c r="D370" s="471"/>
      <c r="E370" s="471"/>
      <c r="F370" s="471"/>
      <c r="G370" s="471"/>
      <c r="H370" s="471"/>
      <c r="I370" s="469">
        <v>171.45869774665147</v>
      </c>
      <c r="J370" s="469">
        <v>34.984600932271952</v>
      </c>
      <c r="K370" s="469">
        <v>1371.6695819732117</v>
      </c>
      <c r="L370" s="470" t="s">
        <v>2122</v>
      </c>
    </row>
    <row r="371" spans="1:12">
      <c r="A371" s="472"/>
      <c r="B371" s="473"/>
      <c r="C371" s="473"/>
      <c r="D371" s="471"/>
      <c r="E371" s="471"/>
      <c r="F371" s="471"/>
      <c r="G371" s="471"/>
      <c r="H371" s="471"/>
      <c r="I371" s="469">
        <v>171.59213511413535</v>
      </c>
      <c r="J371" s="469">
        <v>39.610681678089506</v>
      </c>
      <c r="K371" s="469">
        <v>1201.1449457989474</v>
      </c>
      <c r="L371" s="470" t="s">
        <v>2123</v>
      </c>
    </row>
    <row r="372" spans="1:12">
      <c r="A372" s="474"/>
      <c r="B372" s="474"/>
      <c r="C372" s="474"/>
      <c r="D372" s="471"/>
      <c r="E372" s="471"/>
      <c r="F372" s="471"/>
      <c r="G372" s="471"/>
      <c r="H372" s="471"/>
      <c r="I372" s="469">
        <v>171.76585974149728</v>
      </c>
      <c r="J372" s="469">
        <v>26.401842251713429</v>
      </c>
      <c r="K372" s="469">
        <v>1889.42445715647</v>
      </c>
      <c r="L372" s="470" t="s">
        <v>2124</v>
      </c>
    </row>
    <row r="373" spans="1:12">
      <c r="A373" s="472"/>
      <c r="B373" s="474"/>
      <c r="C373" s="474"/>
      <c r="D373" s="471"/>
      <c r="E373" s="471"/>
      <c r="F373" s="471"/>
      <c r="G373" s="471"/>
      <c r="H373" s="471"/>
      <c r="I373" s="469">
        <v>172.05040758250573</v>
      </c>
      <c r="J373" s="469">
        <v>21.782152111872634</v>
      </c>
      <c r="K373" s="469">
        <v>1892.5544834075629</v>
      </c>
      <c r="L373" s="470" t="s">
        <v>2125</v>
      </c>
    </row>
    <row r="374" spans="1:12">
      <c r="A374" s="472"/>
      <c r="B374" s="473"/>
      <c r="C374" s="473"/>
      <c r="D374" s="471"/>
      <c r="E374" s="471"/>
      <c r="F374" s="471"/>
      <c r="G374" s="471"/>
      <c r="H374" s="471"/>
      <c r="I374" s="469">
        <v>174.45918844579867</v>
      </c>
      <c r="J374" s="469">
        <v>34.984600932271952</v>
      </c>
      <c r="K374" s="469">
        <v>1570.1326960121883</v>
      </c>
      <c r="L374" s="470" t="s">
        <v>2126</v>
      </c>
    </row>
    <row r="375" spans="1:12">
      <c r="A375" s="472"/>
      <c r="B375" s="474"/>
      <c r="C375" s="474"/>
      <c r="D375" s="471"/>
      <c r="E375" s="471"/>
      <c r="F375" s="471"/>
      <c r="G375" s="471"/>
      <c r="H375" s="471"/>
      <c r="I375" s="469">
        <v>174.48267030976885</v>
      </c>
      <c r="J375" s="469">
        <v>40.85429869584366</v>
      </c>
      <c r="K375" s="469">
        <v>1221.3786921683818</v>
      </c>
      <c r="L375" s="470" t="s">
        <v>2127</v>
      </c>
    </row>
    <row r="376" spans="1:12">
      <c r="A376" s="472"/>
      <c r="B376" s="473"/>
      <c r="C376" s="473"/>
      <c r="D376" s="471"/>
      <c r="E376" s="471"/>
      <c r="F376" s="471"/>
      <c r="G376" s="471"/>
      <c r="H376" s="471"/>
      <c r="I376" s="469">
        <v>175.89363248432531</v>
      </c>
      <c r="J376" s="469">
        <v>21.782152111872634</v>
      </c>
      <c r="K376" s="469">
        <v>2110.7235898119038</v>
      </c>
      <c r="L376" s="470" t="s">
        <v>2128</v>
      </c>
    </row>
    <row r="377" spans="1:12">
      <c r="A377" s="472"/>
      <c r="B377" s="474"/>
      <c r="C377" s="474"/>
      <c r="D377" s="471"/>
      <c r="E377" s="471"/>
      <c r="F377" s="471"/>
      <c r="G377" s="471"/>
      <c r="H377" s="471"/>
      <c r="I377" s="469">
        <v>177.60527885874538</v>
      </c>
      <c r="J377" s="469">
        <v>21.782152111872634</v>
      </c>
      <c r="K377" s="469">
        <v>2308.86862516369</v>
      </c>
      <c r="L377" s="470" t="s">
        <v>2129</v>
      </c>
    </row>
    <row r="378" spans="1:12">
      <c r="A378" s="472"/>
      <c r="B378" s="474"/>
      <c r="C378" s="474"/>
      <c r="D378" s="471"/>
      <c r="E378" s="471"/>
      <c r="F378" s="471"/>
      <c r="G378" s="471"/>
      <c r="H378" s="471"/>
      <c r="I378" s="469">
        <v>177.61012793878243</v>
      </c>
      <c r="J378" s="469">
        <v>31.433344596654052</v>
      </c>
      <c r="K378" s="469">
        <v>1598.4911514490418</v>
      </c>
      <c r="L378" s="470" t="s">
        <v>2130</v>
      </c>
    </row>
    <row r="379" spans="1:12">
      <c r="A379" s="472"/>
      <c r="B379" s="474"/>
      <c r="C379" s="474"/>
      <c r="D379" s="471"/>
      <c r="E379" s="471"/>
      <c r="F379" s="471"/>
      <c r="G379" s="471"/>
      <c r="H379" s="471"/>
      <c r="I379" s="469">
        <v>179.26109865306876</v>
      </c>
      <c r="J379" s="469">
        <v>39.610681678089506</v>
      </c>
      <c r="K379" s="469">
        <v>1434.0887892245501</v>
      </c>
      <c r="L379" s="470" t="s">
        <v>2131</v>
      </c>
    </row>
    <row r="380" spans="1:12">
      <c r="A380" s="474"/>
      <c r="B380" s="474"/>
      <c r="C380" s="474"/>
      <c r="D380" s="471"/>
      <c r="E380" s="471"/>
      <c r="F380" s="471"/>
      <c r="G380" s="471"/>
      <c r="H380" s="471"/>
      <c r="I380" s="469">
        <v>179.57576426802237</v>
      </c>
      <c r="J380" s="469">
        <v>31.433344596654052</v>
      </c>
      <c r="K380" s="469">
        <v>1795.7576426802236</v>
      </c>
      <c r="L380" s="470" t="s">
        <v>2132</v>
      </c>
    </row>
    <row r="381" spans="1:12">
      <c r="A381" s="472"/>
      <c r="B381" s="474"/>
      <c r="C381" s="474"/>
      <c r="D381" s="471"/>
      <c r="E381" s="471"/>
      <c r="F381" s="471"/>
      <c r="G381" s="471"/>
      <c r="H381" s="471"/>
      <c r="I381" s="469">
        <v>180.65239631798289</v>
      </c>
      <c r="J381" s="469">
        <v>39.610681678089506</v>
      </c>
      <c r="K381" s="469">
        <v>1625.8715668618458</v>
      </c>
      <c r="L381" s="470" t="s">
        <v>2133</v>
      </c>
    </row>
    <row r="382" spans="1:12">
      <c r="A382" s="472"/>
      <c r="B382" s="473"/>
      <c r="C382" s="473"/>
      <c r="D382" s="471"/>
      <c r="E382" s="471"/>
      <c r="F382" s="471"/>
      <c r="G382" s="471"/>
      <c r="H382" s="471"/>
      <c r="I382" s="469">
        <v>182.15340250599903</v>
      </c>
      <c r="J382" s="469">
        <v>40.85429869584366</v>
      </c>
      <c r="K382" s="469">
        <v>1457.2272200479922</v>
      </c>
      <c r="L382" s="470" t="s">
        <v>2134</v>
      </c>
    </row>
    <row r="383" spans="1:12">
      <c r="A383" s="472"/>
      <c r="B383" s="473"/>
      <c r="C383" s="473"/>
      <c r="D383" s="471"/>
      <c r="E383" s="471"/>
      <c r="F383" s="471"/>
      <c r="G383" s="471"/>
      <c r="H383" s="471"/>
      <c r="I383" s="469">
        <v>183.29590368221582</v>
      </c>
      <c r="J383" s="469">
        <v>40.85429869584366</v>
      </c>
      <c r="K383" s="469">
        <v>1649.6631331399426</v>
      </c>
      <c r="L383" s="470" t="s">
        <v>2135</v>
      </c>
    </row>
    <row r="384" spans="1:12">
      <c r="A384" s="472"/>
      <c r="B384" s="473"/>
      <c r="C384" s="473"/>
      <c r="D384" s="471"/>
      <c r="E384" s="471"/>
      <c r="F384" s="471"/>
      <c r="G384" s="471"/>
      <c r="H384" s="471"/>
      <c r="I384" s="469">
        <v>184.20518502091105</v>
      </c>
      <c r="J384" s="469">
        <v>30.110654456813258</v>
      </c>
      <c r="K384" s="469">
        <v>1657.8466651881995</v>
      </c>
      <c r="L384" s="470" t="s">
        <v>2136</v>
      </c>
    </row>
    <row r="385" spans="1:12">
      <c r="A385" s="472"/>
      <c r="B385" s="473"/>
      <c r="C385" s="473"/>
      <c r="D385" s="471"/>
      <c r="E385" s="471"/>
      <c r="F385" s="471"/>
      <c r="G385" s="471"/>
      <c r="H385" s="471"/>
      <c r="I385" s="469">
        <v>185.89618564862221</v>
      </c>
      <c r="J385" s="469">
        <v>28.285842251713429</v>
      </c>
      <c r="K385" s="469">
        <v>1673.0656708376</v>
      </c>
      <c r="L385" s="470" t="s">
        <v>2137</v>
      </c>
    </row>
    <row r="386" spans="1:12">
      <c r="A386" s="472"/>
      <c r="B386" s="474"/>
      <c r="C386" s="474"/>
      <c r="D386" s="471"/>
      <c r="E386" s="471"/>
      <c r="F386" s="471"/>
      <c r="G386" s="471"/>
      <c r="H386" s="471"/>
      <c r="I386" s="469">
        <v>188.98139166709242</v>
      </c>
      <c r="J386" s="469">
        <v>30.110654456813258</v>
      </c>
      <c r="K386" s="469">
        <v>1889.8139166709241</v>
      </c>
      <c r="L386" s="470" t="s">
        <v>2138</v>
      </c>
    </row>
    <row r="387" spans="1:12">
      <c r="A387" s="472"/>
      <c r="B387" s="473"/>
      <c r="C387" s="473"/>
      <c r="D387" s="471"/>
      <c r="E387" s="471"/>
      <c r="F387" s="471"/>
      <c r="G387" s="471"/>
      <c r="H387" s="471"/>
      <c r="I387" s="469">
        <v>190.03783739597469</v>
      </c>
      <c r="J387" s="469">
        <v>30.110654456813258</v>
      </c>
      <c r="K387" s="469">
        <v>2090.4162113557218</v>
      </c>
      <c r="L387" s="470" t="s">
        <v>2139</v>
      </c>
    </row>
    <row r="388" spans="1:12">
      <c r="A388" s="472"/>
      <c r="B388" s="473"/>
      <c r="C388" s="473"/>
      <c r="D388" s="471"/>
      <c r="E388" s="471"/>
      <c r="F388" s="471"/>
      <c r="G388" s="471"/>
      <c r="H388" s="471"/>
      <c r="I388" s="469">
        <v>192.91961439311578</v>
      </c>
      <c r="J388" s="469">
        <v>28.285842251713429</v>
      </c>
      <c r="K388" s="469">
        <v>1929.1961439311578</v>
      </c>
      <c r="L388" s="470" t="s">
        <v>2140</v>
      </c>
    </row>
    <row r="389" spans="1:12">
      <c r="A389" s="472"/>
      <c r="B389" s="474"/>
      <c r="C389" s="474"/>
      <c r="D389" s="471"/>
      <c r="E389" s="471"/>
      <c r="F389" s="471"/>
      <c r="G389" s="471"/>
      <c r="H389" s="471"/>
      <c r="I389" s="469">
        <v>193.46713978170976</v>
      </c>
      <c r="J389" s="469">
        <v>26.184612674800992</v>
      </c>
      <c r="K389" s="469">
        <v>1934.6713978170976</v>
      </c>
      <c r="L389" s="470" t="s">
        <v>2141</v>
      </c>
    </row>
    <row r="390" spans="1:12">
      <c r="A390" s="472"/>
      <c r="B390" s="474"/>
      <c r="C390" s="474"/>
      <c r="D390" s="471"/>
      <c r="E390" s="471"/>
      <c r="F390" s="471"/>
      <c r="G390" s="471"/>
      <c r="H390" s="471"/>
      <c r="I390" s="469">
        <v>194.15948483304345</v>
      </c>
      <c r="J390" s="469">
        <v>38.124600932271953</v>
      </c>
      <c r="K390" s="469">
        <v>1456.196136247826</v>
      </c>
      <c r="L390" s="470" t="s">
        <v>2142</v>
      </c>
    </row>
    <row r="391" spans="1:12">
      <c r="A391" s="472"/>
      <c r="B391" s="473"/>
      <c r="C391" s="473"/>
      <c r="D391" s="471"/>
      <c r="E391" s="471"/>
      <c r="F391" s="471"/>
      <c r="G391" s="471"/>
      <c r="H391" s="471"/>
      <c r="I391" s="469">
        <v>194.52903515886334</v>
      </c>
      <c r="J391" s="469">
        <v>33.945344596654053</v>
      </c>
      <c r="K391" s="469">
        <v>1556.2322812709067</v>
      </c>
      <c r="L391" s="470" t="s">
        <v>2143</v>
      </c>
    </row>
    <row r="392" spans="1:12">
      <c r="A392" s="472"/>
      <c r="B392" s="473"/>
      <c r="C392" s="473"/>
      <c r="D392" s="471"/>
      <c r="E392" s="471"/>
      <c r="F392" s="471"/>
      <c r="G392" s="471"/>
      <c r="H392" s="471"/>
      <c r="I392" s="469">
        <v>196.75204155967896</v>
      </c>
      <c r="J392" s="469">
        <v>28.285842251713429</v>
      </c>
      <c r="K392" s="469">
        <v>2164.2724571564686</v>
      </c>
      <c r="L392" s="470" t="s">
        <v>2144</v>
      </c>
    </row>
    <row r="393" spans="1:12">
      <c r="A393" s="472"/>
      <c r="B393" s="473"/>
      <c r="C393" s="473"/>
      <c r="D393" s="471"/>
      <c r="E393" s="471"/>
      <c r="F393" s="471"/>
      <c r="G393" s="471"/>
      <c r="H393" s="471"/>
      <c r="I393" s="469">
        <v>199.6253644133181</v>
      </c>
      <c r="J393" s="469">
        <v>38.124600932271953</v>
      </c>
      <c r="K393" s="469">
        <v>1597.0029153065448</v>
      </c>
      <c r="L393" s="470" t="s">
        <v>2145</v>
      </c>
    </row>
    <row r="394" spans="1:12">
      <c r="A394" s="472"/>
      <c r="B394" s="473"/>
      <c r="C394" s="473"/>
      <c r="D394" s="471"/>
      <c r="E394" s="471"/>
      <c r="F394" s="471"/>
      <c r="G394" s="471"/>
      <c r="H394" s="471"/>
      <c r="I394" s="469">
        <v>199.79749331491686</v>
      </c>
      <c r="J394" s="469">
        <v>26.184612674800992</v>
      </c>
      <c r="K394" s="469">
        <v>2197.7724264640856</v>
      </c>
      <c r="L394" s="470" t="s">
        <v>2146</v>
      </c>
    </row>
    <row r="395" spans="1:12">
      <c r="A395" s="472"/>
      <c r="B395" s="474"/>
      <c r="C395" s="474"/>
      <c r="D395" s="471"/>
      <c r="E395" s="471"/>
      <c r="F395" s="471"/>
      <c r="G395" s="471"/>
      <c r="H395" s="471"/>
      <c r="I395" s="469">
        <v>202.9754731150432</v>
      </c>
      <c r="J395" s="469">
        <v>26.969612674800992</v>
      </c>
      <c r="K395" s="469">
        <v>2029.754731150432</v>
      </c>
      <c r="L395" s="470" t="s">
        <v>2147</v>
      </c>
    </row>
    <row r="396" spans="1:12">
      <c r="A396" s="472"/>
      <c r="B396" s="474"/>
      <c r="C396" s="474"/>
      <c r="D396" s="471"/>
      <c r="E396" s="471"/>
      <c r="F396" s="471"/>
      <c r="G396" s="471"/>
      <c r="H396" s="471"/>
      <c r="I396" s="469">
        <v>203.39025702922038</v>
      </c>
      <c r="J396" s="469">
        <v>33.945344596654053</v>
      </c>
      <c r="K396" s="469">
        <v>2542.3782128652547</v>
      </c>
      <c r="L396" s="470" t="s">
        <v>2148</v>
      </c>
    </row>
    <row r="397" spans="1:12">
      <c r="A397" s="472"/>
      <c r="B397" s="473"/>
      <c r="C397" s="473"/>
      <c r="D397" s="471"/>
      <c r="E397" s="471"/>
      <c r="F397" s="471"/>
      <c r="G397" s="471"/>
      <c r="H397" s="471"/>
      <c r="I397" s="469">
        <v>203.92597979063427</v>
      </c>
      <c r="J397" s="469">
        <v>33.945344596654053</v>
      </c>
      <c r="K397" s="469">
        <v>1835.3338181157083</v>
      </c>
      <c r="L397" s="470" t="s">
        <v>2149</v>
      </c>
    </row>
    <row r="398" spans="1:12">
      <c r="A398" s="474"/>
      <c r="B398" s="474"/>
      <c r="C398" s="474"/>
      <c r="D398" s="471"/>
      <c r="E398" s="471"/>
      <c r="F398" s="471"/>
      <c r="G398" s="471"/>
      <c r="H398" s="471"/>
      <c r="I398" s="469">
        <v>204.3007759018231</v>
      </c>
      <c r="J398" s="469">
        <v>26.184612674800992</v>
      </c>
      <c r="K398" s="469">
        <v>2553.7596987727889</v>
      </c>
      <c r="L398" s="470" t="s">
        <v>2150</v>
      </c>
    </row>
    <row r="399" spans="1:12">
      <c r="A399" s="472"/>
      <c r="B399" s="473"/>
      <c r="C399" s="473"/>
      <c r="D399" s="471"/>
      <c r="E399" s="471"/>
      <c r="F399" s="471"/>
      <c r="G399" s="471"/>
      <c r="H399" s="471"/>
      <c r="I399" s="469">
        <v>205.9859227340209</v>
      </c>
      <c r="J399" s="469">
        <v>24.294152111872634</v>
      </c>
      <c r="K399" s="469">
        <v>2265.8451500742303</v>
      </c>
      <c r="L399" s="470" t="s">
        <v>2151</v>
      </c>
    </row>
    <row r="400" spans="1:12">
      <c r="A400" s="472"/>
      <c r="B400" s="473"/>
      <c r="C400" s="473"/>
      <c r="D400" s="471"/>
      <c r="E400" s="471"/>
      <c r="F400" s="471"/>
      <c r="G400" s="471"/>
      <c r="H400" s="471"/>
      <c r="I400" s="469">
        <v>206.60733659394683</v>
      </c>
      <c r="J400" s="469">
        <v>38.124600932271953</v>
      </c>
      <c r="K400" s="469">
        <v>1859.4660293455213</v>
      </c>
      <c r="L400" s="470" t="s">
        <v>2152</v>
      </c>
    </row>
    <row r="401" spans="1:12">
      <c r="A401" s="474"/>
      <c r="B401" s="474"/>
      <c r="C401" s="474"/>
      <c r="D401" s="471"/>
      <c r="E401" s="471"/>
      <c r="F401" s="471"/>
      <c r="G401" s="471"/>
      <c r="H401" s="471"/>
      <c r="I401" s="469">
        <v>206.75546676470492</v>
      </c>
      <c r="J401" s="469">
        <v>43.378681678089507</v>
      </c>
      <c r="K401" s="469">
        <v>1550.6660007352871</v>
      </c>
      <c r="L401" s="470" t="s">
        <v>2153</v>
      </c>
    </row>
    <row r="402" spans="1:12">
      <c r="A402" s="472"/>
      <c r="B402" s="473"/>
      <c r="C402" s="473"/>
      <c r="D402" s="471"/>
      <c r="E402" s="471"/>
      <c r="F402" s="471"/>
      <c r="G402" s="471"/>
      <c r="H402" s="471"/>
      <c r="I402" s="469">
        <v>207.49599983572594</v>
      </c>
      <c r="J402" s="469">
        <v>32.308654456813258</v>
      </c>
      <c r="K402" s="469">
        <v>1867.4639985215333</v>
      </c>
      <c r="L402" s="470" t="s">
        <v>2154</v>
      </c>
    </row>
    <row r="403" spans="1:12">
      <c r="A403" s="472"/>
      <c r="B403" s="474"/>
      <c r="C403" s="474"/>
      <c r="D403" s="471"/>
      <c r="E403" s="471"/>
      <c r="F403" s="471"/>
      <c r="G403" s="471"/>
      <c r="H403" s="471"/>
      <c r="I403" s="469">
        <v>208.30618846132174</v>
      </c>
      <c r="J403" s="469">
        <v>38.124600932271953</v>
      </c>
      <c r="K403" s="469">
        <v>2083.061884613217</v>
      </c>
      <c r="L403" s="470" t="s">
        <v>2155</v>
      </c>
    </row>
    <row r="404" spans="1:12">
      <c r="A404" s="472"/>
      <c r="B404" s="473"/>
      <c r="C404" s="473"/>
      <c r="D404" s="471"/>
      <c r="E404" s="471"/>
      <c r="F404" s="471"/>
      <c r="G404" s="471"/>
      <c r="H404" s="471"/>
      <c r="I404" s="469">
        <v>209.084030934689</v>
      </c>
      <c r="J404" s="469">
        <v>33.945344596654053</v>
      </c>
      <c r="K404" s="469">
        <v>2090.8403093468896</v>
      </c>
      <c r="L404" s="470" t="s">
        <v>2156</v>
      </c>
    </row>
    <row r="405" spans="1:12">
      <c r="A405" s="472"/>
      <c r="B405" s="474"/>
      <c r="C405" s="474"/>
      <c r="D405" s="471"/>
      <c r="E405" s="471"/>
      <c r="F405" s="471"/>
      <c r="G405" s="471"/>
      <c r="H405" s="471"/>
      <c r="I405" s="469">
        <v>209.99561408767741</v>
      </c>
      <c r="J405" s="469">
        <v>33.945344596654053</v>
      </c>
      <c r="K405" s="469">
        <v>2309.9517549644515</v>
      </c>
      <c r="L405" s="470" t="s">
        <v>2157</v>
      </c>
    </row>
    <row r="406" spans="1:12">
      <c r="A406" s="472"/>
      <c r="B406" s="473"/>
      <c r="C406" s="473"/>
      <c r="D406" s="471"/>
      <c r="E406" s="471"/>
      <c r="F406" s="471"/>
      <c r="G406" s="471"/>
      <c r="H406" s="471"/>
      <c r="I406" s="469">
        <v>210.30506907249273</v>
      </c>
      <c r="J406" s="469">
        <v>26.969612674800992</v>
      </c>
      <c r="K406" s="469">
        <v>2313.35575979742</v>
      </c>
      <c r="L406" s="470" t="s">
        <v>2158</v>
      </c>
    </row>
    <row r="407" spans="1:12">
      <c r="A407" s="472"/>
      <c r="B407" s="473"/>
      <c r="C407" s="473"/>
      <c r="D407" s="471"/>
      <c r="E407" s="471"/>
      <c r="F407" s="471"/>
      <c r="G407" s="471"/>
      <c r="H407" s="471"/>
      <c r="I407" s="469">
        <v>210.72782661644146</v>
      </c>
      <c r="J407" s="469">
        <v>44.779298695843657</v>
      </c>
      <c r="K407" s="469">
        <v>1580.4586996233108</v>
      </c>
      <c r="L407" s="470" t="s">
        <v>2159</v>
      </c>
    </row>
    <row r="408" spans="1:12">
      <c r="A408" s="472"/>
      <c r="B408" s="474"/>
      <c r="C408" s="474"/>
      <c r="D408" s="471"/>
      <c r="E408" s="471"/>
      <c r="F408" s="471"/>
      <c r="G408" s="471"/>
      <c r="H408" s="471"/>
      <c r="I408" s="469">
        <v>212.18909865306878</v>
      </c>
      <c r="J408" s="469">
        <v>43.378681678089507</v>
      </c>
      <c r="K408" s="469">
        <v>1697.51278922455</v>
      </c>
      <c r="L408" s="470" t="s">
        <v>2160</v>
      </c>
    </row>
    <row r="409" spans="1:12">
      <c r="A409" s="472"/>
      <c r="B409" s="474"/>
      <c r="C409" s="474"/>
      <c r="D409" s="471"/>
      <c r="E409" s="471"/>
      <c r="F409" s="471"/>
      <c r="G409" s="471"/>
      <c r="H409" s="471"/>
      <c r="I409" s="469">
        <v>214.97243145206605</v>
      </c>
      <c r="J409" s="469">
        <v>26.969612674800992</v>
      </c>
      <c r="K409" s="469">
        <v>2579.6691774247925</v>
      </c>
      <c r="L409" s="470" t="s">
        <v>2161</v>
      </c>
    </row>
    <row r="410" spans="1:12">
      <c r="A410" s="472"/>
      <c r="B410" s="473"/>
      <c r="C410" s="473"/>
      <c r="D410" s="471"/>
      <c r="E410" s="471"/>
      <c r="F410" s="471"/>
      <c r="G410" s="471"/>
      <c r="H410" s="471"/>
      <c r="I410" s="469">
        <v>215.06712500042576</v>
      </c>
      <c r="J410" s="469">
        <v>32.308654456813258</v>
      </c>
      <c r="K410" s="469">
        <v>2150.6712500042577</v>
      </c>
      <c r="L410" s="470" t="s">
        <v>2162</v>
      </c>
    </row>
    <row r="411" spans="1:12">
      <c r="A411" s="472"/>
      <c r="B411" s="474"/>
      <c r="C411" s="474"/>
      <c r="D411" s="471"/>
      <c r="E411" s="471"/>
      <c r="F411" s="471"/>
      <c r="G411" s="471"/>
      <c r="H411" s="471"/>
      <c r="I411" s="469">
        <v>215.74958264288273</v>
      </c>
      <c r="J411" s="469">
        <v>24.294152111872634</v>
      </c>
      <c r="K411" s="469">
        <v>2696.8697830360343</v>
      </c>
      <c r="L411" s="470" t="s">
        <v>2163</v>
      </c>
    </row>
    <row r="412" spans="1:12">
      <c r="A412" s="472"/>
      <c r="B412" s="474"/>
      <c r="C412" s="474"/>
      <c r="D412" s="471"/>
      <c r="E412" s="471"/>
      <c r="F412" s="471"/>
      <c r="G412" s="471"/>
      <c r="H412" s="471"/>
      <c r="I412" s="469">
        <v>216.22892333933231</v>
      </c>
      <c r="J412" s="469">
        <v>44.779298695843657</v>
      </c>
      <c r="K412" s="469">
        <v>1729.8313867146589</v>
      </c>
      <c r="L412" s="470" t="s">
        <v>2164</v>
      </c>
    </row>
    <row r="413" spans="1:12">
      <c r="A413" s="472"/>
      <c r="B413" s="474"/>
      <c r="C413" s="474"/>
      <c r="D413" s="471"/>
      <c r="E413" s="471"/>
      <c r="F413" s="471"/>
      <c r="G413" s="471"/>
      <c r="H413" s="471"/>
      <c r="I413" s="469">
        <v>216.97653723327298</v>
      </c>
      <c r="J413" s="469">
        <v>26.969612674800992</v>
      </c>
      <c r="K413" s="469">
        <v>2820.6949840325487</v>
      </c>
      <c r="L413" s="470" t="s">
        <v>2165</v>
      </c>
    </row>
    <row r="414" spans="1:12">
      <c r="A414" s="472"/>
      <c r="B414" s="473"/>
      <c r="C414" s="473"/>
      <c r="D414" s="471"/>
      <c r="E414" s="471"/>
      <c r="F414" s="471"/>
      <c r="G414" s="471"/>
      <c r="H414" s="471"/>
      <c r="I414" s="469">
        <v>217.49711033292803</v>
      </c>
      <c r="J414" s="469">
        <v>32.728775329958282</v>
      </c>
      <c r="K414" s="469">
        <v>2174.9711033292806</v>
      </c>
      <c r="L414" s="470" t="s">
        <v>2166</v>
      </c>
    </row>
    <row r="415" spans="1:12">
      <c r="A415" s="472"/>
      <c r="B415" s="474"/>
      <c r="C415" s="474"/>
      <c r="D415" s="471"/>
      <c r="E415" s="471"/>
      <c r="F415" s="471"/>
      <c r="G415" s="471"/>
      <c r="H415" s="471"/>
      <c r="I415" s="469">
        <v>217.93840706387374</v>
      </c>
      <c r="J415" s="469">
        <v>24.294152111872634</v>
      </c>
      <c r="K415" s="469">
        <v>2833.1992918303586</v>
      </c>
      <c r="L415" s="470" t="s">
        <v>2167</v>
      </c>
    </row>
    <row r="416" spans="1:12">
      <c r="A416" s="472"/>
      <c r="B416" s="474"/>
      <c r="C416" s="474"/>
      <c r="D416" s="471"/>
      <c r="E416" s="471"/>
      <c r="F416" s="471"/>
      <c r="G416" s="471"/>
      <c r="H416" s="471"/>
      <c r="I416" s="469">
        <v>218.1997278710835</v>
      </c>
      <c r="J416" s="469">
        <v>43.378681678089507</v>
      </c>
      <c r="K416" s="469">
        <v>2181.997278710835</v>
      </c>
      <c r="L416" s="470" t="s">
        <v>2168</v>
      </c>
    </row>
    <row r="417" spans="1:12">
      <c r="A417" s="472"/>
      <c r="B417" s="473"/>
      <c r="C417" s="473"/>
      <c r="D417" s="471"/>
      <c r="E417" s="471"/>
      <c r="F417" s="471"/>
      <c r="G417" s="471"/>
      <c r="H417" s="471"/>
      <c r="I417" s="469">
        <v>218.34839631798286</v>
      </c>
      <c r="J417" s="469">
        <v>43.378681678089507</v>
      </c>
      <c r="K417" s="469">
        <v>1965.1355668618455</v>
      </c>
      <c r="L417" s="470" t="s">
        <v>2169</v>
      </c>
    </row>
    <row r="418" spans="1:12">
      <c r="A418" s="472"/>
      <c r="B418" s="474"/>
      <c r="C418" s="474"/>
      <c r="D418" s="471"/>
      <c r="E418" s="471"/>
      <c r="F418" s="471"/>
      <c r="G418" s="471"/>
      <c r="H418" s="471"/>
      <c r="I418" s="469">
        <v>221.36380995841813</v>
      </c>
      <c r="J418" s="469">
        <v>24.294152111872634</v>
      </c>
      <c r="K418" s="469">
        <v>3320.4571493762714</v>
      </c>
      <c r="L418" s="470" t="s">
        <v>2170</v>
      </c>
    </row>
    <row r="419" spans="1:12">
      <c r="A419" s="472"/>
      <c r="B419" s="473"/>
      <c r="C419" s="473"/>
      <c r="D419" s="471"/>
      <c r="E419" s="471"/>
      <c r="F419" s="471"/>
      <c r="G419" s="471"/>
      <c r="H419" s="471"/>
      <c r="I419" s="469">
        <v>221.87905981109012</v>
      </c>
      <c r="J419" s="469">
        <v>44.779298695843657</v>
      </c>
      <c r="K419" s="469">
        <v>2218.7905981109011</v>
      </c>
      <c r="L419" s="470" t="s">
        <v>2171</v>
      </c>
    </row>
    <row r="420" spans="1:12">
      <c r="A420" s="472"/>
      <c r="B420" s="473"/>
      <c r="C420" s="473"/>
      <c r="D420" s="471"/>
      <c r="E420" s="471"/>
      <c r="F420" s="471"/>
      <c r="G420" s="471"/>
      <c r="H420" s="471"/>
      <c r="I420" s="469">
        <v>222.3352555340677</v>
      </c>
      <c r="J420" s="469">
        <v>44.779298695843657</v>
      </c>
      <c r="K420" s="469">
        <v>2001.0172998066093</v>
      </c>
      <c r="L420" s="470" t="s">
        <v>2172</v>
      </c>
    </row>
    <row r="421" spans="1:12">
      <c r="A421" s="472"/>
      <c r="B421" s="473"/>
      <c r="C421" s="473"/>
      <c r="D421" s="471"/>
      <c r="E421" s="471"/>
      <c r="F421" s="471"/>
      <c r="G421" s="471"/>
      <c r="H421" s="471"/>
      <c r="I421" s="469">
        <v>226.8028143931158</v>
      </c>
      <c r="J421" s="469">
        <v>31.11184225171343</v>
      </c>
      <c r="K421" s="469">
        <v>2268.028143931158</v>
      </c>
      <c r="L421" s="470" t="s">
        <v>2173</v>
      </c>
    </row>
    <row r="422" spans="1:12">
      <c r="A422" s="472"/>
      <c r="B422" s="474"/>
      <c r="C422" s="474"/>
      <c r="D422" s="471"/>
      <c r="E422" s="471"/>
      <c r="F422" s="471"/>
      <c r="G422" s="471"/>
      <c r="H422" s="471"/>
      <c r="I422" s="469">
        <v>227.79203107998472</v>
      </c>
      <c r="J422" s="469">
        <v>41.264600932271954</v>
      </c>
      <c r="K422" s="469">
        <v>1822.3362486398778</v>
      </c>
      <c r="L422" s="470" t="s">
        <v>2174</v>
      </c>
    </row>
    <row r="423" spans="1:12">
      <c r="A423" s="472"/>
      <c r="B423" s="473"/>
      <c r="C423" s="473"/>
      <c r="D423" s="471"/>
      <c r="E423" s="471"/>
      <c r="F423" s="471"/>
      <c r="G423" s="471"/>
      <c r="H423" s="471"/>
      <c r="I423" s="469">
        <v>230.24183164248615</v>
      </c>
      <c r="J423" s="469">
        <v>36.457344596654046</v>
      </c>
      <c r="K423" s="469">
        <v>2072.1764847823756</v>
      </c>
      <c r="L423" s="470" t="s">
        <v>2175</v>
      </c>
    </row>
    <row r="424" spans="1:12">
      <c r="A424" s="472"/>
      <c r="B424" s="473"/>
      <c r="C424" s="473"/>
      <c r="D424" s="471"/>
      <c r="E424" s="471"/>
      <c r="F424" s="471"/>
      <c r="G424" s="471"/>
      <c r="H424" s="471"/>
      <c r="I424" s="469">
        <v>234.23131428695174</v>
      </c>
      <c r="J424" s="469">
        <v>31.11184225171343</v>
      </c>
      <c r="K424" s="469">
        <v>2576.5444571564694</v>
      </c>
      <c r="L424" s="470" t="s">
        <v>2176</v>
      </c>
    </row>
    <row r="425" spans="1:12">
      <c r="A425" s="472"/>
      <c r="B425" s="474"/>
      <c r="C425" s="474"/>
      <c r="D425" s="471"/>
      <c r="E425" s="471"/>
      <c r="F425" s="471"/>
      <c r="G425" s="471"/>
      <c r="H425" s="471"/>
      <c r="I425" s="469">
        <v>238.09721439311579</v>
      </c>
      <c r="J425" s="469">
        <v>32.053842251713434</v>
      </c>
      <c r="K425" s="469">
        <v>2380.9721439311579</v>
      </c>
      <c r="L425" s="470" t="s">
        <v>2177</v>
      </c>
    </row>
    <row r="426" spans="1:12">
      <c r="A426" s="472"/>
      <c r="B426" s="474"/>
      <c r="C426" s="474"/>
      <c r="D426" s="471"/>
      <c r="E426" s="471"/>
      <c r="F426" s="471"/>
      <c r="G426" s="471"/>
      <c r="H426" s="471"/>
      <c r="I426" s="469">
        <v>238.59229760135568</v>
      </c>
      <c r="J426" s="469">
        <v>36.457344596654046</v>
      </c>
      <c r="K426" s="469">
        <v>2385.9229760135568</v>
      </c>
      <c r="L426" s="470" t="s">
        <v>2178</v>
      </c>
    </row>
    <row r="427" spans="1:12">
      <c r="A427" s="472"/>
      <c r="B427" s="473"/>
      <c r="C427" s="473"/>
      <c r="D427" s="471"/>
      <c r="E427" s="471"/>
      <c r="F427" s="471"/>
      <c r="G427" s="471"/>
      <c r="H427" s="471"/>
      <c r="I427" s="469">
        <v>238.75548474209495</v>
      </c>
      <c r="J427" s="469">
        <v>41.264600932271954</v>
      </c>
      <c r="K427" s="469">
        <v>2148.7993626788543</v>
      </c>
      <c r="L427" s="470" t="s">
        <v>2179</v>
      </c>
    </row>
    <row r="428" spans="1:12">
      <c r="A428" s="472"/>
      <c r="B428" s="474"/>
      <c r="C428" s="474"/>
      <c r="D428" s="471"/>
      <c r="E428" s="471"/>
      <c r="F428" s="471"/>
      <c r="G428" s="471"/>
      <c r="H428" s="471"/>
      <c r="I428" s="469">
        <v>239.38739017931806</v>
      </c>
      <c r="J428" s="469">
        <v>31.11184225171343</v>
      </c>
      <c r="K428" s="469">
        <v>2992.3423772414758</v>
      </c>
      <c r="L428" s="470" t="s">
        <v>2180</v>
      </c>
    </row>
    <row r="429" spans="1:12">
      <c r="A429" s="472"/>
      <c r="B429" s="474"/>
      <c r="C429" s="474"/>
      <c r="D429" s="471"/>
      <c r="E429" s="471"/>
      <c r="F429" s="471"/>
      <c r="G429" s="471"/>
      <c r="H429" s="471"/>
      <c r="I429" s="469">
        <v>242.69767469373792</v>
      </c>
      <c r="J429" s="469">
        <v>36.457344596654046</v>
      </c>
      <c r="K429" s="469">
        <v>2669.6744216311172</v>
      </c>
      <c r="L429" s="470" t="s">
        <v>2181</v>
      </c>
    </row>
    <row r="430" spans="1:12">
      <c r="A430" s="472"/>
      <c r="B430" s="473"/>
      <c r="C430" s="473"/>
      <c r="D430" s="471"/>
      <c r="E430" s="471"/>
      <c r="F430" s="471"/>
      <c r="G430" s="471"/>
      <c r="H430" s="471"/>
      <c r="I430" s="469">
        <v>244.43952179465501</v>
      </c>
      <c r="J430" s="469">
        <v>41.264600932271954</v>
      </c>
      <c r="K430" s="469">
        <v>2444.39521794655</v>
      </c>
      <c r="L430" s="470" t="s">
        <v>2182</v>
      </c>
    </row>
    <row r="431" spans="1:12">
      <c r="A431" s="472"/>
      <c r="B431" s="474"/>
      <c r="C431" s="474"/>
      <c r="D431" s="471"/>
      <c r="E431" s="471"/>
      <c r="F431" s="471"/>
      <c r="G431" s="471"/>
      <c r="H431" s="471"/>
      <c r="I431" s="469">
        <v>244.82943767663306</v>
      </c>
      <c r="J431" s="469">
        <v>41.264600932271954</v>
      </c>
      <c r="K431" s="469">
        <v>2693.123814442964</v>
      </c>
      <c r="L431" s="470" t="s">
        <v>2183</v>
      </c>
    </row>
    <row r="432" spans="1:12">
      <c r="A432" s="472"/>
      <c r="B432" s="474"/>
      <c r="C432" s="474"/>
      <c r="D432" s="471"/>
      <c r="E432" s="471"/>
      <c r="F432" s="471"/>
      <c r="G432" s="471"/>
      <c r="H432" s="471"/>
      <c r="I432" s="469">
        <v>245.11709865306875</v>
      </c>
      <c r="J432" s="469">
        <v>47.146681678089507</v>
      </c>
      <c r="K432" s="469">
        <v>1960.9367892245498</v>
      </c>
      <c r="L432" s="470" t="s">
        <v>2184</v>
      </c>
    </row>
    <row r="433" spans="1:12">
      <c r="A433" s="472"/>
      <c r="B433" s="473"/>
      <c r="C433" s="473"/>
      <c r="D433" s="471"/>
      <c r="E433" s="471"/>
      <c r="F433" s="471"/>
      <c r="G433" s="471"/>
      <c r="H433" s="471"/>
      <c r="I433" s="469">
        <v>246.72440519604265</v>
      </c>
      <c r="J433" s="469">
        <v>32.053842251713434</v>
      </c>
      <c r="K433" s="469">
        <v>2713.9684571564694</v>
      </c>
      <c r="L433" s="470" t="s">
        <v>2185</v>
      </c>
    </row>
    <row r="434" spans="1:12">
      <c r="A434" s="472"/>
      <c r="B434" s="474"/>
      <c r="C434" s="474"/>
      <c r="D434" s="471"/>
      <c r="E434" s="471"/>
      <c r="F434" s="471"/>
      <c r="G434" s="471"/>
      <c r="H434" s="471"/>
      <c r="I434" s="469">
        <v>250.30444417266568</v>
      </c>
      <c r="J434" s="469">
        <v>48.704298695843654</v>
      </c>
      <c r="K434" s="469">
        <v>2002.4355533813252</v>
      </c>
      <c r="L434" s="470" t="s">
        <v>2186</v>
      </c>
    </row>
    <row r="435" spans="1:12">
      <c r="A435" s="472"/>
      <c r="B435" s="473"/>
      <c r="C435" s="473"/>
      <c r="D435" s="471"/>
      <c r="E435" s="471"/>
      <c r="F435" s="471"/>
      <c r="G435" s="471"/>
      <c r="H435" s="471"/>
      <c r="I435" s="469">
        <v>252.15921754279458</v>
      </c>
      <c r="J435" s="469">
        <v>32.053842251713434</v>
      </c>
      <c r="K435" s="469">
        <v>3025.9106105135352</v>
      </c>
      <c r="L435" s="470" t="s">
        <v>2187</v>
      </c>
    </row>
    <row r="436" spans="1:12">
      <c r="A436" s="472"/>
      <c r="B436" s="473"/>
      <c r="C436" s="473"/>
      <c r="D436" s="471"/>
      <c r="E436" s="471"/>
      <c r="F436" s="471"/>
      <c r="G436" s="471"/>
      <c r="H436" s="471"/>
      <c r="I436" s="469">
        <v>252.33537210279573</v>
      </c>
      <c r="J436" s="469">
        <v>30.109612674800992</v>
      </c>
      <c r="K436" s="469">
        <v>2775.689093130753</v>
      </c>
      <c r="L436" s="470" t="s">
        <v>2188</v>
      </c>
    </row>
    <row r="437" spans="1:12">
      <c r="A437" s="472"/>
      <c r="B437" s="473"/>
      <c r="C437" s="473"/>
      <c r="D437" s="471"/>
      <c r="E437" s="471"/>
      <c r="F437" s="471"/>
      <c r="G437" s="471"/>
      <c r="H437" s="471"/>
      <c r="I437" s="469">
        <v>254.19572500042577</v>
      </c>
      <c r="J437" s="469">
        <v>35.605654456813255</v>
      </c>
      <c r="K437" s="469">
        <v>2541.9572500042577</v>
      </c>
      <c r="L437" s="470" t="s">
        <v>2189</v>
      </c>
    </row>
    <row r="438" spans="1:12">
      <c r="A438" s="472"/>
      <c r="B438" s="473"/>
      <c r="C438" s="473"/>
      <c r="D438" s="471"/>
      <c r="E438" s="471"/>
      <c r="F438" s="471"/>
      <c r="G438" s="471"/>
      <c r="H438" s="471"/>
      <c r="I438" s="469">
        <v>254.39989261556559</v>
      </c>
      <c r="J438" s="469">
        <v>32.053842251713434</v>
      </c>
      <c r="K438" s="469">
        <v>3307.198604002353</v>
      </c>
      <c r="L438" s="470" t="s">
        <v>2190</v>
      </c>
    </row>
    <row r="439" spans="1:12">
      <c r="A439" s="472"/>
      <c r="B439" s="473"/>
      <c r="C439" s="473"/>
      <c r="D439" s="471"/>
      <c r="E439" s="471"/>
      <c r="F439" s="471"/>
      <c r="G439" s="471"/>
      <c r="H439" s="471"/>
      <c r="I439" s="469">
        <v>256.04439631798283</v>
      </c>
      <c r="J439" s="469">
        <v>47.146681678089507</v>
      </c>
      <c r="K439" s="469">
        <v>2304.3995668618454</v>
      </c>
      <c r="L439" s="470" t="s">
        <v>2191</v>
      </c>
    </row>
    <row r="440" spans="1:12">
      <c r="A440" s="472"/>
      <c r="B440" s="473"/>
      <c r="C440" s="473"/>
      <c r="D440" s="471"/>
      <c r="E440" s="471"/>
      <c r="F440" s="471"/>
      <c r="G440" s="471"/>
      <c r="H440" s="471"/>
      <c r="I440" s="469">
        <v>258.27153526900184</v>
      </c>
      <c r="J440" s="469">
        <v>26.806152111872635</v>
      </c>
      <c r="K440" s="469">
        <v>3357.5299584970244</v>
      </c>
      <c r="L440" s="470" t="s">
        <v>2192</v>
      </c>
    </row>
    <row r="441" spans="1:12">
      <c r="A441" s="472"/>
      <c r="B441" s="473"/>
      <c r="C441" s="473"/>
      <c r="D441" s="471"/>
      <c r="E441" s="471"/>
      <c r="F441" s="471"/>
      <c r="G441" s="471"/>
      <c r="H441" s="471"/>
      <c r="I441" s="469">
        <v>258.83739366112735</v>
      </c>
      <c r="J441" s="469">
        <v>33.291530110018734</v>
      </c>
      <c r="K441" s="469">
        <v>3106.0487239335289</v>
      </c>
      <c r="L441" s="470" t="s">
        <v>2193</v>
      </c>
    </row>
    <row r="442" spans="1:12">
      <c r="A442" s="472"/>
      <c r="B442" s="473"/>
      <c r="C442" s="473"/>
      <c r="D442" s="471"/>
      <c r="E442" s="471"/>
      <c r="F442" s="471"/>
      <c r="G442" s="471"/>
      <c r="H442" s="471"/>
      <c r="I442" s="469">
        <v>260.67012787108342</v>
      </c>
      <c r="J442" s="469">
        <v>47.146681678089507</v>
      </c>
      <c r="K442" s="469">
        <v>2606.7012787108342</v>
      </c>
      <c r="L442" s="470" t="s">
        <v>2194</v>
      </c>
    </row>
    <row r="443" spans="1:12">
      <c r="A443" s="472"/>
      <c r="B443" s="473"/>
      <c r="C443" s="473"/>
      <c r="D443" s="471"/>
      <c r="E443" s="471"/>
      <c r="F443" s="471"/>
      <c r="G443" s="471"/>
      <c r="H443" s="471"/>
      <c r="I443" s="469">
        <v>261.37460738591955</v>
      </c>
      <c r="J443" s="469">
        <v>48.704298695843654</v>
      </c>
      <c r="K443" s="469">
        <v>2352.3714664732761</v>
      </c>
      <c r="L443" s="470" t="s">
        <v>2195</v>
      </c>
    </row>
    <row r="444" spans="1:12">
      <c r="A444" s="472"/>
      <c r="B444" s="473"/>
      <c r="C444" s="473"/>
      <c r="D444" s="471"/>
      <c r="E444" s="471"/>
      <c r="F444" s="471"/>
      <c r="G444" s="471"/>
      <c r="H444" s="471"/>
      <c r="I444" s="469">
        <v>264.16664930954926</v>
      </c>
      <c r="J444" s="469">
        <v>27.434152111872635</v>
      </c>
      <c r="K444" s="469">
        <v>3302.0831163693656</v>
      </c>
      <c r="L444" s="470" t="s">
        <v>2196</v>
      </c>
    </row>
    <row r="445" spans="1:12">
      <c r="A445" s="472"/>
      <c r="B445" s="474"/>
      <c r="C445" s="474"/>
      <c r="D445" s="471"/>
      <c r="E445" s="471"/>
      <c r="F445" s="471"/>
      <c r="G445" s="471"/>
      <c r="H445" s="471"/>
      <c r="I445" s="469">
        <v>264.33410923515652</v>
      </c>
      <c r="J445" s="469">
        <v>30.109612674800992</v>
      </c>
      <c r="K445" s="469">
        <v>3304.1763654394558</v>
      </c>
      <c r="L445" s="470" t="s">
        <v>2197</v>
      </c>
    </row>
    <row r="446" spans="1:12">
      <c r="A446" s="472"/>
      <c r="B446" s="473"/>
      <c r="C446" s="473"/>
      <c r="D446" s="471"/>
      <c r="E446" s="471"/>
      <c r="F446" s="471"/>
      <c r="G446" s="471"/>
      <c r="H446" s="471"/>
      <c r="I446" s="469">
        <v>265.88947647775672</v>
      </c>
      <c r="J446" s="469">
        <v>48.704298695843654</v>
      </c>
      <c r="K446" s="469">
        <v>2658.8947647775667</v>
      </c>
      <c r="L446" s="470" t="s">
        <v>2198</v>
      </c>
    </row>
    <row r="447" spans="1:12">
      <c r="A447" s="472"/>
      <c r="B447" s="474"/>
      <c r="C447" s="474"/>
      <c r="D447" s="471"/>
      <c r="E447" s="471"/>
      <c r="F447" s="471"/>
      <c r="G447" s="471"/>
      <c r="H447" s="471"/>
      <c r="I447" s="469">
        <v>267.00217825891406</v>
      </c>
      <c r="J447" s="469">
        <v>30.109612674800992</v>
      </c>
      <c r="K447" s="469">
        <v>3471.0283173658827</v>
      </c>
      <c r="L447" s="470" t="s">
        <v>2199</v>
      </c>
    </row>
    <row r="448" spans="1:12">
      <c r="A448" s="472"/>
      <c r="B448" s="474"/>
      <c r="C448" s="474"/>
      <c r="D448" s="471"/>
      <c r="E448" s="471"/>
      <c r="F448" s="471"/>
      <c r="G448" s="471"/>
      <c r="H448" s="471"/>
      <c r="I448" s="469">
        <v>267.33229541761074</v>
      </c>
      <c r="J448" s="469">
        <v>35.605654456813255</v>
      </c>
      <c r="K448" s="469">
        <v>3341.6536927201341</v>
      </c>
      <c r="L448" s="470" t="s">
        <v>2200</v>
      </c>
    </row>
    <row r="449" spans="1:12">
      <c r="A449" s="472"/>
      <c r="B449" s="473"/>
      <c r="C449" s="473"/>
      <c r="D449" s="471"/>
      <c r="E449" s="471"/>
      <c r="F449" s="471"/>
      <c r="G449" s="471"/>
      <c r="H449" s="471"/>
      <c r="I449" s="469">
        <v>270.9036328902431</v>
      </c>
      <c r="J449" s="469">
        <v>44.404600932271954</v>
      </c>
      <c r="K449" s="469">
        <v>2438.1326960121883</v>
      </c>
      <c r="L449" s="470" t="s">
        <v>2201</v>
      </c>
    </row>
    <row r="450" spans="1:12">
      <c r="A450" s="472"/>
      <c r="B450" s="473"/>
      <c r="C450" s="473"/>
      <c r="D450" s="471"/>
      <c r="E450" s="471"/>
      <c r="F450" s="471"/>
      <c r="G450" s="471"/>
      <c r="H450" s="471"/>
      <c r="I450" s="469">
        <v>271.01447316817001</v>
      </c>
      <c r="J450" s="469">
        <v>30.109612674800992</v>
      </c>
      <c r="K450" s="469">
        <v>4065.2170975225508</v>
      </c>
      <c r="L450" s="470" t="s">
        <v>2202</v>
      </c>
    </row>
    <row r="451" spans="1:12">
      <c r="A451" s="472"/>
      <c r="B451" s="473"/>
      <c r="C451" s="473"/>
      <c r="D451" s="471"/>
      <c r="E451" s="471"/>
      <c r="F451" s="471"/>
      <c r="G451" s="471"/>
      <c r="H451" s="471"/>
      <c r="I451" s="469">
        <v>280.5728551279883</v>
      </c>
      <c r="J451" s="469">
        <v>44.404600932271954</v>
      </c>
      <c r="K451" s="469">
        <v>2805.7285512798835</v>
      </c>
      <c r="L451" s="470" t="s">
        <v>2203</v>
      </c>
    </row>
    <row r="452" spans="1:12">
      <c r="A452" s="472"/>
      <c r="B452" s="474"/>
      <c r="C452" s="474"/>
      <c r="D452" s="471"/>
      <c r="E452" s="471"/>
      <c r="F452" s="471"/>
      <c r="G452" s="471"/>
      <c r="H452" s="471"/>
      <c r="I452" s="469">
        <v>282.40546243688249</v>
      </c>
      <c r="J452" s="469">
        <v>36.704654456813259</v>
      </c>
      <c r="K452" s="469">
        <v>3388.8655492425896</v>
      </c>
      <c r="L452" s="470" t="s">
        <v>2204</v>
      </c>
    </row>
    <row r="453" spans="1:12">
      <c r="A453" s="472"/>
      <c r="B453" s="474"/>
      <c r="C453" s="474"/>
      <c r="D453" s="471"/>
      <c r="E453" s="471"/>
      <c r="F453" s="471"/>
      <c r="G453" s="471"/>
      <c r="H453" s="471"/>
      <c r="I453" s="469">
        <v>282.85469760135561</v>
      </c>
      <c r="J453" s="469">
        <v>40.225344596654047</v>
      </c>
      <c r="K453" s="469">
        <v>2828.5469760135561</v>
      </c>
      <c r="L453" s="470" t="s">
        <v>2205</v>
      </c>
    </row>
    <row r="454" spans="1:12">
      <c r="A454" s="472"/>
      <c r="B454" s="473"/>
      <c r="C454" s="473"/>
      <c r="D454" s="471"/>
      <c r="E454" s="471"/>
      <c r="F454" s="471"/>
      <c r="G454" s="471"/>
      <c r="H454" s="471"/>
      <c r="I454" s="469">
        <v>284.95064979784513</v>
      </c>
      <c r="J454" s="469">
        <v>44.404600932271954</v>
      </c>
      <c r="K454" s="469">
        <v>3134.4571477762961</v>
      </c>
      <c r="L454" s="470" t="s">
        <v>2206</v>
      </c>
    </row>
    <row r="455" spans="1:12">
      <c r="A455" s="472"/>
      <c r="B455" s="473"/>
      <c r="C455" s="473"/>
      <c r="D455" s="471"/>
      <c r="E455" s="471"/>
      <c r="F455" s="471"/>
      <c r="G455" s="471"/>
      <c r="H455" s="471"/>
      <c r="I455" s="469">
        <v>285.69063578120438</v>
      </c>
      <c r="J455" s="469">
        <v>37.187575329958285</v>
      </c>
      <c r="K455" s="469">
        <v>3428.2876293744525</v>
      </c>
      <c r="L455" s="470" t="s">
        <v>2207</v>
      </c>
    </row>
    <row r="456" spans="1:12">
      <c r="A456" s="472"/>
      <c r="B456" s="474"/>
      <c r="C456" s="474"/>
      <c r="D456" s="471"/>
      <c r="E456" s="471"/>
      <c r="F456" s="471"/>
      <c r="G456" s="471"/>
      <c r="H456" s="471"/>
      <c r="I456" s="469">
        <v>291.75076560282884</v>
      </c>
      <c r="J456" s="469">
        <v>40.225344596654047</v>
      </c>
      <c r="K456" s="469">
        <v>3209.258421631117</v>
      </c>
      <c r="L456" s="470" t="s">
        <v>2208</v>
      </c>
    </row>
    <row r="457" spans="1:12">
      <c r="A457" s="472"/>
      <c r="B457" s="473"/>
      <c r="C457" s="473"/>
      <c r="D457" s="471"/>
      <c r="E457" s="471"/>
      <c r="F457" s="471"/>
      <c r="G457" s="471"/>
      <c r="H457" s="471"/>
      <c r="I457" s="469">
        <v>293.74039631798286</v>
      </c>
      <c r="J457" s="469">
        <v>50.914681678089508</v>
      </c>
      <c r="K457" s="469">
        <v>2643.6635668618455</v>
      </c>
      <c r="L457" s="470" t="s">
        <v>2209</v>
      </c>
    </row>
    <row r="458" spans="1:12">
      <c r="A458" s="472"/>
      <c r="B458" s="473"/>
      <c r="C458" s="473"/>
      <c r="D458" s="471"/>
      <c r="E458" s="471"/>
      <c r="F458" s="471"/>
      <c r="G458" s="471"/>
      <c r="H458" s="471"/>
      <c r="I458" s="469">
        <v>296.69676883240629</v>
      </c>
      <c r="J458" s="469">
        <v>35.821842251713427</v>
      </c>
      <c r="K458" s="469">
        <v>3263.6644571564693</v>
      </c>
      <c r="L458" s="470" t="s">
        <v>2210</v>
      </c>
    </row>
    <row r="459" spans="1:12">
      <c r="A459" s="472"/>
      <c r="B459" s="474"/>
      <c r="C459" s="474"/>
      <c r="D459" s="471"/>
      <c r="E459" s="471"/>
      <c r="F459" s="471"/>
      <c r="G459" s="471"/>
      <c r="H459" s="471"/>
      <c r="I459" s="469">
        <v>297.12679036255366</v>
      </c>
      <c r="J459" s="469">
        <v>40.225344596654047</v>
      </c>
      <c r="K459" s="469">
        <v>3714.0848795319207</v>
      </c>
      <c r="L459" s="470" t="s">
        <v>2211</v>
      </c>
    </row>
    <row r="460" spans="1:12">
      <c r="A460" s="472"/>
      <c r="B460" s="474"/>
      <c r="C460" s="474"/>
      <c r="D460" s="471"/>
      <c r="E460" s="471"/>
      <c r="F460" s="471"/>
      <c r="G460" s="471"/>
      <c r="H460" s="471"/>
      <c r="I460" s="469">
        <v>297.60883093468902</v>
      </c>
      <c r="J460" s="469">
        <v>41.481344596654054</v>
      </c>
      <c r="K460" s="469">
        <v>2976.0883093468906</v>
      </c>
      <c r="L460" s="470" t="s">
        <v>2212</v>
      </c>
    </row>
    <row r="461" spans="1:12">
      <c r="A461" s="472"/>
      <c r="B461" s="473"/>
      <c r="C461" s="473"/>
      <c r="D461" s="471"/>
      <c r="E461" s="471"/>
      <c r="F461" s="471"/>
      <c r="G461" s="471"/>
      <c r="H461" s="471"/>
      <c r="I461" s="469">
        <v>300.41395923777145</v>
      </c>
      <c r="J461" s="469">
        <v>52.629298695843652</v>
      </c>
      <c r="K461" s="469">
        <v>2703.7256331399431</v>
      </c>
      <c r="L461" s="470" t="s">
        <v>2213</v>
      </c>
    </row>
    <row r="462" spans="1:12">
      <c r="A462" s="472"/>
      <c r="B462" s="474"/>
      <c r="C462" s="474"/>
      <c r="D462" s="471"/>
      <c r="E462" s="471"/>
      <c r="F462" s="471"/>
      <c r="G462" s="471"/>
      <c r="H462" s="471"/>
      <c r="I462" s="469">
        <v>303.14052787108341</v>
      </c>
      <c r="J462" s="469">
        <v>50.914681678089508</v>
      </c>
      <c r="K462" s="469">
        <v>3031.4052787108344</v>
      </c>
      <c r="L462" s="470" t="s">
        <v>2214</v>
      </c>
    </row>
    <row r="463" spans="1:12">
      <c r="A463" s="472"/>
      <c r="B463" s="473"/>
      <c r="C463" s="473"/>
      <c r="D463" s="471"/>
      <c r="E463" s="471"/>
      <c r="F463" s="471"/>
      <c r="G463" s="471"/>
      <c r="H463" s="471"/>
      <c r="I463" s="469">
        <v>306.21690225195601</v>
      </c>
      <c r="J463" s="469">
        <v>50.914681678089508</v>
      </c>
      <c r="K463" s="469">
        <v>3368.3859247715159</v>
      </c>
      <c r="L463" s="470" t="s">
        <v>2215</v>
      </c>
    </row>
    <row r="464" spans="1:12">
      <c r="A464" s="472"/>
      <c r="B464" s="474"/>
      <c r="C464" s="474"/>
      <c r="D464" s="471"/>
      <c r="E464" s="471"/>
      <c r="F464" s="471"/>
      <c r="G464" s="471"/>
      <c r="H464" s="471"/>
      <c r="I464" s="469">
        <v>308.10179590585921</v>
      </c>
      <c r="J464" s="469">
        <v>41.481344596654054</v>
      </c>
      <c r="K464" s="469">
        <v>3389.1197549644517</v>
      </c>
      <c r="L464" s="470" t="s">
        <v>2216</v>
      </c>
    </row>
    <row r="465" spans="1:12">
      <c r="A465" s="472"/>
      <c r="B465" s="473"/>
      <c r="C465" s="473"/>
      <c r="D465" s="471"/>
      <c r="E465" s="471"/>
      <c r="F465" s="471"/>
      <c r="G465" s="471"/>
      <c r="H465" s="471"/>
      <c r="I465" s="469">
        <v>309.89989314442346</v>
      </c>
      <c r="J465" s="469">
        <v>52.629298695843652</v>
      </c>
      <c r="K465" s="469">
        <v>3098.9989314442341</v>
      </c>
      <c r="L465" s="470" t="s">
        <v>2217</v>
      </c>
    </row>
    <row r="466" spans="1:12">
      <c r="A466" s="472"/>
      <c r="B466" s="473"/>
      <c r="C466" s="473"/>
      <c r="D466" s="471"/>
      <c r="E466" s="471"/>
      <c r="F466" s="471"/>
      <c r="G466" s="471"/>
      <c r="H466" s="471"/>
      <c r="I466" s="469">
        <v>310.84499017931807</v>
      </c>
      <c r="J466" s="469">
        <v>35.821842251713427</v>
      </c>
      <c r="K466" s="469">
        <v>3885.562377241476</v>
      </c>
      <c r="L466" s="470" t="s">
        <v>2218</v>
      </c>
    </row>
    <row r="467" spans="1:12">
      <c r="A467" s="472"/>
      <c r="B467" s="474"/>
      <c r="C467" s="474"/>
      <c r="D467" s="471"/>
      <c r="E467" s="471"/>
      <c r="F467" s="471"/>
      <c r="G467" s="471"/>
      <c r="H467" s="471"/>
      <c r="I467" s="469">
        <v>312.80541954189692</v>
      </c>
      <c r="J467" s="469">
        <v>52.629298695843652</v>
      </c>
      <c r="K467" s="469">
        <v>3440.8596149608657</v>
      </c>
      <c r="L467" s="470" t="s">
        <v>2219</v>
      </c>
    </row>
    <row r="468" spans="1:12">
      <c r="A468" s="472"/>
      <c r="B468" s="474"/>
      <c r="C468" s="474"/>
      <c r="D468" s="471"/>
      <c r="E468" s="471"/>
      <c r="F468" s="471"/>
      <c r="G468" s="471"/>
      <c r="H468" s="471"/>
      <c r="I468" s="469">
        <v>313.96420030787351</v>
      </c>
      <c r="J468" s="469">
        <v>35.821842251713427</v>
      </c>
      <c r="K468" s="469">
        <v>4081.5346040023551</v>
      </c>
      <c r="L468" s="470" t="s">
        <v>2220</v>
      </c>
    </row>
    <row r="469" spans="1:12">
      <c r="A469" s="472"/>
      <c r="B469" s="474"/>
      <c r="C469" s="474"/>
      <c r="D469" s="471"/>
      <c r="E469" s="471"/>
      <c r="F469" s="471"/>
      <c r="G469" s="471"/>
      <c r="H469" s="471"/>
      <c r="I469" s="469">
        <v>314.34634624736611</v>
      </c>
      <c r="J469" s="469">
        <v>41.481344596654054</v>
      </c>
      <c r="K469" s="469">
        <v>3772.1561549683929</v>
      </c>
      <c r="L469" s="470" t="s">
        <v>2221</v>
      </c>
    </row>
    <row r="470" spans="1:12">
      <c r="A470" s="472"/>
      <c r="B470" s="474"/>
      <c r="C470" s="474"/>
      <c r="D470" s="471"/>
      <c r="E470" s="471"/>
      <c r="F470" s="471"/>
      <c r="G470" s="471"/>
      <c r="H470" s="471"/>
      <c r="I470" s="469">
        <v>316.33826995067011</v>
      </c>
      <c r="J470" s="469">
        <v>41.481344596654054</v>
      </c>
      <c r="K470" s="469">
        <v>4112.3975093587114</v>
      </c>
      <c r="L470" s="470" t="s">
        <v>2222</v>
      </c>
    </row>
    <row r="471" spans="1:12">
      <c r="A471" s="472"/>
      <c r="B471" s="474"/>
      <c r="C471" s="474"/>
      <c r="D471" s="471"/>
      <c r="E471" s="471"/>
      <c r="F471" s="471"/>
      <c r="G471" s="471"/>
      <c r="H471" s="471"/>
      <c r="I471" s="469">
        <v>317.02781928455516</v>
      </c>
      <c r="J471" s="469">
        <v>33.249612674800993</v>
      </c>
      <c r="K471" s="469">
        <v>4121.3616506992166</v>
      </c>
      <c r="L471" s="470" t="s">
        <v>2223</v>
      </c>
    </row>
    <row r="472" spans="1:12">
      <c r="A472" s="472"/>
      <c r="B472" s="474"/>
      <c r="C472" s="474"/>
      <c r="D472" s="471"/>
      <c r="E472" s="471"/>
      <c r="F472" s="471"/>
      <c r="G472" s="471"/>
      <c r="H472" s="471"/>
      <c r="I472" s="469">
        <v>318.45254075835038</v>
      </c>
      <c r="J472" s="469">
        <v>35.821842251713427</v>
      </c>
      <c r="K472" s="469">
        <v>4776.7881113752555</v>
      </c>
      <c r="L472" s="470" t="s">
        <v>2224</v>
      </c>
    </row>
    <row r="473" spans="1:12">
      <c r="A473" s="472"/>
      <c r="B473" s="474"/>
      <c r="C473" s="474"/>
      <c r="D473" s="471"/>
      <c r="E473" s="471"/>
      <c r="F473" s="471"/>
      <c r="G473" s="471"/>
      <c r="H473" s="471"/>
      <c r="I473" s="469">
        <v>320.11443930698294</v>
      </c>
      <c r="J473" s="469">
        <v>37.247930110018736</v>
      </c>
      <c r="K473" s="469">
        <v>4001.4304913372866</v>
      </c>
      <c r="L473" s="470" t="s">
        <v>2225</v>
      </c>
    </row>
    <row r="474" spans="1:12">
      <c r="A474" s="472"/>
      <c r="B474" s="473"/>
      <c r="C474" s="473"/>
      <c r="D474" s="471"/>
      <c r="E474" s="471"/>
      <c r="F474" s="471"/>
      <c r="G474" s="471"/>
      <c r="H474" s="471"/>
      <c r="I474" s="469">
        <v>323.1928048453434</v>
      </c>
      <c r="J474" s="469">
        <v>37.247930110018736</v>
      </c>
      <c r="K474" s="469">
        <v>4201.5064629894641</v>
      </c>
      <c r="L474" s="470" t="s">
        <v>2226</v>
      </c>
    </row>
    <row r="475" spans="1:12">
      <c r="A475" s="472"/>
      <c r="B475" s="474"/>
      <c r="C475" s="474"/>
      <c r="D475" s="471"/>
      <c r="E475" s="471"/>
      <c r="F475" s="471"/>
      <c r="G475" s="471"/>
      <c r="H475" s="471"/>
      <c r="I475" s="469">
        <v>324.36744256848982</v>
      </c>
      <c r="J475" s="469">
        <v>34.034612674800989</v>
      </c>
      <c r="K475" s="469">
        <v>4054.5930321061223</v>
      </c>
      <c r="L475" s="470" t="s">
        <v>2227</v>
      </c>
    </row>
    <row r="476" spans="1:12">
      <c r="A476" s="472"/>
      <c r="B476" s="473"/>
      <c r="C476" s="473"/>
      <c r="D476" s="471"/>
      <c r="E476" s="471"/>
      <c r="F476" s="471"/>
      <c r="G476" s="471"/>
      <c r="H476" s="471"/>
      <c r="I476" s="469">
        <v>327.11975413882493</v>
      </c>
      <c r="J476" s="469">
        <v>37.247930110018736</v>
      </c>
      <c r="K476" s="469">
        <v>4906.7963120823742</v>
      </c>
      <c r="L476" s="470" t="s">
        <v>2228</v>
      </c>
    </row>
    <row r="477" spans="1:12">
      <c r="A477" s="472"/>
      <c r="B477" s="474"/>
      <c r="C477" s="474"/>
      <c r="D477" s="471"/>
      <c r="E477" s="471"/>
      <c r="F477" s="471"/>
      <c r="G477" s="471"/>
      <c r="H477" s="471"/>
      <c r="I477" s="469">
        <v>334.77285512798835</v>
      </c>
      <c r="J477" s="469">
        <v>49.114600932271948</v>
      </c>
      <c r="K477" s="469">
        <v>3347.7285512798835</v>
      </c>
      <c r="L477" s="470" t="s">
        <v>2229</v>
      </c>
    </row>
    <row r="478" spans="1:12">
      <c r="A478" s="472"/>
      <c r="B478" s="473"/>
      <c r="C478" s="473"/>
      <c r="D478" s="471"/>
      <c r="E478" s="471"/>
      <c r="F478" s="471"/>
      <c r="G478" s="471"/>
      <c r="H478" s="471"/>
      <c r="I478" s="469">
        <v>338.19225440286243</v>
      </c>
      <c r="J478" s="469">
        <v>30.574152111872635</v>
      </c>
      <c r="K478" s="469">
        <v>5072.8838160429377</v>
      </c>
      <c r="L478" s="470" t="s">
        <v>2230</v>
      </c>
    </row>
    <row r="479" spans="1:12">
      <c r="A479" s="472"/>
      <c r="B479" s="473"/>
      <c r="C479" s="473"/>
      <c r="D479" s="471"/>
      <c r="E479" s="471"/>
      <c r="F479" s="471"/>
      <c r="G479" s="471"/>
      <c r="H479" s="471"/>
      <c r="I479" s="469">
        <v>345.13246797966337</v>
      </c>
      <c r="J479" s="469">
        <v>49.114600932271948</v>
      </c>
      <c r="K479" s="469">
        <v>3796.4571477762966</v>
      </c>
      <c r="L479" s="470" t="s">
        <v>2231</v>
      </c>
    </row>
    <row r="480" spans="1:12">
      <c r="A480" s="472"/>
      <c r="B480" s="473"/>
      <c r="C480" s="473"/>
      <c r="D480" s="471"/>
      <c r="E480" s="471"/>
      <c r="F480" s="471"/>
      <c r="G480" s="471"/>
      <c r="H480" s="471"/>
      <c r="I480" s="469">
        <v>350.02376208427751</v>
      </c>
      <c r="J480" s="469">
        <v>41.10065445681326</v>
      </c>
      <c r="K480" s="469">
        <v>4375.2970260534685</v>
      </c>
      <c r="L480" s="470" t="s">
        <v>2232</v>
      </c>
    </row>
    <row r="481" spans="1:12">
      <c r="A481" s="472"/>
      <c r="B481" s="473"/>
      <c r="C481" s="473"/>
      <c r="D481" s="471"/>
      <c r="E481" s="471"/>
      <c r="F481" s="471"/>
      <c r="G481" s="471"/>
      <c r="H481" s="471"/>
      <c r="I481" s="469">
        <v>350.47547076026939</v>
      </c>
      <c r="J481" s="469">
        <v>30.574152111872635</v>
      </c>
      <c r="K481" s="469">
        <v>6133.3207383047138</v>
      </c>
      <c r="L481" s="470" t="s">
        <v>2233</v>
      </c>
    </row>
    <row r="482" spans="1:12">
      <c r="A482" s="472"/>
      <c r="B482" s="473"/>
      <c r="C482" s="473"/>
      <c r="D482" s="471"/>
      <c r="E482" s="471"/>
      <c r="F482" s="471"/>
      <c r="G482" s="471"/>
      <c r="H482" s="471"/>
      <c r="I482" s="469">
        <v>350.7339145859811</v>
      </c>
      <c r="J482" s="469">
        <v>49.114600932271948</v>
      </c>
      <c r="K482" s="469">
        <v>4384.1739323247639</v>
      </c>
      <c r="L482" s="470" t="s">
        <v>2234</v>
      </c>
    </row>
    <row r="483" spans="1:12">
      <c r="A483" s="472"/>
      <c r="B483" s="473"/>
      <c r="C483" s="473"/>
      <c r="D483" s="471"/>
      <c r="E483" s="471"/>
      <c r="F483" s="471"/>
      <c r="G483" s="471"/>
      <c r="H483" s="471"/>
      <c r="I483" s="469">
        <v>352.83952179465507</v>
      </c>
      <c r="J483" s="469">
        <v>50.684600932271948</v>
      </c>
      <c r="K483" s="469">
        <v>3528.3952179465509</v>
      </c>
      <c r="L483" s="470" t="s">
        <v>2235</v>
      </c>
    </row>
    <row r="484" spans="1:12">
      <c r="A484" s="472"/>
      <c r="B484" s="474"/>
      <c r="C484" s="474"/>
      <c r="D484" s="471"/>
      <c r="E484" s="471"/>
      <c r="F484" s="471"/>
      <c r="G484" s="471"/>
      <c r="H484" s="471"/>
      <c r="I484" s="469">
        <v>353.35481515370748</v>
      </c>
      <c r="J484" s="469">
        <v>41.10065445681326</v>
      </c>
      <c r="K484" s="469">
        <v>4593.6125969981977</v>
      </c>
      <c r="L484" s="470" t="s">
        <v>2236</v>
      </c>
    </row>
    <row r="485" spans="1:12">
      <c r="A485" s="472"/>
      <c r="B485" s="473"/>
      <c r="C485" s="473"/>
      <c r="D485" s="471"/>
      <c r="E485" s="471"/>
      <c r="F485" s="471"/>
      <c r="G485" s="471"/>
      <c r="H485" s="471"/>
      <c r="I485" s="469">
        <v>354.20727737352922</v>
      </c>
      <c r="J485" s="469">
        <v>41.646375329958289</v>
      </c>
      <c r="K485" s="469">
        <v>4427.5909671691152</v>
      </c>
      <c r="L485" s="470" t="s">
        <v>2237</v>
      </c>
    </row>
    <row r="486" spans="1:12">
      <c r="A486" s="472"/>
      <c r="B486" s="473"/>
      <c r="C486" s="473"/>
      <c r="D486" s="471"/>
      <c r="E486" s="471"/>
      <c r="F486" s="471"/>
      <c r="G486" s="471"/>
      <c r="H486" s="471"/>
      <c r="I486" s="469">
        <v>357.36416591881971</v>
      </c>
      <c r="J486" s="469">
        <v>41.10065445681326</v>
      </c>
      <c r="K486" s="469">
        <v>5360.4624887822947</v>
      </c>
      <c r="L486" s="470" t="s">
        <v>2238</v>
      </c>
    </row>
    <row r="487" spans="1:12">
      <c r="A487" s="472"/>
      <c r="B487" s="473"/>
      <c r="C487" s="473"/>
      <c r="D487" s="471"/>
      <c r="E487" s="471"/>
      <c r="F487" s="471"/>
      <c r="G487" s="471"/>
      <c r="H487" s="471"/>
      <c r="I487" s="469">
        <v>357.57292533413863</v>
      </c>
      <c r="J487" s="469">
        <v>41.646375329958289</v>
      </c>
      <c r="K487" s="469">
        <v>4648.4480293438019</v>
      </c>
      <c r="L487" s="470" t="s">
        <v>2239</v>
      </c>
    </row>
    <row r="488" spans="1:12">
      <c r="A488" s="472"/>
      <c r="B488" s="474"/>
      <c r="C488" s="474"/>
      <c r="D488" s="471"/>
      <c r="E488" s="471"/>
      <c r="F488" s="471"/>
      <c r="G488" s="471"/>
      <c r="H488" s="471"/>
      <c r="I488" s="469">
        <v>361.58812101173498</v>
      </c>
      <c r="J488" s="469">
        <v>41.646375329958289</v>
      </c>
      <c r="K488" s="469">
        <v>5423.8218151760248</v>
      </c>
      <c r="L488" s="470" t="s">
        <v>2240</v>
      </c>
    </row>
    <row r="489" spans="1:12">
      <c r="A489" s="472"/>
      <c r="B489" s="473"/>
      <c r="C489" s="473"/>
      <c r="D489" s="471"/>
      <c r="E489" s="471"/>
      <c r="F489" s="471"/>
      <c r="G489" s="471"/>
      <c r="H489" s="471"/>
      <c r="I489" s="469">
        <v>365.19307404026938</v>
      </c>
      <c r="J489" s="469">
        <v>50.684600932271948</v>
      </c>
      <c r="K489" s="469">
        <v>4017.123814442964</v>
      </c>
      <c r="L489" s="470" t="s">
        <v>2241</v>
      </c>
    </row>
    <row r="490" spans="1:12">
      <c r="A490" s="472"/>
      <c r="B490" s="474"/>
      <c r="C490" s="474"/>
      <c r="D490" s="471"/>
      <c r="E490" s="471"/>
      <c r="F490" s="471"/>
      <c r="G490" s="471"/>
      <c r="H490" s="471"/>
      <c r="I490" s="469">
        <v>366.84612787108352</v>
      </c>
      <c r="J490" s="469">
        <v>56.566681678089509</v>
      </c>
      <c r="K490" s="469">
        <v>3668.4612787108349</v>
      </c>
      <c r="L490" s="470" t="s">
        <v>2242</v>
      </c>
    </row>
    <row r="491" spans="1:12">
      <c r="A491" s="472"/>
      <c r="B491" s="473"/>
      <c r="C491" s="473"/>
      <c r="D491" s="471"/>
      <c r="E491" s="471"/>
      <c r="F491" s="471"/>
      <c r="G491" s="471"/>
      <c r="H491" s="471"/>
      <c r="I491" s="469">
        <v>372.24876268067459</v>
      </c>
      <c r="J491" s="469">
        <v>50.684600932271948</v>
      </c>
      <c r="K491" s="469">
        <v>4466.9851521680957</v>
      </c>
      <c r="L491" s="470" t="s">
        <v>2243</v>
      </c>
    </row>
    <row r="492" spans="1:12">
      <c r="A492" s="472"/>
      <c r="B492" s="474"/>
      <c r="C492" s="474"/>
      <c r="D492" s="471"/>
      <c r="E492" s="471"/>
      <c r="F492" s="471"/>
      <c r="G492" s="471"/>
      <c r="H492" s="471"/>
      <c r="I492" s="469">
        <v>373.5059171179804</v>
      </c>
      <c r="J492" s="469">
        <v>46.505344596654048</v>
      </c>
      <c r="K492" s="469">
        <v>4108.5650882977843</v>
      </c>
      <c r="L492" s="470" t="s">
        <v>2244</v>
      </c>
    </row>
    <row r="493" spans="1:12">
      <c r="A493" s="472"/>
      <c r="B493" s="473"/>
      <c r="C493" s="473"/>
      <c r="D493" s="471"/>
      <c r="E493" s="471"/>
      <c r="F493" s="471"/>
      <c r="G493" s="471"/>
      <c r="H493" s="471"/>
      <c r="I493" s="469">
        <v>373.5285080001812</v>
      </c>
      <c r="J493" s="469">
        <v>39.589842251713428</v>
      </c>
      <c r="K493" s="469">
        <v>4855.8706040023553</v>
      </c>
      <c r="L493" s="470" t="s">
        <v>2245</v>
      </c>
    </row>
    <row r="494" spans="1:12">
      <c r="A494" s="472"/>
      <c r="B494" s="473"/>
      <c r="C494" s="473"/>
      <c r="D494" s="471"/>
      <c r="E494" s="471"/>
      <c r="F494" s="471"/>
      <c r="G494" s="471"/>
      <c r="H494" s="471"/>
      <c r="I494" s="469">
        <v>373.99840239399578</v>
      </c>
      <c r="J494" s="469">
        <v>50.684600932271948</v>
      </c>
      <c r="K494" s="469">
        <v>4861.9792311219444</v>
      </c>
      <c r="L494" s="470" t="s">
        <v>2246</v>
      </c>
    </row>
    <row r="495" spans="1:12">
      <c r="A495" s="472"/>
      <c r="B495" s="474"/>
      <c r="C495" s="474"/>
      <c r="D495" s="471"/>
      <c r="E495" s="471"/>
      <c r="F495" s="471"/>
      <c r="G495" s="471"/>
      <c r="H495" s="471"/>
      <c r="I495" s="469">
        <v>375.9155181444234</v>
      </c>
      <c r="J495" s="469">
        <v>58.516798695843654</v>
      </c>
      <c r="K495" s="469">
        <v>3759.1551814442346</v>
      </c>
      <c r="L495" s="470" t="s">
        <v>2247</v>
      </c>
    </row>
    <row r="496" spans="1:12">
      <c r="A496" s="472"/>
      <c r="B496" s="474"/>
      <c r="C496" s="474"/>
      <c r="D496" s="471"/>
      <c r="E496" s="471"/>
      <c r="F496" s="471"/>
      <c r="G496" s="471"/>
      <c r="H496" s="471"/>
      <c r="I496" s="469">
        <v>377.09108407013787</v>
      </c>
      <c r="J496" s="469">
        <v>56.566681678089509</v>
      </c>
      <c r="K496" s="469">
        <v>4148.0019247715163</v>
      </c>
      <c r="L496" s="470" t="s">
        <v>2248</v>
      </c>
    </row>
    <row r="497" spans="1:12">
      <c r="A497" s="472"/>
      <c r="B497" s="474"/>
      <c r="C497" s="474"/>
      <c r="D497" s="471"/>
      <c r="E497" s="471"/>
      <c r="F497" s="471"/>
      <c r="G497" s="471"/>
      <c r="H497" s="471"/>
      <c r="I497" s="469">
        <v>380.57087164075705</v>
      </c>
      <c r="J497" s="469">
        <v>56.566681678089509</v>
      </c>
      <c r="K497" s="469">
        <v>4757.1358955094638</v>
      </c>
      <c r="L497" s="470" t="s">
        <v>2249</v>
      </c>
    </row>
    <row r="498" spans="1:12">
      <c r="A498" s="472"/>
      <c r="B498" s="473"/>
      <c r="C498" s="473"/>
      <c r="D498" s="471"/>
      <c r="E498" s="471"/>
      <c r="F498" s="471"/>
      <c r="G498" s="471"/>
      <c r="H498" s="471"/>
      <c r="I498" s="469">
        <v>382.30259017931803</v>
      </c>
      <c r="J498" s="469">
        <v>40.531842251713428</v>
      </c>
      <c r="K498" s="469">
        <v>4778.7823772414758</v>
      </c>
      <c r="L498" s="470" t="s">
        <v>2250</v>
      </c>
    </row>
    <row r="499" spans="1:12">
      <c r="A499" s="472"/>
      <c r="B499" s="474"/>
      <c r="C499" s="474"/>
      <c r="D499" s="471"/>
      <c r="E499" s="471"/>
      <c r="F499" s="471"/>
      <c r="G499" s="471"/>
      <c r="H499" s="471"/>
      <c r="I499" s="469">
        <v>385.58889653765101</v>
      </c>
      <c r="J499" s="469">
        <v>41.204330110018738</v>
      </c>
      <c r="K499" s="469">
        <v>5012.6556549894631</v>
      </c>
      <c r="L499" s="470" t="s">
        <v>2251</v>
      </c>
    </row>
    <row r="500" spans="1:12">
      <c r="A500" s="472"/>
      <c r="B500" s="473"/>
      <c r="C500" s="473"/>
      <c r="D500" s="471"/>
      <c r="E500" s="471"/>
      <c r="F500" s="471"/>
      <c r="G500" s="471"/>
      <c r="H500" s="471"/>
      <c r="I500" s="469">
        <v>386.28553317826055</v>
      </c>
      <c r="J500" s="469">
        <v>58.516798695843654</v>
      </c>
      <c r="K500" s="469">
        <v>4249.1408649608657</v>
      </c>
      <c r="L500" s="470" t="s">
        <v>2252</v>
      </c>
    </row>
    <row r="501" spans="1:12">
      <c r="A501" s="472"/>
      <c r="B501" s="474"/>
      <c r="C501" s="474"/>
      <c r="D501" s="471"/>
      <c r="E501" s="471"/>
      <c r="F501" s="471"/>
      <c r="G501" s="471"/>
      <c r="H501" s="471"/>
      <c r="I501" s="469">
        <v>388.08132787108349</v>
      </c>
      <c r="J501" s="469">
        <v>58.450681678089516</v>
      </c>
      <c r="K501" s="469">
        <v>3880.8132787108348</v>
      </c>
      <c r="L501" s="470" t="s">
        <v>2253</v>
      </c>
    </row>
    <row r="502" spans="1:12">
      <c r="A502" s="472"/>
      <c r="B502" s="474"/>
      <c r="C502" s="474"/>
      <c r="D502" s="471"/>
      <c r="E502" s="471"/>
      <c r="F502" s="471"/>
      <c r="G502" s="471"/>
      <c r="H502" s="471"/>
      <c r="I502" s="469">
        <v>389.4676590007162</v>
      </c>
      <c r="J502" s="469">
        <v>58.516798695843654</v>
      </c>
      <c r="K502" s="469">
        <v>4868.345737508952</v>
      </c>
      <c r="L502" s="470" t="s">
        <v>2254</v>
      </c>
    </row>
    <row r="503" spans="1:12">
      <c r="A503" s="472"/>
      <c r="B503" s="473"/>
      <c r="C503" s="473"/>
      <c r="D503" s="471"/>
      <c r="E503" s="471"/>
      <c r="F503" s="471"/>
      <c r="G503" s="471"/>
      <c r="H503" s="471"/>
      <c r="I503" s="469">
        <v>390.86332369588706</v>
      </c>
      <c r="J503" s="469">
        <v>46.505344596654048</v>
      </c>
      <c r="K503" s="469">
        <v>4885.7915461985876</v>
      </c>
      <c r="L503" s="470" t="s">
        <v>2255</v>
      </c>
    </row>
    <row r="504" spans="1:12">
      <c r="A504" s="472"/>
      <c r="B504" s="474"/>
      <c r="C504" s="474"/>
      <c r="D504" s="471"/>
      <c r="E504" s="471"/>
      <c r="F504" s="471"/>
      <c r="G504" s="471"/>
      <c r="H504" s="471"/>
      <c r="I504" s="469">
        <v>394.5232955916959</v>
      </c>
      <c r="J504" s="469">
        <v>46.505344596654048</v>
      </c>
      <c r="K504" s="469">
        <v>5128.8028426920455</v>
      </c>
      <c r="L504" s="470" t="s">
        <v>2256</v>
      </c>
    </row>
    <row r="505" spans="1:12">
      <c r="A505" s="472"/>
      <c r="B505" s="473"/>
      <c r="C505" s="473"/>
      <c r="D505" s="471"/>
      <c r="E505" s="471"/>
      <c r="F505" s="471"/>
      <c r="G505" s="471"/>
      <c r="H505" s="471"/>
      <c r="I505" s="469">
        <v>394.63545655648289</v>
      </c>
      <c r="J505" s="469">
        <v>33.086152111872636</v>
      </c>
      <c r="K505" s="469">
        <v>6314.1673049037263</v>
      </c>
      <c r="L505" s="470" t="s">
        <v>2257</v>
      </c>
    </row>
    <row r="506" spans="1:12">
      <c r="A506" s="472"/>
      <c r="B506" s="474"/>
      <c r="C506" s="474"/>
      <c r="D506" s="471"/>
      <c r="E506" s="471"/>
      <c r="F506" s="471"/>
      <c r="G506" s="471"/>
      <c r="H506" s="471"/>
      <c r="I506" s="469">
        <v>397.92072647775683</v>
      </c>
      <c r="J506" s="469">
        <v>60.479298695843653</v>
      </c>
      <c r="K506" s="469">
        <v>3979.2072647775681</v>
      </c>
      <c r="L506" s="470" t="s">
        <v>2258</v>
      </c>
    </row>
    <row r="507" spans="1:12">
      <c r="A507" s="472"/>
      <c r="B507" s="473"/>
      <c r="C507" s="473"/>
      <c r="D507" s="471"/>
      <c r="E507" s="471"/>
      <c r="F507" s="471"/>
      <c r="G507" s="471"/>
      <c r="H507" s="471"/>
      <c r="I507" s="469">
        <v>398.52402764212178</v>
      </c>
      <c r="J507" s="469">
        <v>46.505344596654048</v>
      </c>
      <c r="K507" s="469">
        <v>5977.8604146318266</v>
      </c>
      <c r="L507" s="470" t="s">
        <v>2259</v>
      </c>
    </row>
    <row r="508" spans="1:12">
      <c r="A508" s="472"/>
      <c r="B508" s="474"/>
      <c r="C508" s="474"/>
      <c r="D508" s="471"/>
      <c r="E508" s="471"/>
      <c r="F508" s="471"/>
      <c r="G508" s="471"/>
      <c r="H508" s="471"/>
      <c r="I508" s="469">
        <v>400.71581134286515</v>
      </c>
      <c r="J508" s="469">
        <v>58.450681678089516</v>
      </c>
      <c r="K508" s="469">
        <v>4407.8739247715166</v>
      </c>
      <c r="L508" s="470" t="s">
        <v>2260</v>
      </c>
    </row>
    <row r="509" spans="1:12">
      <c r="A509" s="472"/>
      <c r="B509" s="473"/>
      <c r="C509" s="473"/>
      <c r="D509" s="471"/>
      <c r="E509" s="471"/>
      <c r="F509" s="471"/>
      <c r="G509" s="471"/>
      <c r="H509" s="471"/>
      <c r="I509" s="469">
        <v>406.96246304061214</v>
      </c>
      <c r="J509" s="469">
        <v>58.450681678089516</v>
      </c>
      <c r="K509" s="469">
        <v>5290.5120195279578</v>
      </c>
      <c r="L509" s="470" t="s">
        <v>2261</v>
      </c>
    </row>
    <row r="510" spans="1:12">
      <c r="A510" s="472"/>
      <c r="B510" s="473"/>
      <c r="C510" s="473"/>
      <c r="D510" s="471"/>
      <c r="E510" s="471"/>
      <c r="F510" s="471"/>
      <c r="G510" s="471"/>
      <c r="H510" s="471"/>
      <c r="I510" s="469">
        <v>407.01445875365761</v>
      </c>
      <c r="J510" s="469">
        <v>58.450681678089516</v>
      </c>
      <c r="K510" s="469">
        <v>4884.1735050438911</v>
      </c>
      <c r="L510" s="470" t="s">
        <v>2262</v>
      </c>
    </row>
    <row r="511" spans="1:12">
      <c r="A511" s="472"/>
      <c r="B511" s="473"/>
      <c r="C511" s="473"/>
      <c r="D511" s="471"/>
      <c r="E511" s="471"/>
      <c r="F511" s="471"/>
      <c r="G511" s="471"/>
      <c r="H511" s="471"/>
      <c r="I511" s="469">
        <v>410.7789043903818</v>
      </c>
      <c r="J511" s="469">
        <v>60.479298695843653</v>
      </c>
      <c r="K511" s="469">
        <v>4518.5679482941996</v>
      </c>
      <c r="L511" s="470" t="s">
        <v>2263</v>
      </c>
    </row>
    <row r="512" spans="1:12">
      <c r="A512" s="472"/>
      <c r="B512" s="474"/>
      <c r="C512" s="474"/>
      <c r="D512" s="471"/>
      <c r="E512" s="471"/>
      <c r="F512" s="471"/>
      <c r="G512" s="471"/>
      <c r="H512" s="471"/>
      <c r="I512" s="469">
        <v>416.07002872372544</v>
      </c>
      <c r="J512" s="469">
        <v>37.959612674800994</v>
      </c>
      <c r="K512" s="469">
        <v>6241.050430855882</v>
      </c>
      <c r="L512" s="470" t="s">
        <v>2264</v>
      </c>
    </row>
    <row r="513" spans="1:12">
      <c r="A513" s="472"/>
      <c r="B513" s="474"/>
      <c r="C513" s="474"/>
      <c r="D513" s="471"/>
      <c r="E513" s="471"/>
      <c r="F513" s="471"/>
      <c r="G513" s="471"/>
      <c r="H513" s="471"/>
      <c r="I513" s="469">
        <v>416.69626699726791</v>
      </c>
      <c r="J513" s="469">
        <v>60.479298695843653</v>
      </c>
      <c r="K513" s="469">
        <v>5417.0514709644831</v>
      </c>
      <c r="L513" s="470" t="s">
        <v>2265</v>
      </c>
    </row>
    <row r="514" spans="1:12">
      <c r="A514" s="472"/>
      <c r="B514" s="473"/>
      <c r="C514" s="473"/>
      <c r="D514" s="471"/>
      <c r="E514" s="471"/>
      <c r="F514" s="471"/>
      <c r="G514" s="471"/>
      <c r="H514" s="471"/>
      <c r="I514" s="469">
        <v>417.04300141859761</v>
      </c>
      <c r="J514" s="469">
        <v>60.479298695843653</v>
      </c>
      <c r="K514" s="469">
        <v>5004.5160170231711</v>
      </c>
      <c r="L514" s="470" t="s">
        <v>2266</v>
      </c>
    </row>
    <row r="515" spans="1:12">
      <c r="A515" s="472"/>
      <c r="B515" s="473"/>
      <c r="C515" s="473"/>
      <c r="D515" s="471"/>
      <c r="E515" s="471"/>
      <c r="F515" s="471"/>
      <c r="G515" s="471"/>
      <c r="H515" s="471"/>
      <c r="I515" s="469">
        <v>422.30517412806643</v>
      </c>
      <c r="J515" s="469">
        <v>45.49665445681326</v>
      </c>
      <c r="K515" s="469">
        <v>5489.9672636648629</v>
      </c>
      <c r="L515" s="470" t="s">
        <v>2267</v>
      </c>
    </row>
    <row r="516" spans="1:12">
      <c r="A516" s="472"/>
      <c r="B516" s="474"/>
      <c r="C516" s="474"/>
      <c r="D516" s="471"/>
      <c r="E516" s="471"/>
      <c r="F516" s="471"/>
      <c r="G516" s="471"/>
      <c r="H516" s="471"/>
      <c r="I516" s="469">
        <v>427.45354297516423</v>
      </c>
      <c r="J516" s="469">
        <v>46.105175329958286</v>
      </c>
      <c r="K516" s="469">
        <v>5556.8960586771336</v>
      </c>
      <c r="L516" s="470" t="s">
        <v>2268</v>
      </c>
    </row>
    <row r="517" spans="1:12">
      <c r="A517" s="472"/>
      <c r="B517" s="473"/>
      <c r="C517" s="473"/>
      <c r="D517" s="471"/>
      <c r="E517" s="471"/>
      <c r="F517" s="471"/>
      <c r="G517" s="471"/>
      <c r="H517" s="471"/>
      <c r="I517" s="469">
        <v>431.08820537522178</v>
      </c>
      <c r="J517" s="469">
        <v>37.959612674800994</v>
      </c>
      <c r="K517" s="469">
        <v>7544.043594066381</v>
      </c>
      <c r="L517" s="470" t="s">
        <v>2269</v>
      </c>
    </row>
    <row r="518" spans="1:12">
      <c r="A518" s="472"/>
      <c r="B518" s="473"/>
      <c r="C518" s="473"/>
      <c r="D518" s="471"/>
      <c r="E518" s="471"/>
      <c r="F518" s="471"/>
      <c r="G518" s="471"/>
      <c r="H518" s="471"/>
      <c r="I518" s="469">
        <v>444.02132783567885</v>
      </c>
      <c r="J518" s="469">
        <v>66.369872284066275</v>
      </c>
      <c r="K518" s="469">
        <v>5328.2559340281468</v>
      </c>
      <c r="L518" s="470" t="s">
        <v>2270</v>
      </c>
    </row>
    <row r="519" spans="1:12">
      <c r="A519" s="472"/>
      <c r="B519" s="473"/>
      <c r="C519" s="473"/>
      <c r="D519" s="471"/>
      <c r="E519" s="471"/>
      <c r="F519" s="471"/>
      <c r="G519" s="471"/>
      <c r="H519" s="471"/>
      <c r="I519" s="469">
        <v>445.08113983483673</v>
      </c>
      <c r="J519" s="469">
        <v>39.529612674800994</v>
      </c>
      <c r="K519" s="469">
        <v>6676.2170975225508</v>
      </c>
      <c r="L519" s="470" t="s">
        <v>2271</v>
      </c>
    </row>
    <row r="520" spans="1:12">
      <c r="A520" s="472"/>
      <c r="B520" s="473"/>
      <c r="C520" s="473"/>
      <c r="D520" s="471"/>
      <c r="E520" s="471"/>
      <c r="F520" s="471"/>
      <c r="G520" s="471"/>
      <c r="H520" s="471"/>
      <c r="I520" s="469">
        <v>445.43549828269363</v>
      </c>
      <c r="J520" s="469">
        <v>56.964600932271949</v>
      </c>
      <c r="K520" s="469">
        <v>4899.7904811096296</v>
      </c>
      <c r="L520" s="470" t="s">
        <v>2272</v>
      </c>
    </row>
    <row r="521" spans="1:12">
      <c r="A521" s="472"/>
      <c r="B521" s="473"/>
      <c r="C521" s="473"/>
      <c r="D521" s="471"/>
      <c r="E521" s="471"/>
      <c r="F521" s="471"/>
      <c r="G521" s="471"/>
      <c r="H521" s="471"/>
      <c r="I521" s="469">
        <v>466.00058125264781</v>
      </c>
      <c r="J521" s="469">
        <v>56.964600932271949</v>
      </c>
      <c r="K521" s="469">
        <v>5825.0072656580969</v>
      </c>
      <c r="L521" s="470" t="s">
        <v>2273</v>
      </c>
    </row>
    <row r="522" spans="1:12">
      <c r="A522" s="472"/>
      <c r="B522" s="473"/>
      <c r="C522" s="473"/>
      <c r="D522" s="471"/>
      <c r="E522" s="471"/>
      <c r="F522" s="471"/>
      <c r="G522" s="471"/>
      <c r="H522" s="471"/>
      <c r="I522" s="469">
        <v>470.20353059912406</v>
      </c>
      <c r="J522" s="469">
        <v>56.964600932271949</v>
      </c>
      <c r="K522" s="469">
        <v>6112.6458977886132</v>
      </c>
      <c r="L522" s="470" t="s">
        <v>2274</v>
      </c>
    </row>
    <row r="523" spans="1:12">
      <c r="A523" s="472"/>
      <c r="B523" s="473"/>
      <c r="C523" s="473"/>
      <c r="D523" s="471"/>
      <c r="E523" s="471"/>
      <c r="F523" s="471"/>
      <c r="G523" s="471"/>
      <c r="H523" s="471"/>
      <c r="I523" s="469">
        <v>472.70832123272157</v>
      </c>
      <c r="J523" s="469">
        <v>51.529344596654049</v>
      </c>
      <c r="K523" s="469">
        <v>6145.2081760253805</v>
      </c>
      <c r="L523" s="470" t="s">
        <v>2275</v>
      </c>
    </row>
    <row r="524" spans="1:12">
      <c r="A524" s="472"/>
      <c r="B524" s="474"/>
      <c r="C524" s="474"/>
      <c r="D524" s="471"/>
      <c r="E524" s="471"/>
      <c r="F524" s="471"/>
      <c r="G524" s="471"/>
      <c r="H524" s="471"/>
      <c r="I524" s="469">
        <v>473.73548529216458</v>
      </c>
      <c r="J524" s="469">
        <v>56.964600932271949</v>
      </c>
      <c r="K524" s="469">
        <v>7106.0322793824689</v>
      </c>
      <c r="L524" s="470" t="s">
        <v>2276</v>
      </c>
    </row>
    <row r="525" spans="1:12">
      <c r="A525" s="472"/>
      <c r="B525" s="473"/>
      <c r="C525" s="473"/>
      <c r="D525" s="471"/>
      <c r="E525" s="471"/>
      <c r="F525" s="471"/>
      <c r="G525" s="471"/>
      <c r="H525" s="471"/>
      <c r="I525" s="469">
        <v>484.59985702922035</v>
      </c>
      <c r="J525" s="469">
        <v>52.785344596654049</v>
      </c>
      <c r="K525" s="469">
        <v>6057.4982128652537</v>
      </c>
      <c r="L525" s="470" t="s">
        <v>2277</v>
      </c>
    </row>
    <row r="526" spans="1:12">
      <c r="A526" s="472"/>
      <c r="B526" s="474"/>
      <c r="C526" s="474"/>
      <c r="D526" s="471"/>
      <c r="E526" s="471"/>
      <c r="F526" s="471"/>
      <c r="G526" s="471"/>
      <c r="H526" s="471"/>
      <c r="I526" s="469">
        <v>486.09667110863285</v>
      </c>
      <c r="J526" s="469">
        <v>41.099612674800994</v>
      </c>
      <c r="K526" s="469">
        <v>7777.5467377381246</v>
      </c>
      <c r="L526" s="470" t="s">
        <v>2278</v>
      </c>
    </row>
    <row r="527" spans="1:12">
      <c r="A527" s="472"/>
      <c r="B527" s="473"/>
      <c r="C527" s="473"/>
      <c r="D527" s="471"/>
      <c r="E527" s="471"/>
      <c r="F527" s="471"/>
      <c r="G527" s="471"/>
      <c r="H527" s="471"/>
      <c r="I527" s="469">
        <v>491.3485407583504</v>
      </c>
      <c r="J527" s="469">
        <v>45.241842251713436</v>
      </c>
      <c r="K527" s="469">
        <v>7370.228111375256</v>
      </c>
      <c r="L527" s="470" t="s">
        <v>2279</v>
      </c>
    </row>
    <row r="528" spans="1:12">
      <c r="A528" s="472"/>
      <c r="B528" s="473"/>
      <c r="C528" s="473"/>
      <c r="D528" s="471"/>
      <c r="E528" s="471"/>
      <c r="F528" s="471"/>
      <c r="G528" s="471"/>
      <c r="H528" s="471"/>
      <c r="I528" s="469">
        <v>495.21472043377423</v>
      </c>
      <c r="J528" s="469">
        <v>65.986681678089511</v>
      </c>
      <c r="K528" s="469">
        <v>5447.3619247715169</v>
      </c>
      <c r="L528" s="470" t="s">
        <v>2280</v>
      </c>
    </row>
    <row r="529" spans="1:12">
      <c r="A529" s="472"/>
      <c r="B529" s="474"/>
      <c r="C529" s="474"/>
      <c r="D529" s="471"/>
      <c r="E529" s="471"/>
      <c r="F529" s="471"/>
      <c r="G529" s="471"/>
      <c r="H529" s="471"/>
      <c r="I529" s="469">
        <v>508.29288613882528</v>
      </c>
      <c r="J529" s="469">
        <v>47.138930110018734</v>
      </c>
      <c r="K529" s="469">
        <v>7624.3932920823781</v>
      </c>
      <c r="L529" s="470" t="s">
        <v>2281</v>
      </c>
    </row>
    <row r="530" spans="1:12">
      <c r="A530" s="472"/>
      <c r="B530" s="474"/>
      <c r="C530" s="474"/>
      <c r="D530" s="471"/>
      <c r="E530" s="471"/>
      <c r="F530" s="471"/>
      <c r="G530" s="471"/>
      <c r="H530" s="471"/>
      <c r="I530" s="469">
        <v>508.75238923886667</v>
      </c>
      <c r="J530" s="469">
        <v>68.329298695843647</v>
      </c>
      <c r="K530" s="469">
        <v>5596.2762816275326</v>
      </c>
      <c r="L530" s="470" t="s">
        <v>2282</v>
      </c>
    </row>
    <row r="531" spans="1:12">
      <c r="A531" s="472"/>
      <c r="B531" s="473"/>
      <c r="C531" s="473"/>
      <c r="D531" s="471"/>
      <c r="E531" s="471"/>
      <c r="F531" s="471"/>
      <c r="G531" s="471"/>
      <c r="H531" s="471"/>
      <c r="I531" s="469">
        <v>508.96373407614283</v>
      </c>
      <c r="J531" s="469">
        <v>45.241842251713436</v>
      </c>
      <c r="K531" s="469">
        <v>8906.865346332499</v>
      </c>
      <c r="L531" s="470" t="s">
        <v>2283</v>
      </c>
    </row>
    <row r="532" spans="1:12">
      <c r="A532" s="472"/>
      <c r="B532" s="473"/>
      <c r="C532" s="473"/>
      <c r="D532" s="471"/>
      <c r="E532" s="471"/>
      <c r="F532" s="471"/>
      <c r="G532" s="471"/>
      <c r="H532" s="471"/>
      <c r="I532" s="469">
        <v>516.63167164075708</v>
      </c>
      <c r="J532" s="469">
        <v>65.986681678089511</v>
      </c>
      <c r="K532" s="469">
        <v>6457.8958955094631</v>
      </c>
      <c r="L532" s="470" t="s">
        <v>2284</v>
      </c>
    </row>
    <row r="533" spans="1:12">
      <c r="A533" s="472"/>
      <c r="B533" s="474"/>
      <c r="C533" s="474"/>
      <c r="D533" s="471"/>
      <c r="E533" s="471"/>
      <c r="F533" s="471"/>
      <c r="G533" s="471"/>
      <c r="H533" s="471"/>
      <c r="I533" s="469">
        <v>520.55425674207834</v>
      </c>
      <c r="J533" s="469">
        <v>65.986681678089511</v>
      </c>
      <c r="K533" s="469">
        <v>7808.3138511311736</v>
      </c>
      <c r="L533" s="470" t="s">
        <v>2285</v>
      </c>
    </row>
    <row r="534" spans="1:12">
      <c r="A534" s="472"/>
      <c r="B534" s="473"/>
      <c r="C534" s="473"/>
      <c r="D534" s="471"/>
      <c r="E534" s="471"/>
      <c r="F534" s="471"/>
      <c r="G534" s="471"/>
      <c r="H534" s="471"/>
      <c r="I534" s="469">
        <v>520.59692457907374</v>
      </c>
      <c r="J534" s="469">
        <v>65.986681678089511</v>
      </c>
      <c r="K534" s="469">
        <v>6767.7600195279601</v>
      </c>
      <c r="L534" s="470" t="s">
        <v>2286</v>
      </c>
    </row>
    <row r="535" spans="1:12">
      <c r="A535" s="472"/>
      <c r="B535" s="474"/>
      <c r="C535" s="474"/>
      <c r="D535" s="471"/>
      <c r="E535" s="471"/>
      <c r="F535" s="471"/>
      <c r="G535" s="471"/>
      <c r="H535" s="471"/>
      <c r="I535" s="469">
        <v>525.80737251645485</v>
      </c>
      <c r="J535" s="469">
        <v>47.138930110018734</v>
      </c>
      <c r="K535" s="469">
        <v>9201.6290190379586</v>
      </c>
      <c r="L535" s="470" t="s">
        <v>2287</v>
      </c>
    </row>
    <row r="536" spans="1:12">
      <c r="A536" s="472"/>
      <c r="B536" s="473"/>
      <c r="C536" s="473"/>
      <c r="D536" s="471"/>
      <c r="E536" s="471"/>
      <c r="F536" s="471"/>
      <c r="G536" s="471"/>
      <c r="H536" s="471"/>
      <c r="I536" s="469">
        <v>525.92774075835041</v>
      </c>
      <c r="J536" s="469">
        <v>47.125842251713429</v>
      </c>
      <c r="K536" s="469">
        <v>7888.9161113752562</v>
      </c>
      <c r="L536" s="470" t="s">
        <v>2288</v>
      </c>
    </row>
    <row r="537" spans="1:12">
      <c r="A537" s="472"/>
      <c r="B537" s="474"/>
      <c r="C537" s="474"/>
      <c r="D537" s="471"/>
      <c r="E537" s="471"/>
      <c r="F537" s="471"/>
      <c r="G537" s="471"/>
      <c r="H537" s="471"/>
      <c r="I537" s="469">
        <v>530.61349233404951</v>
      </c>
      <c r="J537" s="469">
        <v>68.329298695843647</v>
      </c>
      <c r="K537" s="469">
        <v>6632.6686541756189</v>
      </c>
      <c r="L537" s="470" t="s">
        <v>2289</v>
      </c>
    </row>
    <row r="538" spans="1:12">
      <c r="A538" s="472"/>
      <c r="B538" s="473"/>
      <c r="C538" s="473"/>
      <c r="D538" s="471"/>
      <c r="E538" s="471"/>
      <c r="F538" s="471"/>
      <c r="G538" s="471"/>
      <c r="H538" s="471"/>
      <c r="I538" s="469">
        <v>533.97285785449753</v>
      </c>
      <c r="J538" s="469">
        <v>68.329298695843647</v>
      </c>
      <c r="K538" s="469">
        <v>8009.5928678174641</v>
      </c>
      <c r="L538" s="470" t="s">
        <v>2290</v>
      </c>
    </row>
    <row r="539" spans="1:12">
      <c r="A539" s="472"/>
      <c r="B539" s="473"/>
      <c r="C539" s="473"/>
      <c r="D539" s="471"/>
      <c r="E539" s="471"/>
      <c r="F539" s="471"/>
      <c r="G539" s="471"/>
      <c r="H539" s="471"/>
      <c r="I539" s="469">
        <v>534.59690802290913</v>
      </c>
      <c r="J539" s="469">
        <v>68.329298695843647</v>
      </c>
      <c r="K539" s="469">
        <v>6949.7598042978198</v>
      </c>
      <c r="L539" s="470" t="s">
        <v>2291</v>
      </c>
    </row>
    <row r="540" spans="1:12">
      <c r="A540" s="472"/>
      <c r="B540" s="473"/>
      <c r="C540" s="473"/>
      <c r="D540" s="471"/>
      <c r="E540" s="471"/>
      <c r="F540" s="471"/>
      <c r="G540" s="471"/>
      <c r="H540" s="471"/>
      <c r="I540" s="469">
        <v>557.71661036326407</v>
      </c>
      <c r="J540" s="469">
        <v>52.090654456813262</v>
      </c>
      <c r="K540" s="469">
        <v>8365.7491554489607</v>
      </c>
      <c r="L540" s="470" t="s">
        <v>2292</v>
      </c>
    </row>
    <row r="541" spans="1:12">
      <c r="A541" s="472"/>
      <c r="B541" s="474"/>
      <c r="C541" s="474"/>
      <c r="D541" s="471"/>
      <c r="E541" s="471"/>
      <c r="F541" s="471"/>
      <c r="G541" s="471"/>
      <c r="H541" s="471"/>
      <c r="I541" s="469">
        <v>564.66519256729032</v>
      </c>
      <c r="J541" s="469">
        <v>52.793375329958288</v>
      </c>
      <c r="K541" s="469">
        <v>8469.9778885093547</v>
      </c>
      <c r="L541" s="470" t="s">
        <v>2293</v>
      </c>
    </row>
    <row r="542" spans="1:12">
      <c r="A542" s="472"/>
      <c r="B542" s="473"/>
      <c r="C542" s="473"/>
      <c r="D542" s="471"/>
      <c r="E542" s="471"/>
      <c r="F542" s="471"/>
      <c r="G542" s="471"/>
      <c r="H542" s="471"/>
      <c r="I542" s="469">
        <v>566.40865880425224</v>
      </c>
      <c r="J542" s="469">
        <v>63.24460093227195</v>
      </c>
      <c r="K542" s="469">
        <v>7363.3125644552802</v>
      </c>
      <c r="L542" s="470" t="s">
        <v>2294</v>
      </c>
    </row>
    <row r="543" spans="1:12">
      <c r="A543" s="472"/>
      <c r="B543" s="474"/>
      <c r="C543" s="474"/>
      <c r="D543" s="471"/>
      <c r="E543" s="471"/>
      <c r="F543" s="471"/>
      <c r="G543" s="471"/>
      <c r="H543" s="471"/>
      <c r="I543" s="469">
        <v>569.16225427758752</v>
      </c>
      <c r="J543" s="469">
        <v>75.161872284066291</v>
      </c>
      <c r="K543" s="469">
        <v>7114.5281784698445</v>
      </c>
      <c r="L543" s="470" t="s">
        <v>2295</v>
      </c>
    </row>
    <row r="544" spans="1:12">
      <c r="A544" s="472"/>
      <c r="B544" s="474"/>
      <c r="C544" s="474"/>
      <c r="D544" s="471"/>
      <c r="E544" s="471"/>
      <c r="F544" s="471"/>
      <c r="G544" s="471"/>
      <c r="H544" s="471"/>
      <c r="I544" s="469">
        <v>570.46731960336808</v>
      </c>
      <c r="J544" s="469">
        <v>75.161872284066291</v>
      </c>
      <c r="K544" s="469">
        <v>8557.009794050522</v>
      </c>
      <c r="L544" s="470" t="s">
        <v>2296</v>
      </c>
    </row>
    <row r="545" spans="1:12">
      <c r="A545" s="472"/>
      <c r="B545" s="474"/>
      <c r="C545" s="474"/>
      <c r="D545" s="471"/>
      <c r="E545" s="471"/>
      <c r="F545" s="471"/>
      <c r="G545" s="471"/>
      <c r="H545" s="471"/>
      <c r="I545" s="469">
        <v>573.12591489083093</v>
      </c>
      <c r="J545" s="469">
        <v>75.161872284066291</v>
      </c>
      <c r="K545" s="469">
        <v>7450.6368935808014</v>
      </c>
      <c r="L545" s="470" t="s">
        <v>2297</v>
      </c>
    </row>
    <row r="546" spans="1:12">
      <c r="A546" s="472"/>
      <c r="B546" s="473"/>
      <c r="C546" s="473"/>
      <c r="D546" s="471"/>
      <c r="E546" s="471"/>
      <c r="F546" s="471"/>
      <c r="G546" s="471"/>
      <c r="H546" s="471"/>
      <c r="I546" s="469">
        <v>574.7481015787082</v>
      </c>
      <c r="J546" s="469">
        <v>49.009842251713422</v>
      </c>
      <c r="K546" s="469">
        <v>9195.9696252593312</v>
      </c>
      <c r="L546" s="470" t="s">
        <v>2298</v>
      </c>
    </row>
    <row r="547" spans="1:12">
      <c r="A547" s="472"/>
      <c r="B547" s="474"/>
      <c r="C547" s="474"/>
      <c r="D547" s="471"/>
      <c r="E547" s="471"/>
      <c r="F547" s="471"/>
      <c r="G547" s="471"/>
      <c r="H547" s="471"/>
      <c r="I547" s="469">
        <v>576.73620789661345</v>
      </c>
      <c r="J547" s="469">
        <v>52.090654456813262</v>
      </c>
      <c r="K547" s="469">
        <v>10092.883638190737</v>
      </c>
      <c r="L547" s="470" t="s">
        <v>2299</v>
      </c>
    </row>
    <row r="548" spans="1:12">
      <c r="A548" s="472"/>
      <c r="B548" s="473"/>
      <c r="C548" s="473"/>
      <c r="D548" s="471"/>
      <c r="E548" s="471"/>
      <c r="F548" s="471"/>
      <c r="G548" s="471"/>
      <c r="H548" s="471"/>
      <c r="I548" s="469">
        <v>581.2672479193144</v>
      </c>
      <c r="J548" s="469">
        <v>64.814600932271958</v>
      </c>
      <c r="K548" s="469">
        <v>7265.8405989914299</v>
      </c>
      <c r="L548" s="470" t="s">
        <v>2300</v>
      </c>
    </row>
    <row r="549" spans="1:12">
      <c r="A549" s="472"/>
      <c r="B549" s="473"/>
      <c r="C549" s="473"/>
      <c r="D549" s="471"/>
      <c r="E549" s="471"/>
      <c r="F549" s="471"/>
      <c r="G549" s="471"/>
      <c r="H549" s="471"/>
      <c r="I549" s="469">
        <v>583.89243310571317</v>
      </c>
      <c r="J549" s="469">
        <v>52.793375329958288</v>
      </c>
      <c r="K549" s="469">
        <v>10218.117579349981</v>
      </c>
      <c r="L549" s="470" t="s">
        <v>2301</v>
      </c>
    </row>
    <row r="550" spans="1:12">
      <c r="A550" s="472"/>
      <c r="B550" s="474"/>
      <c r="C550" s="474"/>
      <c r="D550" s="471"/>
      <c r="E550" s="471"/>
      <c r="F550" s="471"/>
      <c r="G550" s="471"/>
      <c r="H550" s="471"/>
      <c r="I550" s="469">
        <v>595.32221163245947</v>
      </c>
      <c r="J550" s="469">
        <v>51.095330110018729</v>
      </c>
      <c r="K550" s="469">
        <v>9525.1553861193515</v>
      </c>
      <c r="L550" s="470" t="s">
        <v>2302</v>
      </c>
    </row>
    <row r="551" spans="1:12">
      <c r="A551" s="472"/>
      <c r="B551" s="473"/>
      <c r="C551" s="473"/>
      <c r="D551" s="471"/>
      <c r="E551" s="471"/>
      <c r="F551" s="471"/>
      <c r="G551" s="471"/>
      <c r="H551" s="471"/>
      <c r="I551" s="469">
        <v>610.49061025338244</v>
      </c>
      <c r="J551" s="469">
        <v>83.816322983270254</v>
      </c>
      <c r="K551" s="469">
        <v>9157.3591538007367</v>
      </c>
      <c r="L551" s="470" t="s">
        <v>2303</v>
      </c>
    </row>
    <row r="552" spans="1:12">
      <c r="A552" s="472"/>
      <c r="B552" s="474"/>
      <c r="C552" s="474"/>
      <c r="D552" s="471"/>
      <c r="E552" s="471"/>
      <c r="F552" s="471"/>
      <c r="G552" s="471"/>
      <c r="H552" s="471"/>
      <c r="I552" s="469">
        <v>612.78625721262688</v>
      </c>
      <c r="J552" s="469">
        <v>83.816322983270254</v>
      </c>
      <c r="K552" s="469">
        <v>7659.8282151578351</v>
      </c>
      <c r="L552" s="470" t="s">
        <v>2304</v>
      </c>
    </row>
    <row r="553" spans="1:12">
      <c r="A553" s="472"/>
      <c r="B553" s="473"/>
      <c r="C553" s="473"/>
      <c r="D553" s="471"/>
      <c r="E553" s="471"/>
      <c r="F553" s="471"/>
      <c r="G553" s="471"/>
      <c r="H553" s="471"/>
      <c r="I553" s="469">
        <v>616.54784745542054</v>
      </c>
      <c r="J553" s="469">
        <v>83.816322983270254</v>
      </c>
      <c r="K553" s="469">
        <v>8015.1220169204671</v>
      </c>
      <c r="L553" s="470" t="s">
        <v>2305</v>
      </c>
    </row>
    <row r="554" spans="1:12">
      <c r="A554" s="472"/>
      <c r="B554" s="473"/>
      <c r="C554" s="473"/>
      <c r="D554" s="471"/>
      <c r="E554" s="471"/>
      <c r="F554" s="471"/>
      <c r="G554" s="471"/>
      <c r="H554" s="471"/>
      <c r="I554" s="469">
        <v>625.95158319767711</v>
      </c>
      <c r="J554" s="469">
        <v>59.06534459665405</v>
      </c>
      <c r="K554" s="469">
        <v>9389.2737479651569</v>
      </c>
      <c r="L554" s="470" t="s">
        <v>2306</v>
      </c>
    </row>
    <row r="555" spans="1:12">
      <c r="A555" s="472"/>
      <c r="B555" s="474"/>
      <c r="C555" s="474"/>
      <c r="D555" s="471"/>
      <c r="E555" s="471"/>
      <c r="F555" s="471"/>
      <c r="G555" s="471"/>
      <c r="H555" s="471"/>
      <c r="I555" s="469">
        <v>634.23138611753541</v>
      </c>
      <c r="J555" s="469">
        <v>73.522681678089512</v>
      </c>
      <c r="K555" s="469">
        <v>8245.0080195279606</v>
      </c>
      <c r="L555" s="470" t="s">
        <v>2307</v>
      </c>
    </row>
    <row r="556" spans="1:12">
      <c r="A556" s="472"/>
      <c r="B556" s="474"/>
      <c r="C556" s="474"/>
      <c r="D556" s="471"/>
      <c r="E556" s="471"/>
      <c r="F556" s="471"/>
      <c r="G556" s="471"/>
      <c r="H556" s="471"/>
      <c r="I556" s="469">
        <v>646.96420464647247</v>
      </c>
      <c r="J556" s="469">
        <v>59.06534459665405</v>
      </c>
      <c r="K556" s="469">
        <v>11321.873581313268</v>
      </c>
      <c r="L556" s="470" t="s">
        <v>2308</v>
      </c>
    </row>
    <row r="557" spans="1:12">
      <c r="A557" s="472"/>
      <c r="B557" s="474"/>
      <c r="C557" s="474"/>
      <c r="D557" s="471"/>
      <c r="E557" s="471"/>
      <c r="F557" s="471"/>
      <c r="G557" s="471"/>
      <c r="H557" s="471"/>
      <c r="I557" s="469">
        <v>652.49754904855024</v>
      </c>
      <c r="J557" s="469">
        <v>76.179298695843656</v>
      </c>
      <c r="K557" s="469">
        <v>8482.4681376311528</v>
      </c>
      <c r="L557" s="470" t="s">
        <v>2309</v>
      </c>
    </row>
    <row r="558" spans="1:12">
      <c r="A558" s="472"/>
      <c r="B558" s="474"/>
      <c r="C558" s="474"/>
      <c r="D558" s="471"/>
      <c r="E558" s="471"/>
      <c r="F558" s="471"/>
      <c r="G558" s="471"/>
      <c r="H558" s="471"/>
      <c r="I558" s="469">
        <v>652.69247164075705</v>
      </c>
      <c r="J558" s="469">
        <v>75.406681678089512</v>
      </c>
      <c r="K558" s="469">
        <v>8158.6558955094633</v>
      </c>
      <c r="L558" s="470" t="s">
        <v>2310</v>
      </c>
    </row>
    <row r="559" spans="1:12">
      <c r="A559" s="472"/>
      <c r="B559" s="473"/>
      <c r="C559" s="473"/>
      <c r="D559" s="471"/>
      <c r="E559" s="471"/>
      <c r="F559" s="471"/>
      <c r="G559" s="471"/>
      <c r="H559" s="471"/>
      <c r="I559" s="469">
        <v>653.85758330067381</v>
      </c>
      <c r="J559" s="469">
        <v>56.486654456813255</v>
      </c>
      <c r="K559" s="469">
        <v>10461.721332810781</v>
      </c>
      <c r="L559" s="470" t="s">
        <v>2311</v>
      </c>
    </row>
    <row r="560" spans="1:12">
      <c r="A560" s="472"/>
      <c r="B560" s="474"/>
      <c r="C560" s="474"/>
      <c r="D560" s="471"/>
      <c r="E560" s="471"/>
      <c r="F560" s="471"/>
      <c r="G560" s="471"/>
      <c r="H560" s="471"/>
      <c r="I560" s="469">
        <v>662.09873331493009</v>
      </c>
      <c r="J560" s="469">
        <v>57.252175329958284</v>
      </c>
      <c r="K560" s="469">
        <v>10593.579733038881</v>
      </c>
      <c r="L560" s="470" t="s">
        <v>2312</v>
      </c>
    </row>
    <row r="561" spans="1:12">
      <c r="A561" s="472"/>
      <c r="B561" s="473"/>
      <c r="C561" s="473"/>
      <c r="D561" s="471"/>
      <c r="E561" s="471"/>
      <c r="F561" s="471"/>
      <c r="G561" s="471"/>
      <c r="H561" s="471"/>
      <c r="I561" s="469">
        <v>671.43709430878835</v>
      </c>
      <c r="J561" s="469">
        <v>61.577344596654051</v>
      </c>
      <c r="K561" s="469">
        <v>10071.556414631827</v>
      </c>
      <c r="L561" s="470" t="s">
        <v>2313</v>
      </c>
    </row>
    <row r="562" spans="1:12">
      <c r="A562" s="472"/>
      <c r="B562" s="474"/>
      <c r="C562" s="474"/>
      <c r="D562" s="471"/>
      <c r="E562" s="471"/>
      <c r="F562" s="471"/>
      <c r="G562" s="471"/>
      <c r="H562" s="471"/>
      <c r="I562" s="469">
        <v>671.75932566738265</v>
      </c>
      <c r="J562" s="469">
        <v>78.141798695843647</v>
      </c>
      <c r="K562" s="469">
        <v>8396.9915708422832</v>
      </c>
      <c r="L562" s="470" t="s">
        <v>2314</v>
      </c>
    </row>
    <row r="563" spans="1:12">
      <c r="A563" s="472"/>
      <c r="B563" s="473"/>
      <c r="C563" s="473"/>
      <c r="D563" s="471"/>
      <c r="E563" s="471"/>
      <c r="F563" s="471"/>
      <c r="G563" s="471"/>
      <c r="H563" s="471"/>
      <c r="I563" s="469">
        <v>703.60878668570263</v>
      </c>
      <c r="J563" s="469">
        <v>83.953872284066279</v>
      </c>
      <c r="K563" s="469">
        <v>9146.9142269141339</v>
      </c>
      <c r="L563" s="470" t="s">
        <v>2315</v>
      </c>
    </row>
    <row r="564" spans="1:12">
      <c r="A564" s="472"/>
      <c r="B564" s="473"/>
      <c r="C564" s="473"/>
      <c r="D564" s="471"/>
      <c r="E564" s="471"/>
      <c r="F564" s="471"/>
      <c r="G564" s="471"/>
      <c r="H564" s="471"/>
      <c r="I564" s="469">
        <v>734.9159561779968</v>
      </c>
      <c r="J564" s="469">
        <v>64.089344596654058</v>
      </c>
      <c r="K564" s="469">
        <v>11758.655298847949</v>
      </c>
      <c r="L564" s="470" t="s">
        <v>2316</v>
      </c>
    </row>
    <row r="565" spans="1:12">
      <c r="A565" s="472"/>
      <c r="B565" s="473"/>
      <c r="C565" s="473"/>
      <c r="D565" s="471"/>
      <c r="E565" s="471"/>
      <c r="F565" s="471"/>
      <c r="G565" s="471"/>
      <c r="H565" s="471"/>
      <c r="I565" s="469">
        <v>739.46770410566023</v>
      </c>
      <c r="J565" s="469">
        <v>54.661842251713431</v>
      </c>
      <c r="K565" s="469">
        <v>14789.354082113203</v>
      </c>
      <c r="L565" s="470" t="s">
        <v>2317</v>
      </c>
    </row>
    <row r="566" spans="1:12">
      <c r="A566" s="472"/>
      <c r="B566" s="473"/>
      <c r="C566" s="473"/>
      <c r="D566" s="471"/>
      <c r="E566" s="471"/>
      <c r="F566" s="471"/>
      <c r="G566" s="471"/>
      <c r="H566" s="471"/>
      <c r="I566" s="469">
        <v>747.10285860966087</v>
      </c>
      <c r="J566" s="469">
        <v>54.661842251713431</v>
      </c>
      <c r="K566" s="469">
        <v>16809.81431871737</v>
      </c>
      <c r="L566" s="470" t="s">
        <v>2318</v>
      </c>
    </row>
    <row r="567" spans="1:12">
      <c r="A567" s="472"/>
      <c r="B567" s="474"/>
      <c r="C567" s="474"/>
      <c r="D567" s="471"/>
      <c r="E567" s="471"/>
      <c r="F567" s="471"/>
      <c r="G567" s="471"/>
      <c r="H567" s="471"/>
      <c r="I567" s="469">
        <v>754.17992973660898</v>
      </c>
      <c r="J567" s="469">
        <v>72.664600932271952</v>
      </c>
      <c r="K567" s="469">
        <v>11312.698946049135</v>
      </c>
      <c r="L567" s="470" t="s">
        <v>2319</v>
      </c>
    </row>
    <row r="568" spans="1:12">
      <c r="A568" s="472"/>
      <c r="B568" s="473"/>
      <c r="C568" s="473"/>
      <c r="D568" s="471"/>
      <c r="E568" s="471"/>
      <c r="F568" s="471"/>
      <c r="G568" s="471"/>
      <c r="H568" s="471"/>
      <c r="I568" s="469">
        <v>763.30805258362557</v>
      </c>
      <c r="J568" s="469">
        <v>93.864322983270256</v>
      </c>
      <c r="K568" s="469">
        <v>9923.0046835871326</v>
      </c>
      <c r="L568" s="470" t="s">
        <v>2320</v>
      </c>
    </row>
    <row r="569" spans="1:12">
      <c r="A569" s="472"/>
      <c r="B569" s="473"/>
      <c r="C569" s="473"/>
      <c r="D569" s="471"/>
      <c r="E569" s="471"/>
      <c r="F569" s="471"/>
      <c r="G569" s="471"/>
      <c r="H569" s="471"/>
      <c r="I569" s="469">
        <v>766.48683161020085</v>
      </c>
      <c r="J569" s="469">
        <v>57.029930110018732</v>
      </c>
      <c r="K569" s="469">
        <v>15329.736632204018</v>
      </c>
      <c r="L569" s="470" t="s">
        <v>2321</v>
      </c>
    </row>
    <row r="570" spans="1:12">
      <c r="A570" s="472"/>
      <c r="B570" s="473"/>
      <c r="C570" s="473"/>
      <c r="D570" s="471"/>
      <c r="E570" s="471"/>
      <c r="F570" s="471"/>
      <c r="G570" s="471"/>
      <c r="H570" s="471"/>
      <c r="I570" s="469">
        <v>773.52476318135894</v>
      </c>
      <c r="J570" s="469">
        <v>57.029930110018732</v>
      </c>
      <c r="K570" s="469">
        <v>17404.307171580578</v>
      </c>
      <c r="L570" s="470" t="s">
        <v>2322</v>
      </c>
    </row>
    <row r="571" spans="1:12">
      <c r="A571" s="472"/>
      <c r="B571" s="473"/>
      <c r="C571" s="473"/>
      <c r="D571" s="471"/>
      <c r="E571" s="471"/>
      <c r="F571" s="471"/>
      <c r="G571" s="471"/>
      <c r="H571" s="471"/>
      <c r="I571" s="469">
        <v>778.61734814017109</v>
      </c>
      <c r="J571" s="469">
        <v>72.664600932271952</v>
      </c>
      <c r="K571" s="469">
        <v>13625.803592452994</v>
      </c>
      <c r="L571" s="470" t="s">
        <v>2323</v>
      </c>
    </row>
    <row r="572" spans="1:12">
      <c r="A572" s="472"/>
      <c r="B572" s="474"/>
      <c r="C572" s="474"/>
      <c r="D572" s="471"/>
      <c r="E572" s="471"/>
      <c r="F572" s="471"/>
      <c r="G572" s="471"/>
      <c r="H572" s="471"/>
      <c r="I572" s="469">
        <v>810.2688186254976</v>
      </c>
      <c r="J572" s="469">
        <v>75.804600932271953</v>
      </c>
      <c r="K572" s="469">
        <v>12154.032279382465</v>
      </c>
      <c r="L572" s="470" t="s">
        <v>2324</v>
      </c>
    </row>
    <row r="573" spans="1:12">
      <c r="A573" s="472"/>
      <c r="B573" s="473"/>
      <c r="C573" s="473"/>
      <c r="D573" s="471"/>
      <c r="E573" s="471"/>
      <c r="F573" s="471"/>
      <c r="G573" s="471"/>
      <c r="H573" s="471"/>
      <c r="I573" s="469">
        <v>842.76369038060648</v>
      </c>
      <c r="J573" s="469">
        <v>63.080654456813264</v>
      </c>
      <c r="K573" s="469">
        <v>16855.273807612128</v>
      </c>
      <c r="L573" s="470" t="s">
        <v>2325</v>
      </c>
    </row>
    <row r="574" spans="1:12">
      <c r="A574" s="472"/>
      <c r="B574" s="474"/>
      <c r="C574" s="474"/>
      <c r="D574" s="471"/>
      <c r="E574" s="471"/>
      <c r="F574" s="471"/>
      <c r="G574" s="471"/>
      <c r="H574" s="471"/>
      <c r="I574" s="469">
        <v>850.14872579465771</v>
      </c>
      <c r="J574" s="469">
        <v>63.080654456813264</v>
      </c>
      <c r="K574" s="469">
        <v>19128.346330379802</v>
      </c>
      <c r="L574" s="470" t="s">
        <v>2326</v>
      </c>
    </row>
    <row r="575" spans="1:12">
      <c r="A575" s="472"/>
      <c r="B575" s="474"/>
      <c r="C575" s="474"/>
      <c r="D575" s="471"/>
      <c r="E575" s="471"/>
      <c r="F575" s="471"/>
      <c r="G575" s="471"/>
      <c r="H575" s="471"/>
      <c r="I575" s="469">
        <v>852.5222567420783</v>
      </c>
      <c r="J575" s="469">
        <v>84.826681678089514</v>
      </c>
      <c r="K575" s="469">
        <v>12787.833851131174</v>
      </c>
      <c r="L575" s="470" t="s">
        <v>2327</v>
      </c>
    </row>
    <row r="576" spans="1:12">
      <c r="A576" s="472"/>
      <c r="B576" s="473"/>
      <c r="C576" s="473"/>
      <c r="D576" s="471"/>
      <c r="E576" s="471"/>
      <c r="F576" s="471"/>
      <c r="G576" s="471"/>
      <c r="H576" s="471"/>
      <c r="I576" s="469">
        <v>853.51835931788389</v>
      </c>
      <c r="J576" s="469">
        <v>63.940375329958279</v>
      </c>
      <c r="K576" s="469">
        <v>17070.367186357678</v>
      </c>
      <c r="L576" s="470" t="s">
        <v>2328</v>
      </c>
    </row>
    <row r="577" spans="1:12">
      <c r="A577" s="472"/>
      <c r="B577" s="473"/>
      <c r="C577" s="473"/>
      <c r="D577" s="471"/>
      <c r="E577" s="471"/>
      <c r="F577" s="471"/>
      <c r="G577" s="471"/>
      <c r="H577" s="471"/>
      <c r="I577" s="469">
        <v>855.90370410566015</v>
      </c>
      <c r="J577" s="469">
        <v>59.371842251713431</v>
      </c>
      <c r="K577" s="469">
        <v>17118.074082113202</v>
      </c>
      <c r="L577" s="470" t="s">
        <v>2329</v>
      </c>
    </row>
    <row r="578" spans="1:12">
      <c r="A578" s="472"/>
      <c r="B578" s="474"/>
      <c r="C578" s="474"/>
      <c r="D578" s="471"/>
      <c r="E578" s="471"/>
      <c r="F578" s="471"/>
      <c r="G578" s="471"/>
      <c r="H578" s="471"/>
      <c r="I578" s="469">
        <v>860.94575834958982</v>
      </c>
      <c r="J578" s="469">
        <v>63.940375329958279</v>
      </c>
      <c r="K578" s="469">
        <v>19371.27956286577</v>
      </c>
      <c r="L578" s="470" t="s">
        <v>2330</v>
      </c>
    </row>
    <row r="579" spans="1:12">
      <c r="A579" s="472"/>
      <c r="B579" s="473"/>
      <c r="C579" s="473"/>
      <c r="D579" s="471"/>
      <c r="E579" s="471"/>
      <c r="F579" s="471"/>
      <c r="G579" s="471"/>
      <c r="H579" s="471"/>
      <c r="I579" s="469">
        <v>876.51400831862668</v>
      </c>
      <c r="J579" s="469">
        <v>84.826681678089514</v>
      </c>
      <c r="K579" s="469">
        <v>15338.995145575967</v>
      </c>
      <c r="L579" s="470" t="s">
        <v>2331</v>
      </c>
    </row>
    <row r="580" spans="1:12">
      <c r="A580" s="472"/>
      <c r="B580" s="473"/>
      <c r="C580" s="473"/>
      <c r="D580" s="471"/>
      <c r="E580" s="471"/>
      <c r="F580" s="471"/>
      <c r="G580" s="471"/>
      <c r="H580" s="471"/>
      <c r="I580" s="469">
        <v>878.59091341005308</v>
      </c>
      <c r="J580" s="469">
        <v>87.954298695843661</v>
      </c>
      <c r="K580" s="469">
        <v>13178.863701150796</v>
      </c>
      <c r="L580" s="470" t="s">
        <v>2332</v>
      </c>
    </row>
    <row r="581" spans="1:12">
      <c r="A581" s="472"/>
      <c r="B581" s="474"/>
      <c r="C581" s="474"/>
      <c r="D581" s="471"/>
      <c r="E581" s="471"/>
      <c r="F581" s="471"/>
      <c r="G581" s="471"/>
      <c r="H581" s="471"/>
      <c r="I581" s="469">
        <v>888.10986970973772</v>
      </c>
      <c r="J581" s="469">
        <v>78.944600932271953</v>
      </c>
      <c r="K581" s="469">
        <v>14209.757915355805</v>
      </c>
      <c r="L581" s="470" t="s">
        <v>2333</v>
      </c>
    </row>
    <row r="582" spans="1:12">
      <c r="A582" s="472"/>
      <c r="B582" s="474"/>
      <c r="C582" s="474"/>
      <c r="D582" s="471"/>
      <c r="E582" s="471"/>
      <c r="F582" s="471"/>
      <c r="G582" s="471"/>
      <c r="H582" s="471"/>
      <c r="I582" s="469">
        <v>888.55950611020137</v>
      </c>
      <c r="J582" s="469">
        <v>61.975430110018735</v>
      </c>
      <c r="K582" s="469">
        <v>17771.190122204025</v>
      </c>
      <c r="L582" s="470" t="s">
        <v>2334</v>
      </c>
    </row>
    <row r="583" spans="1:12">
      <c r="A583" s="472"/>
      <c r="B583" s="473"/>
      <c r="C583" s="473"/>
      <c r="D583" s="471"/>
      <c r="E583" s="471"/>
      <c r="F583" s="471"/>
      <c r="G583" s="471"/>
      <c r="H583" s="471"/>
      <c r="I583" s="469">
        <v>902.86194699255816</v>
      </c>
      <c r="J583" s="469">
        <v>87.954298695843661</v>
      </c>
      <c r="K583" s="469">
        <v>15800.084072369769</v>
      </c>
      <c r="L583" s="470" t="s">
        <v>2335</v>
      </c>
    </row>
    <row r="584" spans="1:12">
      <c r="A584" s="472"/>
      <c r="B584" s="474"/>
      <c r="C584" s="474"/>
      <c r="D584" s="471"/>
      <c r="E584" s="471"/>
      <c r="F584" s="471"/>
      <c r="G584" s="471"/>
      <c r="H584" s="471"/>
      <c r="I584" s="469">
        <v>918.91585674207829</v>
      </c>
      <c r="J584" s="469">
        <v>88.594681678089515</v>
      </c>
      <c r="K584" s="469">
        <v>13783.737851131174</v>
      </c>
      <c r="L584" s="470" t="s">
        <v>2336</v>
      </c>
    </row>
    <row r="585" spans="1:12">
      <c r="A585" s="472"/>
      <c r="B585" s="473"/>
      <c r="C585" s="473"/>
      <c r="D585" s="471"/>
      <c r="E585" s="471"/>
      <c r="F585" s="471"/>
      <c r="G585" s="471"/>
      <c r="H585" s="471"/>
      <c r="I585" s="469">
        <v>947.51452452116428</v>
      </c>
      <c r="J585" s="469">
        <v>91.879298695843659</v>
      </c>
      <c r="K585" s="469">
        <v>14212.717867817464</v>
      </c>
      <c r="L585" s="470" t="s">
        <v>2337</v>
      </c>
    </row>
    <row r="586" spans="1:12">
      <c r="A586" s="472"/>
      <c r="B586" s="473"/>
      <c r="C586" s="473"/>
      <c r="D586" s="471"/>
      <c r="E586" s="471"/>
      <c r="F586" s="471"/>
      <c r="G586" s="471"/>
      <c r="H586" s="471"/>
      <c r="I586" s="469">
        <v>948.72088564547914</v>
      </c>
      <c r="J586" s="469">
        <v>71.62534459665406</v>
      </c>
      <c r="K586" s="469">
        <v>18974.417712909584</v>
      </c>
      <c r="L586" s="470" t="s">
        <v>2338</v>
      </c>
    </row>
    <row r="587" spans="1:12">
      <c r="A587" s="472"/>
      <c r="B587" s="474"/>
      <c r="C587" s="474"/>
      <c r="D587" s="471"/>
      <c r="E587" s="471"/>
      <c r="F587" s="471"/>
      <c r="G587" s="471"/>
      <c r="H587" s="471"/>
      <c r="I587" s="469">
        <v>952.48687515892345</v>
      </c>
      <c r="J587" s="469">
        <v>97.141872284066281</v>
      </c>
      <c r="K587" s="469">
        <v>14287.303127383851</v>
      </c>
      <c r="L587" s="470" t="s">
        <v>2339</v>
      </c>
    </row>
    <row r="588" spans="1:12">
      <c r="A588" s="472"/>
      <c r="B588" s="474"/>
      <c r="C588" s="474"/>
      <c r="D588" s="471"/>
      <c r="E588" s="471"/>
      <c r="F588" s="471"/>
      <c r="G588" s="471"/>
      <c r="H588" s="471"/>
      <c r="I588" s="469">
        <v>956.44797671499771</v>
      </c>
      <c r="J588" s="469">
        <v>71.62534459665406</v>
      </c>
      <c r="K588" s="469">
        <v>21520.079476087445</v>
      </c>
      <c r="L588" s="470" t="s">
        <v>2340</v>
      </c>
    </row>
    <row r="589" spans="1:12">
      <c r="A589" s="472"/>
      <c r="B589" s="473"/>
      <c r="C589" s="473"/>
      <c r="D589" s="471"/>
      <c r="E589" s="471"/>
      <c r="F589" s="471"/>
      <c r="G589" s="471"/>
      <c r="H589" s="471"/>
      <c r="I589" s="469">
        <v>972.33970410566019</v>
      </c>
      <c r="J589" s="469">
        <v>64.081842251713439</v>
      </c>
      <c r="K589" s="469">
        <v>19446.794082113203</v>
      </c>
      <c r="L589" s="470" t="s">
        <v>2341</v>
      </c>
    </row>
    <row r="590" spans="1:12">
      <c r="A590" s="472"/>
      <c r="B590" s="474"/>
      <c r="C590" s="474"/>
      <c r="D590" s="471"/>
      <c r="E590" s="471"/>
      <c r="F590" s="471"/>
      <c r="G590" s="471"/>
      <c r="H590" s="471"/>
      <c r="I590" s="469">
        <v>977.23599103024458</v>
      </c>
      <c r="J590" s="469">
        <v>97.141872284066281</v>
      </c>
      <c r="K590" s="469">
        <v>17101.629843029277</v>
      </c>
      <c r="L590" s="470" t="s">
        <v>2342</v>
      </c>
    </row>
    <row r="591" spans="1:12">
      <c r="A591" s="472"/>
      <c r="B591" s="473"/>
      <c r="C591" s="473"/>
      <c r="D591" s="471"/>
      <c r="E591" s="471"/>
      <c r="F591" s="471"/>
      <c r="G591" s="471"/>
      <c r="H591" s="471"/>
      <c r="I591" s="469">
        <v>977.92085704727322</v>
      </c>
      <c r="J591" s="469">
        <v>68.575654456813254</v>
      </c>
      <c r="K591" s="469">
        <v>19558.417140945465</v>
      </c>
      <c r="L591" s="470" t="s">
        <v>2343</v>
      </c>
    </row>
    <row r="592" spans="1:12">
      <c r="A592" s="472"/>
      <c r="B592" s="474"/>
      <c r="C592" s="474"/>
      <c r="D592" s="471"/>
      <c r="E592" s="471"/>
      <c r="F592" s="471"/>
      <c r="G592" s="471"/>
      <c r="H592" s="471"/>
      <c r="I592" s="469">
        <v>990.53701115121714</v>
      </c>
      <c r="J592" s="469">
        <v>69.513875329958296</v>
      </c>
      <c r="K592" s="469">
        <v>19810.740223024346</v>
      </c>
      <c r="L592" s="470" t="s">
        <v>2344</v>
      </c>
    </row>
    <row r="593" spans="1:12">
      <c r="A593" s="472"/>
      <c r="B593" s="473"/>
      <c r="C593" s="473"/>
      <c r="D593" s="471"/>
      <c r="E593" s="471"/>
      <c r="F593" s="471"/>
      <c r="G593" s="471"/>
      <c r="H593" s="471"/>
      <c r="I593" s="469">
        <v>1009.2660730156449</v>
      </c>
      <c r="J593" s="469">
        <v>92.362681678089501</v>
      </c>
      <c r="K593" s="469">
        <v>16148.257168250317</v>
      </c>
      <c r="L593" s="470" t="s">
        <v>2345</v>
      </c>
    </row>
    <row r="594" spans="1:12">
      <c r="A594" s="472"/>
      <c r="B594" s="473"/>
      <c r="C594" s="473"/>
      <c r="D594" s="471"/>
      <c r="E594" s="471"/>
      <c r="F594" s="471"/>
      <c r="G594" s="471"/>
      <c r="H594" s="471"/>
      <c r="I594" s="469">
        <v>1010.6321806102019</v>
      </c>
      <c r="J594" s="469">
        <v>66.920930110018745</v>
      </c>
      <c r="K594" s="469">
        <v>20212.643612204036</v>
      </c>
      <c r="L594" s="470" t="s">
        <v>2346</v>
      </c>
    </row>
    <row r="595" spans="1:12">
      <c r="A595" s="472"/>
      <c r="B595" s="473"/>
      <c r="C595" s="473"/>
      <c r="D595" s="471"/>
      <c r="E595" s="471"/>
      <c r="F595" s="471"/>
      <c r="G595" s="471"/>
      <c r="H595" s="471"/>
      <c r="I595" s="469">
        <v>1041.1012277539039</v>
      </c>
      <c r="J595" s="469">
        <v>95.80429869584367</v>
      </c>
      <c r="K595" s="469">
        <v>16657.619644062463</v>
      </c>
      <c r="L595" s="470" t="s">
        <v>2347</v>
      </c>
    </row>
    <row r="596" spans="1:12">
      <c r="A596" s="472"/>
      <c r="B596" s="473"/>
      <c r="C596" s="473"/>
      <c r="D596" s="471"/>
      <c r="E596" s="471"/>
      <c r="F596" s="471"/>
      <c r="G596" s="471"/>
      <c r="H596" s="471"/>
      <c r="I596" s="469">
        <v>1041.1110546978268</v>
      </c>
      <c r="J596" s="469">
        <v>108.93632298327026</v>
      </c>
      <c r="K596" s="469">
        <v>15616.665820467404</v>
      </c>
      <c r="L596" s="470" t="s">
        <v>2348</v>
      </c>
    </row>
    <row r="597" spans="1:12">
      <c r="A597" s="472"/>
      <c r="B597" s="473"/>
      <c r="C597" s="473"/>
      <c r="D597" s="471"/>
      <c r="E597" s="471"/>
      <c r="F597" s="471"/>
      <c r="G597" s="471"/>
      <c r="H597" s="471"/>
      <c r="I597" s="469">
        <v>1065.6486619248385</v>
      </c>
      <c r="J597" s="469">
        <v>108.93632298327026</v>
      </c>
      <c r="K597" s="469">
        <v>18648.851583684671</v>
      </c>
      <c r="L597" s="470" t="s">
        <v>2349</v>
      </c>
    </row>
    <row r="598" spans="1:12">
      <c r="A598" s="472"/>
      <c r="B598" s="473"/>
      <c r="C598" s="473"/>
      <c r="D598" s="471"/>
      <c r="E598" s="471"/>
      <c r="F598" s="471"/>
      <c r="G598" s="471"/>
      <c r="H598" s="471"/>
      <c r="I598" s="469">
        <v>1102.4062189788124</v>
      </c>
      <c r="J598" s="469">
        <v>77.905344596654061</v>
      </c>
      <c r="K598" s="469">
        <v>22048.124379576249</v>
      </c>
      <c r="L598" s="470" t="s">
        <v>2350</v>
      </c>
    </row>
    <row r="599" spans="1:12">
      <c r="A599" s="472"/>
      <c r="B599" s="473"/>
      <c r="C599" s="473"/>
      <c r="D599" s="471"/>
      <c r="E599" s="471"/>
      <c r="F599" s="471"/>
      <c r="G599" s="471"/>
      <c r="H599" s="471"/>
      <c r="I599" s="469">
        <v>1113.0780237139395</v>
      </c>
      <c r="J599" s="469">
        <v>74.070654456813259</v>
      </c>
      <c r="K599" s="469">
        <v>22261.560474278791</v>
      </c>
      <c r="L599" s="470" t="s">
        <v>2351</v>
      </c>
    </row>
    <row r="600" spans="1:12">
      <c r="A600" s="472"/>
      <c r="B600" s="473"/>
      <c r="C600" s="473"/>
      <c r="D600" s="471"/>
      <c r="E600" s="471"/>
      <c r="F600" s="471"/>
      <c r="G600" s="471"/>
      <c r="H600" s="471"/>
      <c r="I600" s="469">
        <v>1118.6576815649066</v>
      </c>
      <c r="J600" s="469">
        <v>120.21003377570142</v>
      </c>
      <c r="K600" s="469">
        <v>16779.8652234736</v>
      </c>
      <c r="L600" s="470" t="s">
        <v>2352</v>
      </c>
    </row>
    <row r="601" spans="1:12">
      <c r="A601" s="472"/>
      <c r="B601" s="473"/>
      <c r="C601" s="473"/>
      <c r="D601" s="471"/>
      <c r="E601" s="471"/>
      <c r="F601" s="471"/>
      <c r="G601" s="471"/>
      <c r="H601" s="471"/>
      <c r="I601" s="469">
        <v>1127.5556629845501</v>
      </c>
      <c r="J601" s="469">
        <v>75.087375329958292</v>
      </c>
      <c r="K601" s="469">
        <v>22551.113259690999</v>
      </c>
      <c r="L601" s="470" t="s">
        <v>2353</v>
      </c>
    </row>
    <row r="602" spans="1:12">
      <c r="A602" s="472"/>
      <c r="B602" s="473"/>
      <c r="C602" s="473"/>
      <c r="D602" s="471"/>
      <c r="E602" s="471"/>
      <c r="F602" s="471"/>
      <c r="G602" s="471"/>
      <c r="H602" s="471"/>
      <c r="I602" s="469">
        <v>1131.9306084354741</v>
      </c>
      <c r="J602" s="469">
        <v>105.93387228406627</v>
      </c>
      <c r="K602" s="469">
        <v>18110.889734967583</v>
      </c>
      <c r="L602" s="470" t="s">
        <v>2354</v>
      </c>
    </row>
    <row r="603" spans="1:12">
      <c r="A603" s="472"/>
      <c r="B603" s="474"/>
      <c r="C603" s="474"/>
      <c r="D603" s="471"/>
      <c r="E603" s="471"/>
      <c r="F603" s="471"/>
      <c r="G603" s="471"/>
      <c r="H603" s="471"/>
      <c r="I603" s="469">
        <v>1141.9985101189136</v>
      </c>
      <c r="J603" s="469">
        <v>120.21003377570142</v>
      </c>
      <c r="K603" s="469">
        <v>19984.973927080988</v>
      </c>
      <c r="L603" s="470" t="s">
        <v>2355</v>
      </c>
    </row>
    <row r="604" spans="1:12">
      <c r="A604" s="472"/>
      <c r="B604" s="473"/>
      <c r="C604" s="473"/>
      <c r="D604" s="471"/>
      <c r="E604" s="471"/>
      <c r="F604" s="471"/>
      <c r="G604" s="471"/>
      <c r="H604" s="471"/>
      <c r="I604" s="469">
        <v>1150.1327269101503</v>
      </c>
      <c r="J604" s="469">
        <v>88.364600932271955</v>
      </c>
      <c r="K604" s="469">
        <v>23002.654538203005</v>
      </c>
      <c r="L604" s="470" t="s">
        <v>2356</v>
      </c>
    </row>
    <row r="605" spans="1:12">
      <c r="A605" s="472"/>
      <c r="B605" s="474"/>
      <c r="C605" s="474"/>
      <c r="D605" s="471"/>
      <c r="E605" s="471"/>
      <c r="F605" s="471"/>
      <c r="G605" s="471"/>
      <c r="H605" s="471"/>
      <c r="I605" s="469">
        <v>1157.9963755540377</v>
      </c>
      <c r="J605" s="469">
        <v>88.364600932271955</v>
      </c>
      <c r="K605" s="469">
        <v>26054.918449965848</v>
      </c>
      <c r="L605" s="470" t="s">
        <v>2357</v>
      </c>
    </row>
    <row r="606" spans="1:12">
      <c r="A606" s="472"/>
      <c r="B606" s="474"/>
      <c r="C606" s="474"/>
      <c r="D606" s="471"/>
      <c r="E606" s="471"/>
      <c r="F606" s="471"/>
      <c r="G606" s="471"/>
      <c r="H606" s="471"/>
      <c r="I606" s="469">
        <v>1174.5069815930835</v>
      </c>
      <c r="J606" s="469">
        <v>74.070654456813259</v>
      </c>
      <c r="K606" s="469">
        <v>29362.67453982709</v>
      </c>
      <c r="L606" s="470" t="s">
        <v>2358</v>
      </c>
    </row>
    <row r="607" spans="1:12">
      <c r="A607" s="472"/>
      <c r="B607" s="474"/>
      <c r="C607" s="474"/>
      <c r="D607" s="471"/>
      <c r="E607" s="471"/>
      <c r="F607" s="471"/>
      <c r="G607" s="471"/>
      <c r="H607" s="471"/>
      <c r="I607" s="469">
        <v>1189.7356742216368</v>
      </c>
      <c r="J607" s="469">
        <v>75.087375329958292</v>
      </c>
      <c r="K607" s="469">
        <v>29743.391855540918</v>
      </c>
      <c r="L607" s="470" t="s">
        <v>2359</v>
      </c>
    </row>
    <row r="608" spans="1:12">
      <c r="A608" s="472"/>
      <c r="B608" s="473"/>
      <c r="C608" s="473"/>
      <c r="D608" s="471"/>
      <c r="E608" s="471"/>
      <c r="F608" s="471"/>
      <c r="G608" s="471"/>
      <c r="H608" s="471"/>
      <c r="I608" s="469">
        <v>1242.2790133420028</v>
      </c>
      <c r="J608" s="469">
        <v>118.98432298327025</v>
      </c>
      <c r="K608" s="469">
        <v>19876.464213472049</v>
      </c>
      <c r="L608" s="470" t="s">
        <v>2360</v>
      </c>
    </row>
    <row r="609" spans="1:12">
      <c r="A609" s="472"/>
      <c r="B609" s="474"/>
      <c r="C609" s="474"/>
      <c r="D609" s="471"/>
      <c r="E609" s="471"/>
      <c r="F609" s="471"/>
      <c r="G609" s="471"/>
      <c r="H609" s="471"/>
      <c r="I609" s="469">
        <v>1256.0915523121462</v>
      </c>
      <c r="J609" s="469">
        <v>84.185344596654062</v>
      </c>
      <c r="K609" s="469">
        <v>25121.831046242922</v>
      </c>
      <c r="L609" s="470" t="s">
        <v>2361</v>
      </c>
    </row>
    <row r="610" spans="1:12">
      <c r="A610" s="472"/>
      <c r="B610" s="474"/>
      <c r="C610" s="474"/>
      <c r="D610" s="471"/>
      <c r="E610" s="471"/>
      <c r="F610" s="471"/>
      <c r="G610" s="471"/>
      <c r="H610" s="471"/>
      <c r="I610" s="469">
        <v>1272.8308586096612</v>
      </c>
      <c r="J610" s="469">
        <v>73.501842251713427</v>
      </c>
      <c r="K610" s="469">
        <v>28638.694318717371</v>
      </c>
      <c r="L610" s="470" t="s">
        <v>2362</v>
      </c>
    </row>
    <row r="611" spans="1:12">
      <c r="A611" s="472"/>
      <c r="B611" s="473"/>
      <c r="C611" s="473"/>
      <c r="D611" s="471"/>
      <c r="E611" s="471"/>
      <c r="F611" s="471"/>
      <c r="G611" s="471"/>
      <c r="H611" s="471"/>
      <c r="I611" s="469">
        <v>1312.420988942192</v>
      </c>
      <c r="J611" s="469">
        <v>103.66668167808952</v>
      </c>
      <c r="K611" s="469">
        <v>26248.41977884384</v>
      </c>
      <c r="L611" s="470" t="s">
        <v>2363</v>
      </c>
    </row>
    <row r="612" spans="1:12">
      <c r="A612" s="472"/>
      <c r="B612" s="473"/>
      <c r="C612" s="473"/>
      <c r="D612" s="471"/>
      <c r="E612" s="471"/>
      <c r="F612" s="471"/>
      <c r="G612" s="471"/>
      <c r="H612" s="471"/>
      <c r="I612" s="469">
        <v>1316.5807889304351</v>
      </c>
      <c r="J612" s="469">
        <v>103.66668167808952</v>
      </c>
      <c r="K612" s="469">
        <v>29623.067750934792</v>
      </c>
      <c r="L612" s="470" t="s">
        <v>2364</v>
      </c>
    </row>
    <row r="613" spans="1:12">
      <c r="A613" s="472"/>
      <c r="B613" s="474"/>
      <c r="C613" s="474"/>
      <c r="D613" s="471"/>
      <c r="E613" s="471"/>
      <c r="F613" s="471"/>
      <c r="G613" s="471"/>
      <c r="H613" s="471"/>
      <c r="I613" s="469">
        <v>1324.7969391813613</v>
      </c>
      <c r="J613" s="469">
        <v>76.811930110018736</v>
      </c>
      <c r="K613" s="469">
        <v>29807.931131580626</v>
      </c>
      <c r="L613" s="470" t="s">
        <v>2365</v>
      </c>
    </row>
    <row r="614" spans="1:12">
      <c r="A614" s="472"/>
      <c r="B614" s="474"/>
      <c r="C614" s="474"/>
      <c r="D614" s="471"/>
      <c r="E614" s="471"/>
      <c r="F614" s="471"/>
      <c r="G614" s="471"/>
      <c r="H614" s="471"/>
      <c r="I614" s="469">
        <v>1324.8674215005406</v>
      </c>
      <c r="J614" s="469">
        <v>84.185344596654062</v>
      </c>
      <c r="K614" s="469">
        <v>33121.685537513513</v>
      </c>
      <c r="L614" s="470" t="s">
        <v>2366</v>
      </c>
    </row>
    <row r="615" spans="1:12">
      <c r="A615" s="472"/>
      <c r="B615" s="473"/>
      <c r="C615" s="473"/>
      <c r="D615" s="471"/>
      <c r="E615" s="471"/>
      <c r="F615" s="471"/>
      <c r="G615" s="471"/>
      <c r="H615" s="471"/>
      <c r="I615" s="469">
        <v>1340.2993935768166</v>
      </c>
      <c r="J615" s="469">
        <v>96.214600932271949</v>
      </c>
      <c r="K615" s="469">
        <v>26805.98787153633</v>
      </c>
      <c r="L615" s="470" t="s">
        <v>2367</v>
      </c>
    </row>
    <row r="616" spans="1:12">
      <c r="A616" s="472"/>
      <c r="B616" s="474"/>
      <c r="C616" s="474"/>
      <c r="D616" s="471"/>
      <c r="E616" s="471"/>
      <c r="F616" s="471"/>
      <c r="G616" s="471"/>
      <c r="H616" s="471"/>
      <c r="I616" s="469">
        <v>1340.5750002146449</v>
      </c>
      <c r="J616" s="469">
        <v>131.51403377570142</v>
      </c>
      <c r="K616" s="469">
        <v>21449.200003434318</v>
      </c>
      <c r="L616" s="470" t="s">
        <v>2368</v>
      </c>
    </row>
    <row r="617" spans="1:12">
      <c r="A617" s="472"/>
      <c r="B617" s="473"/>
      <c r="C617" s="473"/>
      <c r="D617" s="471"/>
      <c r="E617" s="471"/>
      <c r="F617" s="471"/>
      <c r="G617" s="471"/>
      <c r="H617" s="471"/>
      <c r="I617" s="469">
        <v>1355.0248217249602</v>
      </c>
      <c r="J617" s="469">
        <v>107.57929869584366</v>
      </c>
      <c r="K617" s="469">
        <v>27100.496434499204</v>
      </c>
      <c r="L617" s="470" t="s">
        <v>2369</v>
      </c>
    </row>
    <row r="618" spans="1:12">
      <c r="A618" s="472"/>
      <c r="B618" s="473"/>
      <c r="C618" s="473"/>
      <c r="D618" s="471"/>
      <c r="E618" s="471"/>
      <c r="F618" s="471"/>
      <c r="G618" s="471"/>
      <c r="H618" s="471"/>
      <c r="I618" s="469">
        <v>1358.6526275943309</v>
      </c>
      <c r="J618" s="469">
        <v>107.57929869584366</v>
      </c>
      <c r="K618" s="469">
        <v>30569.684120872436</v>
      </c>
      <c r="L618" s="470" t="s">
        <v>2370</v>
      </c>
    </row>
    <row r="619" spans="1:12">
      <c r="A619" s="472"/>
      <c r="B619" s="473"/>
      <c r="C619" s="473"/>
      <c r="D619" s="471"/>
      <c r="E619" s="471"/>
      <c r="F619" s="471"/>
      <c r="G619" s="471"/>
      <c r="H619" s="471"/>
      <c r="I619" s="469">
        <v>1460.7519850539172</v>
      </c>
      <c r="J619" s="469">
        <v>85.060654456813239</v>
      </c>
      <c r="K619" s="469">
        <v>32866.919663713139</v>
      </c>
      <c r="L619" s="470" t="s">
        <v>2371</v>
      </c>
    </row>
    <row r="620" spans="1:12">
      <c r="A620" s="472"/>
      <c r="B620" s="474"/>
      <c r="C620" s="474"/>
      <c r="D620" s="471"/>
      <c r="E620" s="471"/>
      <c r="F620" s="471"/>
      <c r="G620" s="471"/>
      <c r="H620" s="471"/>
      <c r="I620" s="469">
        <v>1477.2547496036391</v>
      </c>
      <c r="J620" s="469">
        <v>119.12187228406628</v>
      </c>
      <c r="K620" s="469">
        <v>29545.094992072783</v>
      </c>
      <c r="L620" s="470" t="s">
        <v>2372</v>
      </c>
    </row>
    <row r="621" spans="1:12">
      <c r="A621" s="472"/>
      <c r="B621" s="474"/>
      <c r="C621" s="474"/>
      <c r="D621" s="471"/>
      <c r="E621" s="471"/>
      <c r="F621" s="471"/>
      <c r="G621" s="471"/>
      <c r="H621" s="471"/>
      <c r="I621" s="469">
        <v>1478.938307015454</v>
      </c>
      <c r="J621" s="469">
        <v>119.12187228406628</v>
      </c>
      <c r="K621" s="469">
        <v>33276.111907847713</v>
      </c>
      <c r="L621" s="470" t="s">
        <v>2373</v>
      </c>
    </row>
    <row r="622" spans="1:12">
      <c r="A622" s="472"/>
      <c r="B622" s="473"/>
      <c r="C622" s="473"/>
      <c r="D622" s="471"/>
      <c r="E622" s="471"/>
      <c r="F622" s="471"/>
      <c r="G622" s="471"/>
      <c r="H622" s="471"/>
      <c r="I622" s="469">
        <v>1479.9938537569976</v>
      </c>
      <c r="J622" s="469">
        <v>86.234375329958297</v>
      </c>
      <c r="K622" s="469">
        <v>33299.861709532437</v>
      </c>
      <c r="L622" s="470" t="s">
        <v>2374</v>
      </c>
    </row>
    <row r="623" spans="1:12">
      <c r="A623" s="472"/>
      <c r="B623" s="473"/>
      <c r="C623" s="473"/>
      <c r="D623" s="471"/>
      <c r="E623" s="471"/>
      <c r="F623" s="471"/>
      <c r="G623" s="471"/>
      <c r="H623" s="471"/>
      <c r="I623" s="469">
        <v>1514.7984482597506</v>
      </c>
      <c r="J623" s="469">
        <v>85.060654456813239</v>
      </c>
      <c r="K623" s="469">
        <v>37869.961206493768</v>
      </c>
      <c r="L623" s="470" t="s">
        <v>2375</v>
      </c>
    </row>
    <row r="624" spans="1:12">
      <c r="A624" s="472"/>
      <c r="B624" s="474"/>
      <c r="C624" s="474"/>
      <c r="D624" s="471"/>
      <c r="E624" s="471"/>
      <c r="F624" s="471"/>
      <c r="G624" s="471"/>
      <c r="H624" s="471"/>
      <c r="I624" s="469">
        <v>1530.4660602434835</v>
      </c>
      <c r="J624" s="469">
        <v>104.06460093227196</v>
      </c>
      <c r="K624" s="469">
        <v>30609.32120486967</v>
      </c>
      <c r="L624" s="470" t="s">
        <v>2376</v>
      </c>
    </row>
    <row r="625" spans="1:12">
      <c r="A625" s="472"/>
      <c r="B625" s="474"/>
      <c r="C625" s="474"/>
      <c r="D625" s="471"/>
      <c r="E625" s="471"/>
      <c r="F625" s="471"/>
      <c r="G625" s="471"/>
      <c r="H625" s="471"/>
      <c r="I625" s="469">
        <v>1534.7491171549691</v>
      </c>
      <c r="J625" s="469">
        <v>86.234375329958297</v>
      </c>
      <c r="K625" s="469">
        <v>38368.727928874228</v>
      </c>
      <c r="L625" s="470" t="s">
        <v>2377</v>
      </c>
    </row>
    <row r="626" spans="1:12">
      <c r="A626" s="472"/>
      <c r="B626" s="473"/>
      <c r="C626" s="473"/>
      <c r="D626" s="471"/>
      <c r="E626" s="471"/>
      <c r="F626" s="471"/>
      <c r="G626" s="471"/>
      <c r="H626" s="471"/>
      <c r="I626" s="469">
        <v>1538.3089889421913</v>
      </c>
      <c r="J626" s="469">
        <v>113.08668167808952</v>
      </c>
      <c r="K626" s="469">
        <v>30766.179778843827</v>
      </c>
      <c r="L626" s="470" t="s">
        <v>2378</v>
      </c>
    </row>
    <row r="627" spans="1:12">
      <c r="A627" s="472"/>
      <c r="B627" s="473"/>
      <c r="C627" s="473"/>
      <c r="D627" s="471"/>
      <c r="E627" s="471"/>
      <c r="F627" s="471"/>
      <c r="G627" s="471"/>
      <c r="H627" s="471"/>
      <c r="I627" s="469">
        <v>1589.7253425582935</v>
      </c>
      <c r="J627" s="469">
        <v>117.39179869584366</v>
      </c>
      <c r="K627" s="469">
        <v>31794.506851165868</v>
      </c>
      <c r="L627" s="470" t="s">
        <v>2379</v>
      </c>
    </row>
    <row r="628" spans="1:12">
      <c r="A628" s="472"/>
      <c r="B628" s="474"/>
      <c r="C628" s="474"/>
      <c r="D628" s="471"/>
      <c r="E628" s="471"/>
      <c r="F628" s="471"/>
      <c r="G628" s="471"/>
      <c r="H628" s="471"/>
      <c r="I628" s="469">
        <v>1612.8371464429936</v>
      </c>
      <c r="J628" s="469">
        <v>104.06460093227196</v>
      </c>
      <c r="K628" s="469">
        <v>40320.928661074839</v>
      </c>
      <c r="L628" s="470" t="s">
        <v>2380</v>
      </c>
    </row>
    <row r="629" spans="1:12">
      <c r="A629" s="472"/>
      <c r="B629" s="473"/>
      <c r="C629" s="473"/>
      <c r="D629" s="471"/>
      <c r="E629" s="471"/>
      <c r="F629" s="471"/>
      <c r="G629" s="471"/>
      <c r="H629" s="471"/>
      <c r="I629" s="469">
        <v>1625.6219666892875</v>
      </c>
      <c r="J629" s="469">
        <v>134.05632298327026</v>
      </c>
      <c r="K629" s="469">
        <v>36576.494250508964</v>
      </c>
      <c r="L629" s="470" t="s">
        <v>2381</v>
      </c>
    </row>
    <row r="630" spans="1:12">
      <c r="A630" s="472"/>
      <c r="B630" s="473"/>
      <c r="C630" s="473"/>
      <c r="D630" s="471"/>
      <c r="E630" s="471"/>
      <c r="F630" s="471"/>
      <c r="G630" s="471"/>
      <c r="H630" s="471"/>
      <c r="I630" s="469">
        <v>1627.3499419071481</v>
      </c>
      <c r="J630" s="469">
        <v>134.05632298327026</v>
      </c>
      <c r="K630" s="469">
        <v>32546.998838142961</v>
      </c>
      <c r="L630" s="470" t="s">
        <v>2382</v>
      </c>
    </row>
    <row r="631" spans="1:12">
      <c r="A631" s="472"/>
      <c r="B631" s="473"/>
      <c r="C631" s="473"/>
      <c r="D631" s="471"/>
      <c r="E631" s="471"/>
      <c r="F631" s="471"/>
      <c r="G631" s="471"/>
      <c r="H631" s="471"/>
      <c r="I631" s="469">
        <v>1651.1513841224057</v>
      </c>
      <c r="J631" s="469">
        <v>96.745344596654064</v>
      </c>
      <c r="K631" s="469">
        <v>37150.906142754131</v>
      </c>
      <c r="L631" s="470" t="s">
        <v>2383</v>
      </c>
    </row>
    <row r="632" spans="1:12">
      <c r="A632" s="472"/>
      <c r="B632" s="473"/>
      <c r="C632" s="473"/>
      <c r="D632" s="471"/>
      <c r="E632" s="471"/>
      <c r="F632" s="471"/>
      <c r="G632" s="471"/>
      <c r="H632" s="471"/>
      <c r="I632" s="469">
        <v>1712.2039548338744</v>
      </c>
      <c r="J632" s="469">
        <v>96.745344596654064</v>
      </c>
      <c r="K632" s="469">
        <v>42805.098870846865</v>
      </c>
      <c r="L632" s="470" t="s">
        <v>2384</v>
      </c>
    </row>
    <row r="633" spans="1:12">
      <c r="A633" s="472"/>
      <c r="B633" s="473"/>
      <c r="C633" s="473"/>
      <c r="D633" s="471"/>
      <c r="E633" s="471"/>
      <c r="F633" s="471"/>
      <c r="G633" s="471"/>
      <c r="H633" s="471"/>
      <c r="I633" s="469">
        <v>1738.1120829369725</v>
      </c>
      <c r="J633" s="469">
        <v>130.11187228406629</v>
      </c>
      <c r="K633" s="469">
        <v>34762.241658739447</v>
      </c>
      <c r="L633" s="470" t="s">
        <v>2385</v>
      </c>
    </row>
    <row r="634" spans="1:12">
      <c r="A634" s="472"/>
      <c r="B634" s="473"/>
      <c r="C634" s="473"/>
      <c r="D634" s="471"/>
      <c r="E634" s="471"/>
      <c r="F634" s="471"/>
      <c r="G634" s="471"/>
      <c r="H634" s="471"/>
      <c r="I634" s="469">
        <v>1754.369240725898</v>
      </c>
      <c r="J634" s="469">
        <v>96.745344596654064</v>
      </c>
      <c r="K634" s="469">
        <v>52631.077221776941</v>
      </c>
      <c r="L634" s="470" t="s">
        <v>2386</v>
      </c>
    </row>
    <row r="635" spans="1:12">
      <c r="A635" s="472"/>
      <c r="B635" s="473"/>
      <c r="C635" s="473"/>
      <c r="D635" s="471"/>
      <c r="E635" s="471"/>
      <c r="F635" s="471"/>
      <c r="G635" s="471"/>
      <c r="H635" s="471"/>
      <c r="I635" s="469">
        <v>1756.8706165045139</v>
      </c>
      <c r="J635" s="469">
        <v>148.47003377570141</v>
      </c>
      <c r="K635" s="469">
        <v>39529.588871351567</v>
      </c>
      <c r="L635" s="470" t="s">
        <v>2387</v>
      </c>
    </row>
    <row r="636" spans="1:12">
      <c r="A636" s="472"/>
      <c r="B636" s="473"/>
      <c r="C636" s="473"/>
      <c r="D636" s="471"/>
      <c r="E636" s="471"/>
      <c r="F636" s="471"/>
      <c r="G636" s="471"/>
      <c r="H636" s="471"/>
      <c r="I636" s="469">
        <v>1762.9567571520156</v>
      </c>
      <c r="J636" s="469">
        <v>148.47003377570141</v>
      </c>
      <c r="K636" s="469">
        <v>35259.135143040308</v>
      </c>
      <c r="L636" s="470" t="s">
        <v>2388</v>
      </c>
    </row>
    <row r="637" spans="1:12">
      <c r="A637" s="472"/>
      <c r="B637" s="474"/>
      <c r="C637" s="474"/>
      <c r="D637" s="471"/>
      <c r="E637" s="471"/>
      <c r="F637" s="471"/>
      <c r="G637" s="471"/>
      <c r="H637" s="471"/>
      <c r="I637" s="469">
        <v>1764.1969889421919</v>
      </c>
      <c r="J637" s="469">
        <v>122.50668167808952</v>
      </c>
      <c r="K637" s="469">
        <v>35283.939778843836</v>
      </c>
      <c r="L637" s="470" t="s">
        <v>2389</v>
      </c>
    </row>
    <row r="638" spans="1:12">
      <c r="A638" s="472"/>
      <c r="B638" s="474"/>
      <c r="C638" s="474"/>
      <c r="D638" s="471"/>
      <c r="E638" s="471"/>
      <c r="F638" s="471"/>
      <c r="G638" s="471"/>
      <c r="H638" s="471"/>
      <c r="I638" s="469">
        <v>1824.4258633916272</v>
      </c>
      <c r="J638" s="469">
        <v>127.20429869584366</v>
      </c>
      <c r="K638" s="469">
        <v>36488.51726783254</v>
      </c>
      <c r="L638" s="470" t="s">
        <v>2390</v>
      </c>
    </row>
    <row r="639" spans="1:12">
      <c r="A639" s="472"/>
      <c r="B639" s="473"/>
      <c r="C639" s="473"/>
      <c r="D639" s="471"/>
      <c r="E639" s="471"/>
      <c r="F639" s="471"/>
      <c r="G639" s="471"/>
      <c r="H639" s="471"/>
      <c r="I639" s="469">
        <v>1852.4791624739532</v>
      </c>
      <c r="J639" s="469">
        <v>122.50668167808952</v>
      </c>
      <c r="K639" s="469">
        <v>46311.979061848833</v>
      </c>
      <c r="L639" s="470" t="s">
        <v>2391</v>
      </c>
    </row>
    <row r="640" spans="1:12">
      <c r="A640" s="472"/>
      <c r="B640" s="473"/>
      <c r="C640" s="473"/>
      <c r="D640" s="471"/>
      <c r="E640" s="471"/>
      <c r="F640" s="471"/>
      <c r="G640" s="471"/>
      <c r="H640" s="471"/>
      <c r="I640" s="469">
        <v>1855.0899149264167</v>
      </c>
      <c r="J640" s="469">
        <v>96.050654456813248</v>
      </c>
      <c r="K640" s="469">
        <v>46377.247873160413</v>
      </c>
      <c r="L640" s="470" t="s">
        <v>2392</v>
      </c>
    </row>
    <row r="641" spans="1:12">
      <c r="A641" s="472"/>
      <c r="B641" s="473"/>
      <c r="C641" s="473"/>
      <c r="D641" s="471"/>
      <c r="E641" s="471"/>
      <c r="F641" s="471"/>
      <c r="G641" s="471"/>
      <c r="H641" s="471"/>
      <c r="I641" s="469">
        <v>1872.9238261657672</v>
      </c>
      <c r="J641" s="469">
        <v>162.36300466135975</v>
      </c>
      <c r="K641" s="469">
        <v>42140.786088729765</v>
      </c>
      <c r="L641" s="470" t="s">
        <v>2393</v>
      </c>
    </row>
    <row r="642" spans="1:12">
      <c r="A642" s="472"/>
      <c r="B642" s="473"/>
      <c r="C642" s="473"/>
      <c r="D642" s="471"/>
      <c r="E642" s="471"/>
      <c r="F642" s="471"/>
      <c r="G642" s="471"/>
      <c r="H642" s="471"/>
      <c r="I642" s="469">
        <v>1879.7625600883018</v>
      </c>
      <c r="J642" s="469">
        <v>97.381375329958288</v>
      </c>
      <c r="K642" s="469">
        <v>46994.064002207539</v>
      </c>
      <c r="L642" s="470" t="s">
        <v>2394</v>
      </c>
    </row>
    <row r="643" spans="1:12">
      <c r="A643" s="472"/>
      <c r="B643" s="473"/>
      <c r="C643" s="473"/>
      <c r="D643" s="471"/>
      <c r="E643" s="471"/>
      <c r="F643" s="471"/>
      <c r="G643" s="471"/>
      <c r="H643" s="471"/>
      <c r="I643" s="469">
        <v>1884.3261979336</v>
      </c>
      <c r="J643" s="469">
        <v>162.36300466135975</v>
      </c>
      <c r="K643" s="469">
        <v>37686.523958671998</v>
      </c>
      <c r="L643" s="470" t="s">
        <v>2395</v>
      </c>
    </row>
    <row r="644" spans="1:12">
      <c r="A644" s="472"/>
      <c r="B644" s="473"/>
      <c r="C644" s="473"/>
      <c r="D644" s="471"/>
      <c r="E644" s="471"/>
      <c r="F644" s="471"/>
      <c r="G644" s="471"/>
      <c r="H644" s="471"/>
      <c r="I644" s="469">
        <v>1914.9725519262454</v>
      </c>
      <c r="J644" s="469">
        <v>127.20429869584366</v>
      </c>
      <c r="K644" s="469">
        <v>47874.313798156138</v>
      </c>
      <c r="L644" s="470" t="s">
        <v>2396</v>
      </c>
    </row>
    <row r="645" spans="1:12">
      <c r="A645" s="472"/>
      <c r="B645" s="474"/>
      <c r="C645" s="474"/>
      <c r="D645" s="471"/>
      <c r="E645" s="471"/>
      <c r="F645" s="471"/>
      <c r="G645" s="471"/>
      <c r="H645" s="471"/>
      <c r="I645" s="469">
        <v>1922.4326085738146</v>
      </c>
      <c r="J645" s="469">
        <v>146.61632298327027</v>
      </c>
      <c r="K645" s="469">
        <v>38448.652171476286</v>
      </c>
      <c r="L645" s="470" t="s">
        <v>2397</v>
      </c>
    </row>
    <row r="646" spans="1:12">
      <c r="A646" s="472"/>
      <c r="B646" s="474"/>
      <c r="C646" s="474"/>
      <c r="D646" s="471"/>
      <c r="E646" s="471"/>
      <c r="F646" s="471"/>
      <c r="G646" s="471"/>
      <c r="H646" s="471"/>
      <c r="I646" s="469">
        <v>1998.9694162703061</v>
      </c>
      <c r="J646" s="469">
        <v>141.10187228406627</v>
      </c>
      <c r="K646" s="469">
        <v>39979.388325406122</v>
      </c>
      <c r="L646" s="470" t="s">
        <v>2398</v>
      </c>
    </row>
    <row r="647" spans="1:12">
      <c r="A647" s="472"/>
      <c r="B647" s="473"/>
      <c r="C647" s="473"/>
      <c r="D647" s="471"/>
      <c r="E647" s="471"/>
      <c r="F647" s="471"/>
      <c r="G647" s="471"/>
      <c r="H647" s="471"/>
      <c r="I647" s="469">
        <v>2018.5889681466301</v>
      </c>
      <c r="J647" s="469">
        <v>119.76460093227195</v>
      </c>
      <c r="K647" s="469">
        <v>45418.251783299187</v>
      </c>
      <c r="L647" s="470" t="s">
        <v>2399</v>
      </c>
    </row>
    <row r="648" spans="1:12">
      <c r="A648" s="472"/>
      <c r="B648" s="473"/>
      <c r="C648" s="473"/>
      <c r="D648" s="471"/>
      <c r="E648" s="471"/>
      <c r="F648" s="471"/>
      <c r="G648" s="471"/>
      <c r="H648" s="471"/>
      <c r="I648" s="469">
        <v>2091.5287571520148</v>
      </c>
      <c r="J648" s="469">
        <v>162.60003377570141</v>
      </c>
      <c r="K648" s="469">
        <v>41830.575143040296</v>
      </c>
      <c r="L648" s="470" t="s">
        <v>2400</v>
      </c>
    </row>
    <row r="649" spans="1:12">
      <c r="A649" s="472"/>
      <c r="B649" s="473"/>
      <c r="C649" s="473"/>
      <c r="D649" s="471"/>
      <c r="E649" s="471"/>
      <c r="F649" s="471"/>
      <c r="G649" s="471"/>
      <c r="H649" s="471"/>
      <c r="I649" s="469">
        <v>2093.1038131096607</v>
      </c>
      <c r="J649" s="469">
        <v>119.76460093227195</v>
      </c>
      <c r="K649" s="469">
        <v>52327.595327741517</v>
      </c>
      <c r="L649" s="470" t="s">
        <v>2401</v>
      </c>
    </row>
    <row r="650" spans="1:12">
      <c r="A650" s="472"/>
      <c r="B650" s="473"/>
      <c r="C650" s="473"/>
      <c r="D650" s="471"/>
      <c r="E650" s="471"/>
      <c r="F650" s="471"/>
      <c r="G650" s="471"/>
      <c r="H650" s="471"/>
      <c r="I650" s="469">
        <v>2095.6106902808292</v>
      </c>
      <c r="J650" s="469">
        <v>141.10187228406627</v>
      </c>
      <c r="K650" s="469">
        <v>52390.267257020729</v>
      </c>
      <c r="L650" s="470" t="s">
        <v>2402</v>
      </c>
    </row>
    <row r="651" spans="1:12">
      <c r="A651" s="472"/>
      <c r="B651" s="473"/>
      <c r="C651" s="473"/>
      <c r="D651" s="471"/>
      <c r="E651" s="471"/>
      <c r="F651" s="471"/>
      <c r="G651" s="471"/>
      <c r="H651" s="471"/>
      <c r="I651" s="469">
        <v>2099.5404881672066</v>
      </c>
      <c r="J651" s="469">
        <v>109.30534459665407</v>
      </c>
      <c r="K651" s="469">
        <v>52488.512204180166</v>
      </c>
      <c r="L651" s="470" t="s">
        <v>2403</v>
      </c>
    </row>
    <row r="652" spans="1:12">
      <c r="A652" s="472"/>
      <c r="B652" s="473"/>
      <c r="C652" s="473"/>
      <c r="D652" s="471"/>
      <c r="E652" s="471"/>
      <c r="F652" s="471"/>
      <c r="G652" s="471"/>
      <c r="H652" s="471"/>
      <c r="I652" s="469">
        <v>2142.2507104888214</v>
      </c>
      <c r="J652" s="469">
        <v>119.76460093227195</v>
      </c>
      <c r="K652" s="469">
        <v>64267.521314664635</v>
      </c>
      <c r="L652" s="470" t="s">
        <v>2404</v>
      </c>
    </row>
    <row r="653" spans="1:12">
      <c r="A653" s="472"/>
      <c r="B653" s="473"/>
      <c r="C653" s="473"/>
      <c r="D653" s="471"/>
      <c r="E653" s="471"/>
      <c r="F653" s="471"/>
      <c r="G653" s="471"/>
      <c r="H653" s="471"/>
      <c r="I653" s="469">
        <v>2217.5152752404815</v>
      </c>
      <c r="J653" s="469">
        <v>159.17632298327027</v>
      </c>
      <c r="K653" s="469">
        <v>44350.305504809621</v>
      </c>
      <c r="L653" s="470" t="s">
        <v>2405</v>
      </c>
    </row>
    <row r="654" spans="1:12">
      <c r="A654" s="472"/>
      <c r="B654" s="473"/>
      <c r="C654" s="473"/>
      <c r="D654" s="471"/>
      <c r="E654" s="471"/>
      <c r="F654" s="471"/>
      <c r="G654" s="471"/>
      <c r="H654" s="471"/>
      <c r="I654" s="469">
        <v>2221.6830185036761</v>
      </c>
      <c r="J654" s="469">
        <v>109.30534459665407</v>
      </c>
      <c r="K654" s="469">
        <v>66650.490555110286</v>
      </c>
      <c r="L654" s="470" t="s">
        <v>2406</v>
      </c>
    </row>
    <row r="655" spans="1:12">
      <c r="A655" s="472"/>
      <c r="B655" s="474"/>
      <c r="C655" s="474"/>
      <c r="D655" s="471"/>
      <c r="E655" s="471"/>
      <c r="F655" s="471"/>
      <c r="G655" s="471"/>
      <c r="H655" s="471"/>
      <c r="I655" s="469">
        <v>2245.6595312669328</v>
      </c>
      <c r="J655" s="469">
        <v>178.06300466135974</v>
      </c>
      <c r="K655" s="469">
        <v>44913.190625338662</v>
      </c>
      <c r="L655" s="470" t="s">
        <v>2407</v>
      </c>
    </row>
    <row r="656" spans="1:12">
      <c r="A656" s="472"/>
      <c r="B656" s="474"/>
      <c r="C656" s="474"/>
      <c r="D656" s="471"/>
      <c r="E656" s="471"/>
      <c r="F656" s="471"/>
      <c r="G656" s="471"/>
      <c r="H656" s="471"/>
      <c r="I656" s="469">
        <v>2320.6380461646404</v>
      </c>
      <c r="J656" s="469">
        <v>159.17632298327027</v>
      </c>
      <c r="K656" s="469">
        <v>58015.951154115995</v>
      </c>
      <c r="L656" s="470" t="s">
        <v>2408</v>
      </c>
    </row>
    <row r="657" spans="1:12">
      <c r="A657" s="472"/>
      <c r="B657" s="473"/>
      <c r="C657" s="473"/>
      <c r="D657" s="471"/>
      <c r="E657" s="471"/>
      <c r="F657" s="471"/>
      <c r="G657" s="471"/>
      <c r="H657" s="471"/>
      <c r="I657" s="469">
        <v>2340.0047889304351</v>
      </c>
      <c r="J657" s="469">
        <v>141.34668167808954</v>
      </c>
      <c r="K657" s="469">
        <v>52650.107750934789</v>
      </c>
      <c r="L657" s="470" t="s">
        <v>2409</v>
      </c>
    </row>
    <row r="658" spans="1:12">
      <c r="A658" s="472"/>
      <c r="B658" s="474"/>
      <c r="C658" s="474"/>
      <c r="D658" s="471"/>
      <c r="E658" s="471"/>
      <c r="F658" s="471"/>
      <c r="G658" s="471"/>
      <c r="H658" s="471"/>
      <c r="I658" s="469">
        <v>2420.1007571520154</v>
      </c>
      <c r="J658" s="469">
        <v>176.7300337757014</v>
      </c>
      <c r="K658" s="469">
        <v>48402.015143040313</v>
      </c>
      <c r="L658" s="470" t="s">
        <v>2410</v>
      </c>
    </row>
    <row r="659" spans="1:12">
      <c r="A659" s="472"/>
      <c r="B659" s="474"/>
      <c r="C659" s="474"/>
      <c r="D659" s="471"/>
      <c r="E659" s="471"/>
      <c r="F659" s="471"/>
      <c r="G659" s="471"/>
      <c r="H659" s="471"/>
      <c r="I659" s="469">
        <v>2422.310035001738</v>
      </c>
      <c r="J659" s="469">
        <v>146.82929869584368</v>
      </c>
      <c r="K659" s="469">
        <v>54501.975787539101</v>
      </c>
      <c r="L659" s="470" t="s">
        <v>2411</v>
      </c>
    </row>
    <row r="660" spans="1:12">
      <c r="A660" s="472"/>
      <c r="B660" s="473"/>
      <c r="C660" s="473"/>
      <c r="D660" s="471"/>
      <c r="E660" s="471"/>
      <c r="F660" s="471"/>
      <c r="G660" s="471"/>
      <c r="H660" s="471"/>
      <c r="I660" s="469">
        <v>2424.1399624739533</v>
      </c>
      <c r="J660" s="469">
        <v>141.34668167808954</v>
      </c>
      <c r="K660" s="469">
        <v>60603.49906184883</v>
      </c>
      <c r="L660" s="470" t="s">
        <v>2412</v>
      </c>
    </row>
    <row r="661" spans="1:12">
      <c r="A661" s="472"/>
      <c r="B661" s="474"/>
      <c r="C661" s="474"/>
      <c r="D661" s="471"/>
      <c r="E661" s="471"/>
      <c r="F661" s="471"/>
      <c r="G661" s="471"/>
      <c r="H661" s="471"/>
      <c r="I661" s="469">
        <v>2472.6170566715382</v>
      </c>
      <c r="J661" s="469">
        <v>141.34668167808954</v>
      </c>
      <c r="K661" s="469">
        <v>74178.511700146133</v>
      </c>
      <c r="L661" s="470" t="s">
        <v>2413</v>
      </c>
    </row>
    <row r="662" spans="1:12">
      <c r="A662" s="472"/>
      <c r="B662" s="474"/>
      <c r="C662" s="474"/>
      <c r="D662" s="471"/>
      <c r="E662" s="471"/>
      <c r="F662" s="471"/>
      <c r="G662" s="471"/>
      <c r="H662" s="471"/>
      <c r="I662" s="469">
        <v>2509.2433852595791</v>
      </c>
      <c r="J662" s="469">
        <v>146.82929869584368</v>
      </c>
      <c r="K662" s="469">
        <v>62731.084631489481</v>
      </c>
      <c r="L662" s="470" t="s">
        <v>2414</v>
      </c>
    </row>
    <row r="663" spans="1:12">
      <c r="A663" s="472"/>
      <c r="B663" s="473"/>
      <c r="C663" s="473"/>
      <c r="D663" s="471"/>
      <c r="E663" s="471"/>
      <c r="F663" s="471"/>
      <c r="G663" s="471"/>
      <c r="H663" s="471"/>
      <c r="I663" s="469">
        <v>2527.8038044805908</v>
      </c>
      <c r="J663" s="469">
        <v>176.7300337757014</v>
      </c>
      <c r="K663" s="469">
        <v>63195.095112014773</v>
      </c>
      <c r="L663" s="470" t="s">
        <v>2415</v>
      </c>
    </row>
    <row r="664" spans="1:12">
      <c r="A664" s="472"/>
      <c r="B664" s="474"/>
      <c r="C664" s="474"/>
      <c r="D664" s="471"/>
      <c r="E664" s="471"/>
      <c r="F664" s="471"/>
      <c r="G664" s="471"/>
      <c r="H664" s="471"/>
      <c r="I664" s="469">
        <v>2558.3438597373861</v>
      </c>
      <c r="J664" s="469">
        <v>146.82929869584368</v>
      </c>
      <c r="K664" s="469">
        <v>76750.315792121575</v>
      </c>
      <c r="L664" s="470" t="s">
        <v>2416</v>
      </c>
    </row>
    <row r="665" spans="1:12">
      <c r="A665" s="472"/>
      <c r="B665" s="474"/>
      <c r="C665" s="474"/>
      <c r="D665" s="471"/>
      <c r="E665" s="471"/>
      <c r="F665" s="471"/>
      <c r="G665" s="471"/>
      <c r="H665" s="471"/>
      <c r="I665" s="469">
        <v>2573.3704797763266</v>
      </c>
      <c r="J665" s="469">
        <v>135.46460093227196</v>
      </c>
      <c r="K665" s="469">
        <v>64334.261994408167</v>
      </c>
      <c r="L665" s="470" t="s">
        <v>2417</v>
      </c>
    </row>
    <row r="666" spans="1:12">
      <c r="A666" s="472"/>
      <c r="B666" s="474"/>
      <c r="C666" s="474"/>
      <c r="D666" s="471"/>
      <c r="E666" s="471"/>
      <c r="F666" s="471"/>
      <c r="G666" s="471"/>
      <c r="H666" s="471"/>
      <c r="I666" s="469">
        <v>2606.9928646002668</v>
      </c>
      <c r="J666" s="469">
        <v>193.76300466135973</v>
      </c>
      <c r="K666" s="469">
        <v>52139.857292005334</v>
      </c>
      <c r="L666" s="470" t="s">
        <v>2418</v>
      </c>
    </row>
    <row r="667" spans="1:12">
      <c r="A667" s="472"/>
      <c r="B667" s="473"/>
      <c r="C667" s="473"/>
      <c r="D667" s="471"/>
      <c r="E667" s="471"/>
      <c r="F667" s="471"/>
      <c r="G667" s="471"/>
      <c r="H667" s="471"/>
      <c r="I667" s="469">
        <v>2662.164381089528</v>
      </c>
      <c r="J667" s="469">
        <v>163.08187228406629</v>
      </c>
      <c r="K667" s="469">
        <v>59898.698574514376</v>
      </c>
      <c r="L667" s="470" t="s">
        <v>2419</v>
      </c>
    </row>
    <row r="668" spans="1:12">
      <c r="A668" s="472"/>
      <c r="B668" s="473"/>
      <c r="C668" s="473"/>
      <c r="D668" s="471"/>
      <c r="E668" s="471"/>
      <c r="F668" s="471"/>
      <c r="G668" s="471"/>
      <c r="H668" s="471"/>
      <c r="I668" s="469">
        <v>2688.996796281453</v>
      </c>
      <c r="J668" s="469">
        <v>121.86534459665407</v>
      </c>
      <c r="K668" s="469">
        <v>80669.903888443587</v>
      </c>
      <c r="L668" s="470" t="s">
        <v>2420</v>
      </c>
    </row>
    <row r="669" spans="1:12">
      <c r="A669" s="472"/>
      <c r="B669" s="473"/>
      <c r="C669" s="473"/>
      <c r="D669" s="471"/>
      <c r="E669" s="471"/>
      <c r="F669" s="471"/>
      <c r="G669" s="471"/>
      <c r="H669" s="471"/>
      <c r="I669" s="469">
        <v>2717.351188620733</v>
      </c>
      <c r="J669" s="469">
        <v>193.76300466135973</v>
      </c>
      <c r="K669" s="469">
        <v>67933.779715518322</v>
      </c>
      <c r="L669" s="470" t="s">
        <v>2421</v>
      </c>
    </row>
    <row r="670" spans="1:12">
      <c r="A670" s="472"/>
      <c r="B670" s="473"/>
      <c r="C670" s="473"/>
      <c r="D670" s="471"/>
      <c r="E670" s="471"/>
      <c r="F670" s="471"/>
      <c r="G670" s="471"/>
      <c r="H670" s="471"/>
      <c r="I670" s="469">
        <v>2722.4729327110445</v>
      </c>
      <c r="J670" s="469">
        <v>135.46460093227196</v>
      </c>
      <c r="K670" s="469">
        <v>81674.187981331343</v>
      </c>
      <c r="L670" s="470" t="s">
        <v>2422</v>
      </c>
    </row>
    <row r="671" spans="1:12">
      <c r="A671" s="472"/>
      <c r="B671" s="473"/>
      <c r="C671" s="473"/>
      <c r="D671" s="471"/>
      <c r="E671" s="471"/>
      <c r="F671" s="471"/>
      <c r="G671" s="471"/>
      <c r="H671" s="471"/>
      <c r="I671" s="469">
        <v>2757.1424236141629</v>
      </c>
      <c r="J671" s="469">
        <v>163.08187228406629</v>
      </c>
      <c r="K671" s="469">
        <v>68928.560590354071</v>
      </c>
      <c r="L671" s="470" t="s">
        <v>2423</v>
      </c>
    </row>
    <row r="672" spans="1:12">
      <c r="A672" s="472"/>
      <c r="B672" s="474"/>
      <c r="C672" s="474"/>
      <c r="D672" s="471"/>
      <c r="E672" s="471"/>
      <c r="F672" s="471"/>
      <c r="G672" s="471"/>
      <c r="H672" s="471"/>
      <c r="I672" s="469">
        <v>2807.4273307409226</v>
      </c>
      <c r="J672" s="469">
        <v>163.08187228406629</v>
      </c>
      <c r="K672" s="469">
        <v>84222.819922227674</v>
      </c>
      <c r="L672" s="470" t="s">
        <v>2424</v>
      </c>
    </row>
    <row r="673" spans="1:12">
      <c r="A673" s="472"/>
      <c r="B673" s="473"/>
      <c r="C673" s="473"/>
      <c r="D673" s="471"/>
      <c r="E673" s="471"/>
      <c r="F673" s="471"/>
      <c r="G673" s="471"/>
      <c r="H673" s="471"/>
      <c r="I673" s="469">
        <v>2965.6492259485472</v>
      </c>
      <c r="J673" s="469">
        <v>184.29632298327024</v>
      </c>
      <c r="K673" s="469">
        <v>66727.107583842313</v>
      </c>
      <c r="L673" s="470" t="s">
        <v>2425</v>
      </c>
    </row>
    <row r="674" spans="1:12">
      <c r="A674" s="472"/>
      <c r="B674" s="473"/>
      <c r="C674" s="473"/>
      <c r="D674" s="471"/>
      <c r="E674" s="471"/>
      <c r="F674" s="471"/>
      <c r="G674" s="471"/>
      <c r="H674" s="471"/>
      <c r="I674" s="469">
        <v>2995.8007624739535</v>
      </c>
      <c r="J674" s="469">
        <v>160.18668167808954</v>
      </c>
      <c r="K674" s="469">
        <v>74895.019061848827</v>
      </c>
      <c r="L674" s="470" t="s">
        <v>2426</v>
      </c>
    </row>
    <row r="675" spans="1:12">
      <c r="A675" s="472"/>
      <c r="B675" s="473"/>
      <c r="C675" s="473"/>
      <c r="D675" s="471"/>
      <c r="E675" s="471"/>
      <c r="F675" s="471"/>
      <c r="G675" s="471"/>
      <c r="H675" s="471"/>
      <c r="I675" s="469">
        <v>3070.5303128313067</v>
      </c>
      <c r="J675" s="469">
        <v>184.29632298327024</v>
      </c>
      <c r="K675" s="469">
        <v>76763.257820782674</v>
      </c>
      <c r="L675" s="470" t="s">
        <v>2427</v>
      </c>
    </row>
    <row r="676" spans="1:12">
      <c r="A676" s="472"/>
      <c r="B676" s="473"/>
      <c r="C676" s="473"/>
      <c r="D676" s="471"/>
      <c r="E676" s="471"/>
      <c r="F676" s="471"/>
      <c r="G676" s="471"/>
      <c r="H676" s="471"/>
      <c r="I676" s="469">
        <v>3103.5142185929112</v>
      </c>
      <c r="J676" s="469">
        <v>166.45429869584365</v>
      </c>
      <c r="K676" s="469">
        <v>77587.855464822787</v>
      </c>
      <c r="L676" s="470" t="s">
        <v>2428</v>
      </c>
    </row>
    <row r="677" spans="1:12">
      <c r="A677" s="472"/>
      <c r="B677" s="474"/>
      <c r="C677" s="474"/>
      <c r="D677" s="471"/>
      <c r="E677" s="471"/>
      <c r="F677" s="471"/>
      <c r="G677" s="471"/>
      <c r="H677" s="471"/>
      <c r="I677" s="469">
        <v>3120.7840922795499</v>
      </c>
      <c r="J677" s="469">
        <v>184.29632298327024</v>
      </c>
      <c r="K677" s="469">
        <v>93623.522768386509</v>
      </c>
      <c r="L677" s="470" t="s">
        <v>2429</v>
      </c>
    </row>
    <row r="678" spans="1:12">
      <c r="A678" s="472"/>
      <c r="B678" s="474"/>
      <c r="C678" s="474"/>
      <c r="D678" s="471"/>
      <c r="E678" s="471"/>
      <c r="F678" s="471"/>
      <c r="G678" s="471"/>
      <c r="H678" s="471"/>
      <c r="I678" s="469">
        <v>3164.201056671538</v>
      </c>
      <c r="J678" s="469">
        <v>160.18668167808954</v>
      </c>
      <c r="K678" s="469">
        <v>94926.031700146137</v>
      </c>
      <c r="L678" s="470" t="s">
        <v>2430</v>
      </c>
    </row>
    <row r="679" spans="1:12">
      <c r="A679" s="472"/>
      <c r="B679" s="473"/>
      <c r="C679" s="473"/>
      <c r="D679" s="471"/>
      <c r="E679" s="471"/>
      <c r="F679" s="471"/>
      <c r="G679" s="471"/>
      <c r="H679" s="471"/>
      <c r="I679" s="469">
        <v>3250.7266165045148</v>
      </c>
      <c r="J679" s="469">
        <v>204.99003377570142</v>
      </c>
      <c r="K679" s="469">
        <v>73141.348871351569</v>
      </c>
      <c r="L679" s="470" t="s">
        <v>2431</v>
      </c>
    </row>
    <row r="680" spans="1:12">
      <c r="A680" s="472"/>
      <c r="B680" s="473"/>
      <c r="C680" s="473"/>
      <c r="D680" s="471"/>
      <c r="E680" s="471"/>
      <c r="F680" s="471"/>
      <c r="G680" s="471"/>
      <c r="H680" s="471"/>
      <c r="I680" s="469">
        <v>3277.5278875151639</v>
      </c>
      <c r="J680" s="469">
        <v>166.45429869584365</v>
      </c>
      <c r="K680" s="469">
        <v>98325.836625454933</v>
      </c>
      <c r="L680" s="470" t="s">
        <v>2432</v>
      </c>
    </row>
    <row r="681" spans="1:12">
      <c r="A681" s="472"/>
      <c r="B681" s="473"/>
      <c r="C681" s="473"/>
      <c r="D681" s="471"/>
      <c r="E681" s="471"/>
      <c r="F681" s="471"/>
      <c r="G681" s="471"/>
      <c r="H681" s="471"/>
      <c r="I681" s="469">
        <v>3302.6951549332643</v>
      </c>
      <c r="J681" s="469">
        <v>151.16460093227198</v>
      </c>
      <c r="K681" s="469">
        <v>99080.854647997941</v>
      </c>
      <c r="L681" s="470" t="s">
        <v>2433</v>
      </c>
    </row>
    <row r="682" spans="1:12">
      <c r="A682" s="472"/>
      <c r="B682" s="473"/>
      <c r="C682" s="473"/>
      <c r="D682" s="471"/>
      <c r="E682" s="471"/>
      <c r="F682" s="471"/>
      <c r="G682" s="471"/>
      <c r="H682" s="471"/>
      <c r="I682" s="469">
        <v>3364.5590044805908</v>
      </c>
      <c r="J682" s="469">
        <v>204.99003377570142</v>
      </c>
      <c r="K682" s="469">
        <v>84113.97511201477</v>
      </c>
      <c r="L682" s="470" t="s">
        <v>2434</v>
      </c>
    </row>
    <row r="683" spans="1:12">
      <c r="A683" s="472"/>
      <c r="B683" s="473"/>
      <c r="C683" s="473"/>
      <c r="D683" s="471"/>
      <c r="E683" s="471"/>
      <c r="F683" s="471"/>
      <c r="G683" s="471"/>
      <c r="H683" s="471"/>
      <c r="I683" s="469">
        <v>3412.9248376798978</v>
      </c>
      <c r="J683" s="469">
        <v>204.99003377570142</v>
      </c>
      <c r="K683" s="469">
        <v>102387.74513039694</v>
      </c>
      <c r="L683" s="470" t="s">
        <v>2435</v>
      </c>
    </row>
    <row r="684" spans="1:12">
      <c r="A684" s="472"/>
      <c r="B684" s="473"/>
      <c r="C684" s="473"/>
      <c r="D684" s="471"/>
      <c r="E684" s="471"/>
      <c r="F684" s="471"/>
      <c r="G684" s="471"/>
      <c r="H684" s="471"/>
      <c r="I684" s="469">
        <v>3418.6741569474948</v>
      </c>
      <c r="J684" s="469">
        <v>185.06187228406631</v>
      </c>
      <c r="K684" s="469">
        <v>85466.853923687377</v>
      </c>
      <c r="L684" s="470" t="s">
        <v>2436</v>
      </c>
    </row>
    <row r="685" spans="1:12">
      <c r="A685" s="472"/>
      <c r="B685" s="473"/>
      <c r="C685" s="473"/>
      <c r="D685" s="471"/>
      <c r="E685" s="471"/>
      <c r="F685" s="471"/>
      <c r="G685" s="471"/>
      <c r="H685" s="471"/>
      <c r="I685" s="469">
        <v>3517.6645669065078</v>
      </c>
      <c r="J685" s="469">
        <v>225.16300466135974</v>
      </c>
      <c r="K685" s="469">
        <v>79147.452755396429</v>
      </c>
      <c r="L685" s="470" t="s">
        <v>2437</v>
      </c>
    </row>
    <row r="686" spans="1:12">
      <c r="A686" s="472"/>
      <c r="B686" s="473"/>
      <c r="C686" s="473"/>
      <c r="D686" s="471"/>
      <c r="E686" s="471"/>
      <c r="F686" s="471"/>
      <c r="G686" s="471"/>
      <c r="H686" s="471"/>
      <c r="I686" s="469">
        <v>3608.8371085186996</v>
      </c>
      <c r="J686" s="469">
        <v>185.06187228406631</v>
      </c>
      <c r="K686" s="469">
        <v>108265.11325556097</v>
      </c>
      <c r="L686" s="470" t="s">
        <v>2438</v>
      </c>
    </row>
    <row r="687" spans="1:12">
      <c r="A687" s="472"/>
      <c r="B687" s="473"/>
      <c r="C687" s="473"/>
      <c r="D687" s="471"/>
      <c r="E687" s="471"/>
      <c r="F687" s="471"/>
      <c r="G687" s="471"/>
      <c r="H687" s="471"/>
      <c r="I687" s="469">
        <v>3639.4845219540657</v>
      </c>
      <c r="J687" s="469">
        <v>225.16300466135974</v>
      </c>
      <c r="K687" s="469">
        <v>90987.11304885165</v>
      </c>
      <c r="L687" s="470" t="s">
        <v>2439</v>
      </c>
    </row>
    <row r="688" spans="1:12">
      <c r="A688" s="472"/>
      <c r="B688" s="473"/>
      <c r="C688" s="473"/>
      <c r="D688" s="471"/>
      <c r="E688" s="471"/>
      <c r="F688" s="471"/>
      <c r="G688" s="471"/>
      <c r="H688" s="471"/>
      <c r="I688" s="469">
        <v>3684.0876041984816</v>
      </c>
      <c r="J688" s="469">
        <v>225.16300466135974</v>
      </c>
      <c r="K688" s="469">
        <v>110522.62812595443</v>
      </c>
      <c r="L688" s="470" t="s">
        <v>2440</v>
      </c>
    </row>
    <row r="689" spans="1:12">
      <c r="A689" s="472"/>
      <c r="B689" s="473"/>
      <c r="C689" s="473"/>
      <c r="D689" s="471"/>
      <c r="E689" s="471"/>
      <c r="F689" s="471"/>
      <c r="G689" s="471"/>
      <c r="H689" s="471"/>
      <c r="I689" s="469">
        <v>3820.4225794979729</v>
      </c>
      <c r="J689" s="469">
        <v>209.41632298327025</v>
      </c>
      <c r="K689" s="469">
        <v>95510.56448744933</v>
      </c>
      <c r="L689" s="470" t="s">
        <v>2441</v>
      </c>
    </row>
    <row r="690" spans="1:12">
      <c r="A690" s="472"/>
      <c r="B690" s="474"/>
      <c r="C690" s="474"/>
      <c r="D690" s="471"/>
      <c r="E690" s="471"/>
      <c r="F690" s="471"/>
      <c r="G690" s="471"/>
      <c r="H690" s="471"/>
      <c r="I690" s="469">
        <v>3855.7850566715383</v>
      </c>
      <c r="J690" s="469">
        <v>179.02668167808952</v>
      </c>
      <c r="K690" s="469">
        <v>115673.55170014616</v>
      </c>
      <c r="L690" s="470" t="s">
        <v>2442</v>
      </c>
    </row>
    <row r="691" spans="1:12">
      <c r="A691" s="472"/>
      <c r="B691" s="473"/>
      <c r="C691" s="473"/>
      <c r="D691" s="471"/>
      <c r="E691" s="471"/>
      <c r="F691" s="471"/>
      <c r="G691" s="471"/>
      <c r="H691" s="471"/>
      <c r="I691" s="469">
        <v>3996.7119152929426</v>
      </c>
      <c r="J691" s="469">
        <v>186.07929869584365</v>
      </c>
      <c r="K691" s="469">
        <v>119901.35745878825</v>
      </c>
      <c r="L691" s="470" t="s">
        <v>2443</v>
      </c>
    </row>
    <row r="692" spans="1:12">
      <c r="A692" s="472"/>
      <c r="B692" s="474"/>
      <c r="C692" s="474"/>
      <c r="D692" s="471"/>
      <c r="E692" s="471"/>
      <c r="F692" s="471"/>
      <c r="G692" s="471"/>
      <c r="H692" s="471"/>
      <c r="I692" s="469">
        <v>4030.4943145017714</v>
      </c>
      <c r="J692" s="469">
        <v>209.41632298327025</v>
      </c>
      <c r="K692" s="469">
        <v>120914.82943505314</v>
      </c>
      <c r="L692" s="470" t="s">
        <v>2444</v>
      </c>
    </row>
    <row r="693" spans="1:12">
      <c r="A693" s="472"/>
      <c r="B693" s="473"/>
      <c r="C693" s="473"/>
      <c r="D693" s="471"/>
      <c r="E693" s="471"/>
      <c r="F693" s="471"/>
      <c r="G693" s="471"/>
      <c r="H693" s="471"/>
      <c r="I693" s="469">
        <v>4201.3142044805909</v>
      </c>
      <c r="J693" s="469">
        <v>233.25003377570141</v>
      </c>
      <c r="K693" s="469">
        <v>105032.85511201477</v>
      </c>
      <c r="L693" s="470" t="s">
        <v>2445</v>
      </c>
    </row>
    <row r="694" spans="1:12">
      <c r="A694" s="472"/>
      <c r="B694" s="474"/>
      <c r="C694" s="474"/>
      <c r="D694" s="471"/>
      <c r="E694" s="471"/>
      <c r="F694" s="471"/>
      <c r="G694" s="471"/>
      <c r="H694" s="471"/>
      <c r="I694" s="469">
        <v>4410.246886296477</v>
      </c>
      <c r="J694" s="469">
        <v>207.0418722840663</v>
      </c>
      <c r="K694" s="469">
        <v>132307.40658889432</v>
      </c>
      <c r="L694" s="470" t="s">
        <v>2446</v>
      </c>
    </row>
    <row r="695" spans="1:12">
      <c r="A695" s="472"/>
      <c r="B695" s="473"/>
      <c r="C695" s="473"/>
      <c r="D695" s="471"/>
      <c r="E695" s="471"/>
      <c r="F695" s="471"/>
      <c r="G695" s="471"/>
      <c r="H695" s="471"/>
      <c r="I695" s="469">
        <v>4429.420837679897</v>
      </c>
      <c r="J695" s="469">
        <v>233.25003377570141</v>
      </c>
      <c r="K695" s="469">
        <v>132882.62513039692</v>
      </c>
      <c r="L695" s="470" t="s">
        <v>2447</v>
      </c>
    </row>
    <row r="696" spans="1:12">
      <c r="A696" s="472"/>
      <c r="B696" s="473"/>
      <c r="C696" s="473"/>
      <c r="D696" s="471"/>
      <c r="E696" s="471"/>
      <c r="F696" s="471"/>
      <c r="G696" s="471"/>
      <c r="H696" s="471"/>
      <c r="I696" s="469">
        <v>4561.617855287398</v>
      </c>
      <c r="J696" s="469">
        <v>256.56300466135974</v>
      </c>
      <c r="K696" s="469">
        <v>114040.44638218496</v>
      </c>
      <c r="L696" s="470" t="s">
        <v>2448</v>
      </c>
    </row>
    <row r="697" spans="1:12">
      <c r="A697" s="472"/>
      <c r="B697" s="473"/>
      <c r="C697" s="473"/>
      <c r="D697" s="471"/>
      <c r="E697" s="471"/>
      <c r="F697" s="471"/>
      <c r="G697" s="471"/>
      <c r="H697" s="471"/>
      <c r="I697" s="469">
        <v>4805.8653819762585</v>
      </c>
      <c r="J697" s="469">
        <v>256.56300466135974</v>
      </c>
      <c r="K697" s="469">
        <v>144175.96145928773</v>
      </c>
      <c r="L697" s="470" t="s">
        <v>2449</v>
      </c>
    </row>
    <row r="698" spans="1:12">
      <c r="A698" s="472"/>
      <c r="B698" s="473"/>
      <c r="C698" s="473"/>
      <c r="D698" s="471"/>
      <c r="E698" s="471"/>
      <c r="F698" s="471"/>
      <c r="G698" s="471"/>
      <c r="H698" s="471"/>
      <c r="I698" s="469">
        <v>4940.2045367239925</v>
      </c>
      <c r="J698" s="469">
        <v>234.53632298327025</v>
      </c>
      <c r="K698" s="469">
        <v>148206.13610171978</v>
      </c>
      <c r="L698" s="470" t="s">
        <v>2450</v>
      </c>
    </row>
    <row r="699" spans="1:12">
      <c r="A699" s="472"/>
      <c r="B699" s="473"/>
      <c r="C699" s="473"/>
      <c r="D699" s="471"/>
      <c r="E699" s="471"/>
      <c r="F699" s="471"/>
      <c r="G699" s="471"/>
      <c r="H699" s="471"/>
      <c r="I699" s="469">
        <v>5445.9168376798971</v>
      </c>
      <c r="J699" s="469">
        <v>261.5100337757014</v>
      </c>
      <c r="K699" s="469">
        <v>163377.50513039692</v>
      </c>
      <c r="L699" s="470" t="s">
        <v>2451</v>
      </c>
    </row>
    <row r="700" spans="1:12">
      <c r="A700" s="472"/>
      <c r="B700" s="473"/>
      <c r="C700" s="473"/>
      <c r="D700" s="471"/>
      <c r="E700" s="471"/>
      <c r="F700" s="471"/>
      <c r="G700" s="471"/>
      <c r="H700" s="471"/>
      <c r="I700" s="469">
        <v>5927.6431597540359</v>
      </c>
      <c r="J700" s="469">
        <v>287.96300466135972</v>
      </c>
      <c r="K700" s="469">
        <v>177829.29479262108</v>
      </c>
      <c r="L700" s="470" t="s">
        <v>2452</v>
      </c>
    </row>
    <row r="701" spans="1:12">
      <c r="A701" s="475"/>
      <c r="B701" s="474"/>
      <c r="C701" s="474"/>
    </row>
    <row r="702" spans="1:12">
      <c r="A702" s="475"/>
      <c r="B702" s="474"/>
      <c r="C702" s="474"/>
    </row>
    <row r="703" spans="1:12">
      <c r="A703" s="475"/>
      <c r="B703" s="474"/>
      <c r="C703" s="474"/>
    </row>
    <row r="704" spans="1:12">
      <c r="A704" s="475"/>
      <c r="B704" s="474"/>
      <c r="C704" s="474"/>
    </row>
    <row r="705" spans="1:3">
      <c r="A705" s="40"/>
      <c r="B705" s="476"/>
      <c r="C705" s="476"/>
    </row>
    <row r="706" spans="1:3">
      <c r="A706" s="40"/>
      <c r="B706" s="476"/>
      <c r="C706" s="476"/>
    </row>
    <row r="707" spans="1:3">
      <c r="A707" s="40"/>
      <c r="B707" s="474"/>
      <c r="C707" s="474"/>
    </row>
    <row r="708" spans="1:3">
      <c r="A708" s="475"/>
      <c r="B708" s="474"/>
      <c r="C708" s="474"/>
    </row>
    <row r="709" spans="1:3">
      <c r="A709" s="40"/>
      <c r="B709" s="476"/>
      <c r="C709" s="476"/>
    </row>
    <row r="710" spans="1:3">
      <c r="A710" s="475"/>
      <c r="B710" s="474"/>
      <c r="C710" s="474"/>
    </row>
    <row r="711" spans="1:3">
      <c r="A711" s="40"/>
      <c r="B711" s="476"/>
      <c r="C711" s="476"/>
    </row>
    <row r="712" spans="1:3">
      <c r="A712" s="40"/>
      <c r="B712" s="476"/>
      <c r="C712" s="476"/>
    </row>
    <row r="713" spans="1:3">
      <c r="A713" s="475"/>
      <c r="B713" s="474"/>
      <c r="C713" s="474"/>
    </row>
    <row r="714" spans="1:3">
      <c r="A714" s="475"/>
      <c r="B714" s="474"/>
      <c r="C714" s="474"/>
    </row>
    <row r="715" spans="1:3">
      <c r="A715" s="40"/>
      <c r="B715" s="476"/>
      <c r="C715" s="476"/>
    </row>
    <row r="716" spans="1:3">
      <c r="A716" s="40"/>
      <c r="B716" s="476"/>
      <c r="C716" s="476"/>
    </row>
    <row r="717" spans="1:3">
      <c r="A717" s="475"/>
      <c r="B717" s="474"/>
      <c r="C717" s="474"/>
    </row>
    <row r="718" spans="1:3">
      <c r="A718" s="40"/>
      <c r="B718" s="474"/>
      <c r="C718" s="474"/>
    </row>
    <row r="719" spans="1:3">
      <c r="A719" s="40"/>
      <c r="B719" s="476"/>
      <c r="C719" s="476"/>
    </row>
    <row r="720" spans="1:3">
      <c r="A720" s="40"/>
      <c r="B720" s="474"/>
      <c r="C720" s="474"/>
    </row>
    <row r="721" spans="1:3">
      <c r="A721" s="40"/>
      <c r="B721" s="476"/>
      <c r="C721" s="476"/>
    </row>
    <row r="722" spans="1:3">
      <c r="A722" s="40"/>
      <c r="B722" s="476"/>
      <c r="C722" s="476"/>
    </row>
    <row r="723" spans="1:3">
      <c r="A723" s="40"/>
      <c r="B723" s="476"/>
      <c r="C723" s="476"/>
    </row>
    <row r="724" spans="1:3">
      <c r="A724" s="475"/>
      <c r="B724" s="474"/>
      <c r="C724" s="474"/>
    </row>
    <row r="725" spans="1:3">
      <c r="A725" s="475"/>
      <c r="B725" s="474"/>
      <c r="C725" s="474"/>
    </row>
    <row r="726" spans="1:3">
      <c r="A726" s="40"/>
      <c r="B726" s="476"/>
      <c r="C726" s="476"/>
    </row>
    <row r="727" spans="1:3">
      <c r="A727" s="40"/>
      <c r="B727" s="474"/>
      <c r="C727" s="474"/>
    </row>
    <row r="728" spans="1:3">
      <c r="A728" s="40"/>
      <c r="B728" s="474"/>
      <c r="C728" s="474"/>
    </row>
    <row r="729" spans="1:3">
      <c r="A729" s="40"/>
      <c r="B729" s="476"/>
      <c r="C729" s="476"/>
    </row>
    <row r="730" spans="1:3">
      <c r="A730" s="40"/>
      <c r="B730" s="476"/>
      <c r="C730" s="476"/>
    </row>
    <row r="731" spans="1:3">
      <c r="A731" s="40"/>
      <c r="B731" s="476"/>
      <c r="C731" s="476"/>
    </row>
    <row r="732" spans="1:3">
      <c r="A732" s="40"/>
      <c r="B732" s="474"/>
      <c r="C732" s="474"/>
    </row>
    <row r="733" spans="1:3">
      <c r="A733" s="40"/>
      <c r="B733" s="476"/>
      <c r="C733" s="476"/>
    </row>
    <row r="734" spans="1:3">
      <c r="A734" s="40"/>
      <c r="B734" s="476"/>
      <c r="C734" s="476"/>
    </row>
    <row r="735" spans="1:3">
      <c r="A735" s="40"/>
      <c r="B735" s="476"/>
      <c r="C735" s="476"/>
    </row>
    <row r="736" spans="1:3">
      <c r="A736" s="475"/>
      <c r="B736" s="474"/>
      <c r="C736" s="474"/>
    </row>
    <row r="737" spans="1:3">
      <c r="A737" s="40"/>
      <c r="B737" s="474"/>
      <c r="C737" s="474"/>
    </row>
    <row r="738" spans="1:3">
      <c r="A738" s="40"/>
      <c r="B738" s="476"/>
      <c r="C738" s="476"/>
    </row>
    <row r="739" spans="1:3">
      <c r="A739" s="40"/>
      <c r="B739" s="474"/>
      <c r="C739" s="474"/>
    </row>
    <row r="740" spans="1:3">
      <c r="A740" s="475"/>
      <c r="B740" s="474"/>
      <c r="C740" s="474"/>
    </row>
    <row r="741" spans="1:3">
      <c r="A741" s="40"/>
      <c r="B741" s="474"/>
      <c r="C741" s="474"/>
    </row>
    <row r="742" spans="1:3">
      <c r="A742" s="40"/>
      <c r="B742" s="476"/>
      <c r="C742" s="476"/>
    </row>
    <row r="743" spans="1:3">
      <c r="A743" s="40"/>
      <c r="B743" s="474"/>
      <c r="C743" s="474"/>
    </row>
    <row r="744" spans="1:3">
      <c r="A744" s="40"/>
      <c r="B744" s="476"/>
      <c r="C744" s="476"/>
    </row>
    <row r="745" spans="1:3">
      <c r="A745" s="475"/>
      <c r="B745" s="474"/>
      <c r="C745" s="474"/>
    </row>
    <row r="746" spans="1:3">
      <c r="A746" s="40"/>
      <c r="B746" s="476"/>
      <c r="C746" s="476"/>
    </row>
    <row r="747" spans="1:3">
      <c r="A747" s="40"/>
      <c r="B747" s="476"/>
      <c r="C747" s="476"/>
    </row>
    <row r="748" spans="1:3">
      <c r="A748" s="40"/>
      <c r="B748" s="474"/>
      <c r="C748" s="474"/>
    </row>
    <row r="749" spans="1:3">
      <c r="A749" s="40"/>
      <c r="B749" s="476"/>
      <c r="C749" s="476"/>
    </row>
    <row r="750" spans="1:3">
      <c r="A750" s="40"/>
      <c r="B750" s="476"/>
      <c r="C750" s="476"/>
    </row>
    <row r="751" spans="1:3">
      <c r="A751" s="40"/>
      <c r="B751" s="476"/>
      <c r="C751" s="476"/>
    </row>
    <row r="752" spans="1:3">
      <c r="A752" s="40"/>
      <c r="B752" s="476"/>
      <c r="C752" s="476"/>
    </row>
    <row r="753" spans="1:3">
      <c r="A753" s="40"/>
      <c r="B753" s="476"/>
      <c r="C753" s="476"/>
    </row>
    <row r="754" spans="1:3">
      <c r="A754" s="40"/>
      <c r="B754" s="476"/>
      <c r="C754" s="476"/>
    </row>
    <row r="755" spans="1:3">
      <c r="A755" s="475"/>
      <c r="B755" s="474"/>
      <c r="C755" s="474"/>
    </row>
    <row r="756" spans="1:3">
      <c r="A756" s="475"/>
      <c r="B756" s="474"/>
      <c r="C756" s="474"/>
    </row>
    <row r="757" spans="1:3">
      <c r="A757" s="475"/>
      <c r="B757" s="474"/>
      <c r="C757" s="474"/>
    </row>
    <row r="758" spans="1:3">
      <c r="A758" s="40"/>
      <c r="B758" s="476"/>
      <c r="C758" s="476"/>
    </row>
    <row r="759" spans="1:3">
      <c r="A759" s="40"/>
      <c r="B759" s="476"/>
      <c r="C759" s="476"/>
    </row>
    <row r="760" spans="1:3">
      <c r="A760" s="40"/>
      <c r="B760" s="476"/>
      <c r="C760" s="476"/>
    </row>
    <row r="761" spans="1:3">
      <c r="A761" s="40"/>
      <c r="B761" s="476"/>
      <c r="C761" s="476"/>
    </row>
    <row r="762" spans="1:3">
      <c r="A762" s="40"/>
      <c r="B762" s="476"/>
      <c r="C762" s="476"/>
    </row>
    <row r="763" spans="1:3">
      <c r="A763" s="40"/>
      <c r="B763" s="476"/>
      <c r="C763" s="476"/>
    </row>
    <row r="764" spans="1:3">
      <c r="A764" s="40"/>
      <c r="B764" s="474"/>
      <c r="C764" s="474"/>
    </row>
    <row r="765" spans="1:3">
      <c r="A765" s="40"/>
      <c r="B765" s="476"/>
      <c r="C765" s="476"/>
    </row>
    <row r="766" spans="1:3">
      <c r="A766" s="40"/>
      <c r="B766" s="476"/>
      <c r="C766" s="476"/>
    </row>
    <row r="767" spans="1:3">
      <c r="A767" s="475"/>
      <c r="B767" s="474"/>
      <c r="C767" s="474"/>
    </row>
    <row r="768" spans="1:3">
      <c r="A768" s="40"/>
      <c r="B768" s="476"/>
      <c r="C768" s="476"/>
    </row>
    <row r="769" spans="1:3">
      <c r="A769" s="475"/>
      <c r="B769" s="474"/>
      <c r="C769" s="474"/>
    </row>
    <row r="770" spans="1:3">
      <c r="A770" s="40"/>
      <c r="B770" s="476"/>
      <c r="C770" s="476"/>
    </row>
    <row r="771" spans="1:3">
      <c r="A771" s="40"/>
      <c r="B771" s="476"/>
      <c r="C771" s="476"/>
    </row>
    <row r="772" spans="1:3">
      <c r="A772" s="40"/>
      <c r="B772" s="476"/>
      <c r="C772" s="476"/>
    </row>
    <row r="773" spans="1:3">
      <c r="A773" s="40"/>
      <c r="B773" s="474"/>
      <c r="C773" s="474"/>
    </row>
    <row r="774" spans="1:3">
      <c r="A774" s="475"/>
      <c r="B774" s="474"/>
      <c r="C774" s="474"/>
    </row>
    <row r="775" spans="1:3">
      <c r="A775" s="40"/>
      <c r="B775" s="476"/>
      <c r="C775" s="476"/>
    </row>
    <row r="776" spans="1:3">
      <c r="A776" s="40"/>
      <c r="B776" s="476"/>
      <c r="C776" s="476"/>
    </row>
    <row r="777" spans="1:3">
      <c r="A777" s="40"/>
      <c r="B777" s="476"/>
      <c r="C777" s="476"/>
    </row>
    <row r="778" spans="1:3">
      <c r="A778" s="40"/>
      <c r="B778" s="474"/>
      <c r="C778" s="474"/>
    </row>
    <row r="779" spans="1:3">
      <c r="A779" s="475"/>
      <c r="B779" s="474"/>
      <c r="C779" s="474"/>
    </row>
    <row r="780" spans="1:3">
      <c r="A780" s="40"/>
      <c r="B780" s="476"/>
      <c r="C780" s="476"/>
    </row>
    <row r="781" spans="1:3">
      <c r="A781" s="40"/>
      <c r="B781" s="476"/>
      <c r="C781" s="476"/>
    </row>
    <row r="782" spans="1:3">
      <c r="A782" s="475"/>
      <c r="B782" s="474"/>
      <c r="C782" s="474"/>
    </row>
    <row r="783" spans="1:3">
      <c r="A783" s="40"/>
      <c r="B783" s="476"/>
      <c r="C783" s="476"/>
    </row>
    <row r="784" spans="1:3">
      <c r="A784" s="475"/>
      <c r="B784" s="474"/>
      <c r="C784" s="474"/>
    </row>
    <row r="785" spans="1:3">
      <c r="A785" s="475"/>
      <c r="B785" s="474"/>
      <c r="C785" s="474"/>
    </row>
    <row r="786" spans="1:3">
      <c r="A786" s="40"/>
      <c r="B786" s="474"/>
      <c r="C786" s="474"/>
    </row>
    <row r="787" spans="1:3">
      <c r="A787" s="40"/>
      <c r="B787" s="476"/>
      <c r="C787" s="476"/>
    </row>
    <row r="788" spans="1:3">
      <c r="A788" s="40"/>
      <c r="B788" s="476"/>
      <c r="C788" s="476"/>
    </row>
    <row r="789" spans="1:3">
      <c r="A789" s="40"/>
      <c r="B789" s="476"/>
      <c r="C789" s="476"/>
    </row>
    <row r="790" spans="1:3">
      <c r="A790" s="40"/>
      <c r="B790" s="474"/>
      <c r="C790" s="474"/>
    </row>
    <row r="791" spans="1:3">
      <c r="A791" s="40"/>
      <c r="B791" s="476"/>
      <c r="C791" s="476"/>
    </row>
    <row r="792" spans="1:3">
      <c r="A792" s="40"/>
      <c r="B792" s="474"/>
      <c r="C792" s="474"/>
    </row>
    <row r="793" spans="1:3">
      <c r="A793" s="40"/>
      <c r="B793" s="476"/>
      <c r="C793" s="476"/>
    </row>
    <row r="794" spans="1:3">
      <c r="A794" s="40"/>
      <c r="B794" s="476"/>
      <c r="C794" s="476"/>
    </row>
    <row r="795" spans="1:3">
      <c r="A795" s="40"/>
      <c r="B795" s="476"/>
      <c r="C795" s="476"/>
    </row>
    <row r="796" spans="1:3">
      <c r="A796" s="40"/>
      <c r="B796" s="474"/>
      <c r="C796" s="474"/>
    </row>
    <row r="797" spans="1:3">
      <c r="A797" s="40"/>
      <c r="B797" s="476"/>
      <c r="C797" s="476"/>
    </row>
    <row r="798" spans="1:3">
      <c r="A798" s="475"/>
      <c r="B798" s="474"/>
      <c r="C798" s="474"/>
    </row>
    <row r="799" spans="1:3">
      <c r="A799" s="475"/>
      <c r="B799" s="474"/>
      <c r="C799" s="474"/>
    </row>
    <row r="800" spans="1:3">
      <c r="A800" s="40"/>
      <c r="B800" s="474"/>
      <c r="C800" s="474"/>
    </row>
    <row r="801" spans="1:3">
      <c r="A801" s="40"/>
      <c r="B801" s="474"/>
      <c r="C801" s="474"/>
    </row>
    <row r="802" spans="1:3">
      <c r="A802" s="40"/>
      <c r="B802" s="474"/>
      <c r="C802" s="474"/>
    </row>
    <row r="803" spans="1:3">
      <c r="A803" s="40"/>
      <c r="B803" s="476"/>
      <c r="C803" s="476"/>
    </row>
    <row r="804" spans="1:3">
      <c r="A804" s="475"/>
      <c r="B804" s="474"/>
      <c r="C804" s="474"/>
    </row>
    <row r="805" spans="1:3">
      <c r="A805" s="40"/>
      <c r="B805" s="476"/>
      <c r="C805" s="476"/>
    </row>
    <row r="806" spans="1:3">
      <c r="A806" s="40"/>
      <c r="B806" s="476"/>
      <c r="C806" s="476"/>
    </row>
    <row r="807" spans="1:3">
      <c r="A807" s="40"/>
      <c r="B807" s="476"/>
      <c r="C807" s="476"/>
    </row>
    <row r="808" spans="1:3">
      <c r="A808" s="40"/>
      <c r="B808" s="476"/>
      <c r="C808" s="476"/>
    </row>
    <row r="809" spans="1:3">
      <c r="A809" s="475"/>
      <c r="B809" s="474"/>
      <c r="C809" s="474"/>
    </row>
    <row r="810" spans="1:3">
      <c r="A810" s="40"/>
      <c r="B810" s="476"/>
      <c r="C810" s="476"/>
    </row>
    <row r="811" spans="1:3">
      <c r="A811" s="475"/>
      <c r="B811" s="474"/>
      <c r="C811" s="474"/>
    </row>
    <row r="812" spans="1:3">
      <c r="A812" s="40"/>
      <c r="B812" s="476"/>
      <c r="C812" s="476"/>
    </row>
    <row r="813" spans="1:3">
      <c r="A813" s="40"/>
      <c r="B813" s="476"/>
      <c r="C813" s="476"/>
    </row>
    <row r="814" spans="1:3">
      <c r="A814" s="40"/>
      <c r="B814" s="474"/>
      <c r="C814" s="474"/>
    </row>
    <row r="815" spans="1:3">
      <c r="A815" s="40"/>
      <c r="B815" s="476"/>
      <c r="C815" s="476"/>
    </row>
    <row r="816" spans="1:3">
      <c r="A816" s="40"/>
      <c r="B816" s="476"/>
      <c r="C816" s="476"/>
    </row>
    <row r="817" spans="1:3">
      <c r="A817" s="40"/>
      <c r="B817" s="474"/>
      <c r="C817" s="474"/>
    </row>
    <row r="818" spans="1:3">
      <c r="A818" s="40"/>
      <c r="B818" s="476"/>
      <c r="C818" s="476"/>
    </row>
    <row r="819" spans="1:3">
      <c r="A819" s="40"/>
      <c r="B819" s="474"/>
      <c r="C819" s="474"/>
    </row>
    <row r="820" spans="1:3">
      <c r="A820" s="40"/>
      <c r="B820" s="476"/>
      <c r="C820" s="476"/>
    </row>
    <row r="821" spans="1:3">
      <c r="A821" s="40"/>
      <c r="B821" s="476"/>
      <c r="C821" s="476"/>
    </row>
    <row r="822" spans="1:3">
      <c r="A822" s="40"/>
      <c r="B822" s="476"/>
      <c r="C822" s="476"/>
    </row>
    <row r="823" spans="1:3">
      <c r="A823" s="40"/>
      <c r="B823" s="476"/>
      <c r="C823" s="476"/>
    </row>
    <row r="824" spans="1:3">
      <c r="A824" s="475"/>
      <c r="B824" s="474"/>
      <c r="C824" s="474"/>
    </row>
    <row r="825" spans="1:3">
      <c r="A825" s="40"/>
      <c r="B825" s="476"/>
      <c r="C825" s="476"/>
    </row>
    <row r="826" spans="1:3">
      <c r="A826" s="40"/>
      <c r="B826" s="476"/>
      <c r="C826" s="476"/>
    </row>
    <row r="827" spans="1:3">
      <c r="A827" s="40"/>
      <c r="B827" s="474"/>
      <c r="C827" s="474"/>
    </row>
    <row r="828" spans="1:3">
      <c r="A828" s="40"/>
      <c r="B828" s="476"/>
      <c r="C828" s="476"/>
    </row>
    <row r="829" spans="1:3">
      <c r="A829" s="40"/>
      <c r="B829" s="476"/>
      <c r="C829" s="476"/>
    </row>
    <row r="830" spans="1:3">
      <c r="A830" s="40"/>
      <c r="B830" s="476"/>
      <c r="C830" s="476"/>
    </row>
    <row r="831" spans="1:3">
      <c r="A831" s="475"/>
      <c r="B831" s="474"/>
      <c r="C831" s="474"/>
    </row>
    <row r="832" spans="1:3">
      <c r="A832" s="475"/>
      <c r="B832" s="474"/>
      <c r="C832" s="474"/>
    </row>
    <row r="833" spans="1:3">
      <c r="A833" s="475"/>
      <c r="B833" s="474"/>
      <c r="C833" s="474"/>
    </row>
    <row r="834" spans="1:3">
      <c r="A834" s="40"/>
      <c r="B834" s="476"/>
      <c r="C834" s="476"/>
    </row>
    <row r="835" spans="1:3">
      <c r="A835" s="40"/>
      <c r="B835" s="476"/>
      <c r="C835" s="476"/>
    </row>
    <row r="836" spans="1:3">
      <c r="A836" s="475"/>
      <c r="B836" s="474"/>
      <c r="C836" s="474"/>
    </row>
    <row r="837" spans="1:3">
      <c r="A837" s="475"/>
      <c r="B837" s="474"/>
      <c r="C837" s="474"/>
    </row>
    <row r="838" spans="1:3">
      <c r="A838" s="40"/>
      <c r="B838" s="474"/>
      <c r="C838" s="474"/>
    </row>
    <row r="839" spans="1:3">
      <c r="A839" s="40"/>
      <c r="B839" s="476"/>
      <c r="C839" s="476"/>
    </row>
    <row r="840" spans="1:3">
      <c r="A840" s="40"/>
      <c r="B840" s="476"/>
      <c r="C840" s="476"/>
    </row>
    <row r="841" spans="1:3">
      <c r="A841" s="40"/>
      <c r="B841" s="476"/>
      <c r="C841" s="476"/>
    </row>
    <row r="842" spans="1:3">
      <c r="A842" s="40"/>
      <c r="B842" s="474"/>
      <c r="C842" s="474"/>
    </row>
    <row r="843" spans="1:3">
      <c r="A843" s="40"/>
      <c r="B843" s="474"/>
      <c r="C843" s="474"/>
    </row>
    <row r="844" spans="1:3">
      <c r="A844" s="40"/>
      <c r="B844" s="474"/>
      <c r="C844" s="474"/>
    </row>
    <row r="845" spans="1:3">
      <c r="A845" s="40"/>
      <c r="B845" s="476"/>
      <c r="C845" s="476"/>
    </row>
    <row r="846" spans="1:3">
      <c r="A846" s="40"/>
      <c r="B846" s="476"/>
      <c r="C846" s="476"/>
    </row>
    <row r="847" spans="1:3">
      <c r="A847" s="40"/>
      <c r="B847" s="476"/>
      <c r="C847" s="476"/>
    </row>
    <row r="848" spans="1:3">
      <c r="A848" s="40"/>
      <c r="B848" s="474"/>
      <c r="C848" s="474"/>
    </row>
    <row r="849" spans="1:3">
      <c r="A849" s="475"/>
      <c r="B849" s="474"/>
      <c r="C849" s="474"/>
    </row>
    <row r="850" spans="1:3">
      <c r="A850" s="40"/>
      <c r="B850" s="476"/>
      <c r="C850" s="476"/>
    </row>
    <row r="851" spans="1:3">
      <c r="A851" s="40"/>
      <c r="B851" s="474"/>
      <c r="C851" s="474"/>
    </row>
    <row r="852" spans="1:3">
      <c r="A852" s="40"/>
      <c r="B852" s="476"/>
      <c r="C852" s="476"/>
    </row>
    <row r="853" spans="1:3">
      <c r="A853" s="40"/>
      <c r="B853" s="476"/>
      <c r="C853" s="476"/>
    </row>
    <row r="854" spans="1:3">
      <c r="A854" s="40"/>
      <c r="B854" s="476"/>
      <c r="C854" s="476"/>
    </row>
    <row r="855" spans="1:3">
      <c r="A855" s="40"/>
      <c r="B855" s="474"/>
      <c r="C855" s="474"/>
    </row>
    <row r="856" spans="1:3">
      <c r="A856" s="475"/>
      <c r="B856" s="474"/>
      <c r="C856" s="474"/>
    </row>
    <row r="857" spans="1:3">
      <c r="A857" s="40"/>
      <c r="B857" s="476"/>
      <c r="C857" s="476"/>
    </row>
    <row r="858" spans="1:3">
      <c r="A858" s="475"/>
      <c r="B858" s="474"/>
      <c r="C858" s="474"/>
    </row>
    <row r="859" spans="1:3">
      <c r="A859" s="475"/>
      <c r="B859" s="474"/>
      <c r="C859" s="474"/>
    </row>
    <row r="860" spans="1:3">
      <c r="A860" s="40"/>
      <c r="B860" s="476"/>
      <c r="C860" s="476"/>
    </row>
    <row r="861" spans="1:3">
      <c r="A861" s="475"/>
      <c r="B861" s="474"/>
      <c r="C861" s="474"/>
    </row>
    <row r="862" spans="1:3">
      <c r="A862" s="40"/>
      <c r="B862" s="476"/>
      <c r="C862" s="476"/>
    </row>
    <row r="863" spans="1:3">
      <c r="A863" s="40"/>
      <c r="B863" s="476"/>
      <c r="C863" s="476"/>
    </row>
    <row r="864" spans="1:3">
      <c r="A864" s="40"/>
      <c r="B864" s="476"/>
      <c r="C864" s="476"/>
    </row>
    <row r="865" spans="1:3">
      <c r="A865" s="40"/>
      <c r="B865" s="476"/>
      <c r="C865" s="476"/>
    </row>
    <row r="866" spans="1:3">
      <c r="A866" s="40"/>
      <c r="B866" s="474"/>
      <c r="C866" s="474"/>
    </row>
    <row r="867" spans="1:3">
      <c r="A867" s="40"/>
      <c r="B867" s="476"/>
      <c r="C867" s="476"/>
    </row>
    <row r="868" spans="1:3">
      <c r="A868" s="40"/>
      <c r="B868" s="476"/>
      <c r="C868" s="476"/>
    </row>
    <row r="869" spans="1:3">
      <c r="A869" s="40"/>
      <c r="B869" s="476"/>
      <c r="C869" s="476"/>
    </row>
    <row r="870" spans="1:3">
      <c r="A870" s="40"/>
      <c r="B870" s="474"/>
      <c r="C870" s="474"/>
    </row>
    <row r="871" spans="1:3">
      <c r="A871" s="475"/>
      <c r="B871" s="474"/>
      <c r="C871" s="474"/>
    </row>
    <row r="872" spans="1:3">
      <c r="A872" s="40"/>
      <c r="B872" s="476"/>
      <c r="C872" s="476"/>
    </row>
    <row r="873" spans="1:3">
      <c r="A873" s="40"/>
      <c r="B873" s="476"/>
      <c r="C873" s="476"/>
    </row>
    <row r="874" spans="1:3">
      <c r="A874" s="475"/>
      <c r="B874" s="474"/>
      <c r="C874" s="474"/>
    </row>
    <row r="875" spans="1:3">
      <c r="A875" s="40"/>
      <c r="B875" s="476"/>
      <c r="C875" s="476"/>
    </row>
    <row r="876" spans="1:3">
      <c r="A876" s="40"/>
      <c r="B876" s="474"/>
      <c r="C876" s="474"/>
    </row>
    <row r="877" spans="1:3">
      <c r="A877" s="40"/>
      <c r="B877" s="476"/>
      <c r="C877" s="476"/>
    </row>
    <row r="878" spans="1:3">
      <c r="A878" s="40"/>
      <c r="B878" s="476"/>
      <c r="C878" s="476"/>
    </row>
    <row r="879" spans="1:3">
      <c r="A879" s="40"/>
      <c r="B879" s="474"/>
      <c r="C879" s="474"/>
    </row>
    <row r="880" spans="1:3">
      <c r="A880" s="40"/>
      <c r="B880" s="476"/>
      <c r="C880" s="476"/>
    </row>
    <row r="881" spans="1:3">
      <c r="A881" s="475"/>
      <c r="B881" s="474"/>
      <c r="C881" s="474"/>
    </row>
    <row r="882" spans="1:3">
      <c r="A882" s="40"/>
      <c r="B882" s="476"/>
      <c r="C882" s="476"/>
    </row>
    <row r="883" spans="1:3">
      <c r="A883" s="475"/>
      <c r="B883" s="474"/>
      <c r="C883" s="474"/>
    </row>
    <row r="884" spans="1:3">
      <c r="A884" s="475"/>
      <c r="B884" s="474"/>
      <c r="C884" s="474"/>
    </row>
    <row r="885" spans="1:3">
      <c r="A885" s="40"/>
      <c r="B885" s="476"/>
      <c r="C885" s="476"/>
    </row>
    <row r="886" spans="1:3">
      <c r="A886" s="40"/>
      <c r="B886" s="474"/>
      <c r="C886" s="474"/>
    </row>
    <row r="887" spans="1:3">
      <c r="A887" s="40"/>
      <c r="B887" s="476"/>
      <c r="C887" s="476"/>
    </row>
    <row r="888" spans="1:3">
      <c r="A888" s="40"/>
      <c r="B888" s="474"/>
      <c r="C888" s="474"/>
    </row>
    <row r="889" spans="1:3">
      <c r="A889" s="475"/>
      <c r="B889" s="474"/>
      <c r="C889" s="474"/>
    </row>
    <row r="890" spans="1:3">
      <c r="A890" s="475"/>
      <c r="B890" s="474"/>
      <c r="C890" s="474"/>
    </row>
    <row r="891" spans="1:3">
      <c r="A891" s="40"/>
      <c r="B891" s="476"/>
      <c r="C891" s="476"/>
    </row>
    <row r="892" spans="1:3">
      <c r="A892" s="40"/>
      <c r="B892" s="474"/>
      <c r="C892" s="474"/>
    </row>
    <row r="893" spans="1:3">
      <c r="A893" s="40"/>
      <c r="B893" s="474"/>
      <c r="C893" s="474"/>
    </row>
    <row r="894" spans="1:3">
      <c r="A894" s="40"/>
      <c r="B894" s="476"/>
      <c r="C894" s="476"/>
    </row>
    <row r="895" spans="1:3">
      <c r="A895" s="40"/>
      <c r="B895" s="476"/>
      <c r="C895" s="476"/>
    </row>
    <row r="896" spans="1:3">
      <c r="A896" s="40"/>
      <c r="B896" s="476"/>
      <c r="C896" s="476"/>
    </row>
    <row r="897" spans="1:3">
      <c r="A897" s="40"/>
      <c r="B897" s="476"/>
      <c r="C897" s="476"/>
    </row>
    <row r="898" spans="1:3">
      <c r="A898" s="40"/>
      <c r="B898" s="476"/>
      <c r="C898" s="476"/>
    </row>
    <row r="899" spans="1:3">
      <c r="A899" s="40"/>
      <c r="B899" s="474"/>
      <c r="C899" s="474"/>
    </row>
    <row r="900" spans="1:3">
      <c r="A900" s="40"/>
      <c r="B900" s="476"/>
      <c r="C900" s="476"/>
    </row>
    <row r="901" spans="1:3">
      <c r="A901" s="40"/>
      <c r="B901" s="474"/>
      <c r="C901" s="474"/>
    </row>
    <row r="902" spans="1:3">
      <c r="A902" s="40"/>
      <c r="B902" s="476"/>
      <c r="C902" s="476"/>
    </row>
    <row r="903" spans="1:3">
      <c r="A903" s="40"/>
      <c r="B903" s="476"/>
      <c r="C903" s="476"/>
    </row>
    <row r="904" spans="1:3">
      <c r="A904" s="40"/>
      <c r="B904" s="476"/>
      <c r="C904" s="476"/>
    </row>
    <row r="905" spans="1:3">
      <c r="A905" s="40"/>
      <c r="B905" s="476"/>
      <c r="C905" s="476"/>
    </row>
    <row r="906" spans="1:3">
      <c r="A906" s="40"/>
      <c r="B906" s="476"/>
      <c r="C906" s="476"/>
    </row>
    <row r="907" spans="1:3">
      <c r="A907" s="40"/>
      <c r="B907" s="474"/>
      <c r="C907" s="474"/>
    </row>
    <row r="908" spans="1:3">
      <c r="A908" s="40"/>
      <c r="B908" s="474"/>
      <c r="C908" s="474"/>
    </row>
    <row r="909" spans="1:3">
      <c r="A909" s="40"/>
      <c r="B909" s="476"/>
      <c r="C909" s="476"/>
    </row>
    <row r="910" spans="1:3">
      <c r="A910" s="40"/>
      <c r="B910" s="476"/>
      <c r="C910" s="476"/>
    </row>
    <row r="911" spans="1:3">
      <c r="A911" s="40"/>
      <c r="B911" s="476"/>
      <c r="C911" s="476"/>
    </row>
    <row r="912" spans="1:3">
      <c r="A912" s="40"/>
      <c r="B912" s="476"/>
      <c r="C912" s="476"/>
    </row>
    <row r="913" spans="1:3">
      <c r="A913" s="40"/>
      <c r="B913" s="476"/>
      <c r="C913" s="476"/>
    </row>
    <row r="914" spans="1:3">
      <c r="A914" s="40"/>
      <c r="B914" s="476"/>
      <c r="C914" s="476"/>
    </row>
    <row r="915" spans="1:3">
      <c r="A915" s="40"/>
      <c r="B915" s="474"/>
      <c r="C915" s="474"/>
    </row>
    <row r="916" spans="1:3">
      <c r="A916" s="475"/>
      <c r="B916" s="474"/>
      <c r="C916" s="474"/>
    </row>
    <row r="917" spans="1:3">
      <c r="A917" s="40"/>
      <c r="B917" s="476"/>
      <c r="C917" s="476"/>
    </row>
    <row r="918" spans="1:3">
      <c r="A918" s="40"/>
      <c r="B918" s="476"/>
      <c r="C918" s="476"/>
    </row>
    <row r="919" spans="1:3">
      <c r="A919" s="475"/>
      <c r="B919" s="474"/>
      <c r="C919" s="474"/>
    </row>
    <row r="920" spans="1:3">
      <c r="A920" s="475"/>
      <c r="B920" s="474"/>
      <c r="C920" s="474"/>
    </row>
    <row r="921" spans="1:3">
      <c r="A921" s="40"/>
      <c r="B921" s="474"/>
      <c r="C921" s="474"/>
    </row>
    <row r="922" spans="1:3">
      <c r="A922" s="40"/>
      <c r="B922" s="476"/>
      <c r="C922" s="476"/>
    </row>
    <row r="923" spans="1:3">
      <c r="A923" s="40"/>
      <c r="B923" s="476"/>
      <c r="C923" s="476"/>
    </row>
    <row r="924" spans="1:3">
      <c r="A924" s="40"/>
      <c r="B924" s="476"/>
      <c r="C924" s="476"/>
    </row>
    <row r="925" spans="1:3">
      <c r="A925" s="40"/>
      <c r="B925" s="476"/>
      <c r="C925" s="476"/>
    </row>
    <row r="926" spans="1:3">
      <c r="A926" s="40"/>
      <c r="B926" s="476"/>
      <c r="C926" s="476"/>
    </row>
    <row r="927" spans="1:3">
      <c r="A927" s="40"/>
      <c r="B927" s="474"/>
      <c r="C927" s="474"/>
    </row>
    <row r="928" spans="1:3">
      <c r="A928" s="475"/>
      <c r="B928" s="474"/>
      <c r="C928" s="474"/>
    </row>
    <row r="929" spans="1:3">
      <c r="A929" s="40"/>
      <c r="B929" s="476"/>
      <c r="C929" s="476"/>
    </row>
    <row r="930" spans="1:3">
      <c r="A930" s="40"/>
      <c r="B930" s="476"/>
      <c r="C930" s="476"/>
    </row>
    <row r="931" spans="1:3">
      <c r="A931" s="475"/>
      <c r="B931" s="474"/>
      <c r="C931" s="474"/>
    </row>
    <row r="932" spans="1:3">
      <c r="A932" s="40"/>
      <c r="B932" s="474"/>
      <c r="C932" s="474"/>
    </row>
    <row r="933" spans="1:3">
      <c r="A933" s="40"/>
      <c r="B933" s="476"/>
      <c r="C933" s="476"/>
    </row>
    <row r="934" spans="1:3">
      <c r="A934" s="40"/>
      <c r="B934" s="476"/>
      <c r="C934" s="476"/>
    </row>
    <row r="935" spans="1:3">
      <c r="A935" s="40"/>
      <c r="B935" s="476"/>
      <c r="C935" s="476"/>
    </row>
    <row r="936" spans="1:3">
      <c r="A936" s="40"/>
      <c r="B936" s="474"/>
      <c r="C936" s="474"/>
    </row>
    <row r="937" spans="1:3">
      <c r="A937" s="40"/>
      <c r="B937" s="476"/>
      <c r="C937" s="476"/>
    </row>
    <row r="938" spans="1:3">
      <c r="A938" s="40"/>
      <c r="B938" s="476"/>
      <c r="C938" s="476"/>
    </row>
    <row r="939" spans="1:3">
      <c r="A939" s="40"/>
      <c r="B939" s="476"/>
      <c r="C939" s="476"/>
    </row>
    <row r="940" spans="1:3">
      <c r="A940" s="475"/>
      <c r="B940" s="474"/>
      <c r="C940" s="474"/>
    </row>
    <row r="941" spans="1:3">
      <c r="A941" s="40"/>
      <c r="B941" s="476"/>
      <c r="C941" s="476"/>
    </row>
    <row r="942" spans="1:3">
      <c r="A942" s="40"/>
      <c r="B942" s="476"/>
      <c r="C942" s="476"/>
    </row>
    <row r="943" spans="1:3">
      <c r="A943" s="40"/>
      <c r="B943" s="476"/>
      <c r="C943" s="476"/>
    </row>
    <row r="944" spans="1:3">
      <c r="A944" s="40"/>
      <c r="B944" s="474"/>
      <c r="C944" s="474"/>
    </row>
    <row r="945" spans="1:3">
      <c r="A945" s="40"/>
      <c r="B945" s="476"/>
      <c r="C945" s="476"/>
    </row>
    <row r="946" spans="1:3">
      <c r="A946" s="40"/>
      <c r="B946" s="474"/>
      <c r="C946" s="474"/>
    </row>
    <row r="947" spans="1:3">
      <c r="A947" s="40"/>
      <c r="B947" s="476"/>
      <c r="C947" s="476"/>
    </row>
    <row r="948" spans="1:3">
      <c r="A948" s="475"/>
      <c r="B948" s="474"/>
      <c r="C948" s="474"/>
    </row>
    <row r="949" spans="1:3">
      <c r="A949" s="40"/>
      <c r="B949" s="476"/>
      <c r="C949" s="476"/>
    </row>
    <row r="950" spans="1:3">
      <c r="A950" s="40"/>
      <c r="B950" s="474"/>
      <c r="C950" s="474"/>
    </row>
    <row r="951" spans="1:3">
      <c r="A951" s="475"/>
      <c r="B951" s="474"/>
      <c r="C951" s="474"/>
    </row>
    <row r="952" spans="1:3">
      <c r="A952" s="40"/>
      <c r="B952" s="474"/>
      <c r="C952" s="474"/>
    </row>
    <row r="953" spans="1:3">
      <c r="A953" s="40"/>
      <c r="B953" s="476"/>
      <c r="C953" s="476"/>
    </row>
    <row r="954" spans="1:3">
      <c r="A954" s="40"/>
      <c r="B954" s="476"/>
      <c r="C954" s="476"/>
    </row>
    <row r="955" spans="1:3">
      <c r="A955" s="40"/>
      <c r="B955" s="476"/>
      <c r="C955" s="476"/>
    </row>
    <row r="956" spans="1:3">
      <c r="A956" s="40"/>
      <c r="B956" s="474"/>
      <c r="C956" s="474"/>
    </row>
    <row r="957" spans="1:3">
      <c r="A957" s="40"/>
      <c r="B957" s="474"/>
      <c r="C957" s="474"/>
    </row>
    <row r="958" spans="1:3">
      <c r="A958" s="40"/>
      <c r="B958" s="476"/>
      <c r="C958" s="476"/>
    </row>
    <row r="959" spans="1:3">
      <c r="A959" s="475"/>
      <c r="B959" s="474"/>
      <c r="C959" s="474"/>
    </row>
    <row r="960" spans="1:3">
      <c r="A960" s="40"/>
      <c r="B960" s="474"/>
      <c r="C960" s="474"/>
    </row>
    <row r="961" spans="1:3">
      <c r="A961" s="40"/>
      <c r="B961" s="476"/>
      <c r="C961" s="476"/>
    </row>
    <row r="962" spans="1:3">
      <c r="A962" s="40"/>
      <c r="B962" s="476"/>
      <c r="C962" s="476"/>
    </row>
    <row r="963" spans="1:3">
      <c r="A963" s="40"/>
      <c r="B963" s="474"/>
      <c r="C963" s="474"/>
    </row>
    <row r="964" spans="1:3">
      <c r="A964" s="40"/>
      <c r="B964" s="476"/>
      <c r="C964" s="476"/>
    </row>
    <row r="965" spans="1:3">
      <c r="A965" s="40"/>
      <c r="B965" s="476"/>
      <c r="C965" s="476"/>
    </row>
    <row r="966" spans="1:3">
      <c r="A966" s="475"/>
      <c r="B966" s="474"/>
      <c r="C966" s="474"/>
    </row>
    <row r="967" spans="1:3">
      <c r="A967" s="40"/>
      <c r="B967" s="474"/>
      <c r="C967" s="474"/>
    </row>
    <row r="968" spans="1:3">
      <c r="A968" s="40"/>
      <c r="B968" s="476"/>
      <c r="C968" s="476"/>
    </row>
    <row r="969" spans="1:3">
      <c r="A969" s="475"/>
      <c r="B969" s="474"/>
      <c r="C969" s="474"/>
    </row>
    <row r="970" spans="1:3">
      <c r="A970" s="40"/>
      <c r="B970" s="476"/>
      <c r="C970" s="476"/>
    </row>
    <row r="971" spans="1:3">
      <c r="A971" s="40"/>
      <c r="B971" s="474"/>
      <c r="C971" s="474"/>
    </row>
    <row r="972" spans="1:3">
      <c r="A972" s="40"/>
      <c r="B972" s="474"/>
      <c r="C972" s="474"/>
    </row>
    <row r="973" spans="1:3">
      <c r="A973" s="40"/>
      <c r="B973" s="476"/>
      <c r="C973" s="476"/>
    </row>
    <row r="974" spans="1:3">
      <c r="A974" s="40"/>
      <c r="B974" s="474"/>
      <c r="C974" s="474"/>
    </row>
    <row r="975" spans="1:3">
      <c r="A975" s="475"/>
      <c r="B975" s="474"/>
      <c r="C975" s="474"/>
    </row>
    <row r="976" spans="1:3">
      <c r="A976" s="40"/>
      <c r="B976" s="476"/>
      <c r="C976" s="476"/>
    </row>
    <row r="977" spans="1:3">
      <c r="A977" s="40"/>
      <c r="B977" s="476"/>
      <c r="C977" s="476"/>
    </row>
    <row r="978" spans="1:3">
      <c r="A978" s="40"/>
      <c r="B978" s="476"/>
      <c r="C978" s="476"/>
    </row>
    <row r="979" spans="1:3">
      <c r="A979" s="40"/>
      <c r="B979" s="474"/>
      <c r="C979" s="474"/>
    </row>
    <row r="980" spans="1:3">
      <c r="A980" s="40"/>
      <c r="B980" s="474"/>
      <c r="C980" s="474"/>
    </row>
    <row r="981" spans="1:3">
      <c r="A981" s="40"/>
      <c r="B981" s="476"/>
      <c r="C981" s="476"/>
    </row>
    <row r="982" spans="1:3">
      <c r="A982" s="40"/>
      <c r="B982" s="476"/>
      <c r="C982" s="476"/>
    </row>
    <row r="983" spans="1:3">
      <c r="A983" s="40"/>
      <c r="B983" s="476"/>
      <c r="C983" s="476"/>
    </row>
    <row r="984" spans="1:3">
      <c r="A984" s="40"/>
      <c r="B984" s="474"/>
      <c r="C984" s="474"/>
    </row>
    <row r="985" spans="1:3">
      <c r="A985" s="40"/>
      <c r="B985" s="474"/>
      <c r="C985" s="474"/>
    </row>
    <row r="986" spans="1:3">
      <c r="A986" s="475"/>
      <c r="B986" s="474"/>
      <c r="C986" s="474"/>
    </row>
    <row r="987" spans="1:3">
      <c r="A987" s="40"/>
      <c r="B987" s="474"/>
      <c r="C987" s="474"/>
    </row>
    <row r="988" spans="1:3">
      <c r="A988" s="40"/>
      <c r="B988" s="476"/>
      <c r="C988" s="476"/>
    </row>
    <row r="989" spans="1:3">
      <c r="A989" s="40"/>
      <c r="B989" s="476"/>
      <c r="C989" s="476"/>
    </row>
    <row r="990" spans="1:3">
      <c r="A990" s="40"/>
      <c r="B990" s="476"/>
      <c r="C990" s="476"/>
    </row>
    <row r="991" spans="1:3">
      <c r="A991" s="40"/>
      <c r="B991" s="476"/>
      <c r="C991" s="476"/>
    </row>
    <row r="992" spans="1:3">
      <c r="A992" s="40"/>
      <c r="B992" s="476"/>
      <c r="C992" s="476"/>
    </row>
    <row r="993" spans="1:3">
      <c r="A993" s="475"/>
      <c r="B993" s="474"/>
      <c r="C993" s="474"/>
    </row>
    <row r="994" spans="1:3">
      <c r="A994" s="475"/>
      <c r="B994" s="474"/>
      <c r="C994" s="474"/>
    </row>
    <row r="995" spans="1:3">
      <c r="A995" s="40"/>
      <c r="B995" s="474"/>
      <c r="C995" s="474"/>
    </row>
    <row r="996" spans="1:3">
      <c r="A996" s="475"/>
      <c r="B996" s="474"/>
      <c r="C996" s="474"/>
    </row>
    <row r="997" spans="1:3">
      <c r="A997" s="40"/>
      <c r="B997" s="476"/>
      <c r="C997" s="476"/>
    </row>
    <row r="998" spans="1:3">
      <c r="A998" s="40"/>
      <c r="B998" s="474"/>
      <c r="C998" s="474"/>
    </row>
    <row r="999" spans="1:3">
      <c r="A999" s="40"/>
      <c r="B999" s="474"/>
      <c r="C999" s="474"/>
    </row>
    <row r="1000" spans="1:3">
      <c r="A1000" s="40"/>
      <c r="B1000" s="476"/>
      <c r="C1000" s="476"/>
    </row>
    <row r="1001" spans="1:3">
      <c r="A1001" s="475"/>
      <c r="B1001" s="474"/>
      <c r="C1001" s="474"/>
    </row>
    <row r="1002" spans="1:3">
      <c r="A1002" s="40"/>
      <c r="B1002" s="476"/>
      <c r="C1002" s="476"/>
    </row>
    <row r="1003" spans="1:3">
      <c r="A1003" s="40"/>
      <c r="B1003" s="474"/>
      <c r="C1003" s="474"/>
    </row>
    <row r="1004" spans="1:3">
      <c r="A1004" s="40"/>
      <c r="B1004" s="476"/>
      <c r="C1004" s="476"/>
    </row>
    <row r="1005" spans="1:3">
      <c r="A1005" s="40"/>
      <c r="B1005" s="476"/>
      <c r="C1005" s="476"/>
    </row>
    <row r="1006" spans="1:3">
      <c r="A1006" s="40"/>
      <c r="B1006" s="476"/>
      <c r="C1006" s="476"/>
    </row>
    <row r="1007" spans="1:3">
      <c r="A1007" s="40"/>
      <c r="B1007" s="476"/>
      <c r="C1007" s="476"/>
    </row>
    <row r="1008" spans="1:3">
      <c r="A1008" s="40"/>
      <c r="B1008" s="476"/>
      <c r="C1008" s="476"/>
    </row>
    <row r="1009" spans="1:3">
      <c r="A1009" s="40"/>
      <c r="B1009" s="474"/>
      <c r="C1009" s="474"/>
    </row>
    <row r="1010" spans="1:3">
      <c r="A1010" s="40"/>
      <c r="B1010" s="476"/>
      <c r="C1010" s="476"/>
    </row>
    <row r="1011" spans="1:3">
      <c r="A1011" s="40"/>
      <c r="B1011" s="476"/>
      <c r="C1011" s="476"/>
    </row>
    <row r="1012" spans="1:3">
      <c r="A1012" s="40"/>
      <c r="B1012" s="474"/>
      <c r="C1012" s="474"/>
    </row>
    <row r="1013" spans="1:3">
      <c r="A1013" s="40"/>
      <c r="B1013" s="476"/>
      <c r="C1013" s="476"/>
    </row>
    <row r="1014" spans="1:3">
      <c r="A1014" s="40"/>
      <c r="B1014" s="474"/>
      <c r="C1014" s="474"/>
    </row>
    <row r="1015" spans="1:3">
      <c r="A1015" s="40"/>
      <c r="B1015" s="476"/>
      <c r="C1015" s="476"/>
    </row>
    <row r="1016" spans="1:3">
      <c r="A1016" s="475"/>
      <c r="B1016" s="474"/>
      <c r="C1016" s="474"/>
    </row>
    <row r="1017" spans="1:3">
      <c r="A1017" s="40"/>
      <c r="B1017" s="476"/>
      <c r="C1017" s="476"/>
    </row>
    <row r="1018" spans="1:3">
      <c r="A1018" s="475"/>
      <c r="B1018" s="474"/>
      <c r="C1018" s="474"/>
    </row>
    <row r="1019" spans="1:3">
      <c r="A1019" s="475"/>
      <c r="B1019" s="474"/>
      <c r="C1019" s="474"/>
    </row>
    <row r="1020" spans="1:3">
      <c r="A1020" s="40"/>
      <c r="B1020" s="476"/>
      <c r="C1020" s="476"/>
    </row>
    <row r="1021" spans="1:3">
      <c r="A1021" s="40"/>
      <c r="B1021" s="476"/>
      <c r="C1021" s="476"/>
    </row>
    <row r="1022" spans="1:3">
      <c r="A1022" s="40"/>
      <c r="B1022" s="474"/>
      <c r="C1022" s="474"/>
    </row>
    <row r="1023" spans="1:3">
      <c r="A1023" s="40"/>
      <c r="B1023" s="476"/>
      <c r="C1023" s="476"/>
    </row>
    <row r="1024" spans="1:3">
      <c r="A1024" s="475"/>
      <c r="B1024" s="474"/>
      <c r="C1024" s="474"/>
    </row>
    <row r="1025" spans="1:3">
      <c r="A1025" s="40"/>
      <c r="B1025" s="476"/>
      <c r="C1025" s="476"/>
    </row>
    <row r="1026" spans="1:3">
      <c r="A1026" s="40"/>
      <c r="B1026" s="476"/>
      <c r="C1026" s="476"/>
    </row>
    <row r="1027" spans="1:3">
      <c r="A1027" s="40"/>
      <c r="B1027" s="476"/>
      <c r="C1027" s="476"/>
    </row>
    <row r="1028" spans="1:3">
      <c r="A1028" s="40"/>
      <c r="B1028" s="476"/>
      <c r="C1028" s="476"/>
    </row>
    <row r="1029" spans="1:3">
      <c r="A1029" s="40"/>
      <c r="B1029" s="474"/>
      <c r="C1029" s="474"/>
    </row>
    <row r="1030" spans="1:3">
      <c r="A1030" s="475"/>
      <c r="B1030" s="474"/>
      <c r="C1030" s="474"/>
    </row>
    <row r="1031" spans="1:3">
      <c r="A1031" s="40"/>
      <c r="B1031" s="476"/>
      <c r="C1031" s="476"/>
    </row>
    <row r="1032" spans="1:3">
      <c r="A1032" s="40"/>
      <c r="B1032" s="474"/>
      <c r="C1032" s="474"/>
    </row>
    <row r="1033" spans="1:3">
      <c r="A1033" s="475"/>
      <c r="B1033" s="474"/>
      <c r="C1033" s="474"/>
    </row>
    <row r="1034" spans="1:3">
      <c r="A1034" s="40"/>
      <c r="B1034" s="474"/>
      <c r="C1034" s="474"/>
    </row>
    <row r="1035" spans="1:3">
      <c r="A1035" s="40"/>
      <c r="B1035" s="476"/>
      <c r="C1035" s="476"/>
    </row>
    <row r="1036" spans="1:3">
      <c r="A1036" s="40"/>
      <c r="B1036" s="476"/>
      <c r="C1036" s="476"/>
    </row>
    <row r="1037" spans="1:3">
      <c r="A1037" s="40"/>
      <c r="B1037" s="474"/>
      <c r="C1037" s="474"/>
    </row>
    <row r="1038" spans="1:3">
      <c r="A1038" s="475"/>
      <c r="B1038" s="474"/>
      <c r="C1038" s="474"/>
    </row>
    <row r="1039" spans="1:3">
      <c r="A1039" s="40"/>
      <c r="B1039" s="476"/>
      <c r="C1039" s="476"/>
    </row>
    <row r="1040" spans="1:3">
      <c r="A1040" s="40"/>
      <c r="B1040" s="474"/>
      <c r="C1040" s="474"/>
    </row>
    <row r="1041" spans="1:3">
      <c r="A1041" s="40"/>
      <c r="B1041" s="476"/>
      <c r="C1041" s="476"/>
    </row>
    <row r="1042" spans="1:3">
      <c r="A1042" s="40"/>
      <c r="B1042" s="476"/>
      <c r="C1042" s="476"/>
    </row>
    <row r="1043" spans="1:3">
      <c r="A1043" s="475"/>
      <c r="B1043" s="474"/>
      <c r="C1043" s="474"/>
    </row>
    <row r="1044" spans="1:3">
      <c r="A1044" s="475"/>
      <c r="B1044" s="474"/>
      <c r="C1044" s="474"/>
    </row>
    <row r="1045" spans="1:3">
      <c r="A1045" s="40"/>
      <c r="B1045" s="476"/>
      <c r="C1045" s="476"/>
    </row>
    <row r="1046" spans="1:3">
      <c r="A1046" s="40"/>
      <c r="B1046" s="474"/>
      <c r="C1046" s="474"/>
    </row>
    <row r="1047" spans="1:3">
      <c r="A1047" s="475"/>
      <c r="B1047" s="474"/>
      <c r="C1047" s="474"/>
    </row>
    <row r="1048" spans="1:3">
      <c r="A1048" s="40"/>
      <c r="B1048" s="476"/>
      <c r="C1048" s="476"/>
    </row>
    <row r="1049" spans="1:3">
      <c r="A1049" s="40"/>
      <c r="B1049" s="474"/>
      <c r="C1049" s="474"/>
    </row>
    <row r="1050" spans="1:3">
      <c r="A1050" s="40"/>
      <c r="B1050" s="474"/>
      <c r="C1050" s="474"/>
    </row>
    <row r="1051" spans="1:3">
      <c r="A1051" s="40"/>
      <c r="B1051" s="476"/>
      <c r="C1051" s="476"/>
    </row>
    <row r="1052" spans="1:3">
      <c r="A1052" s="40"/>
      <c r="B1052" s="476"/>
      <c r="C1052" s="476"/>
    </row>
    <row r="1053" spans="1:3">
      <c r="A1053" s="40"/>
      <c r="B1053" s="474"/>
      <c r="C1053" s="474"/>
    </row>
    <row r="1054" spans="1:3">
      <c r="A1054" s="40"/>
      <c r="B1054" s="476"/>
      <c r="C1054" s="476"/>
    </row>
    <row r="1055" spans="1:3">
      <c r="A1055" s="40"/>
      <c r="B1055" s="476"/>
      <c r="C1055" s="476"/>
    </row>
    <row r="1056" spans="1:3">
      <c r="A1056" s="475"/>
      <c r="B1056" s="474"/>
      <c r="C1056" s="474"/>
    </row>
    <row r="1057" spans="1:3">
      <c r="A1057" s="40"/>
      <c r="B1057" s="474"/>
      <c r="C1057" s="474"/>
    </row>
    <row r="1058" spans="1:3">
      <c r="A1058" s="40"/>
      <c r="B1058" s="474"/>
      <c r="C1058" s="474"/>
    </row>
    <row r="1059" spans="1:3">
      <c r="A1059" s="40"/>
      <c r="B1059" s="474"/>
      <c r="C1059" s="474"/>
    </row>
    <row r="1060" spans="1:3">
      <c r="A1060" s="40"/>
      <c r="B1060" s="476"/>
      <c r="C1060" s="476"/>
    </row>
    <row r="1061" spans="1:3">
      <c r="A1061" s="40"/>
      <c r="B1061" s="474"/>
      <c r="C1061" s="474"/>
    </row>
    <row r="1062" spans="1:3">
      <c r="A1062" s="40"/>
      <c r="B1062" s="474"/>
      <c r="C1062" s="474"/>
    </row>
    <row r="1063" spans="1:3">
      <c r="A1063" s="40"/>
      <c r="B1063" s="474"/>
      <c r="C1063" s="474"/>
    </row>
    <row r="1064" spans="1:3">
      <c r="A1064" s="40"/>
      <c r="B1064" s="476"/>
      <c r="C1064" s="476"/>
    </row>
    <row r="1065" spans="1:3">
      <c r="A1065" s="40"/>
      <c r="B1065" s="476"/>
      <c r="C1065" s="476"/>
    </row>
    <row r="1066" spans="1:3">
      <c r="A1066" s="40"/>
      <c r="B1066" s="476"/>
      <c r="C1066" s="476"/>
    </row>
    <row r="1067" spans="1:3">
      <c r="A1067" s="40"/>
      <c r="B1067" s="474"/>
      <c r="C1067" s="474"/>
    </row>
    <row r="1068" spans="1:3">
      <c r="A1068" s="40"/>
      <c r="B1068" s="476"/>
      <c r="C1068" s="476"/>
    </row>
    <row r="1069" spans="1:3">
      <c r="A1069" s="40"/>
      <c r="B1069" s="476"/>
      <c r="C1069" s="476"/>
    </row>
    <row r="1070" spans="1:3">
      <c r="A1070" s="40"/>
      <c r="B1070" s="476"/>
      <c r="C1070" s="476"/>
    </row>
    <row r="1071" spans="1:3">
      <c r="A1071" s="40"/>
      <c r="B1071" s="474"/>
      <c r="C1071" s="474"/>
    </row>
    <row r="1072" spans="1:3">
      <c r="A1072" s="475"/>
      <c r="B1072" s="474"/>
      <c r="C1072" s="474"/>
    </row>
    <row r="1073" spans="1:3">
      <c r="A1073" s="475"/>
      <c r="B1073" s="474"/>
      <c r="C1073" s="474"/>
    </row>
    <row r="1074" spans="1:3">
      <c r="A1074" s="40"/>
      <c r="B1074" s="476"/>
      <c r="C1074" s="476"/>
    </row>
    <row r="1075" spans="1:3">
      <c r="A1075" s="40"/>
      <c r="B1075" s="476"/>
      <c r="C1075" s="476"/>
    </row>
    <row r="1076" spans="1:3">
      <c r="A1076" s="40"/>
      <c r="B1076" s="474"/>
      <c r="C1076" s="474"/>
    </row>
    <row r="1077" spans="1:3">
      <c r="A1077" s="475"/>
      <c r="B1077" s="474"/>
      <c r="C1077" s="474"/>
    </row>
    <row r="1078" spans="1:3">
      <c r="A1078" s="40"/>
      <c r="B1078" s="476"/>
      <c r="C1078" s="476"/>
    </row>
    <row r="1079" spans="1:3">
      <c r="A1079" s="40"/>
      <c r="B1079" s="474"/>
      <c r="C1079" s="474"/>
    </row>
    <row r="1080" spans="1:3">
      <c r="A1080" s="40"/>
      <c r="B1080" s="476"/>
      <c r="C1080" s="476"/>
    </row>
    <row r="1081" spans="1:3">
      <c r="A1081" s="40"/>
      <c r="B1081" s="474"/>
      <c r="C1081" s="474"/>
    </row>
    <row r="1082" spans="1:3">
      <c r="A1082" s="40"/>
      <c r="B1082" s="476"/>
      <c r="C1082" s="476"/>
    </row>
    <row r="1083" spans="1:3">
      <c r="A1083" s="40"/>
      <c r="B1083" s="474"/>
      <c r="C1083" s="474"/>
    </row>
    <row r="1084" spans="1:3">
      <c r="A1084" s="475"/>
      <c r="B1084" s="474"/>
      <c r="C1084" s="474"/>
    </row>
    <row r="1085" spans="1:3">
      <c r="A1085" s="40"/>
      <c r="B1085" s="474"/>
      <c r="C1085" s="474"/>
    </row>
    <row r="1086" spans="1:3">
      <c r="A1086" s="40"/>
      <c r="B1086" s="474"/>
      <c r="C1086" s="474"/>
    </row>
    <row r="1087" spans="1:3">
      <c r="A1087" s="475"/>
      <c r="B1087" s="474"/>
      <c r="C1087" s="474"/>
    </row>
    <row r="1088" spans="1:3">
      <c r="A1088" s="40"/>
      <c r="B1088" s="476"/>
      <c r="C1088" s="476"/>
    </row>
    <row r="1089" spans="1:3">
      <c r="A1089" s="40"/>
      <c r="B1089" s="476"/>
      <c r="C1089" s="476"/>
    </row>
    <row r="1090" spans="1:3">
      <c r="A1090" s="40"/>
      <c r="B1090" s="476"/>
      <c r="C1090" s="476"/>
    </row>
    <row r="1091" spans="1:3">
      <c r="A1091" s="40"/>
      <c r="B1091" s="474"/>
      <c r="C1091" s="474"/>
    </row>
    <row r="1092" spans="1:3">
      <c r="A1092" s="40"/>
      <c r="B1092" s="476"/>
      <c r="C1092" s="476"/>
    </row>
    <row r="1093" spans="1:3">
      <c r="A1093" s="40"/>
      <c r="B1093" s="476"/>
      <c r="C1093" s="476"/>
    </row>
    <row r="1094" spans="1:3">
      <c r="A1094" s="40"/>
      <c r="B1094" s="474"/>
      <c r="C1094" s="474"/>
    </row>
    <row r="1095" spans="1:3">
      <c r="A1095" s="40"/>
      <c r="B1095" s="474"/>
      <c r="C1095" s="474"/>
    </row>
    <row r="1096" spans="1:3">
      <c r="A1096" s="40"/>
      <c r="B1096" s="476"/>
      <c r="C1096" s="476"/>
    </row>
    <row r="1097" spans="1:3">
      <c r="A1097" s="40"/>
      <c r="B1097" s="476"/>
      <c r="C1097" s="476"/>
    </row>
    <row r="1098" spans="1:3">
      <c r="A1098" s="40"/>
      <c r="B1098" s="476"/>
      <c r="C1098" s="476"/>
    </row>
    <row r="1099" spans="1:3">
      <c r="A1099" s="475"/>
      <c r="B1099" s="474"/>
      <c r="C1099" s="474"/>
    </row>
    <row r="1100" spans="1:3">
      <c r="A1100" s="40"/>
      <c r="B1100" s="476"/>
      <c r="C1100" s="476"/>
    </row>
    <row r="1101" spans="1:3">
      <c r="A1101" s="40"/>
      <c r="B1101" s="476"/>
      <c r="C1101" s="476"/>
    </row>
    <row r="1102" spans="1:3">
      <c r="A1102" s="40"/>
      <c r="B1102" s="476"/>
      <c r="C1102" s="476"/>
    </row>
    <row r="1103" spans="1:3">
      <c r="A1103" s="40"/>
      <c r="B1103" s="474"/>
      <c r="C1103" s="474"/>
    </row>
    <row r="1104" spans="1:3">
      <c r="A1104" s="475"/>
      <c r="B1104" s="474"/>
      <c r="C1104" s="474"/>
    </row>
    <row r="1105" spans="1:3">
      <c r="A1105" s="40"/>
      <c r="B1105" s="474"/>
      <c r="C1105" s="474"/>
    </row>
    <row r="1106" spans="1:3">
      <c r="A1106" s="40"/>
      <c r="B1106" s="474"/>
      <c r="C1106" s="474"/>
    </row>
    <row r="1107" spans="1:3">
      <c r="A1107" s="40"/>
      <c r="B1107" s="476"/>
      <c r="C1107" s="476"/>
    </row>
    <row r="1108" spans="1:3">
      <c r="A1108" s="40"/>
      <c r="B1108" s="476"/>
      <c r="C1108" s="476"/>
    </row>
    <row r="1109" spans="1:3">
      <c r="A1109" s="40"/>
      <c r="B1109" s="474"/>
      <c r="C1109" s="474"/>
    </row>
    <row r="1110" spans="1:3">
      <c r="A1110" s="40"/>
      <c r="B1110" s="474"/>
      <c r="C1110" s="474"/>
    </row>
    <row r="1111" spans="1:3">
      <c r="A1111" s="40"/>
      <c r="B1111" s="474"/>
      <c r="C1111" s="474"/>
    </row>
    <row r="1112" spans="1:3">
      <c r="A1112" s="40"/>
      <c r="B1112" s="476"/>
      <c r="C1112" s="476"/>
    </row>
    <row r="1113" spans="1:3">
      <c r="A1113" s="475"/>
      <c r="B1113" s="474"/>
      <c r="C1113" s="474"/>
    </row>
    <row r="1114" spans="1:3">
      <c r="A1114" s="475"/>
      <c r="B1114" s="474"/>
      <c r="C1114" s="474"/>
    </row>
    <row r="1115" spans="1:3">
      <c r="A1115" s="40"/>
      <c r="B1115" s="476"/>
      <c r="C1115" s="476"/>
    </row>
    <row r="1116" spans="1:3">
      <c r="A1116" s="475"/>
      <c r="B1116" s="474"/>
      <c r="C1116" s="474"/>
    </row>
    <row r="1117" spans="1:3">
      <c r="A1117" s="40"/>
      <c r="B1117" s="476"/>
      <c r="C1117" s="476"/>
    </row>
    <row r="1118" spans="1:3">
      <c r="A1118" s="475"/>
      <c r="B1118" s="474"/>
      <c r="C1118" s="474"/>
    </row>
    <row r="1119" spans="1:3">
      <c r="A1119" s="40"/>
      <c r="B1119" s="476"/>
      <c r="C1119" s="476"/>
    </row>
    <row r="1120" spans="1:3">
      <c r="A1120" s="40"/>
      <c r="B1120" s="476"/>
      <c r="C1120" s="476"/>
    </row>
    <row r="1121" spans="1:3">
      <c r="A1121" s="40"/>
      <c r="B1121" s="476"/>
      <c r="C1121" s="476"/>
    </row>
    <row r="1122" spans="1:3">
      <c r="A1122" s="475"/>
      <c r="B1122" s="474"/>
      <c r="C1122" s="474"/>
    </row>
    <row r="1123" spans="1:3">
      <c r="A1123" s="40"/>
      <c r="B1123" s="474"/>
      <c r="C1123" s="474"/>
    </row>
    <row r="1124" spans="1:3">
      <c r="A1124" s="40"/>
      <c r="B1124" s="476"/>
      <c r="C1124" s="476"/>
    </row>
    <row r="1125" spans="1:3">
      <c r="A1125" s="40"/>
      <c r="B1125" s="476"/>
      <c r="C1125" s="476"/>
    </row>
    <row r="1126" spans="1:3">
      <c r="A1126" s="40"/>
      <c r="B1126" s="476"/>
      <c r="C1126" s="476"/>
    </row>
    <row r="1127" spans="1:3">
      <c r="A1127" s="40"/>
      <c r="B1127" s="476"/>
      <c r="C1127" s="476"/>
    </row>
    <row r="1128" spans="1:3">
      <c r="A1128" s="40"/>
      <c r="B1128" s="474"/>
      <c r="C1128" s="474"/>
    </row>
    <row r="1129" spans="1:3">
      <c r="A1129" s="40"/>
      <c r="B1129" s="474"/>
      <c r="C1129" s="474"/>
    </row>
    <row r="1130" spans="1:3">
      <c r="A1130" s="40"/>
      <c r="B1130" s="476"/>
      <c r="C1130" s="476"/>
    </row>
    <row r="1131" spans="1:3">
      <c r="A1131" s="475"/>
      <c r="B1131" s="474"/>
      <c r="C1131" s="474"/>
    </row>
    <row r="1132" spans="1:3">
      <c r="A1132" s="40"/>
      <c r="B1132" s="474"/>
      <c r="C1132" s="474"/>
    </row>
    <row r="1133" spans="1:3">
      <c r="A1133" s="40"/>
      <c r="B1133" s="474"/>
      <c r="C1133" s="474"/>
    </row>
    <row r="1134" spans="1:3">
      <c r="A1134" s="475"/>
      <c r="B1134" s="474"/>
      <c r="C1134" s="474"/>
    </row>
    <row r="1135" spans="1:3">
      <c r="A1135" s="40"/>
      <c r="B1135" s="476"/>
      <c r="C1135" s="476"/>
    </row>
    <row r="1136" spans="1:3">
      <c r="A1136" s="475"/>
      <c r="B1136" s="474"/>
      <c r="C1136" s="474"/>
    </row>
    <row r="1137" spans="1:3">
      <c r="A1137" s="475"/>
      <c r="B1137" s="474"/>
      <c r="C1137" s="474"/>
    </row>
    <row r="1138" spans="1:3">
      <c r="A1138" s="40"/>
      <c r="B1138" s="476"/>
      <c r="C1138" s="476"/>
    </row>
    <row r="1139" spans="1:3">
      <c r="A1139" s="40"/>
      <c r="B1139" s="476"/>
      <c r="C1139" s="476"/>
    </row>
    <row r="1140" spans="1:3">
      <c r="A1140" s="40"/>
      <c r="B1140" s="476"/>
      <c r="C1140" s="476"/>
    </row>
    <row r="1141" spans="1:3">
      <c r="A1141" s="40"/>
      <c r="B1141" s="476"/>
      <c r="C1141" s="476"/>
    </row>
    <row r="1142" spans="1:3">
      <c r="A1142" s="40"/>
      <c r="B1142" s="476"/>
      <c r="C1142" s="476"/>
    </row>
    <row r="1143" spans="1:3">
      <c r="A1143" s="40"/>
      <c r="B1143" s="476"/>
      <c r="C1143" s="476"/>
    </row>
    <row r="1144" spans="1:3">
      <c r="A1144" s="40"/>
      <c r="B1144" s="474"/>
      <c r="C1144" s="474"/>
    </row>
    <row r="1145" spans="1:3">
      <c r="A1145" s="40"/>
      <c r="B1145" s="476"/>
      <c r="C1145" s="476"/>
    </row>
    <row r="1146" spans="1:3">
      <c r="A1146" s="40"/>
      <c r="B1146" s="476"/>
      <c r="C1146" s="476"/>
    </row>
    <row r="1147" spans="1:3">
      <c r="A1147" s="40"/>
      <c r="B1147" s="476"/>
      <c r="C1147" s="476"/>
    </row>
    <row r="1148" spans="1:3">
      <c r="A1148" s="40"/>
      <c r="B1148" s="476"/>
      <c r="C1148" s="476"/>
    </row>
    <row r="1149" spans="1:3">
      <c r="A1149" s="475"/>
      <c r="B1149" s="474"/>
      <c r="C1149" s="474"/>
    </row>
    <row r="1150" spans="1:3">
      <c r="A1150" s="475"/>
      <c r="B1150" s="474"/>
      <c r="C1150" s="474"/>
    </row>
    <row r="1151" spans="1:3">
      <c r="A1151" s="40"/>
      <c r="B1151" s="474"/>
      <c r="C1151" s="474"/>
    </row>
    <row r="1152" spans="1:3">
      <c r="A1152" s="475"/>
      <c r="B1152" s="474"/>
      <c r="C1152" s="474"/>
    </row>
    <row r="1153" spans="1:3">
      <c r="A1153" s="40"/>
      <c r="B1153" s="474"/>
      <c r="C1153" s="474"/>
    </row>
    <row r="1154" spans="1:3">
      <c r="A1154" s="40"/>
      <c r="B1154" s="474"/>
      <c r="C1154" s="474"/>
    </row>
    <row r="1155" spans="1:3">
      <c r="A1155" s="475"/>
      <c r="B1155" s="474"/>
      <c r="C1155" s="474"/>
    </row>
    <row r="1156" spans="1:3">
      <c r="A1156" s="40"/>
      <c r="B1156" s="474"/>
      <c r="C1156" s="474"/>
    </row>
    <row r="1157" spans="1:3">
      <c r="A1157" s="40"/>
      <c r="B1157" s="474"/>
      <c r="C1157" s="474"/>
    </row>
    <row r="1158" spans="1:3">
      <c r="A1158" s="40"/>
      <c r="B1158" s="476"/>
      <c r="C1158" s="476"/>
    </row>
    <row r="1159" spans="1:3">
      <c r="A1159" s="40"/>
      <c r="B1159" s="474"/>
      <c r="C1159" s="474"/>
    </row>
    <row r="1160" spans="1:3">
      <c r="A1160" s="40"/>
      <c r="B1160" s="476"/>
      <c r="C1160" s="476"/>
    </row>
    <row r="1161" spans="1:3">
      <c r="A1161" s="475"/>
      <c r="B1161" s="474"/>
      <c r="C1161" s="474"/>
    </row>
    <row r="1162" spans="1:3">
      <c r="A1162" s="40"/>
      <c r="B1162" s="476"/>
      <c r="C1162" s="476"/>
    </row>
    <row r="1163" spans="1:3">
      <c r="A1163" s="40"/>
      <c r="B1163" s="476"/>
      <c r="C1163" s="476"/>
    </row>
    <row r="1164" spans="1:3">
      <c r="A1164" s="40"/>
      <c r="B1164" s="476"/>
      <c r="C1164" s="476"/>
    </row>
    <row r="1165" spans="1:3">
      <c r="A1165" s="40"/>
      <c r="B1165" s="476"/>
      <c r="C1165" s="476"/>
    </row>
    <row r="1166" spans="1:3">
      <c r="A1166" s="475"/>
      <c r="B1166" s="474"/>
      <c r="C1166" s="474"/>
    </row>
    <row r="1167" spans="1:3">
      <c r="A1167" s="40"/>
      <c r="B1167" s="476"/>
      <c r="C1167" s="476"/>
    </row>
    <row r="1168" spans="1:3">
      <c r="A1168" s="475"/>
      <c r="B1168" s="474"/>
      <c r="C1168" s="474"/>
    </row>
    <row r="1169" spans="1:3">
      <c r="A1169" s="40"/>
      <c r="B1169" s="476"/>
      <c r="C1169" s="476"/>
    </row>
    <row r="1170" spans="1:3">
      <c r="A1170" s="475"/>
      <c r="B1170" s="474"/>
      <c r="C1170" s="474"/>
    </row>
    <row r="1171" spans="1:3">
      <c r="A1171" s="40"/>
      <c r="B1171" s="474"/>
      <c r="C1171" s="474"/>
    </row>
    <row r="1172" spans="1:3">
      <c r="A1172" s="40"/>
      <c r="B1172" s="476"/>
      <c r="C1172" s="476"/>
    </row>
    <row r="1173" spans="1:3">
      <c r="A1173" s="40"/>
      <c r="B1173" s="474"/>
      <c r="C1173" s="474"/>
    </row>
    <row r="1174" spans="1:3">
      <c r="A1174" s="40"/>
      <c r="B1174" s="474"/>
      <c r="C1174" s="474"/>
    </row>
    <row r="1175" spans="1:3">
      <c r="A1175" s="40"/>
      <c r="B1175" s="476"/>
      <c r="C1175" s="476"/>
    </row>
    <row r="1176" spans="1:3">
      <c r="A1176" s="40"/>
      <c r="B1176" s="476"/>
      <c r="C1176" s="476"/>
    </row>
    <row r="1177" spans="1:3">
      <c r="A1177" s="40"/>
      <c r="B1177" s="476"/>
      <c r="C1177" s="476"/>
    </row>
    <row r="1178" spans="1:3">
      <c r="A1178" s="475"/>
      <c r="B1178" s="474"/>
      <c r="C1178" s="474"/>
    </row>
    <row r="1179" spans="1:3">
      <c r="A1179" s="40"/>
      <c r="B1179" s="476"/>
      <c r="C1179" s="476"/>
    </row>
    <row r="1180" spans="1:3">
      <c r="A1180" s="40"/>
      <c r="B1180" s="474"/>
      <c r="C1180" s="474"/>
    </row>
    <row r="1181" spans="1:3">
      <c r="A1181" s="475"/>
      <c r="B1181" s="474"/>
      <c r="C1181" s="474"/>
    </row>
    <row r="1182" spans="1:3">
      <c r="A1182" s="40"/>
      <c r="B1182" s="474"/>
      <c r="C1182" s="474"/>
    </row>
    <row r="1183" spans="1:3">
      <c r="A1183" s="40"/>
      <c r="B1183" s="476"/>
      <c r="C1183" s="476"/>
    </row>
    <row r="1184" spans="1:3">
      <c r="A1184" s="40"/>
      <c r="B1184" s="474"/>
      <c r="C1184" s="474"/>
    </row>
    <row r="1185" spans="1:3">
      <c r="A1185" s="40"/>
      <c r="B1185" s="476"/>
      <c r="C1185" s="476"/>
    </row>
    <row r="1186" spans="1:3">
      <c r="A1186" s="40"/>
      <c r="B1186" s="476"/>
      <c r="C1186" s="476"/>
    </row>
    <row r="1187" spans="1:3">
      <c r="A1187" s="40"/>
      <c r="B1187" s="476"/>
      <c r="C1187" s="476"/>
    </row>
    <row r="1188" spans="1:3">
      <c r="A1188" s="40"/>
      <c r="B1188" s="476"/>
      <c r="C1188" s="476"/>
    </row>
    <row r="1189" spans="1:3">
      <c r="A1189" s="40"/>
      <c r="B1189" s="476"/>
      <c r="C1189" s="476"/>
    </row>
    <row r="1190" spans="1:3">
      <c r="A1190" s="40"/>
      <c r="B1190" s="474"/>
      <c r="C1190" s="474"/>
    </row>
    <row r="1191" spans="1:3">
      <c r="A1191" s="475"/>
      <c r="B1191" s="474"/>
      <c r="C1191" s="474"/>
    </row>
    <row r="1192" spans="1:3">
      <c r="A1192" s="40"/>
      <c r="B1192" s="476"/>
      <c r="C1192" s="476"/>
    </row>
    <row r="1193" spans="1:3">
      <c r="A1193" s="475"/>
      <c r="B1193" s="474"/>
      <c r="C1193" s="474"/>
    </row>
    <row r="1194" spans="1:3">
      <c r="A1194" s="40"/>
      <c r="B1194" s="476"/>
      <c r="C1194" s="476"/>
    </row>
    <row r="1195" spans="1:3">
      <c r="A1195" s="40"/>
      <c r="B1195" s="476"/>
      <c r="C1195" s="476"/>
    </row>
    <row r="1196" spans="1:3">
      <c r="A1196" s="40"/>
      <c r="B1196" s="476"/>
      <c r="C1196" s="476"/>
    </row>
    <row r="1197" spans="1:3">
      <c r="A1197" s="40"/>
      <c r="B1197" s="476"/>
      <c r="C1197" s="476"/>
    </row>
    <row r="1198" spans="1:3">
      <c r="A1198" s="475"/>
      <c r="B1198" s="474"/>
      <c r="C1198" s="474"/>
    </row>
    <row r="1199" spans="1:3">
      <c r="A1199" s="40"/>
      <c r="B1199" s="474"/>
      <c r="C1199" s="474"/>
    </row>
    <row r="1200" spans="1:3">
      <c r="A1200" s="40"/>
      <c r="B1200" s="476"/>
      <c r="C1200" s="476"/>
    </row>
    <row r="1201" spans="1:3">
      <c r="A1201" s="475"/>
      <c r="B1201" s="474"/>
      <c r="C1201" s="474"/>
    </row>
    <row r="1202" spans="1:3">
      <c r="A1202" s="475"/>
      <c r="B1202" s="474"/>
      <c r="C1202" s="474"/>
    </row>
    <row r="1203" spans="1:3">
      <c r="A1203" s="40"/>
      <c r="B1203" s="474"/>
      <c r="C1203" s="474"/>
    </row>
    <row r="1204" spans="1:3">
      <c r="A1204" s="40"/>
      <c r="B1204" s="476"/>
      <c r="C1204" s="476"/>
    </row>
    <row r="1205" spans="1:3">
      <c r="A1205" s="40"/>
      <c r="B1205" s="474"/>
      <c r="C1205" s="474"/>
    </row>
    <row r="1206" spans="1:3">
      <c r="A1206" s="40"/>
      <c r="B1206" s="476"/>
      <c r="C1206" s="476"/>
    </row>
    <row r="1207" spans="1:3">
      <c r="A1207" s="40"/>
      <c r="B1207" s="474"/>
      <c r="C1207" s="474"/>
    </row>
    <row r="1208" spans="1:3">
      <c r="A1208" s="40"/>
      <c r="B1208" s="476"/>
      <c r="C1208" s="476"/>
    </row>
    <row r="1209" spans="1:3">
      <c r="A1209" s="40"/>
      <c r="B1209" s="476"/>
      <c r="C1209" s="476"/>
    </row>
    <row r="1210" spans="1:3">
      <c r="A1210" s="475"/>
      <c r="B1210" s="474"/>
      <c r="C1210" s="474"/>
    </row>
    <row r="1211" spans="1:3">
      <c r="A1211" s="40"/>
      <c r="B1211" s="474"/>
      <c r="C1211" s="474"/>
    </row>
    <row r="1212" spans="1:3">
      <c r="A1212" s="40"/>
      <c r="B1212" s="474"/>
      <c r="C1212" s="474"/>
    </row>
    <row r="1213" spans="1:3">
      <c r="A1213" s="40"/>
      <c r="B1213" s="476"/>
      <c r="C1213" s="476"/>
    </row>
    <row r="1214" spans="1:3">
      <c r="A1214" s="40"/>
      <c r="B1214" s="476"/>
      <c r="C1214" s="476"/>
    </row>
    <row r="1215" spans="1:3">
      <c r="A1215" s="40"/>
      <c r="B1215" s="476"/>
      <c r="C1215" s="476"/>
    </row>
    <row r="1216" spans="1:3">
      <c r="A1216" s="475"/>
      <c r="B1216" s="474"/>
      <c r="C1216" s="474"/>
    </row>
    <row r="1217" spans="1:3">
      <c r="A1217" s="40"/>
      <c r="B1217" s="476"/>
      <c r="C1217" s="476"/>
    </row>
    <row r="1218" spans="1:3">
      <c r="A1218" s="40"/>
      <c r="B1218" s="476"/>
      <c r="C1218" s="476"/>
    </row>
    <row r="1219" spans="1:3">
      <c r="A1219" s="40"/>
      <c r="B1219" s="474"/>
      <c r="C1219" s="474"/>
    </row>
    <row r="1220" spans="1:3">
      <c r="A1220" s="40"/>
      <c r="B1220" s="476"/>
      <c r="C1220" s="476"/>
    </row>
    <row r="1221" spans="1:3">
      <c r="A1221" s="40"/>
      <c r="B1221" s="476"/>
      <c r="C1221" s="476"/>
    </row>
    <row r="1222" spans="1:3">
      <c r="A1222" s="475"/>
      <c r="B1222" s="474"/>
      <c r="C1222" s="474"/>
    </row>
    <row r="1223" spans="1:3">
      <c r="A1223" s="475"/>
      <c r="B1223" s="474"/>
      <c r="C1223" s="474"/>
    </row>
    <row r="1224" spans="1:3">
      <c r="A1224" s="40"/>
      <c r="B1224" s="476"/>
      <c r="C1224" s="476"/>
    </row>
    <row r="1225" spans="1:3">
      <c r="A1225" s="475"/>
      <c r="B1225" s="474"/>
      <c r="C1225" s="474"/>
    </row>
    <row r="1226" spans="1:3">
      <c r="A1226" s="40"/>
      <c r="B1226" s="474"/>
      <c r="C1226" s="474"/>
    </row>
    <row r="1227" spans="1:3">
      <c r="A1227" s="40"/>
      <c r="B1227" s="474"/>
      <c r="C1227" s="474"/>
    </row>
    <row r="1228" spans="1:3">
      <c r="A1228" s="40"/>
      <c r="B1228" s="476"/>
      <c r="C1228" s="476"/>
    </row>
    <row r="1229" spans="1:3">
      <c r="A1229" s="475"/>
      <c r="B1229" s="474"/>
      <c r="C1229" s="474"/>
    </row>
    <row r="1230" spans="1:3">
      <c r="A1230" s="40"/>
      <c r="B1230" s="476"/>
      <c r="C1230" s="476"/>
    </row>
    <row r="1231" spans="1:3">
      <c r="A1231" s="475"/>
      <c r="B1231" s="474"/>
      <c r="C1231" s="474"/>
    </row>
    <row r="1232" spans="1:3">
      <c r="A1232" s="475"/>
      <c r="B1232" s="474"/>
      <c r="C1232" s="474"/>
    </row>
    <row r="1233" spans="1:3">
      <c r="A1233" s="40"/>
      <c r="B1233" s="476"/>
      <c r="C1233" s="476"/>
    </row>
    <row r="1234" spans="1:3">
      <c r="A1234" s="40"/>
      <c r="B1234" s="476"/>
      <c r="C1234" s="476"/>
    </row>
    <row r="1235" spans="1:3">
      <c r="A1235" s="40"/>
      <c r="B1235" s="476"/>
      <c r="C1235" s="476"/>
    </row>
    <row r="1236" spans="1:3">
      <c r="A1236" s="40"/>
      <c r="B1236" s="474"/>
      <c r="C1236" s="474"/>
    </row>
    <row r="1237" spans="1:3">
      <c r="A1237" s="40"/>
      <c r="B1237" s="474"/>
      <c r="C1237" s="474"/>
    </row>
    <row r="1238" spans="1:3">
      <c r="A1238" s="40"/>
      <c r="B1238" s="476"/>
      <c r="C1238" s="476"/>
    </row>
    <row r="1239" spans="1:3">
      <c r="A1239" s="40"/>
      <c r="B1239" s="474"/>
      <c r="C1239" s="474"/>
    </row>
    <row r="1240" spans="1:3">
      <c r="A1240" s="40"/>
      <c r="B1240" s="476"/>
      <c r="C1240" s="476"/>
    </row>
    <row r="1241" spans="1:3">
      <c r="A1241" s="40"/>
      <c r="B1241" s="474"/>
      <c r="C1241" s="474"/>
    </row>
    <row r="1242" spans="1:3">
      <c r="A1242" s="40"/>
      <c r="B1242" s="476"/>
      <c r="C1242" s="476"/>
    </row>
    <row r="1243" spans="1:3">
      <c r="A1243" s="40"/>
      <c r="B1243" s="476"/>
      <c r="C1243" s="476"/>
    </row>
    <row r="1244" spans="1:3">
      <c r="A1244" s="40"/>
      <c r="B1244" s="476"/>
      <c r="C1244" s="476"/>
    </row>
    <row r="1245" spans="1:3">
      <c r="A1245" s="40"/>
      <c r="B1245" s="476"/>
      <c r="C1245" s="476"/>
    </row>
    <row r="1246" spans="1:3">
      <c r="A1246" s="475"/>
      <c r="B1246" s="474"/>
      <c r="C1246" s="474"/>
    </row>
    <row r="1247" spans="1:3">
      <c r="A1247" s="475"/>
      <c r="B1247" s="474"/>
      <c r="C1247" s="474"/>
    </row>
    <row r="1248" spans="1:3">
      <c r="A1248" s="40"/>
      <c r="B1248" s="476"/>
      <c r="C1248" s="476"/>
    </row>
    <row r="1249" spans="1:3">
      <c r="A1249" s="40"/>
      <c r="B1249" s="476"/>
      <c r="C1249" s="476"/>
    </row>
    <row r="1250" spans="1:3">
      <c r="A1250" s="40"/>
      <c r="B1250" s="476"/>
      <c r="C1250" s="476"/>
    </row>
    <row r="1251" spans="1:3">
      <c r="A1251" s="40"/>
      <c r="B1251" s="476"/>
      <c r="C1251" s="476"/>
    </row>
    <row r="1252" spans="1:3">
      <c r="A1252" s="40"/>
      <c r="B1252" s="476"/>
      <c r="C1252" s="476"/>
    </row>
    <row r="1253" spans="1:3">
      <c r="A1253" s="475"/>
      <c r="B1253" s="474"/>
      <c r="C1253" s="474"/>
    </row>
    <row r="1254" spans="1:3">
      <c r="A1254" s="475"/>
      <c r="B1254" s="474"/>
      <c r="C1254" s="474"/>
    </row>
    <row r="1255" spans="1:3">
      <c r="A1255" s="40"/>
      <c r="B1255" s="476"/>
      <c r="C1255" s="476"/>
    </row>
    <row r="1256" spans="1:3">
      <c r="A1256" s="40"/>
      <c r="B1256" s="474"/>
      <c r="C1256" s="474"/>
    </row>
    <row r="1257" spans="1:3">
      <c r="A1257" s="40"/>
      <c r="B1257" s="474"/>
      <c r="C1257" s="474"/>
    </row>
    <row r="1258" spans="1:3">
      <c r="A1258" s="475"/>
      <c r="B1258" s="474"/>
      <c r="C1258" s="474"/>
    </row>
    <row r="1259" spans="1:3">
      <c r="A1259" s="475"/>
      <c r="B1259" s="474"/>
      <c r="C1259" s="474"/>
    </row>
    <row r="1260" spans="1:3">
      <c r="A1260" s="475"/>
      <c r="B1260" s="474"/>
      <c r="C1260" s="474"/>
    </row>
    <row r="1261" spans="1:3">
      <c r="A1261" s="40"/>
      <c r="B1261" s="474"/>
      <c r="C1261" s="474"/>
    </row>
    <row r="1262" spans="1:3">
      <c r="A1262" s="40"/>
      <c r="B1262" s="476"/>
      <c r="C1262" s="476"/>
    </row>
    <row r="1263" spans="1:3">
      <c r="A1263" s="40"/>
      <c r="B1263" s="476"/>
      <c r="C1263" s="476"/>
    </row>
    <row r="1264" spans="1:3">
      <c r="A1264" s="40"/>
      <c r="B1264" s="474"/>
      <c r="C1264" s="474"/>
    </row>
    <row r="1265" spans="1:3">
      <c r="A1265" s="40"/>
      <c r="B1265" s="476"/>
      <c r="C1265" s="476"/>
    </row>
    <row r="1266" spans="1:3">
      <c r="A1266" s="40"/>
      <c r="B1266" s="474"/>
      <c r="C1266" s="474"/>
    </row>
    <row r="1267" spans="1:3">
      <c r="A1267" s="40"/>
      <c r="B1267" s="476"/>
      <c r="C1267" s="476"/>
    </row>
    <row r="1268" spans="1:3">
      <c r="A1268" s="40"/>
      <c r="B1268" s="476"/>
      <c r="C1268" s="476"/>
    </row>
    <row r="1269" spans="1:3">
      <c r="A1269" s="40"/>
      <c r="B1269" s="476"/>
      <c r="C1269" s="476"/>
    </row>
    <row r="1270" spans="1:3">
      <c r="A1270" s="475"/>
      <c r="B1270" s="474"/>
      <c r="C1270" s="474"/>
    </row>
    <row r="1271" spans="1:3">
      <c r="A1271" s="40"/>
      <c r="B1271" s="476"/>
      <c r="C1271" s="476"/>
    </row>
    <row r="1272" spans="1:3">
      <c r="A1272" s="40"/>
      <c r="B1272" s="474"/>
      <c r="C1272" s="474"/>
    </row>
    <row r="1273" spans="1:3">
      <c r="A1273" s="40"/>
      <c r="B1273" s="476"/>
      <c r="C1273" s="476"/>
    </row>
    <row r="1274" spans="1:3">
      <c r="A1274" s="475"/>
      <c r="B1274" s="474"/>
      <c r="C1274" s="474"/>
    </row>
    <row r="1275" spans="1:3">
      <c r="A1275" s="475"/>
      <c r="B1275" s="474"/>
      <c r="C1275" s="474"/>
    </row>
    <row r="1276" spans="1:3">
      <c r="A1276" s="40"/>
      <c r="B1276" s="476"/>
      <c r="C1276" s="476"/>
    </row>
    <row r="1277" spans="1:3">
      <c r="A1277" s="40"/>
      <c r="B1277" s="474"/>
      <c r="C1277" s="474"/>
    </row>
    <row r="1278" spans="1:3">
      <c r="A1278" s="40"/>
      <c r="B1278" s="476"/>
      <c r="C1278" s="476"/>
    </row>
    <row r="1279" spans="1:3">
      <c r="A1279" s="40"/>
      <c r="B1279" s="476"/>
      <c r="C1279" s="476"/>
    </row>
    <row r="1280" spans="1:3">
      <c r="A1280" s="40"/>
      <c r="B1280" s="476"/>
      <c r="C1280" s="476"/>
    </row>
    <row r="1281" spans="1:3">
      <c r="A1281" s="475"/>
      <c r="B1281" s="474"/>
      <c r="C1281" s="474"/>
    </row>
    <row r="1282" spans="1:3">
      <c r="A1282" s="40"/>
      <c r="B1282" s="476"/>
      <c r="C1282" s="476"/>
    </row>
    <row r="1283" spans="1:3">
      <c r="A1283" s="40"/>
      <c r="B1283" s="474"/>
      <c r="C1283" s="474"/>
    </row>
    <row r="1284" spans="1:3">
      <c r="A1284" s="475"/>
      <c r="B1284" s="474"/>
      <c r="C1284" s="474"/>
    </row>
    <row r="1285" spans="1:3">
      <c r="A1285" s="475"/>
      <c r="B1285" s="474"/>
      <c r="C1285" s="474"/>
    </row>
    <row r="1286" spans="1:3">
      <c r="A1286" s="40"/>
      <c r="B1286" s="476"/>
      <c r="C1286" s="476"/>
    </row>
    <row r="1287" spans="1:3">
      <c r="A1287" s="40"/>
      <c r="B1287" s="474"/>
      <c r="C1287" s="474"/>
    </row>
    <row r="1288" spans="1:3">
      <c r="A1288" s="40"/>
      <c r="B1288" s="476"/>
      <c r="C1288" s="476"/>
    </row>
    <row r="1289" spans="1:3">
      <c r="A1289" s="40"/>
      <c r="B1289" s="476"/>
      <c r="C1289" s="476"/>
    </row>
    <row r="1290" spans="1:3">
      <c r="A1290" s="40"/>
      <c r="B1290" s="474"/>
      <c r="C1290" s="474"/>
    </row>
    <row r="1291" spans="1:3">
      <c r="A1291" s="475"/>
      <c r="B1291" s="474"/>
      <c r="C1291" s="474"/>
    </row>
    <row r="1292" spans="1:3">
      <c r="A1292" s="40"/>
      <c r="B1292" s="476"/>
      <c r="C1292" s="476"/>
    </row>
    <row r="1293" spans="1:3">
      <c r="A1293" s="40"/>
      <c r="B1293" s="476"/>
      <c r="C1293" s="476"/>
    </row>
    <row r="1294" spans="1:3">
      <c r="A1294" s="40"/>
      <c r="B1294" s="476"/>
      <c r="C1294" s="476"/>
    </row>
    <row r="1295" spans="1:3">
      <c r="A1295" s="40"/>
      <c r="B1295" s="474"/>
      <c r="C1295" s="474"/>
    </row>
    <row r="1296" spans="1:3">
      <c r="A1296" s="475"/>
      <c r="B1296" s="474"/>
      <c r="C1296" s="474"/>
    </row>
    <row r="1297" spans="1:3">
      <c r="A1297" s="40"/>
      <c r="B1297" s="476"/>
      <c r="C1297" s="476"/>
    </row>
    <row r="1298" spans="1:3">
      <c r="A1298" s="40"/>
      <c r="B1298" s="474"/>
      <c r="C1298" s="474"/>
    </row>
    <row r="1299" spans="1:3">
      <c r="A1299" s="40"/>
      <c r="B1299" s="476"/>
      <c r="C1299" s="476"/>
    </row>
    <row r="1300" spans="1:3">
      <c r="A1300" s="475"/>
      <c r="B1300" s="474"/>
      <c r="C1300" s="474"/>
    </row>
    <row r="1301" spans="1:3">
      <c r="A1301" s="40"/>
      <c r="B1301" s="474"/>
      <c r="C1301" s="474"/>
    </row>
    <row r="1302" spans="1:3">
      <c r="A1302" s="475"/>
      <c r="B1302" s="474"/>
      <c r="C1302" s="474"/>
    </row>
    <row r="1303" spans="1:3">
      <c r="A1303" s="40"/>
      <c r="B1303" s="476"/>
      <c r="C1303" s="476"/>
    </row>
    <row r="1304" spans="1:3">
      <c r="A1304" s="40"/>
      <c r="B1304" s="476"/>
      <c r="C1304" s="476"/>
    </row>
    <row r="1305" spans="1:3">
      <c r="A1305" s="40"/>
      <c r="B1305" s="476"/>
      <c r="C1305" s="476"/>
    </row>
    <row r="1306" spans="1:3">
      <c r="A1306" s="40"/>
      <c r="B1306" s="474"/>
      <c r="C1306" s="474"/>
    </row>
    <row r="1307" spans="1:3">
      <c r="A1307" s="40"/>
      <c r="B1307" s="476"/>
      <c r="C1307" s="476"/>
    </row>
    <row r="1308" spans="1:3">
      <c r="A1308" s="475"/>
      <c r="B1308" s="474"/>
      <c r="C1308" s="474"/>
    </row>
    <row r="1309" spans="1:3">
      <c r="A1309" s="40"/>
      <c r="B1309" s="476"/>
      <c r="C1309" s="476"/>
    </row>
    <row r="1310" spans="1:3">
      <c r="A1310" s="40"/>
      <c r="B1310" s="474"/>
      <c r="C1310" s="474"/>
    </row>
    <row r="1311" spans="1:3">
      <c r="A1311" s="475"/>
      <c r="B1311" s="474"/>
      <c r="C1311" s="474"/>
    </row>
    <row r="1312" spans="1:3">
      <c r="A1312" s="40"/>
      <c r="B1312" s="476"/>
      <c r="C1312" s="476"/>
    </row>
    <row r="1313" spans="1:3">
      <c r="A1313" s="40"/>
      <c r="B1313" s="474"/>
      <c r="C1313" s="474"/>
    </row>
    <row r="1314" spans="1:3">
      <c r="A1314" s="40"/>
      <c r="B1314" s="476"/>
      <c r="C1314" s="476"/>
    </row>
  </sheetData>
  <phoneticPr fontId="0" type="noConversion"/>
  <pageMargins left="0.75" right="0.75" top="1" bottom="1" header="0" footer="0"/>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Hoja11"/>
  <dimension ref="A1:AO29"/>
  <sheetViews>
    <sheetView workbookViewId="0">
      <selection activeCell="I16" sqref="I16"/>
    </sheetView>
  </sheetViews>
  <sheetFormatPr baseColWidth="10" defaultRowHeight="12.75"/>
  <cols>
    <col min="1" max="1" width="3.85546875" bestFit="1" customWidth="1"/>
    <col min="2" max="2" width="7" bestFit="1" customWidth="1"/>
    <col min="3" max="3" width="4.140625" bestFit="1" customWidth="1"/>
    <col min="4" max="4" width="3.85546875" bestFit="1" customWidth="1"/>
    <col min="5" max="6" width="3.28515625" bestFit="1" customWidth="1"/>
    <col min="7" max="7" width="3.42578125" bestFit="1" customWidth="1"/>
    <col min="8" max="8" width="3.28515625" bestFit="1" customWidth="1"/>
    <col min="9" max="9" width="4.140625" bestFit="1" customWidth="1"/>
    <col min="10" max="11" width="3.28515625" bestFit="1" customWidth="1"/>
    <col min="12" max="12" width="4" bestFit="1" customWidth="1"/>
    <col min="13" max="13" width="4.140625" bestFit="1" customWidth="1"/>
    <col min="14" max="14" width="4.7109375" bestFit="1" customWidth="1"/>
    <col min="15" max="15" width="4.28515625" bestFit="1" customWidth="1"/>
    <col min="16" max="16" width="4.140625" bestFit="1" customWidth="1"/>
    <col min="18" max="18" width="7" bestFit="1" customWidth="1"/>
    <col min="19" max="19" width="4.140625" bestFit="1" customWidth="1"/>
    <col min="20" max="20" width="5.28515625" bestFit="1" customWidth="1"/>
    <col min="21" max="21" width="4.85546875" bestFit="1" customWidth="1"/>
    <col min="22" max="22" width="5.7109375" bestFit="1" customWidth="1"/>
    <col min="23" max="24" width="4.140625" bestFit="1" customWidth="1"/>
    <col min="25" max="25" width="4.5703125" bestFit="1" customWidth="1"/>
    <col min="26" max="26" width="4.85546875" bestFit="1" customWidth="1"/>
    <col min="27" max="27" width="5.7109375" bestFit="1" customWidth="1"/>
    <col min="28" max="28" width="3.5703125" bestFit="1" customWidth="1"/>
    <col min="29" max="30" width="4.140625" bestFit="1" customWidth="1"/>
    <col min="31" max="31" width="4.5703125" bestFit="1" customWidth="1"/>
    <col min="32" max="32" width="4" bestFit="1" customWidth="1"/>
    <col min="33" max="33" width="7.42578125" bestFit="1" customWidth="1"/>
    <col min="34" max="35" width="4" bestFit="1" customWidth="1"/>
    <col min="36" max="36" width="8.85546875" bestFit="1" customWidth="1"/>
    <col min="37" max="37" width="4" bestFit="1" customWidth="1"/>
    <col min="38" max="40" width="2.5703125" bestFit="1" customWidth="1"/>
  </cols>
  <sheetData>
    <row r="1" spans="1:41" s="179" customFormat="1" ht="20.25" customHeight="1" thickTop="1">
      <c r="B1" s="122"/>
      <c r="C1" s="123"/>
      <c r="D1" s="124"/>
      <c r="E1" s="124"/>
      <c r="F1" s="124"/>
      <c r="G1" s="124"/>
      <c r="H1" s="125"/>
      <c r="I1" s="125"/>
      <c r="J1" s="124"/>
      <c r="K1" s="124"/>
      <c r="L1" s="124"/>
      <c r="M1" s="124"/>
      <c r="N1" s="125"/>
      <c r="O1" s="124"/>
      <c r="P1" s="124"/>
      <c r="Q1" s="133"/>
      <c r="R1" s="127"/>
      <c r="S1" s="125"/>
      <c r="T1" s="124"/>
      <c r="U1" s="124"/>
      <c r="V1" s="124"/>
      <c r="W1" s="124"/>
      <c r="X1" s="125"/>
      <c r="Y1" s="124"/>
      <c r="Z1" s="124"/>
      <c r="AA1" s="124"/>
      <c r="AB1" s="125"/>
      <c r="AC1" s="124"/>
      <c r="AD1" s="124"/>
      <c r="AE1" s="128"/>
      <c r="AF1" s="1254" t="s">
        <v>80</v>
      </c>
      <c r="AG1" s="1255"/>
      <c r="AH1" s="1255"/>
      <c r="AI1" s="1255"/>
      <c r="AJ1" s="1255"/>
      <c r="AK1" s="1256"/>
      <c r="AL1" s="1257" t="s">
        <v>165</v>
      </c>
      <c r="AM1" s="1252" t="s">
        <v>166</v>
      </c>
      <c r="AN1" s="1252" t="s">
        <v>167</v>
      </c>
      <c r="AO1" s="180"/>
    </row>
    <row r="2" spans="1:41" s="179" customFormat="1" ht="20.25" customHeight="1">
      <c r="B2" s="132"/>
      <c r="C2" s="133"/>
      <c r="D2" s="126"/>
      <c r="E2" s="126"/>
      <c r="F2" s="126"/>
      <c r="G2" s="126"/>
      <c r="H2" s="134"/>
      <c r="I2" s="134"/>
      <c r="J2" s="126"/>
      <c r="K2" s="126"/>
      <c r="L2" s="126"/>
      <c r="M2" s="126"/>
      <c r="N2" s="134"/>
      <c r="O2" s="126"/>
      <c r="P2" s="126"/>
      <c r="Q2" s="133"/>
      <c r="R2" s="135"/>
      <c r="S2" s="134"/>
      <c r="T2" s="126"/>
      <c r="U2" s="126"/>
      <c r="V2" s="126"/>
      <c r="W2" s="126"/>
      <c r="X2" s="134"/>
      <c r="Y2" s="126"/>
      <c r="Z2" s="126"/>
      <c r="AA2" s="126"/>
      <c r="AB2" s="134"/>
      <c r="AC2" s="126"/>
      <c r="AD2" s="126"/>
      <c r="AE2" s="136"/>
      <c r="AF2" s="137"/>
      <c r="AG2" s="138"/>
      <c r="AH2" s="139"/>
      <c r="AI2" s="138"/>
      <c r="AJ2" s="138"/>
      <c r="AK2" s="140"/>
      <c r="AL2" s="1257"/>
      <c r="AM2" s="1252"/>
      <c r="AN2" s="1252"/>
      <c r="AO2" s="181"/>
    </row>
    <row r="3" spans="1:41" s="179" customFormat="1" ht="20.25" customHeight="1">
      <c r="B3" s="132"/>
      <c r="C3" s="133" t="s">
        <v>79</v>
      </c>
      <c r="D3" s="126" t="s">
        <v>81</v>
      </c>
      <c r="E3" s="126" t="s">
        <v>34</v>
      </c>
      <c r="F3" s="126" t="s">
        <v>82</v>
      </c>
      <c r="G3" s="126" t="s">
        <v>83</v>
      </c>
      <c r="H3" s="134" t="s">
        <v>84</v>
      </c>
      <c r="I3" s="134" t="s">
        <v>85</v>
      </c>
      <c r="J3" s="126" t="s">
        <v>86</v>
      </c>
      <c r="K3" s="126" t="s">
        <v>36</v>
      </c>
      <c r="L3" s="126" t="s">
        <v>87</v>
      </c>
      <c r="M3" s="141" t="s">
        <v>88</v>
      </c>
      <c r="N3" s="134" t="s">
        <v>89</v>
      </c>
      <c r="O3" s="126" t="s">
        <v>90</v>
      </c>
      <c r="P3" s="126" t="s">
        <v>91</v>
      </c>
      <c r="Q3" s="133"/>
      <c r="R3" s="135"/>
      <c r="S3" s="134" t="s">
        <v>79</v>
      </c>
      <c r="T3" s="126" t="s">
        <v>92</v>
      </c>
      <c r="U3" s="126" t="s">
        <v>93</v>
      </c>
      <c r="V3" s="126" t="s">
        <v>94</v>
      </c>
      <c r="W3" s="126" t="s">
        <v>95</v>
      </c>
      <c r="X3" s="134" t="s">
        <v>96</v>
      </c>
      <c r="Y3" s="126" t="s">
        <v>97</v>
      </c>
      <c r="Z3" s="126" t="s">
        <v>98</v>
      </c>
      <c r="AA3" s="126" t="s">
        <v>99</v>
      </c>
      <c r="AB3" s="134" t="s">
        <v>100</v>
      </c>
      <c r="AC3" s="126" t="s">
        <v>101</v>
      </c>
      <c r="AD3" s="126" t="s">
        <v>102</v>
      </c>
      <c r="AE3" s="136" t="s">
        <v>103</v>
      </c>
      <c r="AF3" s="142"/>
      <c r="AG3" s="143" t="s">
        <v>104</v>
      </c>
      <c r="AH3" s="144"/>
      <c r="AI3" s="143"/>
      <c r="AJ3" s="143" t="s">
        <v>104</v>
      </c>
      <c r="AK3" s="145"/>
      <c r="AL3" s="1257"/>
      <c r="AM3" s="1252"/>
      <c r="AN3" s="1252"/>
      <c r="AO3" s="180"/>
    </row>
    <row r="4" spans="1:41" s="179" customFormat="1" ht="13.5" customHeight="1">
      <c r="B4" s="132"/>
      <c r="C4" s="133" t="s">
        <v>105</v>
      </c>
      <c r="D4" s="126" t="s">
        <v>106</v>
      </c>
      <c r="E4" s="126" t="s">
        <v>77</v>
      </c>
      <c r="F4" s="126" t="s">
        <v>77</v>
      </c>
      <c r="G4" s="126" t="s">
        <v>77</v>
      </c>
      <c r="H4" s="134" t="s">
        <v>77</v>
      </c>
      <c r="I4" s="134" t="s">
        <v>107</v>
      </c>
      <c r="J4" s="126" t="s">
        <v>77</v>
      </c>
      <c r="K4" s="126" t="s">
        <v>77</v>
      </c>
      <c r="L4" s="126"/>
      <c r="M4" s="126" t="s">
        <v>77</v>
      </c>
      <c r="N4" s="134" t="s">
        <v>77</v>
      </c>
      <c r="O4" s="126" t="s">
        <v>108</v>
      </c>
      <c r="P4" s="126" t="s">
        <v>109</v>
      </c>
      <c r="Q4" s="133"/>
      <c r="R4" s="135"/>
      <c r="S4" s="134" t="s">
        <v>105</v>
      </c>
      <c r="T4" s="126" t="s">
        <v>110</v>
      </c>
      <c r="U4" s="126" t="s">
        <v>111</v>
      </c>
      <c r="V4" s="126" t="s">
        <v>111</v>
      </c>
      <c r="W4" s="126" t="s">
        <v>77</v>
      </c>
      <c r="X4" s="134" t="s">
        <v>112</v>
      </c>
      <c r="Y4" s="126" t="s">
        <v>113</v>
      </c>
      <c r="Z4" s="126" t="s">
        <v>111</v>
      </c>
      <c r="AA4" s="126" t="s">
        <v>111</v>
      </c>
      <c r="AB4" s="134" t="s">
        <v>77</v>
      </c>
      <c r="AC4" s="126" t="s">
        <v>77</v>
      </c>
      <c r="AD4" s="126" t="s">
        <v>113</v>
      </c>
      <c r="AE4" s="146" t="s">
        <v>114</v>
      </c>
      <c r="AF4" s="147"/>
      <c r="AG4" s="148" t="s">
        <v>115</v>
      </c>
      <c r="AH4" s="149"/>
      <c r="AI4" s="148"/>
      <c r="AJ4" s="148" t="s">
        <v>116</v>
      </c>
      <c r="AK4" s="150"/>
      <c r="AL4" s="1257"/>
      <c r="AM4" s="1252"/>
      <c r="AN4" s="1252"/>
      <c r="AO4" s="180"/>
    </row>
    <row r="5" spans="1:41" s="179" customFormat="1" ht="10.5" customHeight="1" thickBot="1">
      <c r="B5" s="151"/>
      <c r="C5" s="152"/>
      <c r="D5" s="153"/>
      <c r="E5" s="153"/>
      <c r="F5" s="153"/>
      <c r="G5" s="153"/>
      <c r="H5" s="154"/>
      <c r="I5" s="154" t="s">
        <v>117</v>
      </c>
      <c r="J5" s="153"/>
      <c r="K5" s="153"/>
      <c r="L5" s="153"/>
      <c r="M5" s="153"/>
      <c r="N5" s="154"/>
      <c r="O5" s="153"/>
      <c r="P5" s="153"/>
      <c r="Q5" s="133"/>
      <c r="R5" s="152"/>
      <c r="S5" s="154"/>
      <c r="T5" s="153" t="s">
        <v>118</v>
      </c>
      <c r="U5" s="153" t="s">
        <v>119</v>
      </c>
      <c r="V5" s="153" t="s">
        <v>119</v>
      </c>
      <c r="W5" s="155" t="s">
        <v>120</v>
      </c>
      <c r="X5" s="154" t="s">
        <v>117</v>
      </c>
      <c r="Y5" s="153" t="s">
        <v>118</v>
      </c>
      <c r="Z5" s="153" t="s">
        <v>119</v>
      </c>
      <c r="AA5" s="153" t="s">
        <v>119</v>
      </c>
      <c r="AB5" s="156" t="s">
        <v>120</v>
      </c>
      <c r="AC5" s="153"/>
      <c r="AD5" s="153" t="s">
        <v>118</v>
      </c>
      <c r="AE5" s="157" t="s">
        <v>121</v>
      </c>
      <c r="AF5" s="158" t="s">
        <v>65</v>
      </c>
      <c r="AG5" s="159" t="s">
        <v>69</v>
      </c>
      <c r="AH5" s="159" t="s">
        <v>122</v>
      </c>
      <c r="AI5" s="159" t="s">
        <v>65</v>
      </c>
      <c r="AJ5" s="159" t="s">
        <v>69</v>
      </c>
      <c r="AK5" s="160" t="s">
        <v>122</v>
      </c>
      <c r="AL5" s="1258"/>
      <c r="AM5" s="1253"/>
      <c r="AN5" s="1253"/>
      <c r="AO5" s="182"/>
    </row>
    <row r="6" spans="1:41" s="180" customFormat="1" ht="14.25" customHeight="1" thickTop="1">
      <c r="B6" s="183"/>
      <c r="C6" s="183"/>
      <c r="D6" s="183"/>
      <c r="E6" s="183"/>
      <c r="F6" s="183"/>
      <c r="G6" s="183"/>
      <c r="H6" s="183"/>
      <c r="I6" s="183"/>
      <c r="J6" s="183"/>
      <c r="K6" s="183"/>
      <c r="L6" s="183"/>
      <c r="M6" s="183"/>
      <c r="N6" s="183"/>
      <c r="O6" s="183"/>
      <c r="P6" s="183"/>
      <c r="Q6" s="183"/>
      <c r="R6" s="183"/>
      <c r="S6" s="183"/>
      <c r="T6" s="183"/>
      <c r="U6" s="183"/>
      <c r="V6" s="183"/>
      <c r="W6" s="183"/>
      <c r="X6" s="183"/>
      <c r="Y6" s="183"/>
      <c r="Z6" s="183"/>
      <c r="AA6" s="183"/>
      <c r="AB6" s="183"/>
      <c r="AC6" s="183"/>
      <c r="AD6" s="183"/>
      <c r="AE6" s="183"/>
      <c r="AF6" s="183"/>
      <c r="AG6" s="183"/>
      <c r="AH6" s="183"/>
      <c r="AI6" s="183"/>
      <c r="AJ6" s="183"/>
      <c r="AK6" s="183"/>
      <c r="AL6" s="183"/>
      <c r="AM6" s="183"/>
      <c r="AN6" s="183"/>
      <c r="AO6" s="184"/>
    </row>
    <row r="7" spans="1:41" s="178" customFormat="1" ht="13.5" customHeight="1">
      <c r="A7" s="178" t="s">
        <v>67</v>
      </c>
      <c r="B7" s="185" t="s">
        <v>186</v>
      </c>
      <c r="C7" s="186" t="s">
        <v>187</v>
      </c>
      <c r="D7" s="187">
        <v>120</v>
      </c>
      <c r="E7" s="187">
        <v>120</v>
      </c>
      <c r="F7" s="188" t="s">
        <v>188</v>
      </c>
      <c r="G7" s="187">
        <v>11</v>
      </c>
      <c r="H7" s="189">
        <v>12</v>
      </c>
      <c r="I7" s="190" t="s">
        <v>189</v>
      </c>
      <c r="J7" s="187">
        <v>98</v>
      </c>
      <c r="K7" s="187">
        <v>74</v>
      </c>
      <c r="L7" s="187" t="s">
        <v>142</v>
      </c>
      <c r="M7" s="187">
        <v>60</v>
      </c>
      <c r="N7" s="189">
        <v>68</v>
      </c>
      <c r="O7" s="191" t="s">
        <v>190</v>
      </c>
      <c r="P7" s="189" t="s">
        <v>191</v>
      </c>
      <c r="Q7" s="192"/>
      <c r="R7" s="193" t="s">
        <v>186</v>
      </c>
      <c r="S7" s="186" t="s">
        <v>187</v>
      </c>
      <c r="T7" s="187" t="s">
        <v>192</v>
      </c>
      <c r="U7" s="187" t="s">
        <v>193</v>
      </c>
      <c r="V7" s="187" t="s">
        <v>194</v>
      </c>
      <c r="W7" s="194" t="s">
        <v>195</v>
      </c>
      <c r="X7" s="189" t="s">
        <v>196</v>
      </c>
      <c r="Y7" s="187" t="s">
        <v>197</v>
      </c>
      <c r="Z7" s="187" t="s">
        <v>198</v>
      </c>
      <c r="AA7" s="187" t="s">
        <v>199</v>
      </c>
      <c r="AB7" s="195" t="s">
        <v>200</v>
      </c>
      <c r="AC7" s="187" t="s">
        <v>201</v>
      </c>
      <c r="AD7" s="187" t="s">
        <v>202</v>
      </c>
      <c r="AE7" s="196" t="s">
        <v>203</v>
      </c>
      <c r="AF7" s="165">
        <v>1</v>
      </c>
      <c r="AG7" s="165">
        <v>1</v>
      </c>
      <c r="AH7" s="166">
        <v>1</v>
      </c>
      <c r="AI7" s="165">
        <v>1</v>
      </c>
      <c r="AJ7" s="165">
        <v>1</v>
      </c>
      <c r="AK7" s="173">
        <v>1</v>
      </c>
      <c r="AL7" s="197" t="s">
        <v>185</v>
      </c>
      <c r="AM7" s="198" t="s">
        <v>185</v>
      </c>
      <c r="AN7" s="198" t="s">
        <v>185</v>
      </c>
      <c r="AO7" s="143"/>
    </row>
    <row r="8" spans="1:41" s="178" customFormat="1" ht="13.5" customHeight="1">
      <c r="A8" s="178" t="s">
        <v>67</v>
      </c>
      <c r="B8" s="185" t="s">
        <v>204</v>
      </c>
      <c r="C8" s="186" t="s">
        <v>205</v>
      </c>
      <c r="D8" s="187">
        <v>140</v>
      </c>
      <c r="E8" s="187">
        <v>140</v>
      </c>
      <c r="F8" s="188">
        <v>7</v>
      </c>
      <c r="G8" s="187">
        <v>12</v>
      </c>
      <c r="H8" s="189">
        <v>12</v>
      </c>
      <c r="I8" s="190" t="s">
        <v>206</v>
      </c>
      <c r="J8" s="187">
        <v>116</v>
      </c>
      <c r="K8" s="187">
        <v>92</v>
      </c>
      <c r="L8" s="187" t="s">
        <v>147</v>
      </c>
      <c r="M8" s="187">
        <v>66</v>
      </c>
      <c r="N8" s="189">
        <v>76</v>
      </c>
      <c r="O8" s="191" t="s">
        <v>207</v>
      </c>
      <c r="P8" s="189" t="s">
        <v>208</v>
      </c>
      <c r="Q8" s="192"/>
      <c r="R8" s="193" t="s">
        <v>204</v>
      </c>
      <c r="S8" s="186" t="s">
        <v>205</v>
      </c>
      <c r="T8" s="187">
        <v>1509</v>
      </c>
      <c r="U8" s="187" t="s">
        <v>209</v>
      </c>
      <c r="V8" s="187" t="s">
        <v>210</v>
      </c>
      <c r="W8" s="194" t="s">
        <v>211</v>
      </c>
      <c r="X8" s="189" t="s">
        <v>212</v>
      </c>
      <c r="Y8" s="187" t="s">
        <v>213</v>
      </c>
      <c r="Z8" s="187" t="s">
        <v>214</v>
      </c>
      <c r="AA8" s="187" t="s">
        <v>215</v>
      </c>
      <c r="AB8" s="195" t="s">
        <v>125</v>
      </c>
      <c r="AC8" s="187" t="s">
        <v>216</v>
      </c>
      <c r="AD8" s="187" t="s">
        <v>217</v>
      </c>
      <c r="AE8" s="196" t="s">
        <v>218</v>
      </c>
      <c r="AF8" s="165">
        <v>1</v>
      </c>
      <c r="AG8" s="165">
        <v>1</v>
      </c>
      <c r="AH8" s="166">
        <v>1</v>
      </c>
      <c r="AI8" s="165">
        <v>1</v>
      </c>
      <c r="AJ8" s="165">
        <v>1</v>
      </c>
      <c r="AK8" s="173">
        <v>1</v>
      </c>
      <c r="AL8" s="197" t="s">
        <v>185</v>
      </c>
      <c r="AM8" s="198" t="s">
        <v>185</v>
      </c>
      <c r="AN8" s="198" t="s">
        <v>185</v>
      </c>
      <c r="AO8" s="143"/>
    </row>
    <row r="9" spans="1:41" s="178" customFormat="1" ht="13.5" customHeight="1">
      <c r="A9" s="178" t="s">
        <v>67</v>
      </c>
      <c r="B9" s="185" t="s">
        <v>219</v>
      </c>
      <c r="C9" s="186" t="s">
        <v>220</v>
      </c>
      <c r="D9" s="187">
        <v>160</v>
      </c>
      <c r="E9" s="187">
        <v>160</v>
      </c>
      <c r="F9" s="188">
        <v>8</v>
      </c>
      <c r="G9" s="187">
        <v>13</v>
      </c>
      <c r="H9" s="189">
        <v>15</v>
      </c>
      <c r="I9" s="190" t="s">
        <v>221</v>
      </c>
      <c r="J9" s="187">
        <v>134</v>
      </c>
      <c r="K9" s="187">
        <v>104</v>
      </c>
      <c r="L9" s="187" t="s">
        <v>222</v>
      </c>
      <c r="M9" s="187">
        <v>80</v>
      </c>
      <c r="N9" s="189">
        <v>84</v>
      </c>
      <c r="O9" s="191" t="s">
        <v>223</v>
      </c>
      <c r="P9" s="189" t="s">
        <v>224</v>
      </c>
      <c r="Q9" s="192"/>
      <c r="R9" s="193" t="s">
        <v>219</v>
      </c>
      <c r="S9" s="186" t="s">
        <v>220</v>
      </c>
      <c r="T9" s="187">
        <v>2492</v>
      </c>
      <c r="U9" s="187" t="s">
        <v>225</v>
      </c>
      <c r="V9" s="188" t="s">
        <v>226</v>
      </c>
      <c r="W9" s="194" t="s">
        <v>227</v>
      </c>
      <c r="X9" s="189" t="s">
        <v>228</v>
      </c>
      <c r="Y9" s="187" t="s">
        <v>229</v>
      </c>
      <c r="Z9" s="187" t="s">
        <v>230</v>
      </c>
      <c r="AA9" s="188" t="s">
        <v>231</v>
      </c>
      <c r="AB9" s="195" t="s">
        <v>232</v>
      </c>
      <c r="AC9" s="187" t="s">
        <v>233</v>
      </c>
      <c r="AD9" s="187" t="s">
        <v>234</v>
      </c>
      <c r="AE9" s="196" t="s">
        <v>235</v>
      </c>
      <c r="AF9" s="165">
        <v>1</v>
      </c>
      <c r="AG9" s="165">
        <v>1</v>
      </c>
      <c r="AH9" s="166">
        <v>1</v>
      </c>
      <c r="AI9" s="165">
        <v>1</v>
      </c>
      <c r="AJ9" s="165">
        <v>1</v>
      </c>
      <c r="AK9" s="173">
        <v>1</v>
      </c>
      <c r="AL9" s="197" t="s">
        <v>185</v>
      </c>
      <c r="AM9" s="198" t="s">
        <v>185</v>
      </c>
      <c r="AN9" s="198" t="s">
        <v>185</v>
      </c>
      <c r="AO9" s="143"/>
    </row>
    <row r="10" spans="1:41" s="178" customFormat="1" ht="13.5" customHeight="1">
      <c r="A10" s="178" t="s">
        <v>67</v>
      </c>
      <c r="B10" s="185" t="s">
        <v>236</v>
      </c>
      <c r="C10" s="186" t="s">
        <v>237</v>
      </c>
      <c r="D10" s="187">
        <v>180</v>
      </c>
      <c r="E10" s="187">
        <v>180</v>
      </c>
      <c r="F10" s="188" t="s">
        <v>138</v>
      </c>
      <c r="G10" s="187">
        <v>14</v>
      </c>
      <c r="H10" s="189">
        <v>15</v>
      </c>
      <c r="I10" s="190" t="s">
        <v>238</v>
      </c>
      <c r="J10" s="187">
        <v>152</v>
      </c>
      <c r="K10" s="187">
        <v>122</v>
      </c>
      <c r="L10" s="187" t="s">
        <v>159</v>
      </c>
      <c r="M10" s="187">
        <v>88</v>
      </c>
      <c r="N10" s="189">
        <v>92</v>
      </c>
      <c r="O10" s="191" t="s">
        <v>239</v>
      </c>
      <c r="P10" s="189" t="s">
        <v>240</v>
      </c>
      <c r="Q10" s="192"/>
      <c r="R10" s="193" t="s">
        <v>236</v>
      </c>
      <c r="S10" s="186" t="s">
        <v>237</v>
      </c>
      <c r="T10" s="187">
        <v>3831</v>
      </c>
      <c r="U10" s="187" t="s">
        <v>241</v>
      </c>
      <c r="V10" s="187" t="s">
        <v>242</v>
      </c>
      <c r="W10" s="194" t="s">
        <v>243</v>
      </c>
      <c r="X10" s="189" t="s">
        <v>244</v>
      </c>
      <c r="Y10" s="187">
        <v>1363</v>
      </c>
      <c r="Z10" s="187" t="s">
        <v>245</v>
      </c>
      <c r="AA10" s="188" t="s">
        <v>246</v>
      </c>
      <c r="AB10" s="195" t="s">
        <v>247</v>
      </c>
      <c r="AC10" s="187" t="s">
        <v>248</v>
      </c>
      <c r="AD10" s="187" t="s">
        <v>249</v>
      </c>
      <c r="AE10" s="196" t="s">
        <v>250</v>
      </c>
      <c r="AF10" s="165">
        <v>1</v>
      </c>
      <c r="AG10" s="165">
        <v>1</v>
      </c>
      <c r="AH10" s="166">
        <v>1</v>
      </c>
      <c r="AI10" s="165">
        <v>1</v>
      </c>
      <c r="AJ10" s="165">
        <v>1</v>
      </c>
      <c r="AK10" s="173">
        <v>1</v>
      </c>
      <c r="AL10" s="197" t="s">
        <v>185</v>
      </c>
      <c r="AM10" s="198" t="s">
        <v>185</v>
      </c>
      <c r="AN10" s="198" t="s">
        <v>185</v>
      </c>
      <c r="AO10" s="143"/>
    </row>
    <row r="11" spans="1:41" s="178" customFormat="1" ht="13.5" customHeight="1">
      <c r="A11" s="178" t="s">
        <v>67</v>
      </c>
      <c r="B11" s="185" t="s">
        <v>251</v>
      </c>
      <c r="C11" s="186" t="s">
        <v>252</v>
      </c>
      <c r="D11" s="187">
        <v>200</v>
      </c>
      <c r="E11" s="187">
        <v>200</v>
      </c>
      <c r="F11" s="188">
        <v>9</v>
      </c>
      <c r="G11" s="187">
        <v>15</v>
      </c>
      <c r="H11" s="189">
        <v>18</v>
      </c>
      <c r="I11" s="190" t="s">
        <v>253</v>
      </c>
      <c r="J11" s="187">
        <v>170</v>
      </c>
      <c r="K11" s="187">
        <v>134</v>
      </c>
      <c r="L11" s="187" t="s">
        <v>164</v>
      </c>
      <c r="M11" s="187">
        <v>100</v>
      </c>
      <c r="N11" s="189">
        <v>100</v>
      </c>
      <c r="O11" s="191" t="s">
        <v>254</v>
      </c>
      <c r="P11" s="189" t="s">
        <v>255</v>
      </c>
      <c r="Q11" s="192"/>
      <c r="R11" s="193" t="s">
        <v>251</v>
      </c>
      <c r="S11" s="186" t="s">
        <v>252</v>
      </c>
      <c r="T11" s="187">
        <v>5696</v>
      </c>
      <c r="U11" s="187" t="s">
        <v>256</v>
      </c>
      <c r="V11" s="187" t="s">
        <v>257</v>
      </c>
      <c r="W11" s="194" t="s">
        <v>258</v>
      </c>
      <c r="X11" s="189" t="s">
        <v>259</v>
      </c>
      <c r="Y11" s="187">
        <v>2003</v>
      </c>
      <c r="Z11" s="187" t="s">
        <v>260</v>
      </c>
      <c r="AA11" s="187" t="s">
        <v>261</v>
      </c>
      <c r="AB11" s="195" t="s">
        <v>262</v>
      </c>
      <c r="AC11" s="187" t="s">
        <v>263</v>
      </c>
      <c r="AD11" s="187" t="s">
        <v>264</v>
      </c>
      <c r="AE11" s="196" t="s">
        <v>265</v>
      </c>
      <c r="AF11" s="165">
        <v>1</v>
      </c>
      <c r="AG11" s="165">
        <v>1</v>
      </c>
      <c r="AH11" s="166">
        <v>1</v>
      </c>
      <c r="AI11" s="165">
        <v>1</v>
      </c>
      <c r="AJ11" s="165">
        <v>1</v>
      </c>
      <c r="AK11" s="173">
        <v>1</v>
      </c>
      <c r="AL11" s="197" t="s">
        <v>185</v>
      </c>
      <c r="AM11" s="198" t="s">
        <v>185</v>
      </c>
      <c r="AN11" s="198" t="s">
        <v>185</v>
      </c>
      <c r="AO11" s="143"/>
    </row>
    <row r="12" spans="1:41" s="178" customFormat="1" ht="13.5" customHeight="1">
      <c r="A12" s="178" t="s">
        <v>67</v>
      </c>
      <c r="B12" s="185" t="s">
        <v>266</v>
      </c>
      <c r="C12" s="186" t="s">
        <v>267</v>
      </c>
      <c r="D12" s="187">
        <v>220</v>
      </c>
      <c r="E12" s="187">
        <v>220</v>
      </c>
      <c r="F12" s="188" t="s">
        <v>268</v>
      </c>
      <c r="G12" s="187">
        <v>16</v>
      </c>
      <c r="H12" s="189">
        <v>18</v>
      </c>
      <c r="I12" s="190" t="s">
        <v>269</v>
      </c>
      <c r="J12" s="187">
        <v>188</v>
      </c>
      <c r="K12" s="187">
        <v>152</v>
      </c>
      <c r="L12" s="187" t="s">
        <v>164</v>
      </c>
      <c r="M12" s="187">
        <v>100</v>
      </c>
      <c r="N12" s="189">
        <v>118</v>
      </c>
      <c r="O12" s="191" t="s">
        <v>270</v>
      </c>
      <c r="P12" s="189" t="s">
        <v>271</v>
      </c>
      <c r="Q12" s="192"/>
      <c r="R12" s="193" t="s">
        <v>266</v>
      </c>
      <c r="S12" s="186" t="s">
        <v>267</v>
      </c>
      <c r="T12" s="187">
        <v>8091</v>
      </c>
      <c r="U12" s="187" t="s">
        <v>272</v>
      </c>
      <c r="V12" s="188" t="s">
        <v>273</v>
      </c>
      <c r="W12" s="194" t="s">
        <v>274</v>
      </c>
      <c r="X12" s="189" t="s">
        <v>275</v>
      </c>
      <c r="Y12" s="187">
        <v>2843</v>
      </c>
      <c r="Z12" s="187" t="s">
        <v>276</v>
      </c>
      <c r="AA12" s="187" t="s">
        <v>277</v>
      </c>
      <c r="AB12" s="195" t="s">
        <v>278</v>
      </c>
      <c r="AC12" s="187" t="s">
        <v>279</v>
      </c>
      <c r="AD12" s="187" t="s">
        <v>280</v>
      </c>
      <c r="AE12" s="196" t="s">
        <v>281</v>
      </c>
      <c r="AF12" s="165">
        <v>1</v>
      </c>
      <c r="AG12" s="165">
        <v>1</v>
      </c>
      <c r="AH12" s="166">
        <v>1</v>
      </c>
      <c r="AI12" s="165">
        <v>1</v>
      </c>
      <c r="AJ12" s="165">
        <v>1</v>
      </c>
      <c r="AK12" s="173">
        <v>1</v>
      </c>
      <c r="AL12" s="197" t="s">
        <v>185</v>
      </c>
      <c r="AM12" s="198" t="s">
        <v>185</v>
      </c>
      <c r="AN12" s="198" t="s">
        <v>185</v>
      </c>
      <c r="AO12" s="175"/>
    </row>
    <row r="13" spans="1:41" s="178" customFormat="1" ht="13.5" customHeight="1">
      <c r="A13" s="178" t="s">
        <v>67</v>
      </c>
      <c r="B13" s="185" t="s">
        <v>282</v>
      </c>
      <c r="C13" s="186" t="s">
        <v>283</v>
      </c>
      <c r="D13" s="187">
        <v>240</v>
      </c>
      <c r="E13" s="187">
        <v>240</v>
      </c>
      <c r="F13" s="188">
        <v>10</v>
      </c>
      <c r="G13" s="187">
        <v>17</v>
      </c>
      <c r="H13" s="189">
        <v>21</v>
      </c>
      <c r="I13" s="190" t="s">
        <v>284</v>
      </c>
      <c r="J13" s="187">
        <v>206</v>
      </c>
      <c r="K13" s="187">
        <v>164</v>
      </c>
      <c r="L13" s="187" t="s">
        <v>164</v>
      </c>
      <c r="M13" s="187">
        <v>108</v>
      </c>
      <c r="N13" s="189">
        <v>138</v>
      </c>
      <c r="O13" s="191" t="s">
        <v>285</v>
      </c>
      <c r="P13" s="189" t="s">
        <v>286</v>
      </c>
      <c r="Q13" s="192"/>
      <c r="R13" s="193" t="s">
        <v>282</v>
      </c>
      <c r="S13" s="186" t="s">
        <v>283</v>
      </c>
      <c r="T13" s="187">
        <v>11260</v>
      </c>
      <c r="U13" s="187" t="s">
        <v>287</v>
      </c>
      <c r="V13" s="187">
        <v>1053</v>
      </c>
      <c r="W13" s="194" t="s">
        <v>288</v>
      </c>
      <c r="X13" s="189" t="s">
        <v>289</v>
      </c>
      <c r="Y13" s="187">
        <v>3923</v>
      </c>
      <c r="Z13" s="187" t="s">
        <v>290</v>
      </c>
      <c r="AA13" s="187" t="s">
        <v>291</v>
      </c>
      <c r="AB13" s="195" t="s">
        <v>292</v>
      </c>
      <c r="AC13" s="194" t="s">
        <v>293</v>
      </c>
      <c r="AD13" s="187" t="s">
        <v>294</v>
      </c>
      <c r="AE13" s="196" t="s">
        <v>295</v>
      </c>
      <c r="AF13" s="165">
        <v>1</v>
      </c>
      <c r="AG13" s="165">
        <v>1</v>
      </c>
      <c r="AH13" s="166">
        <v>1</v>
      </c>
      <c r="AI13" s="165">
        <v>1</v>
      </c>
      <c r="AJ13" s="165">
        <v>1</v>
      </c>
      <c r="AK13" s="173">
        <v>1</v>
      </c>
      <c r="AL13" s="197" t="s">
        <v>185</v>
      </c>
      <c r="AM13" s="198" t="s">
        <v>185</v>
      </c>
      <c r="AN13" s="198" t="s">
        <v>185</v>
      </c>
      <c r="AO13" s="175"/>
    </row>
    <row r="14" spans="1:41" s="178" customFormat="1" ht="13.5" customHeight="1">
      <c r="A14" s="178" t="s">
        <v>67</v>
      </c>
      <c r="B14" s="185" t="s">
        <v>296</v>
      </c>
      <c r="C14" s="198">
        <v>93</v>
      </c>
      <c r="D14" s="165">
        <v>260</v>
      </c>
      <c r="E14" s="165">
        <v>260</v>
      </c>
      <c r="F14" s="199">
        <v>10</v>
      </c>
      <c r="G14" s="165" t="s">
        <v>297</v>
      </c>
      <c r="H14" s="166">
        <v>24</v>
      </c>
      <c r="I14" s="171" t="s">
        <v>298</v>
      </c>
      <c r="J14" s="165">
        <v>225</v>
      </c>
      <c r="K14" s="165">
        <v>177</v>
      </c>
      <c r="L14" s="165" t="s">
        <v>164</v>
      </c>
      <c r="M14" s="165">
        <v>114</v>
      </c>
      <c r="N14" s="166">
        <v>158</v>
      </c>
      <c r="O14" s="168" t="s">
        <v>299</v>
      </c>
      <c r="P14" s="166" t="s">
        <v>300</v>
      </c>
      <c r="Q14" s="200"/>
      <c r="R14" s="201" t="s">
        <v>296</v>
      </c>
      <c r="S14" s="198">
        <v>93</v>
      </c>
      <c r="T14" s="165">
        <v>14920</v>
      </c>
      <c r="U14" s="165">
        <v>1148</v>
      </c>
      <c r="V14" s="165">
        <v>1283</v>
      </c>
      <c r="W14" s="202" t="s">
        <v>301</v>
      </c>
      <c r="X14" s="166" t="s">
        <v>302</v>
      </c>
      <c r="Y14" s="165">
        <v>5135</v>
      </c>
      <c r="Z14" s="199" t="s">
        <v>303</v>
      </c>
      <c r="AA14" s="165" t="s">
        <v>304</v>
      </c>
      <c r="AB14" s="167" t="s">
        <v>133</v>
      </c>
      <c r="AC14" s="187" t="s">
        <v>305</v>
      </c>
      <c r="AD14" s="187" t="s">
        <v>306</v>
      </c>
      <c r="AE14" s="196" t="s">
        <v>307</v>
      </c>
      <c r="AF14" s="165">
        <v>1</v>
      </c>
      <c r="AG14" s="165">
        <v>1</v>
      </c>
      <c r="AH14" s="166">
        <v>2</v>
      </c>
      <c r="AI14" s="165">
        <v>1</v>
      </c>
      <c r="AJ14" s="165">
        <v>1</v>
      </c>
      <c r="AK14" s="173">
        <v>2</v>
      </c>
      <c r="AL14" s="197" t="s">
        <v>185</v>
      </c>
      <c r="AM14" s="174" t="s">
        <v>308</v>
      </c>
      <c r="AN14" s="174" t="s">
        <v>308</v>
      </c>
      <c r="AO14" s="175"/>
    </row>
    <row r="15" spans="1:41" s="178" customFormat="1" ht="13.5" customHeight="1">
      <c r="A15" s="178" t="s">
        <v>67</v>
      </c>
      <c r="B15" s="185" t="s">
        <v>309</v>
      </c>
      <c r="C15" s="186">
        <v>103</v>
      </c>
      <c r="D15" s="187">
        <v>280</v>
      </c>
      <c r="E15" s="187">
        <v>280</v>
      </c>
      <c r="F15" s="188" t="s">
        <v>310</v>
      </c>
      <c r="G15" s="187">
        <v>18</v>
      </c>
      <c r="H15" s="189">
        <v>24</v>
      </c>
      <c r="I15" s="190" t="s">
        <v>311</v>
      </c>
      <c r="J15" s="187">
        <v>244</v>
      </c>
      <c r="K15" s="187">
        <v>196</v>
      </c>
      <c r="L15" s="187" t="s">
        <v>164</v>
      </c>
      <c r="M15" s="187">
        <v>114</v>
      </c>
      <c r="N15" s="189">
        <v>178</v>
      </c>
      <c r="O15" s="191" t="s">
        <v>312</v>
      </c>
      <c r="P15" s="189" t="s">
        <v>313</v>
      </c>
      <c r="Q15" s="192"/>
      <c r="R15" s="193" t="s">
        <v>309</v>
      </c>
      <c r="S15" s="186">
        <v>103</v>
      </c>
      <c r="T15" s="187">
        <v>19270</v>
      </c>
      <c r="U15" s="187">
        <v>1376</v>
      </c>
      <c r="V15" s="187">
        <v>1534</v>
      </c>
      <c r="W15" s="194" t="s">
        <v>314</v>
      </c>
      <c r="X15" s="189" t="s">
        <v>315</v>
      </c>
      <c r="Y15" s="187">
        <v>6595</v>
      </c>
      <c r="Z15" s="188" t="s">
        <v>316</v>
      </c>
      <c r="AA15" s="187" t="s">
        <v>317</v>
      </c>
      <c r="AB15" s="195" t="s">
        <v>318</v>
      </c>
      <c r="AC15" s="187" t="s">
        <v>319</v>
      </c>
      <c r="AD15" s="187" t="s">
        <v>320</v>
      </c>
      <c r="AE15" s="196">
        <v>1130</v>
      </c>
      <c r="AF15" s="165">
        <v>1</v>
      </c>
      <c r="AG15" s="165">
        <v>1</v>
      </c>
      <c r="AH15" s="166">
        <v>2</v>
      </c>
      <c r="AI15" s="165">
        <v>1</v>
      </c>
      <c r="AJ15" s="165">
        <v>1</v>
      </c>
      <c r="AK15" s="173">
        <v>2</v>
      </c>
      <c r="AL15" s="197" t="s">
        <v>185</v>
      </c>
      <c r="AM15" s="174" t="s">
        <v>308</v>
      </c>
      <c r="AN15" s="174" t="s">
        <v>308</v>
      </c>
      <c r="AO15" s="175"/>
    </row>
    <row r="16" spans="1:41" s="178" customFormat="1" ht="13.5" customHeight="1">
      <c r="A16" s="178" t="s">
        <v>67</v>
      </c>
      <c r="B16" s="185" t="s">
        <v>321</v>
      </c>
      <c r="C16" s="186">
        <v>117</v>
      </c>
      <c r="D16" s="187">
        <v>300</v>
      </c>
      <c r="E16" s="187">
        <v>300</v>
      </c>
      <c r="F16" s="188">
        <v>11</v>
      </c>
      <c r="G16" s="187">
        <v>19</v>
      </c>
      <c r="H16" s="189">
        <v>27</v>
      </c>
      <c r="I16" s="190" t="s">
        <v>322</v>
      </c>
      <c r="J16" s="187">
        <v>262</v>
      </c>
      <c r="K16" s="187">
        <v>208</v>
      </c>
      <c r="L16" s="187" t="s">
        <v>164</v>
      </c>
      <c r="M16" s="187">
        <v>120</v>
      </c>
      <c r="N16" s="189">
        <v>198</v>
      </c>
      <c r="O16" s="191" t="s">
        <v>323</v>
      </c>
      <c r="P16" s="195" t="s">
        <v>324</v>
      </c>
      <c r="Q16" s="203"/>
      <c r="R16" s="193" t="s">
        <v>321</v>
      </c>
      <c r="S16" s="186">
        <v>117</v>
      </c>
      <c r="T16" s="187">
        <v>25170</v>
      </c>
      <c r="U16" s="187">
        <v>1678</v>
      </c>
      <c r="V16" s="187">
        <v>1869</v>
      </c>
      <c r="W16" s="194" t="s">
        <v>140</v>
      </c>
      <c r="X16" s="189" t="s">
        <v>325</v>
      </c>
      <c r="Y16" s="187">
        <v>8563</v>
      </c>
      <c r="Z16" s="187" t="s">
        <v>326</v>
      </c>
      <c r="AA16" s="187" t="s">
        <v>327</v>
      </c>
      <c r="AB16" s="195" t="s">
        <v>328</v>
      </c>
      <c r="AC16" s="187" t="s">
        <v>329</v>
      </c>
      <c r="AD16" s="188" t="s">
        <v>330</v>
      </c>
      <c r="AE16" s="196">
        <v>1688</v>
      </c>
      <c r="AF16" s="165">
        <v>1</v>
      </c>
      <c r="AG16" s="165">
        <v>1</v>
      </c>
      <c r="AH16" s="166">
        <v>3</v>
      </c>
      <c r="AI16" s="165">
        <v>1</v>
      </c>
      <c r="AJ16" s="165">
        <v>1</v>
      </c>
      <c r="AK16" s="173">
        <v>3</v>
      </c>
      <c r="AL16" s="197" t="s">
        <v>185</v>
      </c>
      <c r="AM16" s="174" t="s">
        <v>308</v>
      </c>
      <c r="AN16" s="174" t="s">
        <v>308</v>
      </c>
      <c r="AO16" s="175"/>
    </row>
    <row r="17" spans="1:41" s="178" customFormat="1" ht="13.5" customHeight="1">
      <c r="A17" s="178" t="s">
        <v>67</v>
      </c>
      <c r="B17" s="185" t="s">
        <v>331</v>
      </c>
      <c r="C17" s="186">
        <v>127</v>
      </c>
      <c r="D17" s="187">
        <v>320</v>
      </c>
      <c r="E17" s="187">
        <v>300</v>
      </c>
      <c r="F17" s="188" t="s">
        <v>152</v>
      </c>
      <c r="G17" s="187" t="s">
        <v>332</v>
      </c>
      <c r="H17" s="189">
        <v>27</v>
      </c>
      <c r="I17" s="190" t="s">
        <v>333</v>
      </c>
      <c r="J17" s="187">
        <v>279</v>
      </c>
      <c r="K17" s="187">
        <v>225</v>
      </c>
      <c r="L17" s="187" t="s">
        <v>164</v>
      </c>
      <c r="M17" s="187">
        <v>122</v>
      </c>
      <c r="N17" s="189">
        <v>198</v>
      </c>
      <c r="O17" s="191" t="s">
        <v>334</v>
      </c>
      <c r="P17" s="189" t="s">
        <v>335</v>
      </c>
      <c r="Q17" s="192"/>
      <c r="R17" s="193" t="s">
        <v>331</v>
      </c>
      <c r="S17" s="186">
        <v>127</v>
      </c>
      <c r="T17" s="187">
        <v>30820</v>
      </c>
      <c r="U17" s="187">
        <v>1926</v>
      </c>
      <c r="V17" s="187">
        <v>2149</v>
      </c>
      <c r="W17" s="194" t="s">
        <v>336</v>
      </c>
      <c r="X17" s="189" t="s">
        <v>337</v>
      </c>
      <c r="Y17" s="187">
        <v>9239</v>
      </c>
      <c r="Z17" s="187" t="s">
        <v>338</v>
      </c>
      <c r="AA17" s="187" t="s">
        <v>339</v>
      </c>
      <c r="AB17" s="195" t="s">
        <v>340</v>
      </c>
      <c r="AC17" s="187" t="s">
        <v>341</v>
      </c>
      <c r="AD17" s="187" t="s">
        <v>342</v>
      </c>
      <c r="AE17" s="196">
        <v>2069</v>
      </c>
      <c r="AF17" s="165">
        <v>1</v>
      </c>
      <c r="AG17" s="165">
        <v>1</v>
      </c>
      <c r="AH17" s="166">
        <v>2</v>
      </c>
      <c r="AI17" s="165">
        <v>1</v>
      </c>
      <c r="AJ17" s="165">
        <v>1</v>
      </c>
      <c r="AK17" s="173">
        <v>2</v>
      </c>
      <c r="AL17" s="197" t="s">
        <v>185</v>
      </c>
      <c r="AM17" s="174" t="s">
        <v>308</v>
      </c>
      <c r="AN17" s="174" t="s">
        <v>308</v>
      </c>
      <c r="AO17" s="175"/>
    </row>
    <row r="18" spans="1:41" s="178" customFormat="1" ht="13.5" customHeight="1">
      <c r="A18" s="178" t="s">
        <v>67</v>
      </c>
      <c r="B18" s="185" t="s">
        <v>343</v>
      </c>
      <c r="C18" s="186">
        <v>134</v>
      </c>
      <c r="D18" s="187">
        <v>340</v>
      </c>
      <c r="E18" s="187">
        <v>300</v>
      </c>
      <c r="F18" s="188">
        <v>12</v>
      </c>
      <c r="G18" s="187" t="s">
        <v>344</v>
      </c>
      <c r="H18" s="189">
        <v>27</v>
      </c>
      <c r="I18" s="190" t="s">
        <v>345</v>
      </c>
      <c r="J18" s="187">
        <v>297</v>
      </c>
      <c r="K18" s="187">
        <v>243</v>
      </c>
      <c r="L18" s="187" t="s">
        <v>164</v>
      </c>
      <c r="M18" s="187">
        <v>122</v>
      </c>
      <c r="N18" s="189">
        <v>198</v>
      </c>
      <c r="O18" s="191" t="s">
        <v>346</v>
      </c>
      <c r="P18" s="189" t="s">
        <v>347</v>
      </c>
      <c r="Q18" s="192"/>
      <c r="R18" s="193" t="s">
        <v>343</v>
      </c>
      <c r="S18" s="186">
        <v>134</v>
      </c>
      <c r="T18" s="187">
        <v>36660</v>
      </c>
      <c r="U18" s="187">
        <v>2156</v>
      </c>
      <c r="V18" s="187">
        <v>2408</v>
      </c>
      <c r="W18" s="194" t="s">
        <v>348</v>
      </c>
      <c r="X18" s="189" t="s">
        <v>349</v>
      </c>
      <c r="Y18" s="187">
        <v>9690</v>
      </c>
      <c r="Z18" s="188" t="s">
        <v>350</v>
      </c>
      <c r="AA18" s="187" t="s">
        <v>351</v>
      </c>
      <c r="AB18" s="195" t="s">
        <v>352</v>
      </c>
      <c r="AC18" s="187" t="s">
        <v>353</v>
      </c>
      <c r="AD18" s="187" t="s">
        <v>354</v>
      </c>
      <c r="AE18" s="196">
        <v>2454</v>
      </c>
      <c r="AF18" s="165">
        <v>1</v>
      </c>
      <c r="AG18" s="165">
        <v>1</v>
      </c>
      <c r="AH18" s="166">
        <v>1</v>
      </c>
      <c r="AI18" s="165">
        <v>1</v>
      </c>
      <c r="AJ18" s="165">
        <v>1</v>
      </c>
      <c r="AK18" s="173">
        <v>1</v>
      </c>
      <c r="AL18" s="197" t="s">
        <v>185</v>
      </c>
      <c r="AM18" s="174" t="s">
        <v>308</v>
      </c>
      <c r="AN18" s="174" t="s">
        <v>308</v>
      </c>
      <c r="AO18" s="175"/>
    </row>
    <row r="19" spans="1:41" s="178" customFormat="1" ht="13.5" customHeight="1">
      <c r="A19" s="178" t="s">
        <v>67</v>
      </c>
      <c r="B19" s="185" t="s">
        <v>355</v>
      </c>
      <c r="C19" s="186">
        <v>142</v>
      </c>
      <c r="D19" s="187">
        <v>360</v>
      </c>
      <c r="E19" s="187">
        <v>300</v>
      </c>
      <c r="F19" s="188" t="s">
        <v>356</v>
      </c>
      <c r="G19" s="187" t="s">
        <v>357</v>
      </c>
      <c r="H19" s="189">
        <v>27</v>
      </c>
      <c r="I19" s="190" t="s">
        <v>358</v>
      </c>
      <c r="J19" s="187">
        <v>315</v>
      </c>
      <c r="K19" s="187">
        <v>261</v>
      </c>
      <c r="L19" s="187" t="s">
        <v>164</v>
      </c>
      <c r="M19" s="187">
        <v>122</v>
      </c>
      <c r="N19" s="189">
        <v>198</v>
      </c>
      <c r="O19" s="191" t="s">
        <v>359</v>
      </c>
      <c r="P19" s="189" t="s">
        <v>360</v>
      </c>
      <c r="Q19" s="192"/>
      <c r="R19" s="193" t="s">
        <v>355</v>
      </c>
      <c r="S19" s="186">
        <v>142</v>
      </c>
      <c r="T19" s="187">
        <v>43190</v>
      </c>
      <c r="U19" s="187">
        <v>2400</v>
      </c>
      <c r="V19" s="187">
        <v>2683</v>
      </c>
      <c r="W19" s="194" t="s">
        <v>361</v>
      </c>
      <c r="X19" s="195" t="s">
        <v>362</v>
      </c>
      <c r="Y19" s="187">
        <v>10140</v>
      </c>
      <c r="Z19" s="187" t="s">
        <v>363</v>
      </c>
      <c r="AA19" s="187">
        <v>1032</v>
      </c>
      <c r="AB19" s="195" t="s">
        <v>364</v>
      </c>
      <c r="AC19" s="187" t="s">
        <v>365</v>
      </c>
      <c r="AD19" s="187" t="s">
        <v>366</v>
      </c>
      <c r="AE19" s="196">
        <v>2883</v>
      </c>
      <c r="AF19" s="165">
        <v>1</v>
      </c>
      <c r="AG19" s="165">
        <v>1</v>
      </c>
      <c r="AH19" s="166">
        <v>1</v>
      </c>
      <c r="AI19" s="165">
        <v>1</v>
      </c>
      <c r="AJ19" s="165">
        <v>1</v>
      </c>
      <c r="AK19" s="173">
        <v>1</v>
      </c>
      <c r="AL19" s="197" t="s">
        <v>185</v>
      </c>
      <c r="AM19" s="174" t="s">
        <v>308</v>
      </c>
      <c r="AN19" s="174" t="s">
        <v>308</v>
      </c>
      <c r="AO19" s="175"/>
    </row>
    <row r="20" spans="1:41" s="178" customFormat="1" ht="13.5" customHeight="1">
      <c r="A20" s="178" t="s">
        <v>67</v>
      </c>
      <c r="B20" s="185" t="s">
        <v>367</v>
      </c>
      <c r="C20" s="186">
        <v>155</v>
      </c>
      <c r="D20" s="187">
        <v>400</v>
      </c>
      <c r="E20" s="187">
        <v>300</v>
      </c>
      <c r="F20" s="188" t="s">
        <v>157</v>
      </c>
      <c r="G20" s="187">
        <v>24</v>
      </c>
      <c r="H20" s="189">
        <v>27</v>
      </c>
      <c r="I20" s="190" t="s">
        <v>368</v>
      </c>
      <c r="J20" s="187">
        <v>352</v>
      </c>
      <c r="K20" s="187">
        <v>298</v>
      </c>
      <c r="L20" s="187" t="s">
        <v>164</v>
      </c>
      <c r="M20" s="187">
        <v>124</v>
      </c>
      <c r="N20" s="189">
        <v>198</v>
      </c>
      <c r="O20" s="191" t="s">
        <v>369</v>
      </c>
      <c r="P20" s="189" t="s">
        <v>370</v>
      </c>
      <c r="Q20" s="192"/>
      <c r="R20" s="193" t="s">
        <v>367</v>
      </c>
      <c r="S20" s="186">
        <v>155</v>
      </c>
      <c r="T20" s="187">
        <v>57680</v>
      </c>
      <c r="U20" s="187">
        <v>2884</v>
      </c>
      <c r="V20" s="187">
        <v>3232</v>
      </c>
      <c r="W20" s="194" t="s">
        <v>371</v>
      </c>
      <c r="X20" s="189" t="s">
        <v>372</v>
      </c>
      <c r="Y20" s="187">
        <v>10820</v>
      </c>
      <c r="Z20" s="187" t="s">
        <v>373</v>
      </c>
      <c r="AA20" s="187">
        <v>1104</v>
      </c>
      <c r="AB20" s="195" t="s">
        <v>374</v>
      </c>
      <c r="AC20" s="187" t="s">
        <v>375</v>
      </c>
      <c r="AD20" s="187" t="s">
        <v>376</v>
      </c>
      <c r="AE20" s="196">
        <v>3817</v>
      </c>
      <c r="AF20" s="165">
        <v>1</v>
      </c>
      <c r="AG20" s="165">
        <v>1</v>
      </c>
      <c r="AH20" s="166">
        <v>1</v>
      </c>
      <c r="AI20" s="165">
        <v>1</v>
      </c>
      <c r="AJ20" s="165">
        <v>1</v>
      </c>
      <c r="AK20" s="173">
        <v>1</v>
      </c>
      <c r="AL20" s="197" t="s">
        <v>185</v>
      </c>
      <c r="AM20" s="174" t="s">
        <v>308</v>
      </c>
      <c r="AN20" s="174" t="s">
        <v>308</v>
      </c>
      <c r="AO20" s="175"/>
    </row>
    <row r="21" spans="1:41" s="178" customFormat="1" ht="13.5" customHeight="1">
      <c r="A21" s="178" t="s">
        <v>67</v>
      </c>
      <c r="B21" s="185" t="s">
        <v>377</v>
      </c>
      <c r="C21" s="186">
        <v>171</v>
      </c>
      <c r="D21" s="187">
        <v>450</v>
      </c>
      <c r="E21" s="187">
        <v>300</v>
      </c>
      <c r="F21" s="188">
        <v>14</v>
      </c>
      <c r="G21" s="187">
        <v>26</v>
      </c>
      <c r="H21" s="189">
        <v>27</v>
      </c>
      <c r="I21" s="190" t="s">
        <v>378</v>
      </c>
      <c r="J21" s="187">
        <v>398</v>
      </c>
      <c r="K21" s="187">
        <v>344</v>
      </c>
      <c r="L21" s="187" t="s">
        <v>164</v>
      </c>
      <c r="M21" s="187">
        <v>124</v>
      </c>
      <c r="N21" s="189">
        <v>198</v>
      </c>
      <c r="O21" s="191" t="s">
        <v>379</v>
      </c>
      <c r="P21" s="189" t="s">
        <v>380</v>
      </c>
      <c r="Q21" s="192"/>
      <c r="R21" s="193" t="s">
        <v>377</v>
      </c>
      <c r="S21" s="186">
        <v>171</v>
      </c>
      <c r="T21" s="187">
        <v>79890</v>
      </c>
      <c r="U21" s="187">
        <v>3551</v>
      </c>
      <c r="V21" s="187">
        <v>3982</v>
      </c>
      <c r="W21" s="194" t="s">
        <v>145</v>
      </c>
      <c r="X21" s="189" t="s">
        <v>381</v>
      </c>
      <c r="Y21" s="187">
        <v>11720</v>
      </c>
      <c r="Z21" s="187" t="s">
        <v>382</v>
      </c>
      <c r="AA21" s="187">
        <v>1198</v>
      </c>
      <c r="AB21" s="195" t="s">
        <v>383</v>
      </c>
      <c r="AC21" s="187" t="s">
        <v>384</v>
      </c>
      <c r="AD21" s="187" t="s">
        <v>385</v>
      </c>
      <c r="AE21" s="196">
        <v>5258</v>
      </c>
      <c r="AF21" s="165">
        <v>1</v>
      </c>
      <c r="AG21" s="165">
        <v>1</v>
      </c>
      <c r="AH21" s="166">
        <v>1</v>
      </c>
      <c r="AI21" s="165">
        <v>1</v>
      </c>
      <c r="AJ21" s="165">
        <v>1</v>
      </c>
      <c r="AK21" s="173">
        <v>2</v>
      </c>
      <c r="AL21" s="197" t="s">
        <v>185</v>
      </c>
      <c r="AM21" s="174" t="s">
        <v>308</v>
      </c>
      <c r="AN21" s="174" t="s">
        <v>308</v>
      </c>
      <c r="AO21" s="175"/>
    </row>
    <row r="22" spans="1:41" s="178" customFormat="1" ht="13.5" customHeight="1">
      <c r="A22" s="178" t="s">
        <v>67</v>
      </c>
      <c r="B22" s="185" t="s">
        <v>386</v>
      </c>
      <c r="C22" s="186">
        <v>187</v>
      </c>
      <c r="D22" s="187">
        <v>500</v>
      </c>
      <c r="E22" s="187">
        <v>300</v>
      </c>
      <c r="F22" s="188" t="s">
        <v>387</v>
      </c>
      <c r="G22" s="187">
        <v>28</v>
      </c>
      <c r="H22" s="189">
        <v>27</v>
      </c>
      <c r="I22" s="190" t="s">
        <v>388</v>
      </c>
      <c r="J22" s="187">
        <v>444</v>
      </c>
      <c r="K22" s="187">
        <v>390</v>
      </c>
      <c r="L22" s="187" t="s">
        <v>164</v>
      </c>
      <c r="M22" s="187">
        <v>124</v>
      </c>
      <c r="N22" s="189">
        <v>198</v>
      </c>
      <c r="O22" s="191" t="s">
        <v>389</v>
      </c>
      <c r="P22" s="189" t="s">
        <v>390</v>
      </c>
      <c r="Q22" s="192"/>
      <c r="R22" s="193" t="s">
        <v>386</v>
      </c>
      <c r="S22" s="186">
        <v>187</v>
      </c>
      <c r="T22" s="187">
        <v>107200</v>
      </c>
      <c r="U22" s="187">
        <v>4287</v>
      </c>
      <c r="V22" s="187">
        <v>4815</v>
      </c>
      <c r="W22" s="194" t="s">
        <v>391</v>
      </c>
      <c r="X22" s="189" t="s">
        <v>392</v>
      </c>
      <c r="Y22" s="187">
        <v>12620</v>
      </c>
      <c r="Z22" s="187" t="s">
        <v>393</v>
      </c>
      <c r="AA22" s="187">
        <v>1292</v>
      </c>
      <c r="AB22" s="195" t="s">
        <v>394</v>
      </c>
      <c r="AC22" s="187" t="s">
        <v>395</v>
      </c>
      <c r="AD22" s="187" t="s">
        <v>396</v>
      </c>
      <c r="AE22" s="196">
        <v>7018</v>
      </c>
      <c r="AF22" s="165">
        <v>1</v>
      </c>
      <c r="AG22" s="165">
        <v>1</v>
      </c>
      <c r="AH22" s="166">
        <v>1</v>
      </c>
      <c r="AI22" s="165">
        <v>1</v>
      </c>
      <c r="AJ22" s="165">
        <v>2</v>
      </c>
      <c r="AK22" s="173">
        <v>2</v>
      </c>
      <c r="AL22" s="197" t="s">
        <v>185</v>
      </c>
      <c r="AM22" s="174" t="s">
        <v>308</v>
      </c>
      <c r="AN22" s="174" t="s">
        <v>308</v>
      </c>
      <c r="AO22" s="175"/>
    </row>
    <row r="23" spans="1:41" s="178" customFormat="1" ht="13.5" customHeight="1">
      <c r="A23" s="178" t="s">
        <v>67</v>
      </c>
      <c r="B23" s="185" t="s">
        <v>397</v>
      </c>
      <c r="C23" s="186">
        <v>199</v>
      </c>
      <c r="D23" s="187">
        <v>550</v>
      </c>
      <c r="E23" s="187">
        <v>300</v>
      </c>
      <c r="F23" s="188">
        <v>15</v>
      </c>
      <c r="G23" s="187">
        <v>29</v>
      </c>
      <c r="H23" s="189">
        <v>27</v>
      </c>
      <c r="I23" s="190" t="s">
        <v>162</v>
      </c>
      <c r="J23" s="187">
        <v>492</v>
      </c>
      <c r="K23" s="187">
        <v>438</v>
      </c>
      <c r="L23" s="187" t="s">
        <v>164</v>
      </c>
      <c r="M23" s="187">
        <v>124</v>
      </c>
      <c r="N23" s="189">
        <v>198</v>
      </c>
      <c r="O23" s="191" t="s">
        <v>398</v>
      </c>
      <c r="P23" s="189" t="s">
        <v>399</v>
      </c>
      <c r="Q23" s="192"/>
      <c r="R23" s="193" t="s">
        <v>397</v>
      </c>
      <c r="S23" s="186">
        <v>199</v>
      </c>
      <c r="T23" s="187">
        <v>136700</v>
      </c>
      <c r="U23" s="187">
        <v>4971</v>
      </c>
      <c r="V23" s="187">
        <v>5591</v>
      </c>
      <c r="W23" s="194" t="s">
        <v>400</v>
      </c>
      <c r="X23" s="189" t="s">
        <v>401</v>
      </c>
      <c r="Y23" s="187">
        <v>13080</v>
      </c>
      <c r="Z23" s="187" t="s">
        <v>402</v>
      </c>
      <c r="AA23" s="187">
        <v>1341</v>
      </c>
      <c r="AB23" s="195" t="s">
        <v>403</v>
      </c>
      <c r="AC23" s="187" t="s">
        <v>404</v>
      </c>
      <c r="AD23" s="187" t="s">
        <v>405</v>
      </c>
      <c r="AE23" s="196">
        <v>8856</v>
      </c>
      <c r="AF23" s="165">
        <v>1</v>
      </c>
      <c r="AG23" s="165">
        <v>1</v>
      </c>
      <c r="AH23" s="166">
        <v>1</v>
      </c>
      <c r="AI23" s="165">
        <v>1</v>
      </c>
      <c r="AJ23" s="165">
        <v>2</v>
      </c>
      <c r="AK23" s="173">
        <v>3</v>
      </c>
      <c r="AL23" s="197" t="s">
        <v>185</v>
      </c>
      <c r="AM23" s="174" t="s">
        <v>308</v>
      </c>
      <c r="AN23" s="174" t="s">
        <v>308</v>
      </c>
      <c r="AO23" s="175"/>
    </row>
    <row r="24" spans="1:41" s="178" customFormat="1" ht="13.5" customHeight="1">
      <c r="A24" s="178" t="s">
        <v>67</v>
      </c>
      <c r="B24" s="164" t="s">
        <v>406</v>
      </c>
      <c r="C24" s="198">
        <v>212</v>
      </c>
      <c r="D24" s="165">
        <v>600</v>
      </c>
      <c r="E24" s="165">
        <v>300</v>
      </c>
      <c r="F24" s="199" t="s">
        <v>407</v>
      </c>
      <c r="G24" s="165">
        <v>30</v>
      </c>
      <c r="H24" s="166">
        <v>27</v>
      </c>
      <c r="I24" s="171" t="s">
        <v>408</v>
      </c>
      <c r="J24" s="165">
        <v>540</v>
      </c>
      <c r="K24" s="165">
        <v>486</v>
      </c>
      <c r="L24" s="165" t="s">
        <v>164</v>
      </c>
      <c r="M24" s="165">
        <v>126</v>
      </c>
      <c r="N24" s="166">
        <v>198</v>
      </c>
      <c r="O24" s="168" t="s">
        <v>409</v>
      </c>
      <c r="P24" s="166" t="s">
        <v>196</v>
      </c>
      <c r="Q24" s="200"/>
      <c r="R24" s="201" t="s">
        <v>406</v>
      </c>
      <c r="S24" s="198">
        <v>212</v>
      </c>
      <c r="T24" s="165">
        <v>171000</v>
      </c>
      <c r="U24" s="165">
        <v>5701</v>
      </c>
      <c r="V24" s="165">
        <v>6425</v>
      </c>
      <c r="W24" s="202" t="s">
        <v>410</v>
      </c>
      <c r="X24" s="166" t="s">
        <v>411</v>
      </c>
      <c r="Y24" s="165">
        <v>13530</v>
      </c>
      <c r="Z24" s="199" t="s">
        <v>412</v>
      </c>
      <c r="AA24" s="165">
        <v>1391</v>
      </c>
      <c r="AB24" s="167" t="s">
        <v>413</v>
      </c>
      <c r="AC24" s="187" t="s">
        <v>414</v>
      </c>
      <c r="AD24" s="187" t="s">
        <v>415</v>
      </c>
      <c r="AE24" s="196">
        <v>10970</v>
      </c>
      <c r="AF24" s="165">
        <v>1</v>
      </c>
      <c r="AG24" s="165">
        <v>1</v>
      </c>
      <c r="AH24" s="166">
        <v>1</v>
      </c>
      <c r="AI24" s="165">
        <v>1</v>
      </c>
      <c r="AJ24" s="165">
        <v>3</v>
      </c>
      <c r="AK24" s="173">
        <v>4</v>
      </c>
      <c r="AL24" s="197" t="s">
        <v>185</v>
      </c>
      <c r="AM24" s="174" t="s">
        <v>308</v>
      </c>
      <c r="AN24" s="174" t="s">
        <v>308</v>
      </c>
      <c r="AO24" s="175"/>
    </row>
    <row r="25" spans="1:41" s="178" customFormat="1" ht="13.5" customHeight="1">
      <c r="A25" s="178" t="s">
        <v>67</v>
      </c>
      <c r="B25" s="164" t="s">
        <v>416</v>
      </c>
      <c r="C25" s="198">
        <v>225</v>
      </c>
      <c r="D25" s="165">
        <v>650</v>
      </c>
      <c r="E25" s="165">
        <v>300</v>
      </c>
      <c r="F25" s="199">
        <v>16</v>
      </c>
      <c r="G25" s="165">
        <v>31</v>
      </c>
      <c r="H25" s="166">
        <v>27</v>
      </c>
      <c r="I25" s="171" t="s">
        <v>417</v>
      </c>
      <c r="J25" s="165">
        <v>588</v>
      </c>
      <c r="K25" s="165">
        <v>534</v>
      </c>
      <c r="L25" s="165" t="s">
        <v>164</v>
      </c>
      <c r="M25" s="165">
        <v>126</v>
      </c>
      <c r="N25" s="166">
        <v>198</v>
      </c>
      <c r="O25" s="168" t="s">
        <v>418</v>
      </c>
      <c r="P25" s="166" t="s">
        <v>419</v>
      </c>
      <c r="Q25" s="200"/>
      <c r="R25" s="201" t="s">
        <v>416</v>
      </c>
      <c r="S25" s="198">
        <v>225</v>
      </c>
      <c r="T25" s="165">
        <v>210600</v>
      </c>
      <c r="U25" s="165">
        <v>6480</v>
      </c>
      <c r="V25" s="165">
        <v>7320</v>
      </c>
      <c r="W25" s="202" t="s">
        <v>420</v>
      </c>
      <c r="X25" s="171" t="s">
        <v>421</v>
      </c>
      <c r="Y25" s="165">
        <v>13980</v>
      </c>
      <c r="Z25" s="165" t="s">
        <v>422</v>
      </c>
      <c r="AA25" s="165">
        <v>1441</v>
      </c>
      <c r="AB25" s="167" t="s">
        <v>423</v>
      </c>
      <c r="AC25" s="187" t="s">
        <v>424</v>
      </c>
      <c r="AD25" s="187" t="s">
        <v>425</v>
      </c>
      <c r="AE25" s="196">
        <v>13360</v>
      </c>
      <c r="AF25" s="165">
        <v>1</v>
      </c>
      <c r="AG25" s="165">
        <v>1</v>
      </c>
      <c r="AH25" s="166">
        <v>1</v>
      </c>
      <c r="AI25" s="165">
        <v>2</v>
      </c>
      <c r="AJ25" s="165">
        <v>3</v>
      </c>
      <c r="AK25" s="173">
        <v>4</v>
      </c>
      <c r="AL25" s="197" t="s">
        <v>185</v>
      </c>
      <c r="AM25" s="174" t="s">
        <v>308</v>
      </c>
      <c r="AN25" s="174" t="s">
        <v>308</v>
      </c>
      <c r="AO25" s="175"/>
    </row>
    <row r="26" spans="1:41" s="178" customFormat="1" ht="13.5" customHeight="1">
      <c r="A26" s="178" t="s">
        <v>67</v>
      </c>
      <c r="B26" s="185" t="s">
        <v>426</v>
      </c>
      <c r="C26" s="186">
        <v>241</v>
      </c>
      <c r="D26" s="187">
        <v>700</v>
      </c>
      <c r="E26" s="187">
        <v>300</v>
      </c>
      <c r="F26" s="188">
        <v>17</v>
      </c>
      <c r="G26" s="187">
        <v>32</v>
      </c>
      <c r="H26" s="189">
        <v>27</v>
      </c>
      <c r="I26" s="190" t="s">
        <v>427</v>
      </c>
      <c r="J26" s="187">
        <v>636</v>
      </c>
      <c r="K26" s="187">
        <v>582</v>
      </c>
      <c r="L26" s="187" t="s">
        <v>164</v>
      </c>
      <c r="M26" s="187">
        <v>126</v>
      </c>
      <c r="N26" s="189">
        <v>198</v>
      </c>
      <c r="O26" s="191" t="s">
        <v>428</v>
      </c>
      <c r="P26" s="189" t="s">
        <v>429</v>
      </c>
      <c r="Q26" s="192"/>
      <c r="R26" s="193" t="s">
        <v>426</v>
      </c>
      <c r="S26" s="186">
        <v>241</v>
      </c>
      <c r="T26" s="187">
        <v>256900</v>
      </c>
      <c r="U26" s="187">
        <v>7340</v>
      </c>
      <c r="V26" s="187">
        <v>8327</v>
      </c>
      <c r="W26" s="194" t="s">
        <v>430</v>
      </c>
      <c r="X26" s="189" t="s">
        <v>431</v>
      </c>
      <c r="Y26" s="187">
        <v>14440</v>
      </c>
      <c r="Z26" s="187" t="s">
        <v>432</v>
      </c>
      <c r="AA26" s="187">
        <v>1495</v>
      </c>
      <c r="AB26" s="195" t="s">
        <v>433</v>
      </c>
      <c r="AC26" s="187" t="s">
        <v>434</v>
      </c>
      <c r="AD26" s="187" t="s">
        <v>435</v>
      </c>
      <c r="AE26" s="196">
        <v>16060</v>
      </c>
      <c r="AF26" s="165">
        <v>1</v>
      </c>
      <c r="AG26" s="165">
        <v>1</v>
      </c>
      <c r="AH26" s="166">
        <v>1</v>
      </c>
      <c r="AI26" s="165">
        <v>2</v>
      </c>
      <c r="AJ26" s="165">
        <v>4</v>
      </c>
      <c r="AK26" s="173">
        <v>4</v>
      </c>
      <c r="AL26" s="197" t="s">
        <v>185</v>
      </c>
      <c r="AM26" s="174" t="s">
        <v>308</v>
      </c>
      <c r="AN26" s="174" t="s">
        <v>308</v>
      </c>
      <c r="AO26" s="175"/>
    </row>
    <row r="27" spans="1:41" s="178" customFormat="1" ht="13.5" customHeight="1">
      <c r="A27" s="178" t="s">
        <v>67</v>
      </c>
      <c r="B27" s="164" t="s">
        <v>436</v>
      </c>
      <c r="C27" s="198">
        <v>262</v>
      </c>
      <c r="D27" s="165">
        <v>800</v>
      </c>
      <c r="E27" s="165">
        <v>300</v>
      </c>
      <c r="F27" s="199" t="s">
        <v>297</v>
      </c>
      <c r="G27" s="165">
        <v>33</v>
      </c>
      <c r="H27" s="166">
        <v>30</v>
      </c>
      <c r="I27" s="171" t="s">
        <v>437</v>
      </c>
      <c r="J27" s="165">
        <v>734</v>
      </c>
      <c r="K27" s="165">
        <v>674</v>
      </c>
      <c r="L27" s="165" t="s">
        <v>164</v>
      </c>
      <c r="M27" s="165">
        <v>134</v>
      </c>
      <c r="N27" s="166">
        <v>198</v>
      </c>
      <c r="O27" s="168" t="s">
        <v>438</v>
      </c>
      <c r="P27" s="166" t="s">
        <v>439</v>
      </c>
      <c r="Q27" s="200"/>
      <c r="R27" s="201" t="s">
        <v>436</v>
      </c>
      <c r="S27" s="198">
        <v>262</v>
      </c>
      <c r="T27" s="165">
        <v>359100</v>
      </c>
      <c r="U27" s="165">
        <v>8977</v>
      </c>
      <c r="V27" s="165">
        <v>10230</v>
      </c>
      <c r="W27" s="202" t="s">
        <v>440</v>
      </c>
      <c r="X27" s="166" t="s">
        <v>441</v>
      </c>
      <c r="Y27" s="165">
        <v>14900</v>
      </c>
      <c r="Z27" s="165" t="s">
        <v>442</v>
      </c>
      <c r="AA27" s="165">
        <v>1553</v>
      </c>
      <c r="AB27" s="167" t="s">
        <v>443</v>
      </c>
      <c r="AC27" s="187" t="s">
        <v>444</v>
      </c>
      <c r="AD27" s="188" t="s">
        <v>445</v>
      </c>
      <c r="AE27" s="196">
        <v>21840</v>
      </c>
      <c r="AF27" s="165">
        <v>1</v>
      </c>
      <c r="AG27" s="165">
        <v>1</v>
      </c>
      <c r="AH27" s="166">
        <v>1</v>
      </c>
      <c r="AI27" s="165">
        <v>3</v>
      </c>
      <c r="AJ27" s="165">
        <v>4</v>
      </c>
      <c r="AK27" s="173">
        <v>4</v>
      </c>
      <c r="AL27" s="197" t="s">
        <v>185</v>
      </c>
      <c r="AM27" s="174" t="s">
        <v>308</v>
      </c>
      <c r="AN27" s="174" t="s">
        <v>308</v>
      </c>
      <c r="AO27" s="175"/>
    </row>
    <row r="28" spans="1:41" s="178" customFormat="1" ht="14.1" customHeight="1">
      <c r="A28" s="178" t="s">
        <v>67</v>
      </c>
      <c r="B28" s="185" t="s">
        <v>446</v>
      </c>
      <c r="C28" s="186">
        <v>291</v>
      </c>
      <c r="D28" s="187">
        <v>900</v>
      </c>
      <c r="E28" s="187">
        <v>300</v>
      </c>
      <c r="F28" s="188" t="s">
        <v>447</v>
      </c>
      <c r="G28" s="187">
        <v>35</v>
      </c>
      <c r="H28" s="189">
        <v>30</v>
      </c>
      <c r="I28" s="190" t="s">
        <v>448</v>
      </c>
      <c r="J28" s="187">
        <v>830</v>
      </c>
      <c r="K28" s="187">
        <v>770</v>
      </c>
      <c r="L28" s="187" t="s">
        <v>164</v>
      </c>
      <c r="M28" s="187">
        <v>134</v>
      </c>
      <c r="N28" s="189">
        <v>198</v>
      </c>
      <c r="O28" s="191" t="s">
        <v>449</v>
      </c>
      <c r="P28" s="189" t="s">
        <v>450</v>
      </c>
      <c r="Q28" s="192"/>
      <c r="R28" s="193" t="s">
        <v>446</v>
      </c>
      <c r="S28" s="186">
        <v>291</v>
      </c>
      <c r="T28" s="187">
        <v>494100</v>
      </c>
      <c r="U28" s="187">
        <v>10980</v>
      </c>
      <c r="V28" s="187">
        <v>12580</v>
      </c>
      <c r="W28" s="194" t="s">
        <v>451</v>
      </c>
      <c r="X28" s="189" t="s">
        <v>452</v>
      </c>
      <c r="Y28" s="187">
        <v>15820</v>
      </c>
      <c r="Z28" s="187">
        <v>1054</v>
      </c>
      <c r="AA28" s="187">
        <v>1658</v>
      </c>
      <c r="AB28" s="195" t="s">
        <v>453</v>
      </c>
      <c r="AC28" s="187" t="s">
        <v>454</v>
      </c>
      <c r="AD28" s="187">
        <v>1137</v>
      </c>
      <c r="AE28" s="196">
        <v>29460</v>
      </c>
      <c r="AF28" s="165">
        <v>1</v>
      </c>
      <c r="AG28" s="165">
        <v>1</v>
      </c>
      <c r="AH28" s="166">
        <v>1</v>
      </c>
      <c r="AI28" s="165">
        <v>3</v>
      </c>
      <c r="AJ28" s="165">
        <v>4</v>
      </c>
      <c r="AK28" s="173">
        <v>4</v>
      </c>
      <c r="AL28" s="197" t="s">
        <v>185</v>
      </c>
      <c r="AM28" s="174" t="s">
        <v>308</v>
      </c>
      <c r="AN28" s="174" t="s">
        <v>308</v>
      </c>
      <c r="AO28" s="175"/>
    </row>
    <row r="29" spans="1:41" s="178" customFormat="1" ht="14.1" customHeight="1">
      <c r="A29" s="178" t="s">
        <v>67</v>
      </c>
      <c r="B29" s="164" t="s">
        <v>455</v>
      </c>
      <c r="C29" s="198">
        <v>314</v>
      </c>
      <c r="D29" s="165">
        <v>1000</v>
      </c>
      <c r="E29" s="165">
        <v>300</v>
      </c>
      <c r="F29" s="199">
        <v>19</v>
      </c>
      <c r="G29" s="165">
        <v>36</v>
      </c>
      <c r="H29" s="166">
        <v>30</v>
      </c>
      <c r="I29" s="171" t="s">
        <v>456</v>
      </c>
      <c r="J29" s="165">
        <v>928</v>
      </c>
      <c r="K29" s="165">
        <v>868</v>
      </c>
      <c r="L29" s="165" t="s">
        <v>164</v>
      </c>
      <c r="M29" s="165">
        <v>134</v>
      </c>
      <c r="N29" s="166">
        <v>198</v>
      </c>
      <c r="O29" s="168" t="s">
        <v>457</v>
      </c>
      <c r="P29" s="166" t="s">
        <v>458</v>
      </c>
      <c r="Q29" s="200"/>
      <c r="R29" s="201" t="s">
        <v>455</v>
      </c>
      <c r="S29" s="198">
        <v>314</v>
      </c>
      <c r="T29" s="165">
        <v>644700</v>
      </c>
      <c r="U29" s="165">
        <v>12890</v>
      </c>
      <c r="V29" s="165">
        <v>14860</v>
      </c>
      <c r="W29" s="202" t="s">
        <v>459</v>
      </c>
      <c r="X29" s="171" t="s">
        <v>460</v>
      </c>
      <c r="Y29" s="165">
        <v>16280</v>
      </c>
      <c r="Z29" s="165">
        <v>1085</v>
      </c>
      <c r="AA29" s="165">
        <v>1716</v>
      </c>
      <c r="AB29" s="167" t="s">
        <v>461</v>
      </c>
      <c r="AC29" s="165" t="s">
        <v>462</v>
      </c>
      <c r="AD29" s="165">
        <v>1254</v>
      </c>
      <c r="AE29" s="173">
        <v>37640</v>
      </c>
      <c r="AF29" s="165">
        <v>1</v>
      </c>
      <c r="AG29" s="165">
        <v>1</v>
      </c>
      <c r="AH29" s="166">
        <v>1</v>
      </c>
      <c r="AI29" s="165">
        <v>4</v>
      </c>
      <c r="AJ29" s="165">
        <v>4</v>
      </c>
      <c r="AK29" s="173">
        <v>4</v>
      </c>
      <c r="AL29" s="197" t="s">
        <v>185</v>
      </c>
      <c r="AM29" s="174" t="s">
        <v>308</v>
      </c>
      <c r="AN29" s="174" t="s">
        <v>308</v>
      </c>
      <c r="AO29" s="175"/>
    </row>
  </sheetData>
  <sheetProtection password="CE2A" sheet="1" objects="1" scenarios="1"/>
  <mergeCells count="4">
    <mergeCell ref="AN1:AN5"/>
    <mergeCell ref="AF1:AK1"/>
    <mergeCell ref="AL1:AL5"/>
    <mergeCell ref="AM1:AM5"/>
  </mergeCells>
  <phoneticPr fontId="0" type="noConversion"/>
  <pageMargins left="0.75" right="0.75" top="1" bottom="1" header="0" footer="0"/>
  <headerFooter alignWithMargins="0"/>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Hoja12"/>
  <dimension ref="A1:AO31"/>
  <sheetViews>
    <sheetView workbookViewId="0">
      <selection activeCell="B7" sqref="B7:B31"/>
    </sheetView>
  </sheetViews>
  <sheetFormatPr baseColWidth="10" defaultRowHeight="12.75"/>
  <cols>
    <col min="1" max="1" width="4" bestFit="1" customWidth="1"/>
    <col min="2" max="2" width="7" bestFit="1" customWidth="1"/>
    <col min="3" max="3" width="4.140625" bestFit="1" customWidth="1"/>
    <col min="4" max="4" width="3.7109375" bestFit="1" customWidth="1"/>
    <col min="5" max="8" width="3.28515625" bestFit="1" customWidth="1"/>
    <col min="9" max="9" width="4.140625" bestFit="1" customWidth="1"/>
    <col min="10" max="11" width="3.28515625" bestFit="1" customWidth="1"/>
    <col min="12" max="12" width="4" bestFit="1" customWidth="1"/>
    <col min="13" max="13" width="4.140625" bestFit="1" customWidth="1"/>
    <col min="14" max="14" width="4.7109375" bestFit="1" customWidth="1"/>
    <col min="15" max="15" width="4.28515625" bestFit="1" customWidth="1"/>
    <col min="16" max="16" width="4.140625" bestFit="1" customWidth="1"/>
    <col min="18" max="18" width="7" bestFit="1" customWidth="1"/>
    <col min="19" max="19" width="4.140625" bestFit="1" customWidth="1"/>
    <col min="20" max="20" width="5.28515625" bestFit="1" customWidth="1"/>
    <col min="21" max="21" width="4.85546875" bestFit="1" customWidth="1"/>
    <col min="22" max="22" width="5.7109375" bestFit="1" customWidth="1"/>
    <col min="23" max="24" width="4.140625" bestFit="1" customWidth="1"/>
    <col min="25" max="25" width="4.5703125" bestFit="1" customWidth="1"/>
    <col min="26" max="26" width="4.85546875" bestFit="1" customWidth="1"/>
    <col min="27" max="27" width="5.7109375" bestFit="1" customWidth="1"/>
    <col min="28" max="28" width="3.5703125" bestFit="1" customWidth="1"/>
    <col min="29" max="30" width="4.140625" bestFit="1" customWidth="1"/>
    <col min="31" max="31" width="4.5703125" bestFit="1" customWidth="1"/>
    <col min="32" max="32" width="4" bestFit="1" customWidth="1"/>
    <col min="33" max="33" width="7.42578125" bestFit="1" customWidth="1"/>
    <col min="34" max="35" width="4" bestFit="1" customWidth="1"/>
    <col min="36" max="36" width="8.85546875" bestFit="1" customWidth="1"/>
    <col min="37" max="37" width="4" bestFit="1" customWidth="1"/>
    <col min="38" max="40" width="2.5703125" bestFit="1" customWidth="1"/>
  </cols>
  <sheetData>
    <row r="1" spans="1:41" s="179" customFormat="1" thickTop="1">
      <c r="B1" s="122"/>
      <c r="C1" s="123"/>
      <c r="D1" s="124"/>
      <c r="E1" s="124"/>
      <c r="F1" s="124"/>
      <c r="G1" s="124"/>
      <c r="H1" s="125"/>
      <c r="I1" s="125"/>
      <c r="J1" s="124"/>
      <c r="K1" s="124"/>
      <c r="L1" s="124"/>
      <c r="M1" s="124"/>
      <c r="N1" s="125"/>
      <c r="O1" s="124"/>
      <c r="P1" s="124"/>
      <c r="Q1" s="133"/>
      <c r="R1" s="127"/>
      <c r="S1" s="125"/>
      <c r="T1" s="124"/>
      <c r="U1" s="124"/>
      <c r="V1" s="124"/>
      <c r="W1" s="124"/>
      <c r="X1" s="125"/>
      <c r="Y1" s="124"/>
      <c r="Z1" s="124"/>
      <c r="AA1" s="124"/>
      <c r="AB1" s="125"/>
      <c r="AC1" s="124"/>
      <c r="AD1" s="124"/>
      <c r="AE1" s="128"/>
      <c r="AF1" s="1254" t="s">
        <v>80</v>
      </c>
      <c r="AG1" s="1255"/>
      <c r="AH1" s="1255"/>
      <c r="AI1" s="1255"/>
      <c r="AJ1" s="1255"/>
      <c r="AK1" s="1256"/>
      <c r="AL1" s="1257" t="s">
        <v>165</v>
      </c>
      <c r="AM1" s="1252" t="s">
        <v>166</v>
      </c>
      <c r="AN1" s="1252" t="s">
        <v>167</v>
      </c>
      <c r="AO1" s="180"/>
    </row>
    <row r="2" spans="1:41" s="179" customFormat="1" ht="12">
      <c r="B2" s="132"/>
      <c r="C2" s="133"/>
      <c r="D2" s="126"/>
      <c r="E2" s="126"/>
      <c r="F2" s="126"/>
      <c r="G2" s="126"/>
      <c r="H2" s="134"/>
      <c r="I2" s="134"/>
      <c r="J2" s="126"/>
      <c r="K2" s="126"/>
      <c r="L2" s="126"/>
      <c r="M2" s="126"/>
      <c r="N2" s="134"/>
      <c r="O2" s="126"/>
      <c r="P2" s="126"/>
      <c r="Q2" s="133"/>
      <c r="R2" s="135"/>
      <c r="S2" s="134"/>
      <c r="T2" s="126"/>
      <c r="U2" s="126"/>
      <c r="V2" s="126"/>
      <c r="W2" s="126"/>
      <c r="X2" s="134"/>
      <c r="Y2" s="126"/>
      <c r="Z2" s="126"/>
      <c r="AA2" s="126"/>
      <c r="AB2" s="134"/>
      <c r="AC2" s="126"/>
      <c r="AD2" s="126"/>
      <c r="AE2" s="136"/>
      <c r="AF2" s="137"/>
      <c r="AG2" s="138"/>
      <c r="AH2" s="139"/>
      <c r="AI2" s="138"/>
      <c r="AJ2" s="138"/>
      <c r="AK2" s="140"/>
      <c r="AL2" s="1257"/>
      <c r="AM2" s="1252"/>
      <c r="AN2" s="1252"/>
      <c r="AO2" s="181"/>
    </row>
    <row r="3" spans="1:41" s="179" customFormat="1" ht="19.5">
      <c r="B3" s="132"/>
      <c r="C3" s="133" t="s">
        <v>79</v>
      </c>
      <c r="D3" s="126" t="s">
        <v>81</v>
      </c>
      <c r="E3" s="126" t="s">
        <v>34</v>
      </c>
      <c r="F3" s="126" t="s">
        <v>82</v>
      </c>
      <c r="G3" s="126" t="s">
        <v>83</v>
      </c>
      <c r="H3" s="134" t="s">
        <v>84</v>
      </c>
      <c r="I3" s="134" t="s">
        <v>85</v>
      </c>
      <c r="J3" s="126" t="s">
        <v>86</v>
      </c>
      <c r="K3" s="126" t="s">
        <v>36</v>
      </c>
      <c r="L3" s="126" t="s">
        <v>87</v>
      </c>
      <c r="M3" s="141" t="s">
        <v>88</v>
      </c>
      <c r="N3" s="134" t="s">
        <v>89</v>
      </c>
      <c r="O3" s="126" t="s">
        <v>90</v>
      </c>
      <c r="P3" s="126" t="s">
        <v>91</v>
      </c>
      <c r="Q3" s="133"/>
      <c r="R3" s="135"/>
      <c r="S3" s="134" t="s">
        <v>79</v>
      </c>
      <c r="T3" s="126" t="s">
        <v>92</v>
      </c>
      <c r="U3" s="126" t="s">
        <v>93</v>
      </c>
      <c r="V3" s="126" t="s">
        <v>94</v>
      </c>
      <c r="W3" s="126" t="s">
        <v>95</v>
      </c>
      <c r="X3" s="134" t="s">
        <v>96</v>
      </c>
      <c r="Y3" s="126" t="s">
        <v>97</v>
      </c>
      <c r="Z3" s="126" t="s">
        <v>98</v>
      </c>
      <c r="AA3" s="126" t="s">
        <v>99</v>
      </c>
      <c r="AB3" s="134" t="s">
        <v>100</v>
      </c>
      <c r="AC3" s="126" t="s">
        <v>101</v>
      </c>
      <c r="AD3" s="126" t="s">
        <v>102</v>
      </c>
      <c r="AE3" s="136" t="s">
        <v>103</v>
      </c>
      <c r="AF3" s="142"/>
      <c r="AG3" s="143" t="s">
        <v>104</v>
      </c>
      <c r="AH3" s="144"/>
      <c r="AI3" s="143"/>
      <c r="AJ3" s="143" t="s">
        <v>104</v>
      </c>
      <c r="AK3" s="145"/>
      <c r="AL3" s="1257"/>
      <c r="AM3" s="1252"/>
      <c r="AN3" s="1252"/>
      <c r="AO3" s="180"/>
    </row>
    <row r="4" spans="1:41" s="179" customFormat="1" ht="13.5">
      <c r="B4" s="132"/>
      <c r="C4" s="133" t="s">
        <v>105</v>
      </c>
      <c r="D4" s="126" t="s">
        <v>106</v>
      </c>
      <c r="E4" s="126" t="s">
        <v>77</v>
      </c>
      <c r="F4" s="126" t="s">
        <v>77</v>
      </c>
      <c r="G4" s="126" t="s">
        <v>77</v>
      </c>
      <c r="H4" s="134" t="s">
        <v>77</v>
      </c>
      <c r="I4" s="134" t="s">
        <v>107</v>
      </c>
      <c r="J4" s="126" t="s">
        <v>77</v>
      </c>
      <c r="K4" s="126" t="s">
        <v>77</v>
      </c>
      <c r="L4" s="126"/>
      <c r="M4" s="126" t="s">
        <v>77</v>
      </c>
      <c r="N4" s="134" t="s">
        <v>77</v>
      </c>
      <c r="O4" s="126" t="s">
        <v>108</v>
      </c>
      <c r="P4" s="126" t="s">
        <v>109</v>
      </c>
      <c r="Q4" s="133"/>
      <c r="R4" s="135"/>
      <c r="S4" s="134" t="s">
        <v>105</v>
      </c>
      <c r="T4" s="126" t="s">
        <v>110</v>
      </c>
      <c r="U4" s="126" t="s">
        <v>111</v>
      </c>
      <c r="V4" s="126" t="s">
        <v>111</v>
      </c>
      <c r="W4" s="126" t="s">
        <v>77</v>
      </c>
      <c r="X4" s="134" t="s">
        <v>112</v>
      </c>
      <c r="Y4" s="126" t="s">
        <v>113</v>
      </c>
      <c r="Z4" s="126" t="s">
        <v>111</v>
      </c>
      <c r="AA4" s="126" t="s">
        <v>111</v>
      </c>
      <c r="AB4" s="134" t="s">
        <v>77</v>
      </c>
      <c r="AC4" s="126" t="s">
        <v>77</v>
      </c>
      <c r="AD4" s="126" t="s">
        <v>113</v>
      </c>
      <c r="AE4" s="146" t="s">
        <v>114</v>
      </c>
      <c r="AF4" s="147"/>
      <c r="AG4" s="148" t="s">
        <v>115</v>
      </c>
      <c r="AH4" s="149"/>
      <c r="AI4" s="148"/>
      <c r="AJ4" s="148" t="s">
        <v>116</v>
      </c>
      <c r="AK4" s="150"/>
      <c r="AL4" s="1257"/>
      <c r="AM4" s="1252"/>
      <c r="AN4" s="1252"/>
      <c r="AO4" s="180"/>
    </row>
    <row r="5" spans="1:41" s="179" customFormat="1" thickBot="1">
      <c r="B5" s="151"/>
      <c r="C5" s="152"/>
      <c r="D5" s="153"/>
      <c r="E5" s="153"/>
      <c r="F5" s="153"/>
      <c r="G5" s="153"/>
      <c r="H5" s="154"/>
      <c r="I5" s="154" t="s">
        <v>117</v>
      </c>
      <c r="J5" s="153"/>
      <c r="K5" s="153"/>
      <c r="L5" s="153"/>
      <c r="M5" s="153"/>
      <c r="N5" s="154"/>
      <c r="O5" s="153"/>
      <c r="P5" s="153"/>
      <c r="Q5" s="133"/>
      <c r="R5" s="152"/>
      <c r="S5" s="154"/>
      <c r="T5" s="153" t="s">
        <v>118</v>
      </c>
      <c r="U5" s="153" t="s">
        <v>119</v>
      </c>
      <c r="V5" s="153" t="s">
        <v>119</v>
      </c>
      <c r="W5" s="155" t="s">
        <v>120</v>
      </c>
      <c r="X5" s="154" t="s">
        <v>117</v>
      </c>
      <c r="Y5" s="153" t="s">
        <v>118</v>
      </c>
      <c r="Z5" s="153" t="s">
        <v>119</v>
      </c>
      <c r="AA5" s="153" t="s">
        <v>119</v>
      </c>
      <c r="AB5" s="156" t="s">
        <v>120</v>
      </c>
      <c r="AC5" s="153"/>
      <c r="AD5" s="153" t="s">
        <v>118</v>
      </c>
      <c r="AE5" s="157" t="s">
        <v>121</v>
      </c>
      <c r="AF5" s="158" t="s">
        <v>65</v>
      </c>
      <c r="AG5" s="159" t="s">
        <v>69</v>
      </c>
      <c r="AH5" s="159" t="s">
        <v>122</v>
      </c>
      <c r="AI5" s="159" t="s">
        <v>65</v>
      </c>
      <c r="AJ5" s="159" t="s">
        <v>69</v>
      </c>
      <c r="AK5" s="160" t="s">
        <v>122</v>
      </c>
      <c r="AL5" s="1258"/>
      <c r="AM5" s="1253"/>
      <c r="AN5" s="1253"/>
      <c r="AO5" s="182"/>
    </row>
    <row r="6" spans="1:41" s="180" customFormat="1" ht="13.5" thickTop="1">
      <c r="B6" s="183"/>
      <c r="C6" s="183"/>
      <c r="D6" s="183"/>
      <c r="E6" s="183"/>
      <c r="F6" s="183"/>
      <c r="G6" s="183"/>
      <c r="H6" s="183"/>
      <c r="I6" s="183"/>
      <c r="J6" s="183"/>
      <c r="K6" s="183"/>
      <c r="L6" s="183"/>
      <c r="M6" s="183"/>
      <c r="N6" s="183"/>
      <c r="O6" s="183"/>
      <c r="P6" s="183"/>
      <c r="Q6" s="183"/>
      <c r="R6" s="183"/>
      <c r="S6" s="183"/>
      <c r="T6" s="183"/>
      <c r="U6" s="183"/>
      <c r="V6" s="183"/>
      <c r="W6" s="183"/>
      <c r="X6" s="183"/>
      <c r="Y6" s="183"/>
      <c r="Z6" s="183"/>
      <c r="AA6" s="183"/>
      <c r="AB6" s="183"/>
      <c r="AC6" s="183"/>
      <c r="AD6" s="183"/>
      <c r="AE6" s="183"/>
      <c r="AF6" s="183"/>
      <c r="AG6" s="183"/>
      <c r="AH6" s="183"/>
      <c r="AI6" s="183"/>
      <c r="AJ6" s="183"/>
      <c r="AK6" s="183"/>
      <c r="AL6" s="183"/>
      <c r="AM6" s="183"/>
      <c r="AN6" s="183"/>
      <c r="AO6" s="184"/>
    </row>
    <row r="7" spans="1:41" s="178" customFormat="1" ht="11.25">
      <c r="A7" s="178" t="s">
        <v>67</v>
      </c>
      <c r="B7" s="185" t="s">
        <v>168</v>
      </c>
      <c r="C7" s="186" t="s">
        <v>169</v>
      </c>
      <c r="D7" s="187">
        <v>100</v>
      </c>
      <c r="E7" s="187">
        <v>100</v>
      </c>
      <c r="F7" s="188">
        <v>6</v>
      </c>
      <c r="G7" s="187">
        <v>10</v>
      </c>
      <c r="H7" s="189">
        <v>12</v>
      </c>
      <c r="I7" s="190" t="s">
        <v>170</v>
      </c>
      <c r="J7" s="187">
        <v>80</v>
      </c>
      <c r="K7" s="187">
        <v>56</v>
      </c>
      <c r="L7" s="187" t="s">
        <v>135</v>
      </c>
      <c r="M7" s="187">
        <v>56</v>
      </c>
      <c r="N7" s="189">
        <v>58</v>
      </c>
      <c r="O7" s="191" t="s">
        <v>171</v>
      </c>
      <c r="P7" s="189" t="s">
        <v>172</v>
      </c>
      <c r="Q7" s="192"/>
      <c r="R7" s="193" t="s">
        <v>168</v>
      </c>
      <c r="S7" s="186" t="s">
        <v>169</v>
      </c>
      <c r="T7" s="187" t="s">
        <v>173</v>
      </c>
      <c r="U7" s="187" t="s">
        <v>174</v>
      </c>
      <c r="V7" s="187" t="s">
        <v>175</v>
      </c>
      <c r="W7" s="194" t="s">
        <v>176</v>
      </c>
      <c r="X7" s="189" t="s">
        <v>177</v>
      </c>
      <c r="Y7" s="187" t="s">
        <v>178</v>
      </c>
      <c r="Z7" s="187" t="s">
        <v>179</v>
      </c>
      <c r="AA7" s="187" t="s">
        <v>180</v>
      </c>
      <c r="AB7" s="195" t="s">
        <v>181</v>
      </c>
      <c r="AC7" s="187" t="s">
        <v>182</v>
      </c>
      <c r="AD7" s="187" t="s">
        <v>183</v>
      </c>
      <c r="AE7" s="196" t="s">
        <v>184</v>
      </c>
      <c r="AF7" s="165">
        <v>1</v>
      </c>
      <c r="AG7" s="165">
        <v>1</v>
      </c>
      <c r="AH7" s="166">
        <v>1</v>
      </c>
      <c r="AI7" s="165">
        <v>1</v>
      </c>
      <c r="AJ7" s="165">
        <v>1</v>
      </c>
      <c r="AK7" s="173">
        <v>1</v>
      </c>
      <c r="AL7" s="197" t="s">
        <v>185</v>
      </c>
      <c r="AM7" s="198" t="s">
        <v>185</v>
      </c>
      <c r="AN7" s="198" t="s">
        <v>185</v>
      </c>
      <c r="AO7" s="143"/>
    </row>
    <row r="8" spans="1:41" s="178" customFormat="1" ht="11.25">
      <c r="A8" s="178" t="s">
        <v>674</v>
      </c>
      <c r="B8" s="185" t="s">
        <v>675</v>
      </c>
      <c r="C8" s="186" t="s">
        <v>676</v>
      </c>
      <c r="D8" s="187">
        <v>96</v>
      </c>
      <c r="E8" s="187">
        <v>100</v>
      </c>
      <c r="F8" s="188">
        <v>5</v>
      </c>
      <c r="G8" s="187">
        <v>8</v>
      </c>
      <c r="H8" s="189">
        <v>12</v>
      </c>
      <c r="I8" s="190" t="s">
        <v>677</v>
      </c>
      <c r="J8" s="187">
        <v>80</v>
      </c>
      <c r="K8" s="187">
        <v>56</v>
      </c>
      <c r="L8" s="187" t="s">
        <v>135</v>
      </c>
      <c r="M8" s="187">
        <v>54</v>
      </c>
      <c r="N8" s="189">
        <v>58</v>
      </c>
      <c r="O8" s="191" t="s">
        <v>678</v>
      </c>
      <c r="P8" s="189" t="s">
        <v>679</v>
      </c>
      <c r="Q8" s="192"/>
      <c r="R8" s="193" t="s">
        <v>675</v>
      </c>
      <c r="S8" s="186" t="s">
        <v>676</v>
      </c>
      <c r="T8" s="187" t="s">
        <v>680</v>
      </c>
      <c r="U8" s="187" t="s">
        <v>681</v>
      </c>
      <c r="V8" s="187" t="s">
        <v>682</v>
      </c>
      <c r="W8" s="194" t="s">
        <v>683</v>
      </c>
      <c r="X8" s="189" t="s">
        <v>684</v>
      </c>
      <c r="Y8" s="187" t="s">
        <v>685</v>
      </c>
      <c r="Z8" s="187" t="s">
        <v>686</v>
      </c>
      <c r="AA8" s="187" t="s">
        <v>687</v>
      </c>
      <c r="AB8" s="195" t="s">
        <v>688</v>
      </c>
      <c r="AC8" s="187" t="s">
        <v>689</v>
      </c>
      <c r="AD8" s="187" t="s">
        <v>690</v>
      </c>
      <c r="AE8" s="196" t="s">
        <v>691</v>
      </c>
      <c r="AF8" s="165">
        <v>1</v>
      </c>
      <c r="AG8" s="165">
        <v>1</v>
      </c>
      <c r="AH8" s="166">
        <v>1</v>
      </c>
      <c r="AI8" s="165">
        <v>1</v>
      </c>
      <c r="AJ8" s="165">
        <v>1</v>
      </c>
      <c r="AK8" s="173">
        <v>1</v>
      </c>
      <c r="AL8" s="197" t="s">
        <v>185</v>
      </c>
      <c r="AM8" s="198" t="s">
        <v>185</v>
      </c>
      <c r="AN8" s="198" t="s">
        <v>185</v>
      </c>
      <c r="AO8" s="143"/>
    </row>
    <row r="9" spans="1:41" s="178" customFormat="1" ht="11.25">
      <c r="A9" s="178" t="s">
        <v>674</v>
      </c>
      <c r="B9" s="185" t="s">
        <v>692</v>
      </c>
      <c r="C9" s="186" t="s">
        <v>693</v>
      </c>
      <c r="D9" s="187">
        <v>114</v>
      </c>
      <c r="E9" s="187">
        <v>120</v>
      </c>
      <c r="F9" s="188">
        <v>5</v>
      </c>
      <c r="G9" s="187">
        <v>8</v>
      </c>
      <c r="H9" s="189">
        <v>12</v>
      </c>
      <c r="I9" s="190" t="s">
        <v>694</v>
      </c>
      <c r="J9" s="187">
        <v>98</v>
      </c>
      <c r="K9" s="187">
        <v>74</v>
      </c>
      <c r="L9" s="187" t="s">
        <v>142</v>
      </c>
      <c r="M9" s="187">
        <v>58</v>
      </c>
      <c r="N9" s="189">
        <v>68</v>
      </c>
      <c r="O9" s="191" t="s">
        <v>695</v>
      </c>
      <c r="P9" s="189" t="s">
        <v>696</v>
      </c>
      <c r="Q9" s="192"/>
      <c r="R9" s="193" t="s">
        <v>692</v>
      </c>
      <c r="S9" s="186" t="s">
        <v>693</v>
      </c>
      <c r="T9" s="187" t="s">
        <v>697</v>
      </c>
      <c r="U9" s="187" t="s">
        <v>698</v>
      </c>
      <c r="V9" s="187" t="s">
        <v>699</v>
      </c>
      <c r="W9" s="194" t="s">
        <v>700</v>
      </c>
      <c r="X9" s="189" t="s">
        <v>701</v>
      </c>
      <c r="Y9" s="187" t="s">
        <v>702</v>
      </c>
      <c r="Z9" s="187" t="s">
        <v>703</v>
      </c>
      <c r="AA9" s="187" t="s">
        <v>704</v>
      </c>
      <c r="AB9" s="195" t="s">
        <v>148</v>
      </c>
      <c r="AC9" s="187" t="s">
        <v>689</v>
      </c>
      <c r="AD9" s="187" t="s">
        <v>705</v>
      </c>
      <c r="AE9" s="196" t="s">
        <v>706</v>
      </c>
      <c r="AF9" s="165">
        <v>1</v>
      </c>
      <c r="AG9" s="165">
        <v>1</v>
      </c>
      <c r="AH9" s="166">
        <v>2</v>
      </c>
      <c r="AI9" s="165">
        <v>1</v>
      </c>
      <c r="AJ9" s="165">
        <v>1</v>
      </c>
      <c r="AK9" s="173">
        <v>2</v>
      </c>
      <c r="AL9" s="197" t="s">
        <v>185</v>
      </c>
      <c r="AM9" s="198" t="s">
        <v>185</v>
      </c>
      <c r="AN9" s="198" t="s">
        <v>185</v>
      </c>
      <c r="AO9" s="143"/>
    </row>
    <row r="10" spans="1:41" s="178" customFormat="1" ht="11.25">
      <c r="A10" s="178" t="s">
        <v>674</v>
      </c>
      <c r="B10" s="185" t="s">
        <v>707</v>
      </c>
      <c r="C10" s="186" t="s">
        <v>708</v>
      </c>
      <c r="D10" s="187">
        <v>133</v>
      </c>
      <c r="E10" s="187">
        <v>140</v>
      </c>
      <c r="F10" s="188" t="s">
        <v>709</v>
      </c>
      <c r="G10" s="187" t="s">
        <v>138</v>
      </c>
      <c r="H10" s="189">
        <v>12</v>
      </c>
      <c r="I10" s="190" t="s">
        <v>710</v>
      </c>
      <c r="J10" s="187">
        <v>116</v>
      </c>
      <c r="K10" s="187">
        <v>92</v>
      </c>
      <c r="L10" s="187" t="s">
        <v>147</v>
      </c>
      <c r="M10" s="187">
        <v>64</v>
      </c>
      <c r="N10" s="189">
        <v>76</v>
      </c>
      <c r="O10" s="191" t="s">
        <v>711</v>
      </c>
      <c r="P10" s="189" t="s">
        <v>712</v>
      </c>
      <c r="Q10" s="192"/>
      <c r="R10" s="193" t="s">
        <v>707</v>
      </c>
      <c r="S10" s="186" t="s">
        <v>708</v>
      </c>
      <c r="T10" s="187">
        <v>1033</v>
      </c>
      <c r="U10" s="187" t="s">
        <v>713</v>
      </c>
      <c r="V10" s="187" t="s">
        <v>714</v>
      </c>
      <c r="W10" s="194" t="s">
        <v>715</v>
      </c>
      <c r="X10" s="189" t="s">
        <v>716</v>
      </c>
      <c r="Y10" s="187" t="s">
        <v>717</v>
      </c>
      <c r="Z10" s="187" t="s">
        <v>718</v>
      </c>
      <c r="AA10" s="187" t="s">
        <v>719</v>
      </c>
      <c r="AB10" s="195" t="s">
        <v>720</v>
      </c>
      <c r="AC10" s="187" t="s">
        <v>721</v>
      </c>
      <c r="AD10" s="187" t="s">
        <v>722</v>
      </c>
      <c r="AE10" s="196" t="s">
        <v>723</v>
      </c>
      <c r="AF10" s="165">
        <v>1</v>
      </c>
      <c r="AG10" s="165">
        <v>2</v>
      </c>
      <c r="AH10" s="166">
        <v>3</v>
      </c>
      <c r="AI10" s="165">
        <v>1</v>
      </c>
      <c r="AJ10" s="165">
        <v>2</v>
      </c>
      <c r="AK10" s="173">
        <v>3</v>
      </c>
      <c r="AL10" s="197" t="s">
        <v>185</v>
      </c>
      <c r="AM10" s="198" t="s">
        <v>185</v>
      </c>
      <c r="AN10" s="198" t="s">
        <v>185</v>
      </c>
      <c r="AO10" s="143"/>
    </row>
    <row r="11" spans="1:41" s="178" customFormat="1" ht="11.25">
      <c r="A11" s="178" t="s">
        <v>674</v>
      </c>
      <c r="B11" s="185" t="s">
        <v>724</v>
      </c>
      <c r="C11" s="186" t="s">
        <v>725</v>
      </c>
      <c r="D11" s="187">
        <v>152</v>
      </c>
      <c r="E11" s="187">
        <v>160</v>
      </c>
      <c r="F11" s="188">
        <v>6</v>
      </c>
      <c r="G11" s="187">
        <v>9</v>
      </c>
      <c r="H11" s="189">
        <v>15</v>
      </c>
      <c r="I11" s="190" t="s">
        <v>726</v>
      </c>
      <c r="J11" s="187">
        <v>134</v>
      </c>
      <c r="K11" s="187">
        <v>104</v>
      </c>
      <c r="L11" s="187" t="s">
        <v>222</v>
      </c>
      <c r="M11" s="187">
        <v>78</v>
      </c>
      <c r="N11" s="189">
        <v>84</v>
      </c>
      <c r="O11" s="191" t="s">
        <v>727</v>
      </c>
      <c r="P11" s="189" t="s">
        <v>728</v>
      </c>
      <c r="Q11" s="192"/>
      <c r="R11" s="193" t="s">
        <v>724</v>
      </c>
      <c r="S11" s="186" t="s">
        <v>725</v>
      </c>
      <c r="T11" s="187">
        <v>1673</v>
      </c>
      <c r="U11" s="187" t="s">
        <v>729</v>
      </c>
      <c r="V11" s="187" t="s">
        <v>730</v>
      </c>
      <c r="W11" s="194" t="s">
        <v>731</v>
      </c>
      <c r="X11" s="189" t="s">
        <v>732</v>
      </c>
      <c r="Y11" s="187" t="s">
        <v>733</v>
      </c>
      <c r="Z11" s="187" t="s">
        <v>734</v>
      </c>
      <c r="AA11" s="187" t="s">
        <v>735</v>
      </c>
      <c r="AB11" s="195" t="s">
        <v>736</v>
      </c>
      <c r="AC11" s="187" t="s">
        <v>737</v>
      </c>
      <c r="AD11" s="187" t="s">
        <v>738</v>
      </c>
      <c r="AE11" s="196" t="s">
        <v>739</v>
      </c>
      <c r="AF11" s="165">
        <v>1</v>
      </c>
      <c r="AG11" s="165">
        <v>2</v>
      </c>
      <c r="AH11" s="166">
        <v>3</v>
      </c>
      <c r="AI11" s="165">
        <v>1</v>
      </c>
      <c r="AJ11" s="165">
        <v>2</v>
      </c>
      <c r="AK11" s="173">
        <v>3</v>
      </c>
      <c r="AL11" s="197" t="s">
        <v>185</v>
      </c>
      <c r="AM11" s="198" t="s">
        <v>185</v>
      </c>
      <c r="AN11" s="198" t="s">
        <v>185</v>
      </c>
      <c r="AO11" s="143"/>
    </row>
    <row r="12" spans="1:41" s="178" customFormat="1" ht="11.25">
      <c r="A12" s="178" t="s">
        <v>674</v>
      </c>
      <c r="B12" s="185" t="s">
        <v>740</v>
      </c>
      <c r="C12" s="186" t="s">
        <v>741</v>
      </c>
      <c r="D12" s="187">
        <v>171</v>
      </c>
      <c r="E12" s="187">
        <v>180</v>
      </c>
      <c r="F12" s="188">
        <v>6</v>
      </c>
      <c r="G12" s="187" t="s">
        <v>268</v>
      </c>
      <c r="H12" s="189">
        <v>15</v>
      </c>
      <c r="I12" s="190" t="s">
        <v>742</v>
      </c>
      <c r="J12" s="187">
        <v>152</v>
      </c>
      <c r="K12" s="187">
        <v>122</v>
      </c>
      <c r="L12" s="187" t="s">
        <v>159</v>
      </c>
      <c r="M12" s="187">
        <v>86</v>
      </c>
      <c r="N12" s="189">
        <v>92</v>
      </c>
      <c r="O12" s="191" t="s">
        <v>743</v>
      </c>
      <c r="P12" s="189" t="s">
        <v>744</v>
      </c>
      <c r="Q12" s="192"/>
      <c r="R12" s="193" t="s">
        <v>740</v>
      </c>
      <c r="S12" s="186" t="s">
        <v>741</v>
      </c>
      <c r="T12" s="187">
        <v>2510</v>
      </c>
      <c r="U12" s="187" t="s">
        <v>745</v>
      </c>
      <c r="V12" s="187" t="s">
        <v>746</v>
      </c>
      <c r="W12" s="194" t="s">
        <v>747</v>
      </c>
      <c r="X12" s="189" t="s">
        <v>748</v>
      </c>
      <c r="Y12" s="187" t="s">
        <v>749</v>
      </c>
      <c r="Z12" s="187" t="s">
        <v>294</v>
      </c>
      <c r="AA12" s="187" t="s">
        <v>750</v>
      </c>
      <c r="AB12" s="195" t="s">
        <v>751</v>
      </c>
      <c r="AC12" s="187" t="s">
        <v>752</v>
      </c>
      <c r="AD12" s="194" t="s">
        <v>324</v>
      </c>
      <c r="AE12" s="196" t="s">
        <v>753</v>
      </c>
      <c r="AF12" s="165">
        <v>1</v>
      </c>
      <c r="AG12" s="165">
        <v>3</v>
      </c>
      <c r="AH12" s="166">
        <v>3</v>
      </c>
      <c r="AI12" s="165">
        <v>1</v>
      </c>
      <c r="AJ12" s="165">
        <v>3</v>
      </c>
      <c r="AK12" s="173">
        <v>3</v>
      </c>
      <c r="AL12" s="197" t="s">
        <v>185</v>
      </c>
      <c r="AM12" s="198" t="s">
        <v>185</v>
      </c>
      <c r="AN12" s="198" t="s">
        <v>185</v>
      </c>
      <c r="AO12" s="143"/>
    </row>
    <row r="13" spans="1:41" s="178" customFormat="1" ht="11.25">
      <c r="A13" s="178" t="s">
        <v>674</v>
      </c>
      <c r="B13" s="185" t="s">
        <v>754</v>
      </c>
      <c r="C13" s="186" t="s">
        <v>755</v>
      </c>
      <c r="D13" s="187">
        <v>190</v>
      </c>
      <c r="E13" s="187">
        <v>200</v>
      </c>
      <c r="F13" s="188" t="s">
        <v>188</v>
      </c>
      <c r="G13" s="187">
        <v>10</v>
      </c>
      <c r="H13" s="189">
        <v>18</v>
      </c>
      <c r="I13" s="190" t="s">
        <v>149</v>
      </c>
      <c r="J13" s="187">
        <v>170</v>
      </c>
      <c r="K13" s="187">
        <v>134</v>
      </c>
      <c r="L13" s="187" t="s">
        <v>164</v>
      </c>
      <c r="M13" s="187">
        <v>98</v>
      </c>
      <c r="N13" s="189">
        <v>100</v>
      </c>
      <c r="O13" s="191" t="s">
        <v>756</v>
      </c>
      <c r="P13" s="189" t="s">
        <v>757</v>
      </c>
      <c r="Q13" s="192"/>
      <c r="R13" s="193" t="s">
        <v>754</v>
      </c>
      <c r="S13" s="186" t="s">
        <v>755</v>
      </c>
      <c r="T13" s="187">
        <v>3692</v>
      </c>
      <c r="U13" s="187" t="s">
        <v>758</v>
      </c>
      <c r="V13" s="187" t="s">
        <v>759</v>
      </c>
      <c r="W13" s="194" t="s">
        <v>760</v>
      </c>
      <c r="X13" s="189" t="s">
        <v>761</v>
      </c>
      <c r="Y13" s="187">
        <v>1336</v>
      </c>
      <c r="Z13" s="187" t="s">
        <v>762</v>
      </c>
      <c r="AA13" s="187" t="s">
        <v>763</v>
      </c>
      <c r="AB13" s="195" t="s">
        <v>764</v>
      </c>
      <c r="AC13" s="187" t="s">
        <v>765</v>
      </c>
      <c r="AD13" s="187" t="s">
        <v>766</v>
      </c>
      <c r="AE13" s="209" t="s">
        <v>767</v>
      </c>
      <c r="AF13" s="165">
        <v>1</v>
      </c>
      <c r="AG13" s="165">
        <v>3</v>
      </c>
      <c r="AH13" s="166">
        <v>3</v>
      </c>
      <c r="AI13" s="165">
        <v>1</v>
      </c>
      <c r="AJ13" s="165">
        <v>3</v>
      </c>
      <c r="AK13" s="173">
        <v>3</v>
      </c>
      <c r="AL13" s="197" t="s">
        <v>185</v>
      </c>
      <c r="AM13" s="198" t="s">
        <v>185</v>
      </c>
      <c r="AN13" s="198" t="s">
        <v>185</v>
      </c>
      <c r="AO13" s="143"/>
    </row>
    <row r="14" spans="1:41" s="178" customFormat="1" ht="11.25">
      <c r="A14" s="178" t="s">
        <v>674</v>
      </c>
      <c r="B14" s="185" t="s">
        <v>768</v>
      </c>
      <c r="C14" s="186" t="s">
        <v>769</v>
      </c>
      <c r="D14" s="187">
        <v>210</v>
      </c>
      <c r="E14" s="187">
        <v>220</v>
      </c>
      <c r="F14" s="188">
        <v>7</v>
      </c>
      <c r="G14" s="187">
        <v>11</v>
      </c>
      <c r="H14" s="189">
        <v>18</v>
      </c>
      <c r="I14" s="190" t="s">
        <v>770</v>
      </c>
      <c r="J14" s="187">
        <v>188</v>
      </c>
      <c r="K14" s="187">
        <v>152</v>
      </c>
      <c r="L14" s="187" t="s">
        <v>164</v>
      </c>
      <c r="M14" s="187">
        <v>98</v>
      </c>
      <c r="N14" s="189">
        <v>118</v>
      </c>
      <c r="O14" s="191" t="s">
        <v>771</v>
      </c>
      <c r="P14" s="189" t="s">
        <v>772</v>
      </c>
      <c r="Q14" s="192"/>
      <c r="R14" s="193" t="s">
        <v>768</v>
      </c>
      <c r="S14" s="186" t="s">
        <v>769</v>
      </c>
      <c r="T14" s="187">
        <v>5410</v>
      </c>
      <c r="U14" s="187" t="s">
        <v>773</v>
      </c>
      <c r="V14" s="187" t="s">
        <v>774</v>
      </c>
      <c r="W14" s="194" t="s">
        <v>775</v>
      </c>
      <c r="X14" s="189" t="s">
        <v>776</v>
      </c>
      <c r="Y14" s="187">
        <v>1955</v>
      </c>
      <c r="Z14" s="187" t="s">
        <v>777</v>
      </c>
      <c r="AA14" s="187" t="s">
        <v>778</v>
      </c>
      <c r="AB14" s="195" t="s">
        <v>486</v>
      </c>
      <c r="AC14" s="187" t="s">
        <v>779</v>
      </c>
      <c r="AD14" s="187" t="s">
        <v>780</v>
      </c>
      <c r="AE14" s="196" t="s">
        <v>781</v>
      </c>
      <c r="AF14" s="165">
        <v>1</v>
      </c>
      <c r="AG14" s="165">
        <v>3</v>
      </c>
      <c r="AH14" s="166">
        <v>3</v>
      </c>
      <c r="AI14" s="165">
        <v>1</v>
      </c>
      <c r="AJ14" s="165">
        <v>3</v>
      </c>
      <c r="AK14" s="173">
        <v>3</v>
      </c>
      <c r="AL14" s="197" t="s">
        <v>185</v>
      </c>
      <c r="AM14" s="198" t="s">
        <v>185</v>
      </c>
      <c r="AN14" s="198" t="s">
        <v>185</v>
      </c>
      <c r="AO14" s="175"/>
    </row>
    <row r="15" spans="1:41" s="178" customFormat="1" ht="11.25">
      <c r="A15" s="178" t="s">
        <v>674</v>
      </c>
      <c r="B15" s="164" t="s">
        <v>782</v>
      </c>
      <c r="C15" s="198" t="s">
        <v>783</v>
      </c>
      <c r="D15" s="165">
        <v>230</v>
      </c>
      <c r="E15" s="165">
        <v>240</v>
      </c>
      <c r="F15" s="199" t="s">
        <v>151</v>
      </c>
      <c r="G15" s="165">
        <v>12</v>
      </c>
      <c r="H15" s="166">
        <v>21</v>
      </c>
      <c r="I15" s="171" t="s">
        <v>784</v>
      </c>
      <c r="J15" s="165">
        <v>206</v>
      </c>
      <c r="K15" s="165">
        <v>164</v>
      </c>
      <c r="L15" s="165" t="s">
        <v>164</v>
      </c>
      <c r="M15" s="165">
        <v>104</v>
      </c>
      <c r="N15" s="166">
        <v>138</v>
      </c>
      <c r="O15" s="168" t="s">
        <v>785</v>
      </c>
      <c r="P15" s="167" t="s">
        <v>786</v>
      </c>
      <c r="Q15" s="208"/>
      <c r="R15" s="201" t="s">
        <v>782</v>
      </c>
      <c r="S15" s="198" t="s">
        <v>783</v>
      </c>
      <c r="T15" s="165">
        <v>7763</v>
      </c>
      <c r="U15" s="165" t="s">
        <v>787</v>
      </c>
      <c r="V15" s="165" t="s">
        <v>788</v>
      </c>
      <c r="W15" s="202" t="s">
        <v>789</v>
      </c>
      <c r="X15" s="166" t="s">
        <v>790</v>
      </c>
      <c r="Y15" s="165">
        <v>2769</v>
      </c>
      <c r="Z15" s="165" t="s">
        <v>791</v>
      </c>
      <c r="AA15" s="165" t="s">
        <v>792</v>
      </c>
      <c r="AB15" s="167" t="s">
        <v>793</v>
      </c>
      <c r="AC15" s="194" t="s">
        <v>794</v>
      </c>
      <c r="AD15" s="187" t="s">
        <v>795</v>
      </c>
      <c r="AE15" s="196" t="s">
        <v>796</v>
      </c>
      <c r="AF15" s="165">
        <v>1</v>
      </c>
      <c r="AG15" s="165">
        <v>3</v>
      </c>
      <c r="AH15" s="166">
        <v>3</v>
      </c>
      <c r="AI15" s="165">
        <v>1</v>
      </c>
      <c r="AJ15" s="165">
        <v>3</v>
      </c>
      <c r="AK15" s="173">
        <v>3</v>
      </c>
      <c r="AL15" s="197" t="s">
        <v>185</v>
      </c>
      <c r="AM15" s="174" t="s">
        <v>185</v>
      </c>
      <c r="AN15" s="174" t="s">
        <v>185</v>
      </c>
      <c r="AO15" s="175"/>
    </row>
    <row r="16" spans="1:41" s="178" customFormat="1" ht="11.25">
      <c r="A16" s="178" t="s">
        <v>674</v>
      </c>
      <c r="B16" s="185" t="s">
        <v>797</v>
      </c>
      <c r="C16" s="198" t="s">
        <v>798</v>
      </c>
      <c r="D16" s="165">
        <v>250</v>
      </c>
      <c r="E16" s="165">
        <v>260</v>
      </c>
      <c r="F16" s="199" t="s">
        <v>151</v>
      </c>
      <c r="G16" s="165" t="s">
        <v>356</v>
      </c>
      <c r="H16" s="166">
        <v>24</v>
      </c>
      <c r="I16" s="171" t="s">
        <v>799</v>
      </c>
      <c r="J16" s="165">
        <v>225</v>
      </c>
      <c r="K16" s="165">
        <v>177</v>
      </c>
      <c r="L16" s="165" t="s">
        <v>164</v>
      </c>
      <c r="M16" s="165">
        <v>110</v>
      </c>
      <c r="N16" s="166">
        <v>158</v>
      </c>
      <c r="O16" s="168" t="s">
        <v>800</v>
      </c>
      <c r="P16" s="166" t="s">
        <v>801</v>
      </c>
      <c r="Q16" s="200"/>
      <c r="R16" s="201" t="s">
        <v>797</v>
      </c>
      <c r="S16" s="198" t="s">
        <v>798</v>
      </c>
      <c r="T16" s="165">
        <v>10450</v>
      </c>
      <c r="U16" s="165" t="s">
        <v>802</v>
      </c>
      <c r="V16" s="165" t="s">
        <v>803</v>
      </c>
      <c r="W16" s="202" t="s">
        <v>804</v>
      </c>
      <c r="X16" s="166" t="s">
        <v>805</v>
      </c>
      <c r="Y16" s="165">
        <v>3668</v>
      </c>
      <c r="Z16" s="165" t="s">
        <v>806</v>
      </c>
      <c r="AA16" s="165" t="s">
        <v>807</v>
      </c>
      <c r="AB16" s="167" t="s">
        <v>808</v>
      </c>
      <c r="AC16" s="187" t="s">
        <v>809</v>
      </c>
      <c r="AD16" s="187" t="s">
        <v>810</v>
      </c>
      <c r="AE16" s="196" t="s">
        <v>811</v>
      </c>
      <c r="AF16" s="165">
        <v>2</v>
      </c>
      <c r="AG16" s="165">
        <v>3</v>
      </c>
      <c r="AH16" s="166">
        <v>3</v>
      </c>
      <c r="AI16" s="165">
        <v>2</v>
      </c>
      <c r="AJ16" s="165">
        <v>3</v>
      </c>
      <c r="AK16" s="173">
        <v>3</v>
      </c>
      <c r="AL16" s="197" t="s">
        <v>185</v>
      </c>
      <c r="AM16" s="174" t="s">
        <v>308</v>
      </c>
      <c r="AN16" s="174" t="s">
        <v>308</v>
      </c>
      <c r="AO16" s="175"/>
    </row>
    <row r="17" spans="1:41" s="178" customFormat="1" ht="11.25">
      <c r="A17" s="178" t="s">
        <v>674</v>
      </c>
      <c r="B17" s="185" t="s">
        <v>812</v>
      </c>
      <c r="C17" s="186" t="s">
        <v>813</v>
      </c>
      <c r="D17" s="187">
        <v>270</v>
      </c>
      <c r="E17" s="187">
        <v>280</v>
      </c>
      <c r="F17" s="188">
        <v>8</v>
      </c>
      <c r="G17" s="187">
        <v>13</v>
      </c>
      <c r="H17" s="189">
        <v>24</v>
      </c>
      <c r="I17" s="190" t="s">
        <v>814</v>
      </c>
      <c r="J17" s="187">
        <v>244</v>
      </c>
      <c r="K17" s="187">
        <v>196</v>
      </c>
      <c r="L17" s="187" t="s">
        <v>164</v>
      </c>
      <c r="M17" s="187">
        <v>112</v>
      </c>
      <c r="N17" s="189">
        <v>178</v>
      </c>
      <c r="O17" s="191" t="s">
        <v>815</v>
      </c>
      <c r="P17" s="189" t="s">
        <v>816</v>
      </c>
      <c r="Q17" s="192"/>
      <c r="R17" s="193" t="s">
        <v>812</v>
      </c>
      <c r="S17" s="186" t="s">
        <v>813</v>
      </c>
      <c r="T17" s="187">
        <v>13670</v>
      </c>
      <c r="U17" s="187">
        <v>1013</v>
      </c>
      <c r="V17" s="187">
        <v>1112</v>
      </c>
      <c r="W17" s="194" t="s">
        <v>817</v>
      </c>
      <c r="X17" s="189" t="s">
        <v>818</v>
      </c>
      <c r="Y17" s="187">
        <v>4763</v>
      </c>
      <c r="Z17" s="187" t="s">
        <v>819</v>
      </c>
      <c r="AA17" s="187" t="s">
        <v>820</v>
      </c>
      <c r="AB17" s="195" t="s">
        <v>821</v>
      </c>
      <c r="AC17" s="187" t="s">
        <v>822</v>
      </c>
      <c r="AD17" s="194" t="s">
        <v>823</v>
      </c>
      <c r="AE17" s="196" t="s">
        <v>824</v>
      </c>
      <c r="AF17" s="165">
        <v>2</v>
      </c>
      <c r="AG17" s="165">
        <v>3</v>
      </c>
      <c r="AH17" s="166">
        <v>4</v>
      </c>
      <c r="AI17" s="165">
        <v>2</v>
      </c>
      <c r="AJ17" s="165">
        <v>3</v>
      </c>
      <c r="AK17" s="173">
        <v>4</v>
      </c>
      <c r="AL17" s="197" t="s">
        <v>185</v>
      </c>
      <c r="AM17" s="174" t="s">
        <v>308</v>
      </c>
      <c r="AN17" s="174" t="s">
        <v>308</v>
      </c>
      <c r="AO17" s="175"/>
    </row>
    <row r="18" spans="1:41" s="178" customFormat="1" ht="11.25">
      <c r="A18" s="178" t="s">
        <v>674</v>
      </c>
      <c r="B18" s="185" t="s">
        <v>825</v>
      </c>
      <c r="C18" s="186" t="s">
        <v>826</v>
      </c>
      <c r="D18" s="187">
        <v>290</v>
      </c>
      <c r="E18" s="187">
        <v>300</v>
      </c>
      <c r="F18" s="188" t="s">
        <v>138</v>
      </c>
      <c r="G18" s="187">
        <v>14</v>
      </c>
      <c r="H18" s="189">
        <v>27</v>
      </c>
      <c r="I18" s="190" t="s">
        <v>827</v>
      </c>
      <c r="J18" s="187">
        <v>262</v>
      </c>
      <c r="K18" s="187">
        <v>208</v>
      </c>
      <c r="L18" s="187" t="s">
        <v>164</v>
      </c>
      <c r="M18" s="187">
        <v>118</v>
      </c>
      <c r="N18" s="189">
        <v>198</v>
      </c>
      <c r="O18" s="191" t="s">
        <v>828</v>
      </c>
      <c r="P18" s="189" t="s">
        <v>829</v>
      </c>
      <c r="Q18" s="192"/>
      <c r="R18" s="193" t="s">
        <v>825</v>
      </c>
      <c r="S18" s="186" t="s">
        <v>826</v>
      </c>
      <c r="T18" s="187">
        <v>18260</v>
      </c>
      <c r="U18" s="187">
        <v>1260</v>
      </c>
      <c r="V18" s="187">
        <v>1383</v>
      </c>
      <c r="W18" s="194" t="s">
        <v>514</v>
      </c>
      <c r="X18" s="189" t="s">
        <v>830</v>
      </c>
      <c r="Y18" s="187">
        <v>6310</v>
      </c>
      <c r="Z18" s="187" t="s">
        <v>831</v>
      </c>
      <c r="AA18" s="187" t="s">
        <v>832</v>
      </c>
      <c r="AB18" s="195" t="s">
        <v>364</v>
      </c>
      <c r="AC18" s="187" t="s">
        <v>833</v>
      </c>
      <c r="AD18" s="187" t="s">
        <v>834</v>
      </c>
      <c r="AE18" s="196">
        <v>1200</v>
      </c>
      <c r="AF18" s="165">
        <v>2</v>
      </c>
      <c r="AG18" s="165">
        <v>3</v>
      </c>
      <c r="AH18" s="166">
        <v>3</v>
      </c>
      <c r="AI18" s="165">
        <v>2</v>
      </c>
      <c r="AJ18" s="165">
        <v>3</v>
      </c>
      <c r="AK18" s="173">
        <v>3</v>
      </c>
      <c r="AL18" s="197" t="s">
        <v>185</v>
      </c>
      <c r="AM18" s="174" t="s">
        <v>308</v>
      </c>
      <c r="AN18" s="174" t="s">
        <v>308</v>
      </c>
      <c r="AO18" s="175"/>
    </row>
    <row r="19" spans="1:41" s="178" customFormat="1" ht="11.25">
      <c r="A19" s="178" t="s">
        <v>674</v>
      </c>
      <c r="B19" s="185" t="s">
        <v>835</v>
      </c>
      <c r="C19" s="186" t="s">
        <v>836</v>
      </c>
      <c r="D19" s="187">
        <v>310</v>
      </c>
      <c r="E19" s="187">
        <v>300</v>
      </c>
      <c r="F19" s="188">
        <v>9</v>
      </c>
      <c r="G19" s="187" t="s">
        <v>407</v>
      </c>
      <c r="H19" s="189">
        <v>27</v>
      </c>
      <c r="I19" s="190" t="s">
        <v>837</v>
      </c>
      <c r="J19" s="187">
        <v>279</v>
      </c>
      <c r="K19" s="187">
        <v>225</v>
      </c>
      <c r="L19" s="187" t="s">
        <v>164</v>
      </c>
      <c r="M19" s="187">
        <v>118</v>
      </c>
      <c r="N19" s="189">
        <v>198</v>
      </c>
      <c r="O19" s="191" t="s">
        <v>838</v>
      </c>
      <c r="P19" s="189" t="s">
        <v>839</v>
      </c>
      <c r="Q19" s="192"/>
      <c r="R19" s="193" t="s">
        <v>835</v>
      </c>
      <c r="S19" s="186" t="s">
        <v>836</v>
      </c>
      <c r="T19" s="187">
        <v>22930</v>
      </c>
      <c r="U19" s="187">
        <v>1479</v>
      </c>
      <c r="V19" s="187">
        <v>1628</v>
      </c>
      <c r="W19" s="194" t="s">
        <v>129</v>
      </c>
      <c r="X19" s="189" t="s">
        <v>840</v>
      </c>
      <c r="Y19" s="187">
        <v>6985</v>
      </c>
      <c r="Z19" s="187" t="s">
        <v>841</v>
      </c>
      <c r="AA19" s="187" t="s">
        <v>842</v>
      </c>
      <c r="AB19" s="195" t="s">
        <v>364</v>
      </c>
      <c r="AC19" s="187" t="s">
        <v>843</v>
      </c>
      <c r="AD19" s="188" t="s">
        <v>767</v>
      </c>
      <c r="AE19" s="196">
        <v>1512</v>
      </c>
      <c r="AF19" s="165">
        <v>1</v>
      </c>
      <c r="AG19" s="165">
        <v>3</v>
      </c>
      <c r="AH19" s="166">
        <v>3</v>
      </c>
      <c r="AI19" s="165">
        <v>1</v>
      </c>
      <c r="AJ19" s="165">
        <v>3</v>
      </c>
      <c r="AK19" s="173">
        <v>3</v>
      </c>
      <c r="AL19" s="197" t="s">
        <v>185</v>
      </c>
      <c r="AM19" s="174" t="s">
        <v>308</v>
      </c>
      <c r="AN19" s="174" t="s">
        <v>308</v>
      </c>
      <c r="AO19" s="175"/>
    </row>
    <row r="20" spans="1:41" s="178" customFormat="1" ht="11.25">
      <c r="A20" s="178" t="s">
        <v>674</v>
      </c>
      <c r="B20" s="185" t="s">
        <v>844</v>
      </c>
      <c r="C20" s="186">
        <v>105</v>
      </c>
      <c r="D20" s="187">
        <v>330</v>
      </c>
      <c r="E20" s="187">
        <v>300</v>
      </c>
      <c r="F20" s="188" t="s">
        <v>268</v>
      </c>
      <c r="G20" s="187" t="s">
        <v>845</v>
      </c>
      <c r="H20" s="189">
        <v>27</v>
      </c>
      <c r="I20" s="190" t="s">
        <v>846</v>
      </c>
      <c r="J20" s="187">
        <v>297</v>
      </c>
      <c r="K20" s="187">
        <v>243</v>
      </c>
      <c r="L20" s="187" t="s">
        <v>164</v>
      </c>
      <c r="M20" s="187">
        <v>118</v>
      </c>
      <c r="N20" s="189">
        <v>198</v>
      </c>
      <c r="O20" s="191" t="s">
        <v>847</v>
      </c>
      <c r="P20" s="189" t="s">
        <v>848</v>
      </c>
      <c r="Q20" s="192"/>
      <c r="R20" s="193" t="s">
        <v>844</v>
      </c>
      <c r="S20" s="186">
        <v>105</v>
      </c>
      <c r="T20" s="187">
        <v>27690</v>
      </c>
      <c r="U20" s="187">
        <v>1678</v>
      </c>
      <c r="V20" s="187">
        <v>1850</v>
      </c>
      <c r="W20" s="194" t="s">
        <v>849</v>
      </c>
      <c r="X20" s="189" t="s">
        <v>850</v>
      </c>
      <c r="Y20" s="187">
        <v>7436</v>
      </c>
      <c r="Z20" s="187" t="s">
        <v>851</v>
      </c>
      <c r="AA20" s="187" t="s">
        <v>852</v>
      </c>
      <c r="AB20" s="195" t="s">
        <v>624</v>
      </c>
      <c r="AC20" s="187" t="s">
        <v>853</v>
      </c>
      <c r="AD20" s="187" t="s">
        <v>132</v>
      </c>
      <c r="AE20" s="196">
        <v>1824</v>
      </c>
      <c r="AF20" s="165">
        <v>1</v>
      </c>
      <c r="AG20" s="165">
        <v>3</v>
      </c>
      <c r="AH20" s="166">
        <v>3</v>
      </c>
      <c r="AI20" s="165">
        <v>1</v>
      </c>
      <c r="AJ20" s="165">
        <v>3</v>
      </c>
      <c r="AK20" s="173">
        <v>3</v>
      </c>
      <c r="AL20" s="197" t="s">
        <v>185</v>
      </c>
      <c r="AM20" s="174" t="s">
        <v>308</v>
      </c>
      <c r="AN20" s="174" t="s">
        <v>308</v>
      </c>
      <c r="AO20" s="175"/>
    </row>
    <row r="21" spans="1:41" s="178" customFormat="1" ht="11.25">
      <c r="A21" s="178" t="s">
        <v>674</v>
      </c>
      <c r="B21" s="185" t="s">
        <v>854</v>
      </c>
      <c r="C21" s="186">
        <v>112</v>
      </c>
      <c r="D21" s="187">
        <v>350</v>
      </c>
      <c r="E21" s="187">
        <v>300</v>
      </c>
      <c r="F21" s="188">
        <v>10</v>
      </c>
      <c r="G21" s="187" t="s">
        <v>297</v>
      </c>
      <c r="H21" s="189">
        <v>27</v>
      </c>
      <c r="I21" s="190" t="s">
        <v>855</v>
      </c>
      <c r="J21" s="187">
        <v>315</v>
      </c>
      <c r="K21" s="187">
        <v>261</v>
      </c>
      <c r="L21" s="187" t="s">
        <v>164</v>
      </c>
      <c r="M21" s="187">
        <v>120</v>
      </c>
      <c r="N21" s="189">
        <v>198</v>
      </c>
      <c r="O21" s="191" t="s">
        <v>856</v>
      </c>
      <c r="P21" s="189" t="s">
        <v>857</v>
      </c>
      <c r="Q21" s="192"/>
      <c r="R21" s="193" t="s">
        <v>854</v>
      </c>
      <c r="S21" s="186">
        <v>112</v>
      </c>
      <c r="T21" s="187">
        <v>33090</v>
      </c>
      <c r="U21" s="187">
        <v>1891</v>
      </c>
      <c r="V21" s="187">
        <v>2088</v>
      </c>
      <c r="W21" s="194" t="s">
        <v>858</v>
      </c>
      <c r="X21" s="189" t="s">
        <v>859</v>
      </c>
      <c r="Y21" s="187">
        <v>7887</v>
      </c>
      <c r="Z21" s="187" t="s">
        <v>860</v>
      </c>
      <c r="AA21" s="187" t="s">
        <v>861</v>
      </c>
      <c r="AB21" s="195" t="s">
        <v>136</v>
      </c>
      <c r="AC21" s="187" t="s">
        <v>862</v>
      </c>
      <c r="AD21" s="187" t="s">
        <v>863</v>
      </c>
      <c r="AE21" s="196">
        <v>2177</v>
      </c>
      <c r="AF21" s="165">
        <v>1</v>
      </c>
      <c r="AG21" s="165">
        <v>2</v>
      </c>
      <c r="AH21" s="166">
        <v>3</v>
      </c>
      <c r="AI21" s="165">
        <v>1</v>
      </c>
      <c r="AJ21" s="165">
        <v>2</v>
      </c>
      <c r="AK21" s="173">
        <v>3</v>
      </c>
      <c r="AL21" s="197" t="s">
        <v>185</v>
      </c>
      <c r="AM21" s="174" t="s">
        <v>308</v>
      </c>
      <c r="AN21" s="174" t="s">
        <v>308</v>
      </c>
      <c r="AO21" s="175"/>
    </row>
    <row r="22" spans="1:41" s="178" customFormat="1" ht="11.25">
      <c r="A22" s="178" t="s">
        <v>674</v>
      </c>
      <c r="B22" s="185" t="s">
        <v>864</v>
      </c>
      <c r="C22" s="186">
        <v>125</v>
      </c>
      <c r="D22" s="187">
        <v>390</v>
      </c>
      <c r="E22" s="187">
        <v>300</v>
      </c>
      <c r="F22" s="188">
        <v>11</v>
      </c>
      <c r="G22" s="187">
        <v>19</v>
      </c>
      <c r="H22" s="189">
        <v>27</v>
      </c>
      <c r="I22" s="190" t="s">
        <v>865</v>
      </c>
      <c r="J22" s="187">
        <v>352</v>
      </c>
      <c r="K22" s="187">
        <v>298</v>
      </c>
      <c r="L22" s="187" t="s">
        <v>164</v>
      </c>
      <c r="M22" s="187">
        <v>120</v>
      </c>
      <c r="N22" s="189">
        <v>198</v>
      </c>
      <c r="O22" s="191" t="s">
        <v>866</v>
      </c>
      <c r="P22" s="189" t="s">
        <v>867</v>
      </c>
      <c r="Q22" s="192"/>
      <c r="R22" s="193" t="s">
        <v>864</v>
      </c>
      <c r="S22" s="186">
        <v>125</v>
      </c>
      <c r="T22" s="187">
        <v>45070</v>
      </c>
      <c r="U22" s="187">
        <v>2311</v>
      </c>
      <c r="V22" s="187">
        <v>2562</v>
      </c>
      <c r="W22" s="194" t="s">
        <v>868</v>
      </c>
      <c r="X22" s="189" t="s">
        <v>869</v>
      </c>
      <c r="Y22" s="187">
        <v>8564</v>
      </c>
      <c r="Z22" s="187" t="s">
        <v>326</v>
      </c>
      <c r="AA22" s="187" t="s">
        <v>870</v>
      </c>
      <c r="AB22" s="195" t="s">
        <v>871</v>
      </c>
      <c r="AC22" s="187" t="s">
        <v>329</v>
      </c>
      <c r="AD22" s="188" t="s">
        <v>872</v>
      </c>
      <c r="AE22" s="196">
        <v>2942</v>
      </c>
      <c r="AF22" s="165">
        <v>1</v>
      </c>
      <c r="AG22" s="165">
        <v>1</v>
      </c>
      <c r="AH22" s="166">
        <v>3</v>
      </c>
      <c r="AI22" s="165">
        <v>1</v>
      </c>
      <c r="AJ22" s="165">
        <v>2</v>
      </c>
      <c r="AK22" s="173">
        <v>3</v>
      </c>
      <c r="AL22" s="197" t="s">
        <v>185</v>
      </c>
      <c r="AM22" s="174" t="s">
        <v>308</v>
      </c>
      <c r="AN22" s="174" t="s">
        <v>308</v>
      </c>
      <c r="AO22" s="175"/>
    </row>
    <row r="23" spans="1:41" s="178" customFormat="1" ht="11.25">
      <c r="A23" s="178" t="s">
        <v>674</v>
      </c>
      <c r="B23" s="185" t="s">
        <v>873</v>
      </c>
      <c r="C23" s="186">
        <v>140</v>
      </c>
      <c r="D23" s="187">
        <v>440</v>
      </c>
      <c r="E23" s="187">
        <v>300</v>
      </c>
      <c r="F23" s="188" t="s">
        <v>152</v>
      </c>
      <c r="G23" s="187">
        <v>21</v>
      </c>
      <c r="H23" s="189">
        <v>27</v>
      </c>
      <c r="I23" s="190" t="s">
        <v>874</v>
      </c>
      <c r="J23" s="187">
        <v>398</v>
      </c>
      <c r="K23" s="187">
        <v>344</v>
      </c>
      <c r="L23" s="187" t="s">
        <v>164</v>
      </c>
      <c r="M23" s="187">
        <v>122</v>
      </c>
      <c r="N23" s="189">
        <v>198</v>
      </c>
      <c r="O23" s="191" t="s">
        <v>875</v>
      </c>
      <c r="P23" s="189" t="s">
        <v>876</v>
      </c>
      <c r="Q23" s="192"/>
      <c r="R23" s="193" t="s">
        <v>873</v>
      </c>
      <c r="S23" s="186">
        <v>140</v>
      </c>
      <c r="T23" s="187">
        <v>63720</v>
      </c>
      <c r="U23" s="187">
        <v>2896</v>
      </c>
      <c r="V23" s="187">
        <v>3216</v>
      </c>
      <c r="W23" s="194" t="s">
        <v>877</v>
      </c>
      <c r="X23" s="189" t="s">
        <v>878</v>
      </c>
      <c r="Y23" s="187">
        <v>9465</v>
      </c>
      <c r="Z23" s="188" t="s">
        <v>879</v>
      </c>
      <c r="AA23" s="187" t="s">
        <v>880</v>
      </c>
      <c r="AB23" s="195" t="s">
        <v>881</v>
      </c>
      <c r="AC23" s="187" t="s">
        <v>882</v>
      </c>
      <c r="AD23" s="187" t="s">
        <v>883</v>
      </c>
      <c r="AE23" s="196">
        <v>4148</v>
      </c>
      <c r="AF23" s="165">
        <v>1</v>
      </c>
      <c r="AG23" s="165">
        <v>1</v>
      </c>
      <c r="AH23" s="166">
        <v>1</v>
      </c>
      <c r="AI23" s="165">
        <v>1</v>
      </c>
      <c r="AJ23" s="165">
        <v>2</v>
      </c>
      <c r="AK23" s="173">
        <v>3</v>
      </c>
      <c r="AL23" s="197" t="s">
        <v>185</v>
      </c>
      <c r="AM23" s="174" t="s">
        <v>308</v>
      </c>
      <c r="AN23" s="174" t="s">
        <v>308</v>
      </c>
      <c r="AO23" s="175"/>
    </row>
    <row r="24" spans="1:41" s="178" customFormat="1" ht="11.25">
      <c r="A24" s="178" t="s">
        <v>674</v>
      </c>
      <c r="B24" s="185" t="s">
        <v>884</v>
      </c>
      <c r="C24" s="186">
        <v>155</v>
      </c>
      <c r="D24" s="187">
        <v>490</v>
      </c>
      <c r="E24" s="187">
        <v>300</v>
      </c>
      <c r="F24" s="188">
        <v>12</v>
      </c>
      <c r="G24" s="187">
        <v>23</v>
      </c>
      <c r="H24" s="189">
        <v>27</v>
      </c>
      <c r="I24" s="190" t="s">
        <v>885</v>
      </c>
      <c r="J24" s="187">
        <v>444</v>
      </c>
      <c r="K24" s="187">
        <v>390</v>
      </c>
      <c r="L24" s="187" t="s">
        <v>164</v>
      </c>
      <c r="M24" s="187">
        <v>122</v>
      </c>
      <c r="N24" s="189">
        <v>198</v>
      </c>
      <c r="O24" s="191" t="s">
        <v>886</v>
      </c>
      <c r="P24" s="195" t="s">
        <v>887</v>
      </c>
      <c r="Q24" s="203"/>
      <c r="R24" s="193" t="s">
        <v>884</v>
      </c>
      <c r="S24" s="186">
        <v>155</v>
      </c>
      <c r="T24" s="187">
        <v>86970</v>
      </c>
      <c r="U24" s="187">
        <v>3550</v>
      </c>
      <c r="V24" s="187">
        <v>3949</v>
      </c>
      <c r="W24" s="194" t="s">
        <v>766</v>
      </c>
      <c r="X24" s="189" t="s">
        <v>888</v>
      </c>
      <c r="Y24" s="187">
        <v>10370</v>
      </c>
      <c r="Z24" s="187" t="s">
        <v>889</v>
      </c>
      <c r="AA24" s="187">
        <v>1059</v>
      </c>
      <c r="AB24" s="195" t="s">
        <v>890</v>
      </c>
      <c r="AC24" s="187" t="s">
        <v>891</v>
      </c>
      <c r="AD24" s="187" t="s">
        <v>892</v>
      </c>
      <c r="AE24" s="196">
        <v>5643</v>
      </c>
      <c r="AF24" s="165">
        <v>1</v>
      </c>
      <c r="AG24" s="165">
        <v>1</v>
      </c>
      <c r="AH24" s="166">
        <v>1</v>
      </c>
      <c r="AI24" s="165">
        <v>1</v>
      </c>
      <c r="AJ24" s="165">
        <v>3</v>
      </c>
      <c r="AK24" s="173">
        <v>4</v>
      </c>
      <c r="AL24" s="197" t="s">
        <v>185</v>
      </c>
      <c r="AM24" s="174" t="s">
        <v>308</v>
      </c>
      <c r="AN24" s="174" t="s">
        <v>308</v>
      </c>
      <c r="AO24" s="175"/>
    </row>
    <row r="25" spans="1:41" s="178" customFormat="1" ht="11.25">
      <c r="A25" s="178" t="s">
        <v>674</v>
      </c>
      <c r="B25" s="185" t="s">
        <v>893</v>
      </c>
      <c r="C25" s="186">
        <v>166</v>
      </c>
      <c r="D25" s="187">
        <v>540</v>
      </c>
      <c r="E25" s="187">
        <v>300</v>
      </c>
      <c r="F25" s="188" t="s">
        <v>356</v>
      </c>
      <c r="G25" s="187">
        <v>24</v>
      </c>
      <c r="H25" s="189">
        <v>27</v>
      </c>
      <c r="I25" s="190" t="s">
        <v>894</v>
      </c>
      <c r="J25" s="187">
        <v>492</v>
      </c>
      <c r="K25" s="187">
        <v>438</v>
      </c>
      <c r="L25" s="187" t="s">
        <v>164</v>
      </c>
      <c r="M25" s="187">
        <v>122</v>
      </c>
      <c r="N25" s="189">
        <v>198</v>
      </c>
      <c r="O25" s="191" t="s">
        <v>895</v>
      </c>
      <c r="P25" s="189" t="s">
        <v>896</v>
      </c>
      <c r="Q25" s="192"/>
      <c r="R25" s="193" t="s">
        <v>893</v>
      </c>
      <c r="S25" s="186">
        <v>166</v>
      </c>
      <c r="T25" s="187">
        <v>111900</v>
      </c>
      <c r="U25" s="187">
        <v>4146</v>
      </c>
      <c r="V25" s="187">
        <v>4622</v>
      </c>
      <c r="W25" s="194" t="s">
        <v>897</v>
      </c>
      <c r="X25" s="189" t="s">
        <v>898</v>
      </c>
      <c r="Y25" s="187">
        <v>10820</v>
      </c>
      <c r="Z25" s="187" t="s">
        <v>373</v>
      </c>
      <c r="AA25" s="187">
        <v>1107</v>
      </c>
      <c r="AB25" s="195" t="s">
        <v>899</v>
      </c>
      <c r="AC25" s="187" t="s">
        <v>900</v>
      </c>
      <c r="AD25" s="187" t="s">
        <v>901</v>
      </c>
      <c r="AE25" s="196">
        <v>7189</v>
      </c>
      <c r="AF25" s="165">
        <v>1</v>
      </c>
      <c r="AG25" s="165">
        <v>1</v>
      </c>
      <c r="AH25" s="166">
        <v>1</v>
      </c>
      <c r="AI25" s="165">
        <v>2</v>
      </c>
      <c r="AJ25" s="165">
        <v>4</v>
      </c>
      <c r="AK25" s="173">
        <v>4</v>
      </c>
      <c r="AL25" s="197" t="s">
        <v>185</v>
      </c>
      <c r="AM25" s="174" t="s">
        <v>308</v>
      </c>
      <c r="AN25" s="174" t="s">
        <v>308</v>
      </c>
      <c r="AO25" s="175"/>
    </row>
    <row r="26" spans="1:41" s="178" customFormat="1" ht="11.25">
      <c r="A26" s="178" t="s">
        <v>674</v>
      </c>
      <c r="B26" s="185" t="s">
        <v>902</v>
      </c>
      <c r="C26" s="186">
        <v>178</v>
      </c>
      <c r="D26" s="187">
        <v>590</v>
      </c>
      <c r="E26" s="187">
        <v>300</v>
      </c>
      <c r="F26" s="188">
        <v>13</v>
      </c>
      <c r="G26" s="187">
        <v>25</v>
      </c>
      <c r="H26" s="189">
        <v>27</v>
      </c>
      <c r="I26" s="190" t="s">
        <v>903</v>
      </c>
      <c r="J26" s="187">
        <v>540</v>
      </c>
      <c r="K26" s="187">
        <v>486</v>
      </c>
      <c r="L26" s="187" t="s">
        <v>164</v>
      </c>
      <c r="M26" s="187">
        <v>122</v>
      </c>
      <c r="N26" s="189">
        <v>198</v>
      </c>
      <c r="O26" s="191" t="s">
        <v>904</v>
      </c>
      <c r="P26" s="189" t="s">
        <v>905</v>
      </c>
      <c r="Q26" s="192"/>
      <c r="R26" s="193" t="s">
        <v>902</v>
      </c>
      <c r="S26" s="186">
        <v>178</v>
      </c>
      <c r="T26" s="187">
        <v>141200</v>
      </c>
      <c r="U26" s="187">
        <v>4787</v>
      </c>
      <c r="V26" s="187">
        <v>5350</v>
      </c>
      <c r="W26" s="194" t="s">
        <v>906</v>
      </c>
      <c r="X26" s="189" t="s">
        <v>907</v>
      </c>
      <c r="Y26" s="187">
        <v>11270</v>
      </c>
      <c r="Z26" s="187" t="s">
        <v>908</v>
      </c>
      <c r="AA26" s="187">
        <v>1156</v>
      </c>
      <c r="AB26" s="195" t="s">
        <v>909</v>
      </c>
      <c r="AC26" s="187" t="s">
        <v>910</v>
      </c>
      <c r="AD26" s="187" t="s">
        <v>911</v>
      </c>
      <c r="AE26" s="196">
        <v>8978</v>
      </c>
      <c r="AF26" s="165">
        <v>1</v>
      </c>
      <c r="AG26" s="165">
        <v>1</v>
      </c>
      <c r="AH26" s="166">
        <v>1</v>
      </c>
      <c r="AI26" s="165">
        <v>2</v>
      </c>
      <c r="AJ26" s="165">
        <v>4</v>
      </c>
      <c r="AK26" s="173">
        <v>4</v>
      </c>
      <c r="AL26" s="197" t="s">
        <v>185</v>
      </c>
      <c r="AM26" s="174" t="s">
        <v>308</v>
      </c>
      <c r="AN26" s="174" t="s">
        <v>308</v>
      </c>
      <c r="AO26" s="175"/>
    </row>
    <row r="27" spans="1:41" s="178" customFormat="1" ht="11.25">
      <c r="A27" s="178" t="s">
        <v>674</v>
      </c>
      <c r="B27" s="164" t="s">
        <v>912</v>
      </c>
      <c r="C27" s="198">
        <v>190</v>
      </c>
      <c r="D27" s="165">
        <v>640</v>
      </c>
      <c r="E27" s="165">
        <v>300</v>
      </c>
      <c r="F27" s="199" t="s">
        <v>157</v>
      </c>
      <c r="G27" s="165">
        <v>26</v>
      </c>
      <c r="H27" s="166">
        <v>27</v>
      </c>
      <c r="I27" s="171" t="s">
        <v>913</v>
      </c>
      <c r="J27" s="165">
        <v>588</v>
      </c>
      <c r="K27" s="165">
        <v>534</v>
      </c>
      <c r="L27" s="165" t="s">
        <v>164</v>
      </c>
      <c r="M27" s="165">
        <v>124</v>
      </c>
      <c r="N27" s="166">
        <v>198</v>
      </c>
      <c r="O27" s="168" t="s">
        <v>914</v>
      </c>
      <c r="P27" s="166" t="s">
        <v>915</v>
      </c>
      <c r="Q27" s="200"/>
      <c r="R27" s="201" t="s">
        <v>912</v>
      </c>
      <c r="S27" s="198">
        <v>190</v>
      </c>
      <c r="T27" s="165">
        <v>175200</v>
      </c>
      <c r="U27" s="165">
        <v>5474</v>
      </c>
      <c r="V27" s="165">
        <v>6136</v>
      </c>
      <c r="W27" s="202" t="s">
        <v>916</v>
      </c>
      <c r="X27" s="166" t="s">
        <v>917</v>
      </c>
      <c r="Y27" s="165">
        <v>11720</v>
      </c>
      <c r="Z27" s="165" t="s">
        <v>918</v>
      </c>
      <c r="AA27" s="165">
        <v>1205</v>
      </c>
      <c r="AB27" s="167" t="s">
        <v>919</v>
      </c>
      <c r="AC27" s="187" t="s">
        <v>920</v>
      </c>
      <c r="AD27" s="187" t="s">
        <v>921</v>
      </c>
      <c r="AE27" s="196">
        <v>11030</v>
      </c>
      <c r="AF27" s="165">
        <v>1</v>
      </c>
      <c r="AG27" s="165">
        <v>1</v>
      </c>
      <c r="AH27" s="166">
        <v>1</v>
      </c>
      <c r="AI27" s="165">
        <v>3</v>
      </c>
      <c r="AJ27" s="165">
        <v>4</v>
      </c>
      <c r="AK27" s="173">
        <v>4</v>
      </c>
      <c r="AL27" s="197" t="s">
        <v>185</v>
      </c>
      <c r="AM27" s="174" t="s">
        <v>308</v>
      </c>
      <c r="AN27" s="174" t="s">
        <v>308</v>
      </c>
      <c r="AO27" s="175"/>
    </row>
    <row r="28" spans="1:41" s="178" customFormat="1" ht="11.25">
      <c r="A28" s="178" t="s">
        <v>674</v>
      </c>
      <c r="B28" s="164" t="s">
        <v>922</v>
      </c>
      <c r="C28" s="198">
        <v>204</v>
      </c>
      <c r="D28" s="165">
        <v>690</v>
      </c>
      <c r="E28" s="165">
        <v>300</v>
      </c>
      <c r="F28" s="199" t="s">
        <v>387</v>
      </c>
      <c r="G28" s="165">
        <v>27</v>
      </c>
      <c r="H28" s="166">
        <v>27</v>
      </c>
      <c r="I28" s="171" t="s">
        <v>923</v>
      </c>
      <c r="J28" s="165">
        <v>636</v>
      </c>
      <c r="K28" s="165">
        <v>582</v>
      </c>
      <c r="L28" s="165" t="s">
        <v>164</v>
      </c>
      <c r="M28" s="165">
        <v>124</v>
      </c>
      <c r="N28" s="166">
        <v>198</v>
      </c>
      <c r="O28" s="168" t="s">
        <v>924</v>
      </c>
      <c r="P28" s="166" t="s">
        <v>925</v>
      </c>
      <c r="Q28" s="200"/>
      <c r="R28" s="201" t="s">
        <v>922</v>
      </c>
      <c r="S28" s="198">
        <v>204</v>
      </c>
      <c r="T28" s="165">
        <v>215300</v>
      </c>
      <c r="U28" s="165">
        <v>6241</v>
      </c>
      <c r="V28" s="165">
        <v>7032</v>
      </c>
      <c r="W28" s="202" t="s">
        <v>926</v>
      </c>
      <c r="X28" s="171" t="s">
        <v>927</v>
      </c>
      <c r="Y28" s="165">
        <v>12180</v>
      </c>
      <c r="Z28" s="165" t="s">
        <v>928</v>
      </c>
      <c r="AA28" s="165">
        <v>1257</v>
      </c>
      <c r="AB28" s="167" t="s">
        <v>929</v>
      </c>
      <c r="AC28" s="187" t="s">
        <v>401</v>
      </c>
      <c r="AD28" s="187" t="s">
        <v>930</v>
      </c>
      <c r="AE28" s="196">
        <v>13350</v>
      </c>
      <c r="AF28" s="165">
        <v>1</v>
      </c>
      <c r="AG28" s="165">
        <v>1</v>
      </c>
      <c r="AH28" s="166">
        <v>1</v>
      </c>
      <c r="AI28" s="165">
        <v>3</v>
      </c>
      <c r="AJ28" s="165">
        <v>4</v>
      </c>
      <c r="AK28" s="173">
        <v>4</v>
      </c>
      <c r="AL28" s="197" t="s">
        <v>185</v>
      </c>
      <c r="AM28" s="174" t="s">
        <v>308</v>
      </c>
      <c r="AN28" s="174" t="s">
        <v>308</v>
      </c>
      <c r="AO28" s="175"/>
    </row>
    <row r="29" spans="1:41" s="178" customFormat="1" ht="11.25">
      <c r="A29" s="178" t="s">
        <v>674</v>
      </c>
      <c r="B29" s="164" t="s">
        <v>931</v>
      </c>
      <c r="C29" s="198">
        <v>224</v>
      </c>
      <c r="D29" s="165">
        <v>790</v>
      </c>
      <c r="E29" s="165">
        <v>300</v>
      </c>
      <c r="F29" s="199">
        <v>15</v>
      </c>
      <c r="G29" s="165">
        <v>28</v>
      </c>
      <c r="H29" s="166">
        <v>30</v>
      </c>
      <c r="I29" s="171" t="s">
        <v>932</v>
      </c>
      <c r="J29" s="165">
        <v>734</v>
      </c>
      <c r="K29" s="165">
        <v>674</v>
      </c>
      <c r="L29" s="165" t="s">
        <v>164</v>
      </c>
      <c r="M29" s="165">
        <v>130</v>
      </c>
      <c r="N29" s="166">
        <v>198</v>
      </c>
      <c r="O29" s="168" t="s">
        <v>933</v>
      </c>
      <c r="P29" s="166" t="s">
        <v>934</v>
      </c>
      <c r="Q29" s="200"/>
      <c r="R29" s="201" t="s">
        <v>931</v>
      </c>
      <c r="S29" s="198">
        <v>224</v>
      </c>
      <c r="T29" s="165">
        <v>303400</v>
      </c>
      <c r="U29" s="165">
        <v>7682</v>
      </c>
      <c r="V29" s="165">
        <v>8699</v>
      </c>
      <c r="W29" s="202" t="s">
        <v>935</v>
      </c>
      <c r="X29" s="166" t="s">
        <v>936</v>
      </c>
      <c r="Y29" s="165">
        <v>12640</v>
      </c>
      <c r="Z29" s="165" t="s">
        <v>937</v>
      </c>
      <c r="AA29" s="165">
        <v>1312</v>
      </c>
      <c r="AB29" s="167" t="s">
        <v>938</v>
      </c>
      <c r="AC29" s="187" t="s">
        <v>939</v>
      </c>
      <c r="AD29" s="187" t="s">
        <v>940</v>
      </c>
      <c r="AE29" s="196">
        <v>18290</v>
      </c>
      <c r="AF29" s="165">
        <v>1</v>
      </c>
      <c r="AG29" s="165">
        <v>1</v>
      </c>
      <c r="AH29" s="166">
        <v>1</v>
      </c>
      <c r="AI29" s="165">
        <v>4</v>
      </c>
      <c r="AJ29" s="165">
        <v>4</v>
      </c>
      <c r="AK29" s="173">
        <v>4</v>
      </c>
      <c r="AL29" s="197" t="s">
        <v>185</v>
      </c>
      <c r="AM29" s="174" t="s">
        <v>308</v>
      </c>
      <c r="AN29" s="174" t="s">
        <v>308</v>
      </c>
      <c r="AO29" s="175"/>
    </row>
    <row r="30" spans="1:41" s="178" customFormat="1" ht="11.25">
      <c r="A30" s="178" t="s">
        <v>674</v>
      </c>
      <c r="B30" s="185" t="s">
        <v>941</v>
      </c>
      <c r="C30" s="186">
        <v>252</v>
      </c>
      <c r="D30" s="187">
        <v>890</v>
      </c>
      <c r="E30" s="187">
        <v>300</v>
      </c>
      <c r="F30" s="188">
        <v>16</v>
      </c>
      <c r="G30" s="187">
        <v>30</v>
      </c>
      <c r="H30" s="189">
        <v>30</v>
      </c>
      <c r="I30" s="190" t="s">
        <v>942</v>
      </c>
      <c r="J30" s="187">
        <v>830</v>
      </c>
      <c r="K30" s="187">
        <v>770</v>
      </c>
      <c r="L30" s="187" t="s">
        <v>164</v>
      </c>
      <c r="M30" s="187">
        <v>132</v>
      </c>
      <c r="N30" s="189">
        <v>198</v>
      </c>
      <c r="O30" s="191" t="s">
        <v>943</v>
      </c>
      <c r="P30" s="189" t="s">
        <v>944</v>
      </c>
      <c r="Q30" s="192"/>
      <c r="R30" s="193" t="s">
        <v>941</v>
      </c>
      <c r="S30" s="186">
        <v>252</v>
      </c>
      <c r="T30" s="187">
        <v>422100</v>
      </c>
      <c r="U30" s="187">
        <v>9485</v>
      </c>
      <c r="V30" s="187">
        <v>10810</v>
      </c>
      <c r="W30" s="194" t="s">
        <v>945</v>
      </c>
      <c r="X30" s="189" t="s">
        <v>946</v>
      </c>
      <c r="Y30" s="187">
        <v>13550</v>
      </c>
      <c r="Z30" s="187" t="s">
        <v>947</v>
      </c>
      <c r="AA30" s="187">
        <v>1414</v>
      </c>
      <c r="AB30" s="195" t="s">
        <v>808</v>
      </c>
      <c r="AC30" s="187" t="s">
        <v>565</v>
      </c>
      <c r="AD30" s="187" t="s">
        <v>948</v>
      </c>
      <c r="AE30" s="196">
        <v>24960</v>
      </c>
      <c r="AF30" s="165">
        <v>1</v>
      </c>
      <c r="AG30" s="165">
        <v>1</v>
      </c>
      <c r="AH30" s="166">
        <v>1</v>
      </c>
      <c r="AI30" s="165">
        <v>4</v>
      </c>
      <c r="AJ30" s="165">
        <v>4</v>
      </c>
      <c r="AK30" s="173">
        <v>4</v>
      </c>
      <c r="AL30" s="197" t="s">
        <v>185</v>
      </c>
      <c r="AM30" s="174" t="s">
        <v>308</v>
      </c>
      <c r="AN30" s="174" t="s">
        <v>308</v>
      </c>
      <c r="AO30" s="175"/>
    </row>
    <row r="31" spans="1:41" s="178" customFormat="1" ht="11.25">
      <c r="A31" s="178" t="s">
        <v>674</v>
      </c>
      <c r="B31" s="164" t="s">
        <v>949</v>
      </c>
      <c r="C31" s="198">
        <v>272</v>
      </c>
      <c r="D31" s="165">
        <v>990</v>
      </c>
      <c r="E31" s="165">
        <v>300</v>
      </c>
      <c r="F31" s="199" t="s">
        <v>845</v>
      </c>
      <c r="G31" s="165">
        <v>31</v>
      </c>
      <c r="H31" s="166">
        <v>30</v>
      </c>
      <c r="I31" s="171" t="s">
        <v>950</v>
      </c>
      <c r="J31" s="165">
        <v>928</v>
      </c>
      <c r="K31" s="165">
        <v>868</v>
      </c>
      <c r="L31" s="165" t="s">
        <v>164</v>
      </c>
      <c r="M31" s="165">
        <v>132</v>
      </c>
      <c r="N31" s="166">
        <v>198</v>
      </c>
      <c r="O31" s="168" t="s">
        <v>951</v>
      </c>
      <c r="P31" s="166" t="s">
        <v>952</v>
      </c>
      <c r="Q31" s="200"/>
      <c r="R31" s="201" t="s">
        <v>949</v>
      </c>
      <c r="S31" s="198">
        <v>272</v>
      </c>
      <c r="T31" s="165">
        <v>553800</v>
      </c>
      <c r="U31" s="165">
        <v>11190</v>
      </c>
      <c r="V31" s="165">
        <v>12820</v>
      </c>
      <c r="W31" s="202" t="s">
        <v>953</v>
      </c>
      <c r="X31" s="166" t="s">
        <v>954</v>
      </c>
      <c r="Y31" s="165">
        <v>14000</v>
      </c>
      <c r="Z31" s="165" t="s">
        <v>955</v>
      </c>
      <c r="AA31" s="165">
        <v>1470</v>
      </c>
      <c r="AB31" s="167" t="s">
        <v>956</v>
      </c>
      <c r="AC31" s="165" t="s">
        <v>957</v>
      </c>
      <c r="AD31" s="165" t="s">
        <v>958</v>
      </c>
      <c r="AE31" s="173">
        <v>32070</v>
      </c>
      <c r="AF31" s="165">
        <v>1</v>
      </c>
      <c r="AG31" s="165">
        <v>1</v>
      </c>
      <c r="AH31" s="166">
        <v>2</v>
      </c>
      <c r="AI31" s="165">
        <v>4</v>
      </c>
      <c r="AJ31" s="165">
        <v>4</v>
      </c>
      <c r="AK31" s="173">
        <v>4</v>
      </c>
      <c r="AL31" s="197" t="s">
        <v>185</v>
      </c>
      <c r="AM31" s="198" t="s">
        <v>308</v>
      </c>
      <c r="AN31" s="198" t="s">
        <v>308</v>
      </c>
      <c r="AO31" s="175"/>
    </row>
  </sheetData>
  <sheetProtection password="CE2A" sheet="1" objects="1" scenarios="1"/>
  <mergeCells count="4">
    <mergeCell ref="AF1:AK1"/>
    <mergeCell ref="AL1:AL5"/>
    <mergeCell ref="AM1:AM5"/>
    <mergeCell ref="AN1:AN5"/>
  </mergeCells>
  <phoneticPr fontId="0" type="noConversion"/>
  <pageMargins left="0.75" right="0.75" top="1" bottom="1" header="0" footer="0"/>
  <headerFooter alignWithMargins="0"/>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Hoja13"/>
  <dimension ref="A1:AP30"/>
  <sheetViews>
    <sheetView workbookViewId="0">
      <selection activeCell="B7" sqref="B7:B30"/>
    </sheetView>
  </sheetViews>
  <sheetFormatPr baseColWidth="10" defaultRowHeight="12.75"/>
  <cols>
    <col min="1" max="1" width="4" bestFit="1" customWidth="1"/>
    <col min="2" max="2" width="10.42578125" bestFit="1" customWidth="1"/>
    <col min="3" max="3" width="4.140625" bestFit="1" customWidth="1"/>
    <col min="4" max="4" width="3.7109375" bestFit="1" customWidth="1"/>
    <col min="5" max="8" width="3.28515625" bestFit="1" customWidth="1"/>
    <col min="9" max="11" width="4.140625" bestFit="1" customWidth="1"/>
    <col min="12" max="12" width="4" bestFit="1" customWidth="1"/>
    <col min="13" max="13" width="4.140625" bestFit="1" customWidth="1"/>
    <col min="14" max="14" width="4.7109375" bestFit="1" customWidth="1"/>
    <col min="15" max="15" width="4.28515625" bestFit="1" customWidth="1"/>
    <col min="16" max="16" width="4.140625" bestFit="1" customWidth="1"/>
    <col min="18" max="18" width="10.42578125" bestFit="1" customWidth="1"/>
    <col min="19" max="19" width="4.140625" bestFit="1" customWidth="1"/>
    <col min="20" max="20" width="4.5703125" bestFit="1" customWidth="1"/>
    <col min="21" max="21" width="4.85546875" bestFit="1" customWidth="1"/>
    <col min="22" max="22" width="5.7109375" bestFit="1" customWidth="1"/>
    <col min="23" max="25" width="4.140625" bestFit="1" customWidth="1"/>
    <col min="26" max="26" width="4.85546875" bestFit="1" customWidth="1"/>
    <col min="27" max="27" width="5.7109375" bestFit="1" customWidth="1"/>
    <col min="28" max="28" width="3.5703125" bestFit="1" customWidth="1"/>
    <col min="29" max="31" width="4.140625" bestFit="1" customWidth="1"/>
    <col min="32" max="32" width="4" bestFit="1" customWidth="1"/>
    <col min="33" max="33" width="7.42578125" customWidth="1"/>
    <col min="34" max="34" width="20.42578125" bestFit="1" customWidth="1"/>
    <col min="35" max="35" width="4" bestFit="1" customWidth="1"/>
    <col min="36" max="36" width="8.85546875" bestFit="1" customWidth="1"/>
    <col min="37" max="37" width="4" bestFit="1" customWidth="1"/>
  </cols>
  <sheetData>
    <row r="1" spans="1:41" s="179" customFormat="1" thickTop="1">
      <c r="B1" s="122"/>
      <c r="C1" s="123"/>
      <c r="D1" s="124"/>
      <c r="E1" s="124"/>
      <c r="F1" s="124"/>
      <c r="G1" s="124"/>
      <c r="H1" s="125"/>
      <c r="I1" s="125"/>
      <c r="J1" s="124"/>
      <c r="K1" s="124"/>
      <c r="L1" s="124"/>
      <c r="M1" s="124"/>
      <c r="N1" s="125"/>
      <c r="O1" s="124"/>
      <c r="P1" s="124"/>
      <c r="Q1" s="133"/>
      <c r="R1" s="127"/>
      <c r="S1" s="125"/>
      <c r="T1" s="124"/>
      <c r="U1" s="124"/>
      <c r="V1" s="124"/>
      <c r="W1" s="124"/>
      <c r="X1" s="125"/>
      <c r="Y1" s="124"/>
      <c r="Z1" s="124"/>
      <c r="AA1" s="124"/>
      <c r="AB1" s="125"/>
      <c r="AC1" s="124"/>
      <c r="AD1" s="124"/>
      <c r="AE1" s="128"/>
      <c r="AF1" s="1254" t="s">
        <v>80</v>
      </c>
      <c r="AG1" s="1255"/>
      <c r="AH1" s="1255"/>
      <c r="AI1" s="1255"/>
      <c r="AJ1" s="1255"/>
      <c r="AK1" s="1256"/>
      <c r="AL1" s="1257" t="s">
        <v>165</v>
      </c>
      <c r="AM1" s="1252" t="s">
        <v>166</v>
      </c>
      <c r="AN1" s="1252" t="s">
        <v>167</v>
      </c>
      <c r="AO1" s="180"/>
    </row>
    <row r="2" spans="1:41" s="179" customFormat="1" ht="12">
      <c r="B2" s="132"/>
      <c r="C2" s="133"/>
      <c r="D2" s="126"/>
      <c r="E2" s="126"/>
      <c r="F2" s="126"/>
      <c r="G2" s="126"/>
      <c r="H2" s="134"/>
      <c r="I2" s="134"/>
      <c r="J2" s="126"/>
      <c r="K2" s="126"/>
      <c r="L2" s="126"/>
      <c r="M2" s="126"/>
      <c r="N2" s="134"/>
      <c r="O2" s="126"/>
      <c r="P2" s="126"/>
      <c r="Q2" s="133"/>
      <c r="R2" s="135"/>
      <c r="S2" s="134"/>
      <c r="T2" s="126"/>
      <c r="U2" s="126"/>
      <c r="V2" s="126"/>
      <c r="W2" s="126"/>
      <c r="X2" s="134"/>
      <c r="Y2" s="126"/>
      <c r="Z2" s="126"/>
      <c r="AA2" s="126"/>
      <c r="AB2" s="134"/>
      <c r="AC2" s="126"/>
      <c r="AD2" s="126"/>
      <c r="AE2" s="136"/>
      <c r="AF2" s="137"/>
      <c r="AG2" s="138"/>
      <c r="AH2" s="139"/>
      <c r="AI2" s="138"/>
      <c r="AJ2" s="138"/>
      <c r="AK2" s="140"/>
      <c r="AL2" s="1257"/>
      <c r="AM2" s="1252"/>
      <c r="AN2" s="1252"/>
      <c r="AO2" s="181"/>
    </row>
    <row r="3" spans="1:41" s="179" customFormat="1" ht="19.5">
      <c r="B3" s="132"/>
      <c r="C3" s="133" t="s">
        <v>79</v>
      </c>
      <c r="D3" s="126" t="s">
        <v>81</v>
      </c>
      <c r="E3" s="126" t="s">
        <v>34</v>
      </c>
      <c r="F3" s="126" t="s">
        <v>82</v>
      </c>
      <c r="G3" s="126" t="s">
        <v>83</v>
      </c>
      <c r="H3" s="134" t="s">
        <v>84</v>
      </c>
      <c r="I3" s="134" t="s">
        <v>85</v>
      </c>
      <c r="J3" s="126" t="s">
        <v>86</v>
      </c>
      <c r="K3" s="126" t="s">
        <v>36</v>
      </c>
      <c r="L3" s="126" t="s">
        <v>87</v>
      </c>
      <c r="M3" s="141" t="s">
        <v>88</v>
      </c>
      <c r="N3" s="134" t="s">
        <v>89</v>
      </c>
      <c r="O3" s="126" t="s">
        <v>90</v>
      </c>
      <c r="P3" s="126" t="s">
        <v>91</v>
      </c>
      <c r="Q3" s="133"/>
      <c r="R3" s="135"/>
      <c r="S3" s="134" t="s">
        <v>79</v>
      </c>
      <c r="T3" s="126" t="s">
        <v>92</v>
      </c>
      <c r="U3" s="126" t="s">
        <v>93</v>
      </c>
      <c r="V3" s="126" t="s">
        <v>94</v>
      </c>
      <c r="W3" s="126" t="s">
        <v>95</v>
      </c>
      <c r="X3" s="134" t="s">
        <v>96</v>
      </c>
      <c r="Y3" s="126" t="s">
        <v>97</v>
      </c>
      <c r="Z3" s="126" t="s">
        <v>98</v>
      </c>
      <c r="AA3" s="126" t="s">
        <v>99</v>
      </c>
      <c r="AB3" s="134" t="s">
        <v>100</v>
      </c>
      <c r="AC3" s="126" t="s">
        <v>101</v>
      </c>
      <c r="AD3" s="126" t="s">
        <v>102</v>
      </c>
      <c r="AE3" s="136" t="s">
        <v>103</v>
      </c>
      <c r="AF3" s="142"/>
      <c r="AG3" s="143" t="s">
        <v>104</v>
      </c>
      <c r="AH3" s="144"/>
      <c r="AI3" s="143"/>
      <c r="AJ3" s="143" t="s">
        <v>104</v>
      </c>
      <c r="AK3" s="145"/>
      <c r="AL3" s="1257"/>
      <c r="AM3" s="1252"/>
      <c r="AN3" s="1252"/>
      <c r="AO3" s="180"/>
    </row>
    <row r="4" spans="1:41" s="179" customFormat="1" ht="13.5">
      <c r="B4" s="132"/>
      <c r="C4" s="133" t="s">
        <v>105</v>
      </c>
      <c r="D4" s="126" t="s">
        <v>106</v>
      </c>
      <c r="E4" s="126" t="s">
        <v>77</v>
      </c>
      <c r="F4" s="126" t="s">
        <v>77</v>
      </c>
      <c r="G4" s="126" t="s">
        <v>77</v>
      </c>
      <c r="H4" s="134" t="s">
        <v>77</v>
      </c>
      <c r="I4" s="134" t="s">
        <v>107</v>
      </c>
      <c r="J4" s="126" t="s">
        <v>77</v>
      </c>
      <c r="K4" s="126" t="s">
        <v>77</v>
      </c>
      <c r="L4" s="126"/>
      <c r="M4" s="126" t="s">
        <v>77</v>
      </c>
      <c r="N4" s="134" t="s">
        <v>77</v>
      </c>
      <c r="O4" s="126" t="s">
        <v>108</v>
      </c>
      <c r="P4" s="126" t="s">
        <v>109</v>
      </c>
      <c r="Q4" s="133"/>
      <c r="R4" s="135"/>
      <c r="S4" s="134" t="s">
        <v>105</v>
      </c>
      <c r="T4" s="126" t="s">
        <v>110</v>
      </c>
      <c r="U4" s="126" t="s">
        <v>111</v>
      </c>
      <c r="V4" s="126" t="s">
        <v>111</v>
      </c>
      <c r="W4" s="126" t="s">
        <v>77</v>
      </c>
      <c r="X4" s="134" t="s">
        <v>112</v>
      </c>
      <c r="Y4" s="126" t="s">
        <v>113</v>
      </c>
      <c r="Z4" s="126" t="s">
        <v>111</v>
      </c>
      <c r="AA4" s="126" t="s">
        <v>111</v>
      </c>
      <c r="AB4" s="134" t="s">
        <v>77</v>
      </c>
      <c r="AC4" s="126" t="s">
        <v>77</v>
      </c>
      <c r="AD4" s="126" t="s">
        <v>113</v>
      </c>
      <c r="AE4" s="146" t="s">
        <v>114</v>
      </c>
      <c r="AF4" s="147"/>
      <c r="AG4" s="148" t="s">
        <v>115</v>
      </c>
      <c r="AH4" s="149"/>
      <c r="AI4" s="148"/>
      <c r="AJ4" s="148" t="s">
        <v>116</v>
      </c>
      <c r="AK4" s="150"/>
      <c r="AL4" s="1257"/>
      <c r="AM4" s="1252"/>
      <c r="AN4" s="1252"/>
      <c r="AO4" s="180"/>
    </row>
    <row r="5" spans="1:41" s="179" customFormat="1" thickBot="1">
      <c r="B5" s="151"/>
      <c r="C5" s="152"/>
      <c r="D5" s="153"/>
      <c r="E5" s="153"/>
      <c r="F5" s="153"/>
      <c r="G5" s="153"/>
      <c r="H5" s="154"/>
      <c r="I5" s="154" t="s">
        <v>117</v>
      </c>
      <c r="J5" s="153"/>
      <c r="K5" s="153"/>
      <c r="L5" s="153"/>
      <c r="M5" s="153"/>
      <c r="N5" s="154"/>
      <c r="O5" s="153"/>
      <c r="P5" s="153"/>
      <c r="Q5" s="133"/>
      <c r="R5" s="152"/>
      <c r="S5" s="154"/>
      <c r="T5" s="153" t="s">
        <v>118</v>
      </c>
      <c r="U5" s="153" t="s">
        <v>119</v>
      </c>
      <c r="V5" s="153" t="s">
        <v>119</v>
      </c>
      <c r="W5" s="155" t="s">
        <v>120</v>
      </c>
      <c r="X5" s="154" t="s">
        <v>117</v>
      </c>
      <c r="Y5" s="153" t="s">
        <v>118</v>
      </c>
      <c r="Z5" s="153" t="s">
        <v>119</v>
      </c>
      <c r="AA5" s="153" t="s">
        <v>119</v>
      </c>
      <c r="AB5" s="156" t="s">
        <v>120</v>
      </c>
      <c r="AC5" s="153"/>
      <c r="AD5" s="153" t="s">
        <v>118</v>
      </c>
      <c r="AE5" s="157" t="s">
        <v>121</v>
      </c>
      <c r="AF5" s="158" t="s">
        <v>65</v>
      </c>
      <c r="AG5" s="159" t="s">
        <v>69</v>
      </c>
      <c r="AH5" s="159" t="s">
        <v>122</v>
      </c>
      <c r="AI5" s="159" t="s">
        <v>65</v>
      </c>
      <c r="AJ5" s="159" t="s">
        <v>69</v>
      </c>
      <c r="AK5" s="160" t="s">
        <v>122</v>
      </c>
      <c r="AL5" s="1258"/>
      <c r="AM5" s="1253"/>
      <c r="AN5" s="1253"/>
      <c r="AO5" s="182"/>
    </row>
    <row r="6" spans="1:41" s="180" customFormat="1" ht="13.5" thickTop="1">
      <c r="B6" s="183"/>
      <c r="C6" s="183"/>
      <c r="D6" s="183"/>
      <c r="E6" s="183"/>
      <c r="F6" s="183"/>
      <c r="G6" s="183"/>
      <c r="H6" s="183"/>
      <c r="I6" s="183"/>
      <c r="J6" s="183"/>
      <c r="K6" s="183"/>
      <c r="L6" s="183"/>
      <c r="M6" s="183"/>
      <c r="N6" s="183"/>
      <c r="O6" s="183"/>
      <c r="P6" s="183"/>
      <c r="Q6" s="183"/>
      <c r="R6" s="183"/>
      <c r="S6" s="183"/>
      <c r="T6" s="183"/>
      <c r="U6" s="183"/>
      <c r="V6" s="183"/>
      <c r="W6" s="183"/>
      <c r="X6" s="183"/>
      <c r="Y6" s="183"/>
      <c r="Z6" s="183"/>
      <c r="AA6" s="183"/>
      <c r="AB6" s="183"/>
      <c r="AC6" s="183"/>
      <c r="AD6" s="183"/>
      <c r="AE6" s="183"/>
      <c r="AF6" s="183"/>
      <c r="AG6" s="183"/>
      <c r="AH6" s="183"/>
      <c r="AI6" s="183"/>
      <c r="AJ6" s="183"/>
      <c r="AK6" s="183"/>
      <c r="AL6" s="183"/>
      <c r="AM6" s="183"/>
      <c r="AN6" s="183"/>
      <c r="AO6" s="184"/>
    </row>
    <row r="7" spans="1:41" s="178" customFormat="1" ht="11.25">
      <c r="A7" s="178" t="s">
        <v>67</v>
      </c>
      <c r="B7" s="185" t="s">
        <v>168</v>
      </c>
      <c r="C7" s="186" t="s">
        <v>169</v>
      </c>
      <c r="D7" s="187">
        <v>100</v>
      </c>
      <c r="E7" s="187">
        <v>100</v>
      </c>
      <c r="F7" s="188">
        <v>6</v>
      </c>
      <c r="G7" s="187">
        <v>10</v>
      </c>
      <c r="H7" s="189">
        <v>12</v>
      </c>
      <c r="I7" s="190" t="s">
        <v>170</v>
      </c>
      <c r="J7" s="187">
        <v>80</v>
      </c>
      <c r="K7" s="187">
        <v>56</v>
      </c>
      <c r="L7" s="187" t="s">
        <v>135</v>
      </c>
      <c r="M7" s="187">
        <v>56</v>
      </c>
      <c r="N7" s="189">
        <v>58</v>
      </c>
      <c r="O7" s="191" t="s">
        <v>171</v>
      </c>
      <c r="P7" s="189" t="s">
        <v>172</v>
      </c>
      <c r="Q7" s="192"/>
      <c r="R7" s="193" t="s">
        <v>168</v>
      </c>
      <c r="S7" s="186" t="s">
        <v>169</v>
      </c>
      <c r="T7" s="187" t="s">
        <v>173</v>
      </c>
      <c r="U7" s="187" t="s">
        <v>174</v>
      </c>
      <c r="V7" s="187" t="s">
        <v>175</v>
      </c>
      <c r="W7" s="194" t="s">
        <v>176</v>
      </c>
      <c r="X7" s="189" t="s">
        <v>177</v>
      </c>
      <c r="Y7" s="187" t="s">
        <v>178</v>
      </c>
      <c r="Z7" s="187" t="s">
        <v>179</v>
      </c>
      <c r="AA7" s="187" t="s">
        <v>180</v>
      </c>
      <c r="AB7" s="195" t="s">
        <v>181</v>
      </c>
      <c r="AC7" s="187" t="s">
        <v>182</v>
      </c>
      <c r="AD7" s="187" t="s">
        <v>183</v>
      </c>
      <c r="AE7" s="196" t="s">
        <v>184</v>
      </c>
      <c r="AF7" s="165">
        <v>1</v>
      </c>
      <c r="AG7" s="165">
        <v>1</v>
      </c>
      <c r="AH7" s="166">
        <v>1</v>
      </c>
      <c r="AI7" s="165">
        <v>1</v>
      </c>
      <c r="AJ7" s="165">
        <v>1</v>
      </c>
      <c r="AK7" s="173">
        <v>1</v>
      </c>
      <c r="AL7" s="197" t="s">
        <v>185</v>
      </c>
      <c r="AM7" s="198" t="s">
        <v>185</v>
      </c>
      <c r="AN7" s="198" t="s">
        <v>185</v>
      </c>
      <c r="AO7" s="143"/>
    </row>
    <row r="8" spans="1:41" s="178" customFormat="1" ht="11.25">
      <c r="A8" s="178" t="s">
        <v>463</v>
      </c>
      <c r="B8" s="185" t="s">
        <v>464</v>
      </c>
      <c r="C8" s="186" t="s">
        <v>465</v>
      </c>
      <c r="D8" s="187">
        <v>120</v>
      </c>
      <c r="E8" s="187">
        <v>106</v>
      </c>
      <c r="F8" s="188">
        <v>12</v>
      </c>
      <c r="G8" s="187">
        <v>20</v>
      </c>
      <c r="H8" s="189">
        <v>12</v>
      </c>
      <c r="I8" s="190" t="s">
        <v>466</v>
      </c>
      <c r="J8" s="187">
        <v>80</v>
      </c>
      <c r="K8" s="187">
        <v>56</v>
      </c>
      <c r="L8" s="187" t="s">
        <v>135</v>
      </c>
      <c r="M8" s="187">
        <v>62</v>
      </c>
      <c r="N8" s="189">
        <v>64</v>
      </c>
      <c r="O8" s="191" t="s">
        <v>467</v>
      </c>
      <c r="P8" s="189" t="s">
        <v>468</v>
      </c>
      <c r="Q8" s="192"/>
      <c r="R8" s="193" t="s">
        <v>464</v>
      </c>
      <c r="S8" s="186" t="s">
        <v>465</v>
      </c>
      <c r="T8" s="187">
        <v>1143</v>
      </c>
      <c r="U8" s="187" t="s">
        <v>144</v>
      </c>
      <c r="V8" s="187" t="s">
        <v>469</v>
      </c>
      <c r="W8" s="194" t="s">
        <v>470</v>
      </c>
      <c r="X8" s="189" t="s">
        <v>471</v>
      </c>
      <c r="Y8" s="187" t="s">
        <v>472</v>
      </c>
      <c r="Z8" s="187" t="s">
        <v>473</v>
      </c>
      <c r="AA8" s="187" t="s">
        <v>474</v>
      </c>
      <c r="AB8" s="195" t="s">
        <v>475</v>
      </c>
      <c r="AC8" s="187" t="s">
        <v>476</v>
      </c>
      <c r="AD8" s="187" t="s">
        <v>477</v>
      </c>
      <c r="AE8" s="196" t="s">
        <v>478</v>
      </c>
      <c r="AF8" s="165">
        <v>1</v>
      </c>
      <c r="AG8" s="165">
        <v>1</v>
      </c>
      <c r="AH8" s="166">
        <v>1</v>
      </c>
      <c r="AI8" s="165">
        <v>1</v>
      </c>
      <c r="AJ8" s="165">
        <v>1</v>
      </c>
      <c r="AK8" s="173">
        <v>1</v>
      </c>
      <c r="AL8" s="197" t="s">
        <v>185</v>
      </c>
      <c r="AM8" s="198" t="s">
        <v>185</v>
      </c>
      <c r="AN8" s="198" t="s">
        <v>185</v>
      </c>
      <c r="AO8" s="143"/>
    </row>
    <row r="9" spans="1:41" s="178" customFormat="1" ht="11.25">
      <c r="A9" s="178" t="s">
        <v>463</v>
      </c>
      <c r="B9" s="185" t="s">
        <v>479</v>
      </c>
      <c r="C9" s="186" t="s">
        <v>480</v>
      </c>
      <c r="D9" s="187">
        <v>140</v>
      </c>
      <c r="E9" s="187">
        <v>126</v>
      </c>
      <c r="F9" s="188" t="s">
        <v>356</v>
      </c>
      <c r="G9" s="187">
        <v>21</v>
      </c>
      <c r="H9" s="189">
        <v>12</v>
      </c>
      <c r="I9" s="190" t="s">
        <v>481</v>
      </c>
      <c r="J9" s="187">
        <v>98</v>
      </c>
      <c r="K9" s="187">
        <v>74</v>
      </c>
      <c r="L9" s="187" t="s">
        <v>142</v>
      </c>
      <c r="M9" s="187">
        <v>66</v>
      </c>
      <c r="N9" s="189">
        <v>74</v>
      </c>
      <c r="O9" s="191" t="s">
        <v>482</v>
      </c>
      <c r="P9" s="189" t="s">
        <v>483</v>
      </c>
      <c r="Q9" s="192"/>
      <c r="R9" s="193" t="s">
        <v>479</v>
      </c>
      <c r="S9" s="186" t="s">
        <v>480</v>
      </c>
      <c r="T9" s="187">
        <v>2018</v>
      </c>
      <c r="U9" s="187" t="s">
        <v>484</v>
      </c>
      <c r="V9" s="187" t="s">
        <v>485</v>
      </c>
      <c r="W9" s="194" t="s">
        <v>486</v>
      </c>
      <c r="X9" s="189" t="s">
        <v>487</v>
      </c>
      <c r="Y9" s="187" t="s">
        <v>488</v>
      </c>
      <c r="Z9" s="187" t="s">
        <v>489</v>
      </c>
      <c r="AA9" s="187" t="s">
        <v>490</v>
      </c>
      <c r="AB9" s="195" t="s">
        <v>491</v>
      </c>
      <c r="AC9" s="187" t="s">
        <v>492</v>
      </c>
      <c r="AD9" s="187" t="s">
        <v>493</v>
      </c>
      <c r="AE9" s="196" t="s">
        <v>494</v>
      </c>
      <c r="AF9" s="165">
        <v>1</v>
      </c>
      <c r="AG9" s="165">
        <v>1</v>
      </c>
      <c r="AH9" s="166">
        <v>1</v>
      </c>
      <c r="AI9" s="165">
        <v>1</v>
      </c>
      <c r="AJ9" s="165">
        <v>1</v>
      </c>
      <c r="AK9" s="173">
        <v>1</v>
      </c>
      <c r="AL9" s="197" t="s">
        <v>185</v>
      </c>
      <c r="AM9" s="198" t="s">
        <v>185</v>
      </c>
      <c r="AN9" s="198" t="s">
        <v>185</v>
      </c>
      <c r="AO9" s="143"/>
    </row>
    <row r="10" spans="1:41" s="178" customFormat="1" ht="11.25">
      <c r="A10" s="178" t="s">
        <v>463</v>
      </c>
      <c r="B10" s="185" t="s">
        <v>495</v>
      </c>
      <c r="C10" s="186" t="s">
        <v>496</v>
      </c>
      <c r="D10" s="187">
        <v>160</v>
      </c>
      <c r="E10" s="187">
        <v>146</v>
      </c>
      <c r="F10" s="188">
        <v>13</v>
      </c>
      <c r="G10" s="187">
        <v>22</v>
      </c>
      <c r="H10" s="189">
        <v>12</v>
      </c>
      <c r="I10" s="190" t="s">
        <v>497</v>
      </c>
      <c r="J10" s="187">
        <v>116</v>
      </c>
      <c r="K10" s="187">
        <v>92</v>
      </c>
      <c r="L10" s="187" t="s">
        <v>147</v>
      </c>
      <c r="M10" s="187">
        <v>72</v>
      </c>
      <c r="N10" s="189">
        <v>82</v>
      </c>
      <c r="O10" s="191" t="s">
        <v>498</v>
      </c>
      <c r="P10" s="189" t="s">
        <v>499</v>
      </c>
      <c r="Q10" s="192"/>
      <c r="R10" s="193" t="s">
        <v>495</v>
      </c>
      <c r="S10" s="186" t="s">
        <v>496</v>
      </c>
      <c r="T10" s="187">
        <v>3291</v>
      </c>
      <c r="U10" s="187" t="s">
        <v>500</v>
      </c>
      <c r="V10" s="187" t="s">
        <v>501</v>
      </c>
      <c r="W10" s="194" t="s">
        <v>502</v>
      </c>
      <c r="X10" s="189" t="s">
        <v>503</v>
      </c>
      <c r="Y10" s="187">
        <v>1144</v>
      </c>
      <c r="Z10" s="187" t="s">
        <v>504</v>
      </c>
      <c r="AA10" s="187" t="s">
        <v>505</v>
      </c>
      <c r="AB10" s="195" t="s">
        <v>506</v>
      </c>
      <c r="AC10" s="187" t="s">
        <v>507</v>
      </c>
      <c r="AD10" s="188" t="s">
        <v>508</v>
      </c>
      <c r="AE10" s="196" t="s">
        <v>509</v>
      </c>
      <c r="AF10" s="165">
        <v>1</v>
      </c>
      <c r="AG10" s="165">
        <v>1</v>
      </c>
      <c r="AH10" s="166">
        <v>1</v>
      </c>
      <c r="AI10" s="165">
        <v>1</v>
      </c>
      <c r="AJ10" s="165">
        <v>1</v>
      </c>
      <c r="AK10" s="173">
        <v>1</v>
      </c>
      <c r="AL10" s="197" t="s">
        <v>185</v>
      </c>
      <c r="AM10" s="198" t="s">
        <v>185</v>
      </c>
      <c r="AN10" s="198" t="s">
        <v>185</v>
      </c>
      <c r="AO10" s="143"/>
    </row>
    <row r="11" spans="1:41" s="178" customFormat="1" ht="11.25">
      <c r="A11" s="178" t="s">
        <v>463</v>
      </c>
      <c r="B11" s="185" t="s">
        <v>510</v>
      </c>
      <c r="C11" s="186" t="s">
        <v>511</v>
      </c>
      <c r="D11" s="187">
        <v>180</v>
      </c>
      <c r="E11" s="187">
        <v>166</v>
      </c>
      <c r="F11" s="188">
        <v>14</v>
      </c>
      <c r="G11" s="187">
        <v>23</v>
      </c>
      <c r="H11" s="189">
        <v>15</v>
      </c>
      <c r="I11" s="190" t="s">
        <v>512</v>
      </c>
      <c r="J11" s="187">
        <v>134</v>
      </c>
      <c r="K11" s="187">
        <v>104</v>
      </c>
      <c r="L11" s="187" t="s">
        <v>222</v>
      </c>
      <c r="M11" s="187">
        <v>86</v>
      </c>
      <c r="N11" s="189">
        <v>90</v>
      </c>
      <c r="O11" s="191" t="s">
        <v>513</v>
      </c>
      <c r="P11" s="189" t="s">
        <v>514</v>
      </c>
      <c r="Q11" s="192"/>
      <c r="R11" s="193" t="s">
        <v>510</v>
      </c>
      <c r="S11" s="186" t="s">
        <v>511</v>
      </c>
      <c r="T11" s="187">
        <v>5098</v>
      </c>
      <c r="U11" s="187" t="s">
        <v>515</v>
      </c>
      <c r="V11" s="187" t="s">
        <v>516</v>
      </c>
      <c r="W11" s="194" t="s">
        <v>517</v>
      </c>
      <c r="X11" s="189" t="s">
        <v>153</v>
      </c>
      <c r="Y11" s="187">
        <v>1759</v>
      </c>
      <c r="Z11" s="187" t="s">
        <v>518</v>
      </c>
      <c r="AA11" s="187" t="s">
        <v>519</v>
      </c>
      <c r="AB11" s="195" t="s">
        <v>520</v>
      </c>
      <c r="AC11" s="187" t="s">
        <v>521</v>
      </c>
      <c r="AD11" s="187" t="s">
        <v>522</v>
      </c>
      <c r="AE11" s="196" t="s">
        <v>523</v>
      </c>
      <c r="AF11" s="165">
        <v>1</v>
      </c>
      <c r="AG11" s="165">
        <v>1</v>
      </c>
      <c r="AH11" s="166">
        <v>1</v>
      </c>
      <c r="AI11" s="165">
        <v>1</v>
      </c>
      <c r="AJ11" s="165">
        <v>1</v>
      </c>
      <c r="AK11" s="173">
        <v>1</v>
      </c>
      <c r="AL11" s="197" t="s">
        <v>185</v>
      </c>
      <c r="AM11" s="198" t="s">
        <v>185</v>
      </c>
      <c r="AN11" s="198" t="s">
        <v>185</v>
      </c>
      <c r="AO11" s="143"/>
    </row>
    <row r="12" spans="1:41" s="178" customFormat="1" ht="11.25">
      <c r="A12" s="178" t="s">
        <v>463</v>
      </c>
      <c r="B12" s="185" t="s">
        <v>524</v>
      </c>
      <c r="C12" s="186">
        <v>103</v>
      </c>
      <c r="D12" s="187">
        <v>220</v>
      </c>
      <c r="E12" s="187">
        <v>206</v>
      </c>
      <c r="F12" s="188">
        <v>15</v>
      </c>
      <c r="G12" s="187">
        <v>25</v>
      </c>
      <c r="H12" s="189">
        <v>18</v>
      </c>
      <c r="I12" s="190" t="s">
        <v>525</v>
      </c>
      <c r="J12" s="187">
        <v>170</v>
      </c>
      <c r="K12" s="187">
        <v>134</v>
      </c>
      <c r="L12" s="187" t="s">
        <v>164</v>
      </c>
      <c r="M12" s="187">
        <v>106</v>
      </c>
      <c r="N12" s="189">
        <v>106</v>
      </c>
      <c r="O12" s="191" t="s">
        <v>526</v>
      </c>
      <c r="P12" s="189" t="s">
        <v>527</v>
      </c>
      <c r="Q12" s="192"/>
      <c r="R12" s="193" t="s">
        <v>524</v>
      </c>
      <c r="S12" s="186">
        <v>103</v>
      </c>
      <c r="T12" s="187">
        <v>10640</v>
      </c>
      <c r="U12" s="187" t="s">
        <v>528</v>
      </c>
      <c r="V12" s="187">
        <v>1135</v>
      </c>
      <c r="W12" s="194" t="s">
        <v>529</v>
      </c>
      <c r="X12" s="189" t="s">
        <v>530</v>
      </c>
      <c r="Y12" s="187">
        <v>3651</v>
      </c>
      <c r="Z12" s="187" t="s">
        <v>531</v>
      </c>
      <c r="AA12" s="187" t="s">
        <v>532</v>
      </c>
      <c r="AB12" s="195" t="s">
        <v>533</v>
      </c>
      <c r="AC12" s="187" t="s">
        <v>534</v>
      </c>
      <c r="AD12" s="187" t="s">
        <v>535</v>
      </c>
      <c r="AE12" s="196" t="s">
        <v>536</v>
      </c>
      <c r="AF12" s="165">
        <v>1</v>
      </c>
      <c r="AG12" s="165">
        <v>1</v>
      </c>
      <c r="AH12" s="166">
        <v>1</v>
      </c>
      <c r="AI12" s="165">
        <v>1</v>
      </c>
      <c r="AJ12" s="165">
        <v>1</v>
      </c>
      <c r="AK12" s="173">
        <v>1</v>
      </c>
      <c r="AL12" s="197" t="s">
        <v>185</v>
      </c>
      <c r="AM12" s="198" t="s">
        <v>185</v>
      </c>
      <c r="AN12" s="198" t="s">
        <v>185</v>
      </c>
      <c r="AO12" s="175"/>
    </row>
    <row r="13" spans="1:41" s="178" customFormat="1" ht="11.25">
      <c r="A13" s="178" t="s">
        <v>463</v>
      </c>
      <c r="B13" s="185" t="s">
        <v>537</v>
      </c>
      <c r="C13" s="186">
        <v>117</v>
      </c>
      <c r="D13" s="187">
        <v>240</v>
      </c>
      <c r="E13" s="187">
        <v>226</v>
      </c>
      <c r="F13" s="188" t="s">
        <v>407</v>
      </c>
      <c r="G13" s="187">
        <v>26</v>
      </c>
      <c r="H13" s="189">
        <v>18</v>
      </c>
      <c r="I13" s="190" t="s">
        <v>538</v>
      </c>
      <c r="J13" s="187">
        <v>188</v>
      </c>
      <c r="K13" s="187">
        <v>152</v>
      </c>
      <c r="L13" s="187" t="s">
        <v>164</v>
      </c>
      <c r="M13" s="187">
        <v>108</v>
      </c>
      <c r="N13" s="189">
        <v>124</v>
      </c>
      <c r="O13" s="191" t="s">
        <v>539</v>
      </c>
      <c r="P13" s="189" t="s">
        <v>540</v>
      </c>
      <c r="Q13" s="192"/>
      <c r="R13" s="193" t="s">
        <v>537</v>
      </c>
      <c r="S13" s="186">
        <v>117</v>
      </c>
      <c r="T13" s="187">
        <v>14600</v>
      </c>
      <c r="U13" s="187">
        <v>1217</v>
      </c>
      <c r="V13" s="187">
        <v>1419</v>
      </c>
      <c r="W13" s="194" t="s">
        <v>541</v>
      </c>
      <c r="X13" s="189" t="s">
        <v>542</v>
      </c>
      <c r="Y13" s="187">
        <v>5012</v>
      </c>
      <c r="Z13" s="187" t="s">
        <v>543</v>
      </c>
      <c r="AA13" s="187" t="s">
        <v>544</v>
      </c>
      <c r="AB13" s="195" t="s">
        <v>127</v>
      </c>
      <c r="AC13" s="187" t="s">
        <v>545</v>
      </c>
      <c r="AD13" s="187" t="s">
        <v>546</v>
      </c>
      <c r="AE13" s="196" t="s">
        <v>547</v>
      </c>
      <c r="AF13" s="165">
        <v>1</v>
      </c>
      <c r="AG13" s="165">
        <v>1</v>
      </c>
      <c r="AH13" s="166">
        <v>1</v>
      </c>
      <c r="AI13" s="165">
        <v>1</v>
      </c>
      <c r="AJ13" s="165">
        <v>1</v>
      </c>
      <c r="AK13" s="173">
        <v>1</v>
      </c>
      <c r="AL13" s="197" t="s">
        <v>185</v>
      </c>
      <c r="AM13" s="198" t="s">
        <v>185</v>
      </c>
      <c r="AN13" s="198" t="s">
        <v>185</v>
      </c>
      <c r="AO13" s="175"/>
    </row>
    <row r="14" spans="1:41" s="178" customFormat="1" ht="11.25">
      <c r="A14" s="178" t="s">
        <v>463</v>
      </c>
      <c r="B14" s="185" t="s">
        <v>548</v>
      </c>
      <c r="C14" s="186">
        <v>157</v>
      </c>
      <c r="D14" s="187">
        <v>270</v>
      </c>
      <c r="E14" s="187">
        <v>248</v>
      </c>
      <c r="F14" s="188">
        <v>18</v>
      </c>
      <c r="G14" s="187">
        <v>32</v>
      </c>
      <c r="H14" s="189">
        <v>21</v>
      </c>
      <c r="I14" s="190" t="s">
        <v>549</v>
      </c>
      <c r="J14" s="187">
        <v>206</v>
      </c>
      <c r="K14" s="187">
        <v>164</v>
      </c>
      <c r="L14" s="187" t="s">
        <v>164</v>
      </c>
      <c r="M14" s="187">
        <v>116</v>
      </c>
      <c r="N14" s="189">
        <v>146</v>
      </c>
      <c r="O14" s="191" t="s">
        <v>550</v>
      </c>
      <c r="P14" s="189" t="s">
        <v>551</v>
      </c>
      <c r="Q14" s="192"/>
      <c r="R14" s="193" t="s">
        <v>548</v>
      </c>
      <c r="S14" s="186">
        <v>157</v>
      </c>
      <c r="T14" s="187">
        <v>24290</v>
      </c>
      <c r="U14" s="187">
        <v>1799</v>
      </c>
      <c r="V14" s="187">
        <v>2117</v>
      </c>
      <c r="W14" s="194" t="s">
        <v>552</v>
      </c>
      <c r="X14" s="189" t="s">
        <v>553</v>
      </c>
      <c r="Y14" s="187">
        <v>8153</v>
      </c>
      <c r="Z14" s="187" t="s">
        <v>554</v>
      </c>
      <c r="AA14" s="187">
        <v>1006</v>
      </c>
      <c r="AB14" s="195" t="s">
        <v>502</v>
      </c>
      <c r="AC14" s="187" t="s">
        <v>555</v>
      </c>
      <c r="AD14" s="187" t="s">
        <v>556</v>
      </c>
      <c r="AE14" s="196">
        <v>1152</v>
      </c>
      <c r="AF14" s="165">
        <v>1</v>
      </c>
      <c r="AG14" s="165">
        <v>1</v>
      </c>
      <c r="AH14" s="166" t="s">
        <v>123</v>
      </c>
      <c r="AI14" s="165">
        <v>1</v>
      </c>
      <c r="AJ14" s="165">
        <v>1</v>
      </c>
      <c r="AK14" s="173" t="s">
        <v>123</v>
      </c>
      <c r="AL14" s="197" t="s">
        <v>185</v>
      </c>
      <c r="AM14" s="174" t="s">
        <v>185</v>
      </c>
      <c r="AN14" s="174" t="s">
        <v>185</v>
      </c>
      <c r="AO14" s="175"/>
    </row>
    <row r="15" spans="1:41" s="178" customFormat="1" ht="11.25">
      <c r="A15" s="178" t="s">
        <v>463</v>
      </c>
      <c r="B15" s="185" t="s">
        <v>557</v>
      </c>
      <c r="C15" s="198">
        <v>172</v>
      </c>
      <c r="D15" s="165">
        <v>290</v>
      </c>
      <c r="E15" s="165">
        <v>268</v>
      </c>
      <c r="F15" s="199">
        <v>18</v>
      </c>
      <c r="G15" s="165" t="s">
        <v>558</v>
      </c>
      <c r="H15" s="166">
        <v>24</v>
      </c>
      <c r="I15" s="171" t="s">
        <v>146</v>
      </c>
      <c r="J15" s="165">
        <v>225</v>
      </c>
      <c r="K15" s="165">
        <v>177</v>
      </c>
      <c r="L15" s="165" t="s">
        <v>164</v>
      </c>
      <c r="M15" s="165">
        <v>122</v>
      </c>
      <c r="N15" s="166">
        <v>166</v>
      </c>
      <c r="O15" s="168" t="s">
        <v>559</v>
      </c>
      <c r="P15" s="166" t="s">
        <v>560</v>
      </c>
      <c r="Q15" s="200"/>
      <c r="R15" s="201" t="s">
        <v>557</v>
      </c>
      <c r="S15" s="198">
        <v>172</v>
      </c>
      <c r="T15" s="165">
        <v>31310</v>
      </c>
      <c r="U15" s="165">
        <v>2159</v>
      </c>
      <c r="V15" s="165">
        <v>2524</v>
      </c>
      <c r="W15" s="202" t="s">
        <v>561</v>
      </c>
      <c r="X15" s="166" t="s">
        <v>562</v>
      </c>
      <c r="Y15" s="165">
        <v>10450</v>
      </c>
      <c r="Z15" s="165" t="s">
        <v>563</v>
      </c>
      <c r="AA15" s="165">
        <v>1192</v>
      </c>
      <c r="AB15" s="167" t="s">
        <v>564</v>
      </c>
      <c r="AC15" s="187" t="s">
        <v>565</v>
      </c>
      <c r="AD15" s="188" t="s">
        <v>566</v>
      </c>
      <c r="AE15" s="196">
        <v>1728</v>
      </c>
      <c r="AF15" s="165">
        <v>1</v>
      </c>
      <c r="AG15" s="165">
        <v>1</v>
      </c>
      <c r="AH15" s="166">
        <v>1</v>
      </c>
      <c r="AI15" s="165">
        <v>1</v>
      </c>
      <c r="AJ15" s="165">
        <v>1</v>
      </c>
      <c r="AK15" s="173">
        <v>1</v>
      </c>
      <c r="AL15" s="197" t="s">
        <v>185</v>
      </c>
      <c r="AM15" s="174" t="s">
        <v>308</v>
      </c>
      <c r="AN15" s="174" t="s">
        <v>308</v>
      </c>
      <c r="AO15" s="175"/>
    </row>
    <row r="16" spans="1:41" s="178" customFormat="1" ht="11.25">
      <c r="A16" s="178" t="s">
        <v>463</v>
      </c>
      <c r="B16" s="185" t="s">
        <v>567</v>
      </c>
      <c r="C16" s="186">
        <v>189</v>
      </c>
      <c r="D16" s="187">
        <v>310</v>
      </c>
      <c r="E16" s="187">
        <v>288</v>
      </c>
      <c r="F16" s="188" t="s">
        <v>447</v>
      </c>
      <c r="G16" s="187">
        <v>33</v>
      </c>
      <c r="H16" s="189">
        <v>24</v>
      </c>
      <c r="I16" s="190" t="s">
        <v>568</v>
      </c>
      <c r="J16" s="187">
        <v>244</v>
      </c>
      <c r="K16" s="187">
        <v>196</v>
      </c>
      <c r="L16" s="187" t="s">
        <v>164</v>
      </c>
      <c r="M16" s="187">
        <v>122</v>
      </c>
      <c r="N16" s="189">
        <v>186</v>
      </c>
      <c r="O16" s="191" t="s">
        <v>569</v>
      </c>
      <c r="P16" s="189" t="s">
        <v>570</v>
      </c>
      <c r="Q16" s="192"/>
      <c r="R16" s="193" t="s">
        <v>567</v>
      </c>
      <c r="S16" s="186">
        <v>189</v>
      </c>
      <c r="T16" s="187">
        <v>39550</v>
      </c>
      <c r="U16" s="187">
        <v>2551</v>
      </c>
      <c r="V16" s="187">
        <v>2966</v>
      </c>
      <c r="W16" s="194" t="s">
        <v>571</v>
      </c>
      <c r="X16" s="189" t="s">
        <v>572</v>
      </c>
      <c r="Y16" s="187">
        <v>13160</v>
      </c>
      <c r="Z16" s="187" t="s">
        <v>573</v>
      </c>
      <c r="AA16" s="187">
        <v>1397</v>
      </c>
      <c r="AB16" s="195" t="s">
        <v>374</v>
      </c>
      <c r="AC16" s="187" t="s">
        <v>434</v>
      </c>
      <c r="AD16" s="187" t="s">
        <v>574</v>
      </c>
      <c r="AE16" s="196">
        <v>2520</v>
      </c>
      <c r="AF16" s="165">
        <v>1</v>
      </c>
      <c r="AG16" s="165">
        <v>1</v>
      </c>
      <c r="AH16" s="166">
        <v>1</v>
      </c>
      <c r="AI16" s="165">
        <v>1</v>
      </c>
      <c r="AJ16" s="165">
        <v>1</v>
      </c>
      <c r="AK16" s="173">
        <v>1</v>
      </c>
      <c r="AL16" s="197" t="s">
        <v>185</v>
      </c>
      <c r="AM16" s="174" t="s">
        <v>308</v>
      </c>
      <c r="AN16" s="174" t="s">
        <v>308</v>
      </c>
      <c r="AO16" s="175"/>
    </row>
    <row r="17" spans="1:42" s="178" customFormat="1" ht="11.25">
      <c r="A17" s="178" t="s">
        <v>463</v>
      </c>
      <c r="B17" s="185" t="s">
        <v>575</v>
      </c>
      <c r="C17" s="186">
        <v>238</v>
      </c>
      <c r="D17" s="187">
        <v>340</v>
      </c>
      <c r="E17" s="187">
        <v>310</v>
      </c>
      <c r="F17" s="188">
        <v>21</v>
      </c>
      <c r="G17" s="187">
        <v>39</v>
      </c>
      <c r="H17" s="189">
        <v>27</v>
      </c>
      <c r="I17" s="190" t="s">
        <v>576</v>
      </c>
      <c r="J17" s="187">
        <v>262</v>
      </c>
      <c r="K17" s="187">
        <v>208</v>
      </c>
      <c r="L17" s="187" t="s">
        <v>164</v>
      </c>
      <c r="M17" s="187">
        <v>132</v>
      </c>
      <c r="N17" s="189">
        <v>208</v>
      </c>
      <c r="O17" s="191" t="s">
        <v>577</v>
      </c>
      <c r="P17" s="189" t="s">
        <v>578</v>
      </c>
      <c r="Q17" s="192"/>
      <c r="R17" s="193" t="s">
        <v>575</v>
      </c>
      <c r="S17" s="186">
        <v>238</v>
      </c>
      <c r="T17" s="187">
        <v>59200</v>
      </c>
      <c r="U17" s="187">
        <v>3482</v>
      </c>
      <c r="V17" s="187">
        <v>4078</v>
      </c>
      <c r="W17" s="194" t="s">
        <v>335</v>
      </c>
      <c r="X17" s="189" t="s">
        <v>579</v>
      </c>
      <c r="Y17" s="187">
        <v>19400</v>
      </c>
      <c r="Z17" s="187">
        <v>1252</v>
      </c>
      <c r="AA17" s="187">
        <v>1913</v>
      </c>
      <c r="AB17" s="195" t="s">
        <v>580</v>
      </c>
      <c r="AC17" s="187" t="s">
        <v>581</v>
      </c>
      <c r="AD17" s="187">
        <v>1408</v>
      </c>
      <c r="AE17" s="196">
        <v>4386</v>
      </c>
      <c r="AF17" s="165">
        <v>1</v>
      </c>
      <c r="AG17" s="165">
        <v>1</v>
      </c>
      <c r="AH17" s="166">
        <v>1</v>
      </c>
      <c r="AI17" s="165">
        <v>1</v>
      </c>
      <c r="AJ17" s="165">
        <v>1</v>
      </c>
      <c r="AK17" s="173">
        <v>1</v>
      </c>
      <c r="AL17" s="197" t="s">
        <v>185</v>
      </c>
      <c r="AM17" s="174" t="s">
        <v>308</v>
      </c>
      <c r="AN17" s="174" t="s">
        <v>308</v>
      </c>
      <c r="AO17" s="175"/>
    </row>
    <row r="18" spans="1:42" s="178" customFormat="1" ht="11.25">
      <c r="A18" s="178" t="s">
        <v>463</v>
      </c>
      <c r="B18" s="185" t="s">
        <v>582</v>
      </c>
      <c r="C18" s="186">
        <v>245</v>
      </c>
      <c r="D18" s="187">
        <v>359</v>
      </c>
      <c r="E18" s="187">
        <v>309</v>
      </c>
      <c r="F18" s="188">
        <v>21</v>
      </c>
      <c r="G18" s="187">
        <v>40</v>
      </c>
      <c r="H18" s="189">
        <v>27</v>
      </c>
      <c r="I18" s="190" t="s">
        <v>583</v>
      </c>
      <c r="J18" s="187">
        <v>279</v>
      </c>
      <c r="K18" s="187">
        <v>225</v>
      </c>
      <c r="L18" s="187" t="s">
        <v>164</v>
      </c>
      <c r="M18" s="187">
        <v>132</v>
      </c>
      <c r="N18" s="189">
        <v>204</v>
      </c>
      <c r="O18" s="191" t="s">
        <v>584</v>
      </c>
      <c r="P18" s="189" t="s">
        <v>585</v>
      </c>
      <c r="Q18" s="192"/>
      <c r="R18" s="193" t="s">
        <v>582</v>
      </c>
      <c r="S18" s="186">
        <v>245</v>
      </c>
      <c r="T18" s="187">
        <v>68130</v>
      </c>
      <c r="U18" s="187">
        <v>3796</v>
      </c>
      <c r="V18" s="187">
        <v>4435</v>
      </c>
      <c r="W18" s="194" t="s">
        <v>586</v>
      </c>
      <c r="X18" s="189" t="s">
        <v>587</v>
      </c>
      <c r="Y18" s="187">
        <v>19710</v>
      </c>
      <c r="Z18" s="187">
        <v>1276</v>
      </c>
      <c r="AA18" s="187">
        <v>1951</v>
      </c>
      <c r="AB18" s="195" t="s">
        <v>588</v>
      </c>
      <c r="AC18" s="187" t="s">
        <v>589</v>
      </c>
      <c r="AD18" s="187">
        <v>1501</v>
      </c>
      <c r="AE18" s="196">
        <v>5004</v>
      </c>
      <c r="AF18" s="165">
        <v>1</v>
      </c>
      <c r="AG18" s="165">
        <v>1</v>
      </c>
      <c r="AH18" s="166">
        <v>1</v>
      </c>
      <c r="AI18" s="165">
        <v>1</v>
      </c>
      <c r="AJ18" s="165">
        <v>1</v>
      </c>
      <c r="AK18" s="173">
        <v>1</v>
      </c>
      <c r="AL18" s="197" t="s">
        <v>185</v>
      </c>
      <c r="AM18" s="174" t="s">
        <v>308</v>
      </c>
      <c r="AN18" s="174" t="s">
        <v>308</v>
      </c>
      <c r="AO18" s="175"/>
    </row>
    <row r="19" spans="1:42" s="178" customFormat="1" ht="11.25">
      <c r="A19" s="178" t="s">
        <v>463</v>
      </c>
      <c r="B19" s="185" t="s">
        <v>590</v>
      </c>
      <c r="C19" s="186">
        <v>248</v>
      </c>
      <c r="D19" s="187">
        <v>377</v>
      </c>
      <c r="E19" s="187">
        <v>309</v>
      </c>
      <c r="F19" s="188">
        <v>21</v>
      </c>
      <c r="G19" s="187">
        <v>40</v>
      </c>
      <c r="H19" s="189">
        <v>27</v>
      </c>
      <c r="I19" s="190" t="s">
        <v>591</v>
      </c>
      <c r="J19" s="187">
        <v>297</v>
      </c>
      <c r="K19" s="187">
        <v>243</v>
      </c>
      <c r="L19" s="187" t="s">
        <v>164</v>
      </c>
      <c r="M19" s="187">
        <v>132</v>
      </c>
      <c r="N19" s="189">
        <v>204</v>
      </c>
      <c r="O19" s="191" t="s">
        <v>592</v>
      </c>
      <c r="P19" s="204" t="s">
        <v>593</v>
      </c>
      <c r="Q19" s="205"/>
      <c r="R19" s="193" t="s">
        <v>590</v>
      </c>
      <c r="S19" s="186">
        <v>248</v>
      </c>
      <c r="T19" s="187">
        <v>76370</v>
      </c>
      <c r="U19" s="187">
        <v>4052</v>
      </c>
      <c r="V19" s="187">
        <v>4718</v>
      </c>
      <c r="W19" s="194" t="s">
        <v>594</v>
      </c>
      <c r="X19" s="189" t="s">
        <v>595</v>
      </c>
      <c r="Y19" s="187">
        <v>19710</v>
      </c>
      <c r="Z19" s="187">
        <v>1276</v>
      </c>
      <c r="AA19" s="187">
        <v>1953</v>
      </c>
      <c r="AB19" s="195" t="s">
        <v>596</v>
      </c>
      <c r="AC19" s="187" t="s">
        <v>589</v>
      </c>
      <c r="AD19" s="187">
        <v>1506</v>
      </c>
      <c r="AE19" s="196">
        <v>5584</v>
      </c>
      <c r="AF19" s="165">
        <v>1</v>
      </c>
      <c r="AG19" s="165">
        <v>1</v>
      </c>
      <c r="AH19" s="166">
        <v>1</v>
      </c>
      <c r="AI19" s="165">
        <v>1</v>
      </c>
      <c r="AJ19" s="165">
        <v>1</v>
      </c>
      <c r="AK19" s="173">
        <v>1</v>
      </c>
      <c r="AL19" s="197" t="s">
        <v>185</v>
      </c>
      <c r="AM19" s="174" t="s">
        <v>308</v>
      </c>
      <c r="AN19" s="174" t="s">
        <v>308</v>
      </c>
      <c r="AO19" s="175"/>
      <c r="AP19" s="206"/>
    </row>
    <row r="20" spans="1:42" s="178" customFormat="1" ht="11.25">
      <c r="A20" s="178" t="s">
        <v>463</v>
      </c>
      <c r="B20" s="185" t="s">
        <v>597</v>
      </c>
      <c r="C20" s="186">
        <v>250</v>
      </c>
      <c r="D20" s="187">
        <v>395</v>
      </c>
      <c r="E20" s="187">
        <v>308</v>
      </c>
      <c r="F20" s="188">
        <v>21</v>
      </c>
      <c r="G20" s="187">
        <v>40</v>
      </c>
      <c r="H20" s="189">
        <v>27</v>
      </c>
      <c r="I20" s="190" t="s">
        <v>598</v>
      </c>
      <c r="J20" s="187">
        <v>315</v>
      </c>
      <c r="K20" s="187">
        <v>261</v>
      </c>
      <c r="L20" s="187" t="s">
        <v>164</v>
      </c>
      <c r="M20" s="187">
        <v>132</v>
      </c>
      <c r="N20" s="189">
        <v>204</v>
      </c>
      <c r="O20" s="191" t="s">
        <v>599</v>
      </c>
      <c r="P20" s="204" t="s">
        <v>600</v>
      </c>
      <c r="Q20" s="205"/>
      <c r="R20" s="193" t="s">
        <v>597</v>
      </c>
      <c r="S20" s="186">
        <v>250</v>
      </c>
      <c r="T20" s="187">
        <v>84870</v>
      </c>
      <c r="U20" s="187">
        <v>4297</v>
      </c>
      <c r="V20" s="187">
        <v>4989</v>
      </c>
      <c r="W20" s="194" t="s">
        <v>601</v>
      </c>
      <c r="X20" s="189" t="s">
        <v>602</v>
      </c>
      <c r="Y20" s="187">
        <v>19520</v>
      </c>
      <c r="Z20" s="187">
        <v>1268</v>
      </c>
      <c r="AA20" s="187">
        <v>1942</v>
      </c>
      <c r="AB20" s="195" t="s">
        <v>603</v>
      </c>
      <c r="AC20" s="187" t="s">
        <v>589</v>
      </c>
      <c r="AD20" s="187">
        <v>1507</v>
      </c>
      <c r="AE20" s="196">
        <v>6137</v>
      </c>
      <c r="AF20" s="165">
        <v>1</v>
      </c>
      <c r="AG20" s="165">
        <v>1</v>
      </c>
      <c r="AH20" s="166">
        <v>1</v>
      </c>
      <c r="AI20" s="165">
        <v>1</v>
      </c>
      <c r="AJ20" s="165">
        <v>1</v>
      </c>
      <c r="AK20" s="173">
        <v>1</v>
      </c>
      <c r="AL20" s="197" t="s">
        <v>185</v>
      </c>
      <c r="AM20" s="174" t="s">
        <v>308</v>
      </c>
      <c r="AN20" s="174" t="s">
        <v>308</v>
      </c>
      <c r="AO20" s="175"/>
      <c r="AP20" s="207" t="s">
        <v>604</v>
      </c>
    </row>
    <row r="21" spans="1:42" s="178" customFormat="1" ht="11.25">
      <c r="A21" s="178" t="s">
        <v>463</v>
      </c>
      <c r="B21" s="185" t="s">
        <v>605</v>
      </c>
      <c r="C21" s="186">
        <v>256</v>
      </c>
      <c r="D21" s="187">
        <v>432</v>
      </c>
      <c r="E21" s="187">
        <v>307</v>
      </c>
      <c r="F21" s="188">
        <v>21</v>
      </c>
      <c r="G21" s="187">
        <v>40</v>
      </c>
      <c r="H21" s="189">
        <v>27</v>
      </c>
      <c r="I21" s="190" t="s">
        <v>606</v>
      </c>
      <c r="J21" s="187">
        <v>352</v>
      </c>
      <c r="K21" s="187">
        <v>298</v>
      </c>
      <c r="L21" s="187" t="s">
        <v>164</v>
      </c>
      <c r="M21" s="187">
        <v>132</v>
      </c>
      <c r="N21" s="189">
        <v>202</v>
      </c>
      <c r="O21" s="191" t="s">
        <v>607</v>
      </c>
      <c r="P21" s="189" t="s">
        <v>608</v>
      </c>
      <c r="Q21" s="192"/>
      <c r="R21" s="193" t="s">
        <v>605</v>
      </c>
      <c r="S21" s="186">
        <v>256</v>
      </c>
      <c r="T21" s="187">
        <v>104100</v>
      </c>
      <c r="U21" s="187">
        <v>4820</v>
      </c>
      <c r="V21" s="187">
        <v>5571</v>
      </c>
      <c r="W21" s="194" t="s">
        <v>609</v>
      </c>
      <c r="X21" s="189" t="s">
        <v>610</v>
      </c>
      <c r="Y21" s="187">
        <v>19340</v>
      </c>
      <c r="Z21" s="187">
        <v>1260</v>
      </c>
      <c r="AA21" s="187">
        <v>1934</v>
      </c>
      <c r="AB21" s="195" t="s">
        <v>611</v>
      </c>
      <c r="AC21" s="187" t="s">
        <v>589</v>
      </c>
      <c r="AD21" s="187">
        <v>1515</v>
      </c>
      <c r="AE21" s="196">
        <v>7410</v>
      </c>
      <c r="AF21" s="165">
        <v>1</v>
      </c>
      <c r="AG21" s="165">
        <v>1</v>
      </c>
      <c r="AH21" s="166">
        <v>1</v>
      </c>
      <c r="AI21" s="165">
        <v>1</v>
      </c>
      <c r="AJ21" s="165">
        <v>1</v>
      </c>
      <c r="AK21" s="173">
        <v>1</v>
      </c>
      <c r="AL21" s="197" t="s">
        <v>185</v>
      </c>
      <c r="AM21" s="174" t="s">
        <v>308</v>
      </c>
      <c r="AN21" s="174" t="s">
        <v>308</v>
      </c>
      <c r="AO21" s="175"/>
    </row>
    <row r="22" spans="1:42" s="178" customFormat="1" ht="11.25">
      <c r="A22" s="178" t="s">
        <v>463</v>
      </c>
      <c r="B22" s="185" t="s">
        <v>612</v>
      </c>
      <c r="C22" s="186">
        <v>263</v>
      </c>
      <c r="D22" s="187">
        <v>478</v>
      </c>
      <c r="E22" s="187">
        <v>307</v>
      </c>
      <c r="F22" s="188">
        <v>21</v>
      </c>
      <c r="G22" s="187">
        <v>40</v>
      </c>
      <c r="H22" s="189">
        <v>27</v>
      </c>
      <c r="I22" s="190" t="s">
        <v>613</v>
      </c>
      <c r="J22" s="187">
        <v>398</v>
      </c>
      <c r="K22" s="187">
        <v>344</v>
      </c>
      <c r="L22" s="187" t="s">
        <v>164</v>
      </c>
      <c r="M22" s="187">
        <v>132</v>
      </c>
      <c r="N22" s="189">
        <v>202</v>
      </c>
      <c r="O22" s="191" t="s">
        <v>614</v>
      </c>
      <c r="P22" s="189" t="s">
        <v>615</v>
      </c>
      <c r="Q22" s="192"/>
      <c r="R22" s="193" t="s">
        <v>612</v>
      </c>
      <c r="S22" s="186">
        <v>263</v>
      </c>
      <c r="T22" s="187">
        <v>131500</v>
      </c>
      <c r="U22" s="187">
        <v>5501</v>
      </c>
      <c r="V22" s="187">
        <v>6331</v>
      </c>
      <c r="W22" s="194" t="s">
        <v>616</v>
      </c>
      <c r="X22" s="189" t="s">
        <v>215</v>
      </c>
      <c r="Y22" s="187">
        <v>19340</v>
      </c>
      <c r="Z22" s="187">
        <v>1260</v>
      </c>
      <c r="AA22" s="187">
        <v>1939</v>
      </c>
      <c r="AB22" s="195" t="s">
        <v>617</v>
      </c>
      <c r="AC22" s="187" t="s">
        <v>589</v>
      </c>
      <c r="AD22" s="187">
        <v>1529</v>
      </c>
      <c r="AE22" s="196">
        <v>9251</v>
      </c>
      <c r="AF22" s="165">
        <v>1</v>
      </c>
      <c r="AG22" s="165">
        <v>1</v>
      </c>
      <c r="AH22" s="166">
        <v>1</v>
      </c>
      <c r="AI22" s="165">
        <v>1</v>
      </c>
      <c r="AJ22" s="165">
        <v>1</v>
      </c>
      <c r="AK22" s="173">
        <v>1</v>
      </c>
      <c r="AL22" s="197" t="s">
        <v>185</v>
      </c>
      <c r="AM22" s="174" t="s">
        <v>308</v>
      </c>
      <c r="AN22" s="174" t="s">
        <v>308</v>
      </c>
      <c r="AO22" s="175"/>
    </row>
    <row r="23" spans="1:42" s="178" customFormat="1" ht="11.25">
      <c r="A23" s="178" t="s">
        <v>463</v>
      </c>
      <c r="B23" s="185" t="s">
        <v>618</v>
      </c>
      <c r="C23" s="186">
        <v>270</v>
      </c>
      <c r="D23" s="187">
        <v>524</v>
      </c>
      <c r="E23" s="187">
        <v>306</v>
      </c>
      <c r="F23" s="188">
        <v>21</v>
      </c>
      <c r="G23" s="187">
        <v>40</v>
      </c>
      <c r="H23" s="189">
        <v>27</v>
      </c>
      <c r="I23" s="190" t="s">
        <v>619</v>
      </c>
      <c r="J23" s="187">
        <v>444</v>
      </c>
      <c r="K23" s="187">
        <v>390</v>
      </c>
      <c r="L23" s="187" t="s">
        <v>164</v>
      </c>
      <c r="M23" s="187">
        <v>132</v>
      </c>
      <c r="N23" s="189">
        <v>202</v>
      </c>
      <c r="O23" s="191" t="s">
        <v>620</v>
      </c>
      <c r="P23" s="189" t="s">
        <v>621</v>
      </c>
      <c r="Q23" s="192"/>
      <c r="R23" s="193" t="s">
        <v>618</v>
      </c>
      <c r="S23" s="186">
        <v>270</v>
      </c>
      <c r="T23" s="187">
        <v>161900</v>
      </c>
      <c r="U23" s="187">
        <v>6180</v>
      </c>
      <c r="V23" s="187">
        <v>7094</v>
      </c>
      <c r="W23" s="194" t="s">
        <v>622</v>
      </c>
      <c r="X23" s="189" t="s">
        <v>623</v>
      </c>
      <c r="Y23" s="187">
        <v>19150</v>
      </c>
      <c r="Z23" s="187">
        <v>1252</v>
      </c>
      <c r="AA23" s="187">
        <v>1932</v>
      </c>
      <c r="AB23" s="195" t="s">
        <v>624</v>
      </c>
      <c r="AC23" s="187" t="s">
        <v>589</v>
      </c>
      <c r="AD23" s="187">
        <v>1539</v>
      </c>
      <c r="AE23" s="196">
        <v>11190</v>
      </c>
      <c r="AF23" s="165">
        <v>1</v>
      </c>
      <c r="AG23" s="165">
        <v>1</v>
      </c>
      <c r="AH23" s="166">
        <v>1</v>
      </c>
      <c r="AI23" s="165">
        <v>1</v>
      </c>
      <c r="AJ23" s="165">
        <v>1</v>
      </c>
      <c r="AK23" s="173">
        <v>1</v>
      </c>
      <c r="AL23" s="197" t="s">
        <v>185</v>
      </c>
      <c r="AM23" s="174" t="s">
        <v>308</v>
      </c>
      <c r="AN23" s="174" t="s">
        <v>308</v>
      </c>
      <c r="AO23" s="175"/>
    </row>
    <row r="24" spans="1:42" s="178" customFormat="1" ht="11.25">
      <c r="A24" s="178" t="s">
        <v>463</v>
      </c>
      <c r="B24" s="185" t="s">
        <v>625</v>
      </c>
      <c r="C24" s="186">
        <v>278</v>
      </c>
      <c r="D24" s="187">
        <v>572</v>
      </c>
      <c r="E24" s="187">
        <v>306</v>
      </c>
      <c r="F24" s="188">
        <v>21</v>
      </c>
      <c r="G24" s="187">
        <v>40</v>
      </c>
      <c r="H24" s="189">
        <v>27</v>
      </c>
      <c r="I24" s="190" t="s">
        <v>626</v>
      </c>
      <c r="J24" s="187">
        <v>492</v>
      </c>
      <c r="K24" s="187">
        <v>438</v>
      </c>
      <c r="L24" s="187" t="s">
        <v>164</v>
      </c>
      <c r="M24" s="187">
        <v>132</v>
      </c>
      <c r="N24" s="189">
        <v>202</v>
      </c>
      <c r="O24" s="191" t="s">
        <v>627</v>
      </c>
      <c r="P24" s="189" t="s">
        <v>628</v>
      </c>
      <c r="Q24" s="192"/>
      <c r="R24" s="193" t="s">
        <v>625</v>
      </c>
      <c r="S24" s="186">
        <v>278</v>
      </c>
      <c r="T24" s="187">
        <v>198000</v>
      </c>
      <c r="U24" s="187">
        <v>6923</v>
      </c>
      <c r="V24" s="187">
        <v>7933</v>
      </c>
      <c r="W24" s="194" t="s">
        <v>629</v>
      </c>
      <c r="X24" s="189" t="s">
        <v>630</v>
      </c>
      <c r="Y24" s="187">
        <v>19160</v>
      </c>
      <c r="Z24" s="187">
        <v>1252</v>
      </c>
      <c r="AA24" s="187">
        <v>1937</v>
      </c>
      <c r="AB24" s="195" t="s">
        <v>631</v>
      </c>
      <c r="AC24" s="187" t="s">
        <v>589</v>
      </c>
      <c r="AD24" s="187">
        <v>1554</v>
      </c>
      <c r="AE24" s="196">
        <v>13520</v>
      </c>
      <c r="AF24" s="165">
        <v>1</v>
      </c>
      <c r="AG24" s="165">
        <v>1</v>
      </c>
      <c r="AH24" s="166">
        <v>1</v>
      </c>
      <c r="AI24" s="165">
        <v>1</v>
      </c>
      <c r="AJ24" s="165">
        <v>1</v>
      </c>
      <c r="AK24" s="173">
        <v>1</v>
      </c>
      <c r="AL24" s="197" t="s">
        <v>185</v>
      </c>
      <c r="AM24" s="174" t="s">
        <v>308</v>
      </c>
      <c r="AN24" s="174" t="s">
        <v>308</v>
      </c>
      <c r="AO24" s="175"/>
    </row>
    <row r="25" spans="1:42" s="178" customFormat="1" ht="11.25">
      <c r="A25" s="178" t="s">
        <v>463</v>
      </c>
      <c r="B25" s="164" t="s">
        <v>632</v>
      </c>
      <c r="C25" s="198">
        <v>285</v>
      </c>
      <c r="D25" s="165">
        <v>620</v>
      </c>
      <c r="E25" s="165">
        <v>305</v>
      </c>
      <c r="F25" s="199">
        <v>21</v>
      </c>
      <c r="G25" s="165">
        <v>40</v>
      </c>
      <c r="H25" s="166">
        <v>27</v>
      </c>
      <c r="I25" s="171" t="s">
        <v>633</v>
      </c>
      <c r="J25" s="165">
        <v>540</v>
      </c>
      <c r="K25" s="165">
        <v>486</v>
      </c>
      <c r="L25" s="165" t="s">
        <v>164</v>
      </c>
      <c r="M25" s="165">
        <v>132</v>
      </c>
      <c r="N25" s="166">
        <v>200</v>
      </c>
      <c r="O25" s="168" t="s">
        <v>634</v>
      </c>
      <c r="P25" s="166" t="s">
        <v>635</v>
      </c>
      <c r="Q25" s="200"/>
      <c r="R25" s="201" t="s">
        <v>632</v>
      </c>
      <c r="S25" s="198">
        <v>285</v>
      </c>
      <c r="T25" s="165">
        <v>237400</v>
      </c>
      <c r="U25" s="165">
        <v>7660</v>
      </c>
      <c r="V25" s="165">
        <v>8772</v>
      </c>
      <c r="W25" s="202" t="s">
        <v>636</v>
      </c>
      <c r="X25" s="166" t="s">
        <v>637</v>
      </c>
      <c r="Y25" s="165">
        <v>18980</v>
      </c>
      <c r="Z25" s="165">
        <v>1244</v>
      </c>
      <c r="AA25" s="165">
        <v>1930</v>
      </c>
      <c r="AB25" s="167" t="s">
        <v>638</v>
      </c>
      <c r="AC25" s="187" t="s">
        <v>589</v>
      </c>
      <c r="AD25" s="187">
        <v>1564</v>
      </c>
      <c r="AE25" s="196">
        <v>15910</v>
      </c>
      <c r="AF25" s="165">
        <v>1</v>
      </c>
      <c r="AG25" s="165">
        <v>1</v>
      </c>
      <c r="AH25" s="166">
        <v>1</v>
      </c>
      <c r="AI25" s="165">
        <v>1</v>
      </c>
      <c r="AJ25" s="165">
        <v>1</v>
      </c>
      <c r="AK25" s="173">
        <v>1</v>
      </c>
      <c r="AL25" s="197" t="s">
        <v>185</v>
      </c>
      <c r="AM25" s="174" t="s">
        <v>308</v>
      </c>
      <c r="AN25" s="174" t="s">
        <v>308</v>
      </c>
      <c r="AO25" s="175"/>
    </row>
    <row r="26" spans="1:42" s="178" customFormat="1" ht="11.25">
      <c r="A26" s="178" t="s">
        <v>463</v>
      </c>
      <c r="B26" s="164" t="s">
        <v>639</v>
      </c>
      <c r="C26" s="198">
        <v>293</v>
      </c>
      <c r="D26" s="165">
        <v>668</v>
      </c>
      <c r="E26" s="165">
        <v>305</v>
      </c>
      <c r="F26" s="199">
        <v>21</v>
      </c>
      <c r="G26" s="165">
        <v>40</v>
      </c>
      <c r="H26" s="166">
        <v>27</v>
      </c>
      <c r="I26" s="171" t="s">
        <v>640</v>
      </c>
      <c r="J26" s="165">
        <v>588</v>
      </c>
      <c r="K26" s="165">
        <v>534</v>
      </c>
      <c r="L26" s="165" t="s">
        <v>164</v>
      </c>
      <c r="M26" s="165">
        <v>132</v>
      </c>
      <c r="N26" s="166">
        <v>200</v>
      </c>
      <c r="O26" s="168" t="s">
        <v>641</v>
      </c>
      <c r="P26" s="166" t="s">
        <v>642</v>
      </c>
      <c r="Q26" s="200"/>
      <c r="R26" s="201" t="s">
        <v>639</v>
      </c>
      <c r="S26" s="198">
        <v>293</v>
      </c>
      <c r="T26" s="165">
        <v>281700</v>
      </c>
      <c r="U26" s="165">
        <v>8433</v>
      </c>
      <c r="V26" s="165">
        <v>9657</v>
      </c>
      <c r="W26" s="202" t="s">
        <v>643</v>
      </c>
      <c r="X26" s="166" t="s">
        <v>644</v>
      </c>
      <c r="Y26" s="165">
        <v>18980</v>
      </c>
      <c r="Z26" s="165">
        <v>1245</v>
      </c>
      <c r="AA26" s="165">
        <v>1936</v>
      </c>
      <c r="AB26" s="167" t="s">
        <v>645</v>
      </c>
      <c r="AC26" s="187" t="s">
        <v>589</v>
      </c>
      <c r="AD26" s="187">
        <v>1579</v>
      </c>
      <c r="AE26" s="196">
        <v>18650</v>
      </c>
      <c r="AF26" s="165">
        <v>1</v>
      </c>
      <c r="AG26" s="165">
        <v>1</v>
      </c>
      <c r="AH26" s="166">
        <v>1</v>
      </c>
      <c r="AI26" s="165">
        <v>1</v>
      </c>
      <c r="AJ26" s="165">
        <v>1</v>
      </c>
      <c r="AK26" s="173">
        <v>2</v>
      </c>
      <c r="AL26" s="197" t="s">
        <v>185</v>
      </c>
      <c r="AM26" s="174" t="s">
        <v>308</v>
      </c>
      <c r="AN26" s="174" t="s">
        <v>308</v>
      </c>
      <c r="AO26" s="175"/>
    </row>
    <row r="27" spans="1:42" s="178" customFormat="1" ht="11.25">
      <c r="A27" s="178" t="s">
        <v>463</v>
      </c>
      <c r="B27" s="185" t="s">
        <v>646</v>
      </c>
      <c r="C27" s="186">
        <v>301</v>
      </c>
      <c r="D27" s="187">
        <v>716</v>
      </c>
      <c r="E27" s="187">
        <v>304</v>
      </c>
      <c r="F27" s="188">
        <v>21</v>
      </c>
      <c r="G27" s="187">
        <v>40</v>
      </c>
      <c r="H27" s="189">
        <v>27</v>
      </c>
      <c r="I27" s="190" t="s">
        <v>647</v>
      </c>
      <c r="J27" s="187">
        <v>636</v>
      </c>
      <c r="K27" s="187">
        <v>582</v>
      </c>
      <c r="L27" s="187" t="s">
        <v>164</v>
      </c>
      <c r="M27" s="187">
        <v>132</v>
      </c>
      <c r="N27" s="189">
        <v>200</v>
      </c>
      <c r="O27" s="191" t="s">
        <v>648</v>
      </c>
      <c r="P27" s="189" t="s">
        <v>649</v>
      </c>
      <c r="Q27" s="192"/>
      <c r="R27" s="193" t="s">
        <v>646</v>
      </c>
      <c r="S27" s="186">
        <v>301</v>
      </c>
      <c r="T27" s="187">
        <v>329300</v>
      </c>
      <c r="U27" s="187">
        <v>9198</v>
      </c>
      <c r="V27" s="187">
        <v>10540</v>
      </c>
      <c r="W27" s="194" t="s">
        <v>650</v>
      </c>
      <c r="X27" s="189" t="s">
        <v>651</v>
      </c>
      <c r="Y27" s="187">
        <v>18800</v>
      </c>
      <c r="Z27" s="187">
        <v>1237</v>
      </c>
      <c r="AA27" s="187">
        <v>1929</v>
      </c>
      <c r="AB27" s="195" t="s">
        <v>652</v>
      </c>
      <c r="AC27" s="187" t="s">
        <v>589</v>
      </c>
      <c r="AD27" s="187">
        <v>1589</v>
      </c>
      <c r="AE27" s="196">
        <v>21400</v>
      </c>
      <c r="AF27" s="165">
        <v>1</v>
      </c>
      <c r="AG27" s="165">
        <v>1</v>
      </c>
      <c r="AH27" s="166">
        <v>1</v>
      </c>
      <c r="AI27" s="165">
        <v>1</v>
      </c>
      <c r="AJ27" s="165">
        <v>2</v>
      </c>
      <c r="AK27" s="173">
        <v>3</v>
      </c>
      <c r="AL27" s="197" t="s">
        <v>185</v>
      </c>
      <c r="AM27" s="174" t="s">
        <v>308</v>
      </c>
      <c r="AN27" s="174" t="s">
        <v>308</v>
      </c>
      <c r="AO27" s="175"/>
    </row>
    <row r="28" spans="1:42" s="178" customFormat="1" ht="11.25">
      <c r="A28" s="178" t="s">
        <v>463</v>
      </c>
      <c r="B28" s="164" t="s">
        <v>653</v>
      </c>
      <c r="C28" s="198">
        <v>317</v>
      </c>
      <c r="D28" s="165">
        <v>814</v>
      </c>
      <c r="E28" s="165">
        <v>303</v>
      </c>
      <c r="F28" s="199">
        <v>21</v>
      </c>
      <c r="G28" s="165">
        <v>40</v>
      </c>
      <c r="H28" s="166">
        <v>30</v>
      </c>
      <c r="I28" s="171" t="s">
        <v>654</v>
      </c>
      <c r="J28" s="165">
        <v>734</v>
      </c>
      <c r="K28" s="165">
        <v>674</v>
      </c>
      <c r="L28" s="165" t="s">
        <v>164</v>
      </c>
      <c r="M28" s="165">
        <v>138</v>
      </c>
      <c r="N28" s="166">
        <v>198</v>
      </c>
      <c r="O28" s="168" t="s">
        <v>655</v>
      </c>
      <c r="P28" s="166" t="s">
        <v>656</v>
      </c>
      <c r="Q28" s="200"/>
      <c r="R28" s="201" t="s">
        <v>653</v>
      </c>
      <c r="S28" s="198">
        <v>317</v>
      </c>
      <c r="T28" s="165">
        <v>442600</v>
      </c>
      <c r="U28" s="165">
        <v>10870</v>
      </c>
      <c r="V28" s="165">
        <v>12490</v>
      </c>
      <c r="W28" s="202" t="s">
        <v>657</v>
      </c>
      <c r="X28" s="166" t="s">
        <v>139</v>
      </c>
      <c r="Y28" s="165">
        <v>18630</v>
      </c>
      <c r="Z28" s="165">
        <v>1230</v>
      </c>
      <c r="AA28" s="165">
        <v>1930</v>
      </c>
      <c r="AB28" s="167" t="s">
        <v>658</v>
      </c>
      <c r="AC28" s="187" t="s">
        <v>659</v>
      </c>
      <c r="AD28" s="187">
        <v>1646</v>
      </c>
      <c r="AE28" s="196">
        <v>27780</v>
      </c>
      <c r="AF28" s="165">
        <v>1</v>
      </c>
      <c r="AG28" s="165">
        <v>1</v>
      </c>
      <c r="AH28" s="166">
        <v>1</v>
      </c>
      <c r="AI28" s="165">
        <v>1</v>
      </c>
      <c r="AJ28" s="165">
        <v>3</v>
      </c>
      <c r="AK28" s="173">
        <v>4</v>
      </c>
      <c r="AL28" s="197" t="s">
        <v>185</v>
      </c>
      <c r="AM28" s="174" t="s">
        <v>308</v>
      </c>
      <c r="AN28" s="174" t="s">
        <v>308</v>
      </c>
      <c r="AO28" s="175"/>
    </row>
    <row r="29" spans="1:42" s="178" customFormat="1" ht="11.25">
      <c r="A29" s="178" t="s">
        <v>463</v>
      </c>
      <c r="B29" s="185" t="s">
        <v>660</v>
      </c>
      <c r="C29" s="186">
        <v>333</v>
      </c>
      <c r="D29" s="187">
        <v>910</v>
      </c>
      <c r="E29" s="187">
        <v>302</v>
      </c>
      <c r="F29" s="188">
        <v>21</v>
      </c>
      <c r="G29" s="187">
        <v>40</v>
      </c>
      <c r="H29" s="189">
        <v>30</v>
      </c>
      <c r="I29" s="190" t="s">
        <v>661</v>
      </c>
      <c r="J29" s="187">
        <v>830</v>
      </c>
      <c r="K29" s="187">
        <v>770</v>
      </c>
      <c r="L29" s="187" t="s">
        <v>164</v>
      </c>
      <c r="M29" s="187">
        <v>138</v>
      </c>
      <c r="N29" s="189">
        <v>198</v>
      </c>
      <c r="O29" s="191" t="s">
        <v>662</v>
      </c>
      <c r="P29" s="189" t="s">
        <v>663</v>
      </c>
      <c r="Q29" s="192"/>
      <c r="R29" s="193" t="s">
        <v>660</v>
      </c>
      <c r="S29" s="186">
        <v>333</v>
      </c>
      <c r="T29" s="187">
        <v>570400</v>
      </c>
      <c r="U29" s="187">
        <v>12540</v>
      </c>
      <c r="V29" s="187">
        <v>14440</v>
      </c>
      <c r="W29" s="194" t="s">
        <v>664</v>
      </c>
      <c r="X29" s="189" t="s">
        <v>665</v>
      </c>
      <c r="Y29" s="187">
        <v>18450</v>
      </c>
      <c r="Z29" s="187">
        <v>1222</v>
      </c>
      <c r="AA29" s="187">
        <v>1929</v>
      </c>
      <c r="AB29" s="195" t="s">
        <v>666</v>
      </c>
      <c r="AC29" s="187" t="s">
        <v>659</v>
      </c>
      <c r="AD29" s="187">
        <v>1671</v>
      </c>
      <c r="AE29" s="196">
        <v>34750</v>
      </c>
      <c r="AF29" s="165">
        <v>1</v>
      </c>
      <c r="AG29" s="165">
        <v>1</v>
      </c>
      <c r="AH29" s="166">
        <v>1</v>
      </c>
      <c r="AI29" s="165">
        <v>2</v>
      </c>
      <c r="AJ29" s="165">
        <v>4</v>
      </c>
      <c r="AK29" s="173">
        <v>4</v>
      </c>
      <c r="AL29" s="197" t="s">
        <v>185</v>
      </c>
      <c r="AM29" s="174" t="s">
        <v>308</v>
      </c>
      <c r="AN29" s="174" t="s">
        <v>308</v>
      </c>
      <c r="AO29" s="175"/>
    </row>
    <row r="30" spans="1:42" s="178" customFormat="1" ht="11.25">
      <c r="A30" s="178" t="s">
        <v>463</v>
      </c>
      <c r="B30" s="164" t="s">
        <v>667</v>
      </c>
      <c r="C30" s="198">
        <v>349</v>
      </c>
      <c r="D30" s="165">
        <v>1008</v>
      </c>
      <c r="E30" s="165">
        <v>302</v>
      </c>
      <c r="F30" s="199">
        <v>21</v>
      </c>
      <c r="G30" s="165">
        <v>40</v>
      </c>
      <c r="H30" s="166">
        <v>30</v>
      </c>
      <c r="I30" s="171" t="s">
        <v>668</v>
      </c>
      <c r="J30" s="165">
        <v>928</v>
      </c>
      <c r="K30" s="165">
        <v>868</v>
      </c>
      <c r="L30" s="165" t="s">
        <v>164</v>
      </c>
      <c r="M30" s="165">
        <v>138</v>
      </c>
      <c r="N30" s="166">
        <v>198</v>
      </c>
      <c r="O30" s="202" t="s">
        <v>669</v>
      </c>
      <c r="P30" s="167" t="s">
        <v>670</v>
      </c>
      <c r="Q30" s="208"/>
      <c r="R30" s="201" t="s">
        <v>667</v>
      </c>
      <c r="S30" s="198">
        <v>349</v>
      </c>
      <c r="T30" s="165">
        <v>722300</v>
      </c>
      <c r="U30" s="165">
        <v>14330</v>
      </c>
      <c r="V30" s="165">
        <v>16570</v>
      </c>
      <c r="W30" s="202" t="s">
        <v>671</v>
      </c>
      <c r="X30" s="166" t="s">
        <v>672</v>
      </c>
      <c r="Y30" s="165">
        <v>18460</v>
      </c>
      <c r="Z30" s="199">
        <v>1222</v>
      </c>
      <c r="AA30" s="165">
        <v>1940</v>
      </c>
      <c r="AB30" s="167" t="s">
        <v>673</v>
      </c>
      <c r="AC30" s="165" t="s">
        <v>659</v>
      </c>
      <c r="AD30" s="165">
        <v>1701</v>
      </c>
      <c r="AE30" s="173">
        <v>43020</v>
      </c>
      <c r="AF30" s="165">
        <v>1</v>
      </c>
      <c r="AG30" s="165">
        <v>1</v>
      </c>
      <c r="AH30" s="166">
        <v>1</v>
      </c>
      <c r="AI30" s="165">
        <v>3</v>
      </c>
      <c r="AJ30" s="165">
        <v>4</v>
      </c>
      <c r="AK30" s="173">
        <v>4</v>
      </c>
      <c r="AL30" s="197" t="s">
        <v>185</v>
      </c>
      <c r="AM30" s="198" t="s">
        <v>308</v>
      </c>
      <c r="AN30" s="198" t="s">
        <v>308</v>
      </c>
      <c r="AO30" s="175"/>
    </row>
  </sheetData>
  <sheetProtection password="CE2A" sheet="1" objects="1" scenarios="1"/>
  <mergeCells count="4">
    <mergeCell ref="AF1:AK1"/>
    <mergeCell ref="AL1:AL5"/>
    <mergeCell ref="AM1:AM5"/>
    <mergeCell ref="AN1:AN5"/>
  </mergeCells>
  <phoneticPr fontId="0" type="noConversion"/>
  <pageMargins left="0.75" right="0.75" top="1" bottom="1" header="0" footer="0"/>
  <headerFooter alignWithMargins="0"/>
  <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Hoja14"/>
  <dimension ref="A1:CT73"/>
  <sheetViews>
    <sheetView zoomScale="90" zoomScaleNormal="90" workbookViewId="0">
      <selection activeCell="I8" sqref="I8"/>
    </sheetView>
  </sheetViews>
  <sheetFormatPr baseColWidth="10" defaultColWidth="8.42578125" defaultRowHeight="12.75"/>
  <cols>
    <col min="1" max="1" width="2.140625" style="13" customWidth="1"/>
    <col min="2" max="2" width="9" style="13" customWidth="1"/>
    <col min="3" max="3" width="7.42578125" style="13" customWidth="1"/>
    <col min="4" max="4" width="10.140625" style="13" bestFit="1" customWidth="1"/>
    <col min="5" max="5" width="8.28515625" style="13" bestFit="1" customWidth="1"/>
    <col min="6" max="6" width="9.140625" style="13" bestFit="1" customWidth="1"/>
    <col min="7" max="7" width="8.5703125" style="13" bestFit="1" customWidth="1"/>
    <col min="8" max="8" width="8.42578125" style="13"/>
    <col min="9" max="9" width="10.140625" style="13" customWidth="1"/>
    <col min="10" max="10" width="9" style="13" customWidth="1"/>
    <col min="11" max="11" width="10.140625" style="13" customWidth="1"/>
    <col min="12" max="12" width="1.85546875" style="13" customWidth="1"/>
    <col min="13" max="15" width="8.42578125" style="13"/>
    <col min="16" max="16" width="13.85546875" style="13" customWidth="1"/>
    <col min="17" max="17" width="13.42578125" style="13" customWidth="1"/>
    <col min="18" max="18" width="9.85546875" style="13" customWidth="1"/>
    <col min="19" max="19" width="10" style="13" customWidth="1"/>
    <col min="20" max="20" width="10.7109375" style="13" customWidth="1"/>
    <col min="21" max="21" width="9.42578125" style="13" customWidth="1"/>
    <col min="22" max="22" width="10" style="13" customWidth="1"/>
    <col min="23" max="23" width="11.42578125" style="13" customWidth="1"/>
    <col min="24" max="16384" width="8.42578125" style="13"/>
  </cols>
  <sheetData>
    <row r="1" spans="1:98" ht="15.75">
      <c r="A1" s="86"/>
      <c r="B1" s="420"/>
      <c r="C1" s="610"/>
      <c r="D1" s="86"/>
      <c r="E1" s="86"/>
      <c r="F1" s="86"/>
      <c r="G1" s="86"/>
      <c r="H1" s="86"/>
      <c r="I1" s="86"/>
      <c r="J1" s="86"/>
      <c r="K1" s="120"/>
      <c r="L1" s="120"/>
      <c r="M1" s="120"/>
      <c r="N1" s="120"/>
      <c r="O1" s="120"/>
      <c r="P1" s="632"/>
      <c r="Q1" s="633"/>
      <c r="R1" s="633"/>
      <c r="S1" s="633"/>
      <c r="T1" s="633"/>
      <c r="U1" s="633"/>
      <c r="V1" s="633"/>
      <c r="W1" s="634"/>
      <c r="X1"/>
      <c r="Y1" s="120"/>
      <c r="Z1" s="120"/>
      <c r="AA1" s="120"/>
      <c r="AB1" s="120"/>
      <c r="AC1" s="120"/>
      <c r="AD1" s="120"/>
      <c r="AE1" s="120"/>
      <c r="AF1" s="120"/>
      <c r="AG1" s="120"/>
      <c r="AH1" s="120"/>
      <c r="AI1" s="120"/>
      <c r="AJ1" s="120"/>
      <c r="AK1" s="120"/>
      <c r="AL1" s="120"/>
      <c r="AM1" s="120"/>
      <c r="AN1" s="120"/>
      <c r="AO1" s="120"/>
      <c r="AP1" s="120"/>
      <c r="AQ1" s="120"/>
      <c r="AR1" s="120"/>
      <c r="AS1" s="120"/>
      <c r="AT1" s="120"/>
      <c r="AU1" s="120"/>
      <c r="AV1" s="120"/>
      <c r="AW1" s="120"/>
      <c r="AX1" s="120"/>
      <c r="AY1" s="120"/>
      <c r="AZ1" s="120"/>
      <c r="BA1" s="120"/>
      <c r="BB1" s="120"/>
      <c r="BC1" s="120"/>
      <c r="BD1" s="120"/>
      <c r="BE1" s="120"/>
      <c r="BF1" s="120"/>
      <c r="BG1" s="120"/>
      <c r="BH1" s="120"/>
      <c r="BI1" s="120"/>
      <c r="BJ1" s="120"/>
      <c r="BK1" s="120"/>
      <c r="BL1" s="120"/>
      <c r="BM1" s="120"/>
      <c r="BN1" s="120"/>
      <c r="BO1" s="120"/>
      <c r="BP1" s="120"/>
      <c r="BQ1" s="120"/>
      <c r="BR1" s="120"/>
      <c r="BS1" s="120"/>
      <c r="BT1" s="120"/>
      <c r="BU1" s="120"/>
      <c r="BV1" s="120"/>
      <c r="BW1" s="120"/>
      <c r="BX1" s="120"/>
      <c r="BY1" s="120"/>
      <c r="BZ1" s="120"/>
      <c r="CA1" s="120"/>
      <c r="CB1" s="120"/>
      <c r="CC1" s="120"/>
      <c r="CD1" s="120"/>
      <c r="CE1" s="120"/>
      <c r="CF1" s="120"/>
      <c r="CG1" s="120"/>
      <c r="CH1" s="120"/>
      <c r="CI1" s="120"/>
      <c r="CJ1" s="120"/>
      <c r="CK1" s="120"/>
      <c r="CL1" s="120"/>
      <c r="CM1" s="120"/>
      <c r="CN1" s="120"/>
      <c r="CO1" s="120"/>
      <c r="CP1" s="120"/>
      <c r="CQ1" s="120"/>
      <c r="CR1" s="120"/>
      <c r="CS1" s="120"/>
      <c r="CT1" s="120"/>
    </row>
    <row r="2" spans="1:98" ht="15.75">
      <c r="A2" s="611"/>
      <c r="B2" s="477" t="s">
        <v>2495</v>
      </c>
      <c r="C2" s="477"/>
      <c r="D2" s="477"/>
      <c r="E2" s="477"/>
      <c r="F2" s="477"/>
      <c r="G2" s="477"/>
      <c r="H2" s="512"/>
      <c r="I2" s="477"/>
      <c r="J2" s="513"/>
      <c r="K2" s="513"/>
      <c r="P2" s="635"/>
      <c r="Q2" s="636"/>
      <c r="R2" s="637" t="s">
        <v>1014</v>
      </c>
      <c r="S2" s="636"/>
      <c r="T2" s="636"/>
      <c r="U2" s="636"/>
      <c r="V2" s="636"/>
      <c r="W2" s="638"/>
      <c r="X2"/>
      <c r="Y2" s="20"/>
    </row>
    <row r="3" spans="1:98" ht="15.75">
      <c r="A3" s="611"/>
      <c r="B3" s="504" t="s">
        <v>2497</v>
      </c>
      <c r="C3" s="546" t="s">
        <v>2633</v>
      </c>
      <c r="D3" s="729" t="s">
        <v>2548</v>
      </c>
      <c r="E3" s="735">
        <f>G54</f>
        <v>3</v>
      </c>
      <c r="F3" s="736" t="str">
        <f>D42</f>
        <v>Flex-compr</v>
      </c>
      <c r="G3" s="737"/>
      <c r="H3" s="738">
        <f>J11</f>
        <v>1</v>
      </c>
      <c r="I3" s="739" t="str">
        <f>J10</f>
        <v>Flex. Pura</v>
      </c>
      <c r="J3" s="740">
        <f>K11</f>
        <v>3</v>
      </c>
      <c r="K3" s="741" t="str">
        <f>K10</f>
        <v>Comp. P.</v>
      </c>
      <c r="P3" s="639"/>
      <c r="Q3" s="640"/>
      <c r="R3" s="641"/>
      <c r="S3" s="640"/>
      <c r="T3" s="640"/>
      <c r="U3" s="640"/>
      <c r="V3" s="640"/>
      <c r="W3" s="350"/>
      <c r="X3"/>
    </row>
    <row r="4" spans="1:98" ht="15.75" customHeight="1">
      <c r="A4" s="611"/>
      <c r="F4"/>
      <c r="G4"/>
      <c r="I4"/>
      <c r="P4" s="642" t="s">
        <v>2561</v>
      </c>
      <c r="Q4" s="643"/>
      <c r="R4" s="644" t="s">
        <v>2562</v>
      </c>
      <c r="S4" s="645">
        <v>223</v>
      </c>
      <c r="T4" s="640" t="s">
        <v>5</v>
      </c>
      <c r="U4" s="646" t="s">
        <v>2563</v>
      </c>
      <c r="V4" s="640">
        <v>235</v>
      </c>
      <c r="W4" s="350"/>
      <c r="X4"/>
      <c r="Y4" s="326"/>
      <c r="Z4" s="326"/>
      <c r="AA4" s="326"/>
      <c r="AB4" s="326"/>
    </row>
    <row r="5" spans="1:98" ht="17.25">
      <c r="B5" s="504" t="s">
        <v>2496</v>
      </c>
      <c r="C5" s="744">
        <v>275</v>
      </c>
      <c r="D5" s="547" t="s">
        <v>2500</v>
      </c>
      <c r="E5" s="514">
        <f>C5/1.05</f>
        <v>261.90476190476187</v>
      </c>
      <c r="F5"/>
      <c r="G5"/>
      <c r="H5" s="515">
        <f>SQRT(235/C5)</f>
        <v>0.92441627773717538</v>
      </c>
      <c r="I5"/>
      <c r="J5" s="723" t="s">
        <v>2632</v>
      </c>
      <c r="K5" s="13">
        <v>7850</v>
      </c>
      <c r="P5" s="639"/>
      <c r="Q5" s="640"/>
      <c r="R5" s="640"/>
      <c r="S5" s="640"/>
      <c r="T5" s="640"/>
      <c r="U5" s="640"/>
      <c r="V5" s="640">
        <v>275</v>
      </c>
      <c r="W5" s="350"/>
      <c r="X5"/>
    </row>
    <row r="6" spans="1:98" ht="21">
      <c r="B6" s="442" t="s">
        <v>1118</v>
      </c>
      <c r="C6" s="412" t="s">
        <v>85</v>
      </c>
      <c r="D6" s="733" t="s">
        <v>81</v>
      </c>
      <c r="E6" s="733" t="s">
        <v>34</v>
      </c>
      <c r="F6" s="733" t="s">
        <v>1123</v>
      </c>
      <c r="G6" s="733" t="s">
        <v>36</v>
      </c>
      <c r="H6" s="733" t="s">
        <v>1124</v>
      </c>
      <c r="I6" s="733" t="s">
        <v>1125</v>
      </c>
      <c r="J6" s="422" t="s">
        <v>84</v>
      </c>
      <c r="K6" s="443" t="s">
        <v>1117</v>
      </c>
      <c r="P6" s="642" t="s">
        <v>14</v>
      </c>
      <c r="Q6" s="647" t="s">
        <v>2564</v>
      </c>
      <c r="R6" s="647" t="s">
        <v>2565</v>
      </c>
      <c r="S6" s="647" t="s">
        <v>2566</v>
      </c>
      <c r="T6" s="647" t="s">
        <v>2567</v>
      </c>
      <c r="U6" s="640"/>
      <c r="V6" s="640">
        <v>355</v>
      </c>
      <c r="W6" s="350"/>
      <c r="X6"/>
    </row>
    <row r="7" spans="1:98" ht="15.75">
      <c r="B7" s="444" t="s">
        <v>77</v>
      </c>
      <c r="C7" s="88">
        <f>P27/100</f>
        <v>448</v>
      </c>
      <c r="D7" s="734">
        <v>800</v>
      </c>
      <c r="E7" s="734">
        <v>500</v>
      </c>
      <c r="F7" s="742">
        <f>D7-Q14-Q16</f>
        <v>740</v>
      </c>
      <c r="G7" s="742">
        <f>F7-2*J7</f>
        <v>740</v>
      </c>
      <c r="H7" s="734">
        <v>20</v>
      </c>
      <c r="I7" s="734">
        <v>30</v>
      </c>
      <c r="J7" s="734">
        <v>0</v>
      </c>
      <c r="K7" s="88">
        <f>C7*K5/10000</f>
        <v>351.68</v>
      </c>
      <c r="P7" s="648"/>
      <c r="Q7" s="645">
        <f>-F16</f>
        <v>-5000</v>
      </c>
      <c r="R7" s="645">
        <f>G16</f>
        <v>500</v>
      </c>
      <c r="S7" s="645">
        <f>H16</f>
        <v>0</v>
      </c>
      <c r="T7" s="645">
        <v>15</v>
      </c>
      <c r="U7" s="640"/>
      <c r="V7" s="643">
        <v>435</v>
      </c>
      <c r="W7" s="350"/>
      <c r="X7"/>
    </row>
    <row r="8" spans="1:98" ht="17.25" thickBot="1">
      <c r="B8" s="446"/>
      <c r="C8" s="447" t="s">
        <v>1114</v>
      </c>
      <c r="D8" s="448" t="s">
        <v>77</v>
      </c>
      <c r="E8" s="448" t="s">
        <v>77</v>
      </c>
      <c r="F8" s="448" t="s">
        <v>77</v>
      </c>
      <c r="G8" s="448" t="s">
        <v>77</v>
      </c>
      <c r="H8" s="448" t="s">
        <v>77</v>
      </c>
      <c r="I8" s="448" t="s">
        <v>77</v>
      </c>
      <c r="J8" s="448" t="s">
        <v>77</v>
      </c>
      <c r="K8" s="449" t="s">
        <v>105</v>
      </c>
      <c r="P8" s="639"/>
      <c r="Q8" s="649" t="s">
        <v>2568</v>
      </c>
      <c r="R8" s="649" t="s">
        <v>999</v>
      </c>
      <c r="S8" s="649" t="s">
        <v>999</v>
      </c>
      <c r="T8" s="649" t="s">
        <v>43</v>
      </c>
      <c r="U8" s="640"/>
      <c r="V8" s="640"/>
      <c r="W8" s="350"/>
      <c r="X8"/>
    </row>
    <row r="9" spans="1:98" ht="15.75">
      <c r="B9"/>
      <c r="C9"/>
      <c r="D9"/>
      <c r="E9"/>
      <c r="F9"/>
      <c r="G9"/>
      <c r="H9" s="8"/>
      <c r="I9"/>
      <c r="J9"/>
      <c r="K9"/>
      <c r="P9" s="650" t="s">
        <v>2569</v>
      </c>
      <c r="Q9" s="651">
        <f>P27*S4/1000</f>
        <v>9990.4</v>
      </c>
      <c r="R9" s="651">
        <f>S27*S4/1000000</f>
        <v>2856.8381333333341</v>
      </c>
      <c r="S9" s="651">
        <f>S4*S31/1000000</f>
        <v>557.94005333333337</v>
      </c>
      <c r="T9" s="652"/>
      <c r="U9" s="640"/>
      <c r="V9" s="640"/>
      <c r="W9">
        <f>(Q13*Q14*S14+Q17*Q18*(Q17/2+Q16/2))/P27+Q16/2</f>
        <v>400</v>
      </c>
      <c r="X9"/>
    </row>
    <row r="10" spans="1:98" ht="18.75">
      <c r="B10" s="439"/>
      <c r="C10" s="412" t="s">
        <v>1112</v>
      </c>
      <c r="D10" s="414" t="s">
        <v>1108</v>
      </c>
      <c r="E10" s="414" t="s">
        <v>1110</v>
      </c>
      <c r="F10" s="414" t="s">
        <v>1111</v>
      </c>
      <c r="G10" s="414" t="s">
        <v>1109</v>
      </c>
      <c r="H10" s="414" t="s">
        <v>1129</v>
      </c>
      <c r="I10" s="414" t="s">
        <v>1128</v>
      </c>
      <c r="J10" s="415" t="s">
        <v>965</v>
      </c>
      <c r="K10" s="440" t="s">
        <v>966</v>
      </c>
      <c r="P10" s="639"/>
      <c r="Q10" s="640"/>
      <c r="R10" s="640"/>
      <c r="S10" s="640"/>
      <c r="T10" s="640"/>
      <c r="U10" s="640"/>
      <c r="V10" s="640"/>
      <c r="W10" s="350"/>
      <c r="X10"/>
    </row>
    <row r="11" spans="1:98" ht="16.5" thickBot="1">
      <c r="B11" s="435" t="s">
        <v>1103</v>
      </c>
      <c r="C11" s="310">
        <f>G7*H7/100</f>
        <v>148</v>
      </c>
      <c r="D11" s="310">
        <f>R27/10000</f>
        <v>512437.33333333337</v>
      </c>
      <c r="E11" s="310">
        <f>S27/1000</f>
        <v>12810.933333333336</v>
      </c>
      <c r="F11" s="310">
        <f>V27/1000</f>
        <v>14288</v>
      </c>
      <c r="G11" s="310">
        <f>U27/10</f>
        <v>33.820605159182669</v>
      </c>
      <c r="H11" s="310">
        <f>U31/10000</f>
        <v>1097.3333333333335</v>
      </c>
      <c r="I11" s="310">
        <f>V31/1000000</f>
        <v>759560237.33333337</v>
      </c>
      <c r="J11" s="728">
        <f>K38</f>
        <v>1</v>
      </c>
      <c r="K11" s="728">
        <f>K37</f>
        <v>3</v>
      </c>
      <c r="P11" s="642" t="s">
        <v>2570</v>
      </c>
      <c r="Q11" s="653" t="s">
        <v>2571</v>
      </c>
      <c r="R11" s="640"/>
      <c r="S11"/>
      <c r="T11" s="640"/>
      <c r="U11" s="640"/>
      <c r="V11" s="640"/>
      <c r="W11" s="350"/>
      <c r="X11"/>
    </row>
    <row r="12" spans="1:98" ht="16.5" thickTop="1">
      <c r="B12" s="435" t="s">
        <v>1104</v>
      </c>
      <c r="C12" s="743">
        <f>C7-C11</f>
        <v>300</v>
      </c>
      <c r="D12" s="730">
        <f>R31/10000</f>
        <v>62549.333333333336</v>
      </c>
      <c r="E12" s="730">
        <f>S31/1000</f>
        <v>2501.9733333333334</v>
      </c>
      <c r="F12" s="730">
        <f>W31/1000</f>
        <v>3824</v>
      </c>
      <c r="G12" s="730">
        <f>T31/10</f>
        <v>11.816050423853465</v>
      </c>
      <c r="H12" s="8"/>
      <c r="I12"/>
      <c r="J12"/>
      <c r="K12"/>
      <c r="P12" s="654" t="s">
        <v>2572</v>
      </c>
      <c r="Q12" s="655" t="s">
        <v>77</v>
      </c>
      <c r="R12" s="656" t="s">
        <v>2573</v>
      </c>
      <c r="S12" s="657"/>
      <c r="T12" s="640"/>
      <c r="U12" s="640"/>
      <c r="V12" s="640"/>
      <c r="W12" s="350"/>
      <c r="X12"/>
    </row>
    <row r="13" spans="1:98" ht="16.5">
      <c r="B13" s="435"/>
      <c r="C13" s="416" t="s">
        <v>1114</v>
      </c>
      <c r="D13" s="416" t="s">
        <v>1115</v>
      </c>
      <c r="E13" s="416" t="s">
        <v>1116</v>
      </c>
      <c r="F13" s="416" t="s">
        <v>1116</v>
      </c>
      <c r="G13" s="416" t="s">
        <v>76</v>
      </c>
      <c r="H13" s="86" t="s">
        <v>1115</v>
      </c>
      <c r="I13" s="86" t="s">
        <v>1119</v>
      </c>
      <c r="J13" s="87"/>
      <c r="K13"/>
      <c r="P13" s="658" t="s">
        <v>2574</v>
      </c>
      <c r="Q13" s="645">
        <f>E7</f>
        <v>500</v>
      </c>
      <c r="R13" s="659" t="s">
        <v>2575</v>
      </c>
      <c r="S13" s="8">
        <f>Q17+Q16+Q14</f>
        <v>800</v>
      </c>
      <c r="T13" s="7"/>
      <c r="U13" s="7"/>
      <c r="V13" s="7"/>
      <c r="W13" s="350"/>
      <c r="X13"/>
    </row>
    <row r="14" spans="1:98" ht="15.75">
      <c r="B14"/>
      <c r="C14"/>
      <c r="D14"/>
      <c r="E14"/>
      <c r="G14"/>
      <c r="H14" s="8"/>
      <c r="I14" s="576" t="s">
        <v>2453</v>
      </c>
      <c r="J14" s="577"/>
      <c r="K14" s="578"/>
      <c r="P14" s="658" t="s">
        <v>2576</v>
      </c>
      <c r="Q14" s="645">
        <f>I7</f>
        <v>30</v>
      </c>
      <c r="R14" s="659" t="s">
        <v>2577</v>
      </c>
      <c r="S14" s="660">
        <f>Q17+(Q14+Q16)/2</f>
        <v>770</v>
      </c>
      <c r="T14" s="7"/>
      <c r="U14" s="7"/>
      <c r="V14" s="7"/>
      <c r="W14" s="350"/>
      <c r="X14"/>
    </row>
    <row r="15" spans="1:98" ht="18.75">
      <c r="B15" t="s">
        <v>2498</v>
      </c>
      <c r="C15"/>
      <c r="D15" s="24" t="s">
        <v>2506</v>
      </c>
      <c r="E15"/>
      <c r="F15" s="731" t="s">
        <v>1066</v>
      </c>
      <c r="G15" s="326" t="s">
        <v>1067</v>
      </c>
      <c r="H15" s="326" t="s">
        <v>1068</v>
      </c>
      <c r="I15" s="579" t="s">
        <v>2537</v>
      </c>
      <c r="J15" s="549" t="s">
        <v>2538</v>
      </c>
      <c r="K15" s="580" t="s">
        <v>2539</v>
      </c>
      <c r="P15" s="661" t="s">
        <v>2578</v>
      </c>
      <c r="Q15" s="645">
        <f>E7</f>
        <v>500</v>
      </c>
      <c r="R15" s="662" t="s">
        <v>2579</v>
      </c>
      <c r="S15" s="660">
        <f>(Q13*Q14*(S13-Q14/2)+Q17*Q18*(Q17/2+Q16)+Q16*Q16/2*Q15)/P27</f>
        <v>400</v>
      </c>
      <c r="T15" s="640"/>
      <c r="U15" s="640"/>
      <c r="V15" s="640"/>
      <c r="W15" s="350"/>
      <c r="X15"/>
    </row>
    <row r="16" spans="1:98" ht="15.75">
      <c r="B16" s="520" t="s">
        <v>2507</v>
      </c>
      <c r="C16"/>
      <c r="D16" s="572" t="s">
        <v>2549</v>
      </c>
      <c r="E16" s="517">
        <f>IF(D16=B16,-1,1)</f>
        <v>1</v>
      </c>
      <c r="F16" s="732">
        <v>5000</v>
      </c>
      <c r="G16" s="732">
        <v>500</v>
      </c>
      <c r="H16" s="732">
        <v>0</v>
      </c>
      <c r="I16" s="724">
        <f>IF(F16=0,0,1)</f>
        <v>1</v>
      </c>
      <c r="J16" s="725">
        <f>IF(G16=0,0,2)</f>
        <v>2</v>
      </c>
      <c r="K16" s="726">
        <f>IF(H16=0,0,2)</f>
        <v>0</v>
      </c>
      <c r="P16" s="661" t="s">
        <v>2580</v>
      </c>
      <c r="Q16" s="645">
        <f>I7</f>
        <v>30</v>
      </c>
      <c r="R16" s="662" t="s">
        <v>2581</v>
      </c>
      <c r="S16" s="660">
        <f>Q16/2+S14*POWER(Q13,3)*Q14/(POWER(Q15,3)*Q16+POWER(Q13,3)*Q14)</f>
        <v>400</v>
      </c>
      <c r="T16" s="640"/>
      <c r="U16" s="640"/>
      <c r="V16" s="640"/>
      <c r="W16" s="350"/>
      <c r="X16"/>
    </row>
    <row r="17" spans="1:98" ht="15.75">
      <c r="A17" s="120"/>
      <c r="B17" s="520" t="s">
        <v>2549</v>
      </c>
      <c r="C17"/>
      <c r="D17"/>
      <c r="E17" s="517"/>
      <c r="F17" s="571" t="s">
        <v>2552</v>
      </c>
      <c r="G17"/>
      <c r="H17" s="8"/>
      <c r="I17" s="727" t="str">
        <f>IF(I16+J16=1,"Compr. Pura",IF(I16+J16=2,"Flex. Pura",IF(I16+J16=3,"Flex-compr","Sin esf.")))</f>
        <v>Flex-compr</v>
      </c>
      <c r="J17"/>
      <c r="K17"/>
      <c r="L17" s="120"/>
      <c r="M17" s="120"/>
      <c r="N17" s="120"/>
      <c r="O17" s="120"/>
      <c r="P17" s="663" t="s">
        <v>2582</v>
      </c>
      <c r="Q17" s="645">
        <f>F7</f>
        <v>740</v>
      </c>
      <c r="R17" s="664"/>
      <c r="S17" s="665"/>
      <c r="T17" s="666"/>
      <c r="U17" s="643"/>
      <c r="V17" s="640"/>
      <c r="W17" s="350"/>
      <c r="X17"/>
      <c r="Y17" s="120"/>
      <c r="Z17" s="120"/>
      <c r="AA17" s="120"/>
      <c r="AB17" s="120"/>
      <c r="AC17" s="120"/>
      <c r="AD17" s="120"/>
      <c r="AE17" s="120"/>
      <c r="AF17" s="120"/>
      <c r="AG17" s="120"/>
      <c r="AH17" s="120"/>
      <c r="AI17" s="120"/>
      <c r="AJ17" s="120"/>
      <c r="AK17" s="120"/>
      <c r="AL17" s="120"/>
      <c r="AM17" s="120"/>
      <c r="AN17" s="120"/>
      <c r="AO17" s="120"/>
      <c r="AP17" s="120"/>
      <c r="AQ17" s="120"/>
      <c r="AR17" s="120"/>
      <c r="AS17" s="120"/>
      <c r="AT17" s="120"/>
      <c r="AU17" s="120"/>
      <c r="AV17" s="120"/>
      <c r="AW17" s="120"/>
      <c r="AX17" s="120"/>
      <c r="AY17" s="120"/>
      <c r="AZ17" s="120"/>
      <c r="BA17" s="120"/>
      <c r="BB17" s="120"/>
      <c r="BC17" s="120"/>
      <c r="BD17" s="120"/>
      <c r="BE17" s="120"/>
      <c r="BF17" s="120"/>
      <c r="BG17" s="120"/>
      <c r="BH17" s="120"/>
      <c r="BI17" s="120"/>
      <c r="BJ17" s="120"/>
      <c r="BK17" s="120"/>
      <c r="BL17" s="120"/>
      <c r="BM17" s="120"/>
      <c r="BN17" s="120"/>
      <c r="BO17" s="120"/>
      <c r="BP17" s="120"/>
      <c r="BQ17" s="120"/>
      <c r="BR17" s="120"/>
      <c r="BS17" s="120"/>
      <c r="BT17" s="120"/>
      <c r="BU17" s="120"/>
      <c r="BV17" s="120"/>
      <c r="BW17" s="120"/>
      <c r="BX17" s="120"/>
      <c r="BY17" s="120"/>
      <c r="BZ17" s="120"/>
      <c r="CA17" s="120"/>
      <c r="CB17" s="120"/>
      <c r="CC17" s="120"/>
      <c r="CD17" s="120"/>
      <c r="CE17" s="120"/>
      <c r="CF17" s="120"/>
      <c r="CG17" s="120"/>
      <c r="CH17" s="120"/>
      <c r="CI17" s="120"/>
      <c r="CJ17" s="120"/>
      <c r="CK17" s="120"/>
      <c r="CL17" s="120"/>
      <c r="CM17" s="120"/>
      <c r="CN17" s="120"/>
      <c r="CO17" s="120"/>
      <c r="CP17" s="120"/>
      <c r="CQ17" s="120"/>
      <c r="CR17" s="120"/>
      <c r="CS17" s="120"/>
      <c r="CT17" s="120"/>
    </row>
    <row r="18" spans="1:98" ht="15.75">
      <c r="A18" s="326"/>
      <c r="B18"/>
      <c r="C18"/>
      <c r="D18"/>
      <c r="E18"/>
      <c r="F18"/>
      <c r="G18"/>
      <c r="H18" s="8"/>
      <c r="I18"/>
      <c r="J18"/>
      <c r="K18"/>
      <c r="L18" s="273"/>
      <c r="M18" s="273"/>
      <c r="N18" s="273"/>
      <c r="O18" s="273"/>
      <c r="P18" s="663" t="s">
        <v>2583</v>
      </c>
      <c r="Q18" s="645">
        <f>H7</f>
        <v>20</v>
      </c>
      <c r="R18"/>
      <c r="S18" s="7"/>
      <c r="T18" s="640"/>
      <c r="U18" s="640"/>
      <c r="V18" s="640"/>
      <c r="W18" s="350"/>
      <c r="X18"/>
      <c r="Y18" s="273"/>
      <c r="Z18" s="273"/>
      <c r="AA18" s="273"/>
      <c r="AB18" s="273"/>
      <c r="AC18" s="273"/>
      <c r="AD18" s="273"/>
      <c r="AE18" s="273"/>
      <c r="AF18" s="273"/>
      <c r="AG18" s="273"/>
      <c r="AH18" s="273"/>
      <c r="AI18" s="273"/>
      <c r="AJ18" s="273"/>
      <c r="AK18" s="273"/>
      <c r="AL18" s="273"/>
      <c r="AM18" s="273"/>
      <c r="AN18" s="273"/>
      <c r="AO18" s="273"/>
      <c r="AP18" s="273"/>
      <c r="AQ18" s="273"/>
      <c r="AR18" s="273"/>
      <c r="AS18" s="273"/>
      <c r="AT18" s="273"/>
      <c r="AU18" s="273"/>
      <c r="AV18" s="273"/>
      <c r="AW18" s="273"/>
      <c r="AX18" s="273"/>
      <c r="AY18" s="273"/>
      <c r="AZ18" s="273"/>
      <c r="BA18" s="273"/>
      <c r="BB18" s="273"/>
      <c r="BC18" s="273"/>
      <c r="BD18" s="273"/>
      <c r="BE18" s="120"/>
      <c r="BF18" s="120"/>
      <c r="BG18" s="120"/>
      <c r="BH18" s="120"/>
      <c r="BI18" s="120"/>
      <c r="BJ18" s="120"/>
      <c r="BK18" s="120"/>
      <c r="BL18" s="120"/>
      <c r="BM18" s="120"/>
      <c r="BN18" s="120"/>
      <c r="BO18" s="120"/>
      <c r="BP18" s="120"/>
      <c r="BQ18" s="120"/>
      <c r="BR18" s="120"/>
      <c r="BS18" s="120"/>
      <c r="BT18" s="120"/>
      <c r="BU18" s="120"/>
      <c r="BV18" s="120"/>
      <c r="BW18" s="120"/>
      <c r="BX18" s="120"/>
      <c r="BY18" s="120"/>
      <c r="BZ18" s="120"/>
      <c r="CA18" s="120"/>
      <c r="CB18" s="120"/>
      <c r="CC18" s="120"/>
      <c r="CD18" s="120"/>
      <c r="CE18" s="120"/>
      <c r="CF18" s="120"/>
      <c r="CG18" s="120"/>
      <c r="CH18" s="120"/>
      <c r="CI18" s="120"/>
      <c r="CJ18" s="120"/>
      <c r="CK18" s="120"/>
      <c r="CL18" s="120"/>
      <c r="CM18" s="120"/>
      <c r="CN18" s="120"/>
      <c r="CO18" s="120"/>
      <c r="CP18" s="120"/>
      <c r="CQ18" s="120"/>
      <c r="CR18" s="120"/>
      <c r="CS18" s="120"/>
      <c r="CT18" s="120"/>
    </row>
    <row r="19" spans="1:98" ht="15.75">
      <c r="A19" s="95"/>
      <c r="B19" s="539" t="s">
        <v>2499</v>
      </c>
      <c r="C19" s="539"/>
      <c r="D19" s="545"/>
      <c r="E19" s="584">
        <f>F42</f>
        <v>3</v>
      </c>
      <c r="F19" s="585" t="str">
        <f>D42</f>
        <v>Flex-compr</v>
      </c>
      <c r="G19" s="540"/>
      <c r="H19" s="479"/>
      <c r="I19" s="540"/>
      <c r="J19" s="540"/>
      <c r="K19" s="540"/>
      <c r="L19" s="273"/>
      <c r="M19" s="273"/>
      <c r="N19" s="273"/>
      <c r="O19" s="273"/>
      <c r="P19" s="548" t="s">
        <v>2584</v>
      </c>
      <c r="Q19" s="254">
        <f>S13-S15</f>
        <v>400</v>
      </c>
      <c r="R19"/>
      <c r="S19"/>
      <c r="T19"/>
      <c r="U19"/>
      <c r="V19"/>
      <c r="W19" s="350"/>
      <c r="X19"/>
      <c r="Y19" s="273"/>
      <c r="Z19" s="273"/>
      <c r="AA19" s="273"/>
      <c r="AB19" s="273"/>
      <c r="AC19" s="273"/>
      <c r="AD19" s="273"/>
      <c r="AE19" s="273"/>
      <c r="AF19" s="273"/>
      <c r="AG19" s="273"/>
      <c r="AH19" s="273"/>
      <c r="AI19" s="273"/>
      <c r="AJ19" s="273"/>
      <c r="AK19" s="273"/>
      <c r="AL19" s="273"/>
      <c r="AM19" s="273"/>
      <c r="AN19" s="273"/>
      <c r="AO19" s="273"/>
      <c r="AP19" s="273"/>
      <c r="AQ19" s="273"/>
      <c r="AR19" s="273"/>
      <c r="AS19" s="273"/>
      <c r="AT19" s="273"/>
      <c r="AU19" s="273"/>
      <c r="AV19" s="273"/>
      <c r="AW19" s="273"/>
      <c r="AX19" s="273"/>
      <c r="AY19" s="273"/>
      <c r="AZ19" s="273"/>
      <c r="BA19" s="273"/>
      <c r="BB19" s="273"/>
      <c r="BC19" s="273"/>
      <c r="BD19" s="273"/>
      <c r="BE19" s="120"/>
      <c r="BF19" s="120"/>
      <c r="BG19" s="120"/>
      <c r="BH19" s="120"/>
      <c r="BI19" s="120"/>
      <c r="BJ19" s="120"/>
      <c r="BK19" s="120"/>
      <c r="BL19" s="120"/>
      <c r="BM19" s="120"/>
      <c r="BN19" s="120"/>
      <c r="BO19" s="120"/>
      <c r="BP19" s="120"/>
      <c r="BQ19" s="120"/>
      <c r="BR19" s="120"/>
      <c r="BS19" s="120"/>
      <c r="BT19" s="120"/>
      <c r="BU19" s="120"/>
      <c r="BV19" s="120"/>
      <c r="BW19" s="120"/>
      <c r="BX19" s="120"/>
      <c r="BY19" s="120"/>
      <c r="BZ19" s="120"/>
      <c r="CA19" s="120"/>
      <c r="CB19" s="120"/>
      <c r="CC19" s="120"/>
      <c r="CD19" s="120"/>
      <c r="CE19" s="120"/>
      <c r="CF19" s="120"/>
      <c r="CG19" s="120"/>
      <c r="CH19" s="120"/>
      <c r="CI19" s="120"/>
      <c r="CJ19" s="120"/>
      <c r="CK19" s="120"/>
      <c r="CL19" s="120"/>
      <c r="CM19" s="120"/>
      <c r="CN19" s="120"/>
      <c r="CO19" s="120"/>
      <c r="CP19" s="120"/>
      <c r="CQ19" s="120"/>
      <c r="CR19" s="120"/>
      <c r="CS19" s="120"/>
      <c r="CT19" s="120"/>
    </row>
    <row r="20" spans="1:98" ht="15.75">
      <c r="A20" s="120"/>
      <c r="B20" s="523"/>
      <c r="C20" s="523" t="s">
        <v>2536</v>
      </c>
      <c r="D20" s="524">
        <f>G7</f>
        <v>740</v>
      </c>
      <c r="E20"/>
      <c r="F20" s="533">
        <f>D20/H7</f>
        <v>37</v>
      </c>
      <c r="G20"/>
      <c r="H20" s="8"/>
      <c r="I20"/>
      <c r="J20" s="504" t="s">
        <v>2535</v>
      </c>
      <c r="K20"/>
      <c r="L20" s="273"/>
      <c r="M20" s="273"/>
      <c r="N20" s="273"/>
      <c r="O20" s="273"/>
      <c r="P20" s="667"/>
      <c r="Q20"/>
      <c r="R20"/>
      <c r="S20"/>
      <c r="T20"/>
      <c r="U20"/>
      <c r="V20"/>
      <c r="W20" s="350"/>
      <c r="X20"/>
      <c r="Y20" s="273"/>
      <c r="Z20" s="273"/>
      <c r="AA20" s="273"/>
      <c r="AB20" s="273"/>
      <c r="AC20" s="273"/>
      <c r="AD20" s="273"/>
      <c r="AE20" s="273"/>
      <c r="AF20" s="273"/>
      <c r="AG20" s="273"/>
      <c r="AH20" s="273"/>
      <c r="AI20" s="273"/>
      <c r="AJ20" s="273"/>
      <c r="AK20" s="273"/>
      <c r="AL20" s="273"/>
      <c r="AM20" s="273"/>
      <c r="AN20" s="273"/>
      <c r="AO20" s="273"/>
      <c r="AP20" s="273"/>
      <c r="AQ20" s="273"/>
      <c r="AR20" s="273"/>
      <c r="AS20" s="273"/>
      <c r="AT20" s="273"/>
      <c r="AU20" s="273"/>
      <c r="AV20" s="273"/>
      <c r="AW20" s="273"/>
      <c r="AX20" s="273"/>
      <c r="AY20" s="273"/>
      <c r="AZ20" s="273"/>
      <c r="BA20" s="273"/>
      <c r="BB20" s="273"/>
      <c r="BC20" s="273"/>
      <c r="BD20" s="273"/>
      <c r="BE20" s="120"/>
      <c r="BF20" s="120"/>
      <c r="BG20" s="120"/>
      <c r="BH20" s="120"/>
      <c r="BI20" s="120"/>
      <c r="BJ20" s="120"/>
      <c r="BK20" s="120"/>
      <c r="BL20" s="120"/>
      <c r="BM20" s="120"/>
      <c r="BN20" s="120"/>
      <c r="BO20" s="120"/>
      <c r="BP20" s="120"/>
      <c r="BQ20" s="120"/>
      <c r="BR20" s="120"/>
      <c r="BS20" s="120"/>
      <c r="BT20" s="120"/>
      <c r="BU20" s="120"/>
      <c r="BV20" s="120"/>
      <c r="BW20" s="120"/>
      <c r="BX20" s="120"/>
      <c r="BY20" s="120"/>
      <c r="BZ20" s="120"/>
      <c r="CA20" s="120"/>
      <c r="CB20" s="120"/>
      <c r="CC20" s="120"/>
      <c r="CD20" s="120"/>
      <c r="CE20" s="120"/>
      <c r="CF20" s="120"/>
      <c r="CG20" s="120"/>
      <c r="CH20" s="120"/>
      <c r="CI20" s="120"/>
      <c r="CJ20" s="120"/>
      <c r="CK20" s="120"/>
      <c r="CL20" s="120"/>
      <c r="CM20" s="120"/>
      <c r="CN20" s="120"/>
      <c r="CO20" s="120"/>
      <c r="CP20" s="120"/>
      <c r="CQ20" s="120"/>
      <c r="CR20" s="120"/>
      <c r="CS20" s="120"/>
      <c r="CT20" s="120"/>
    </row>
    <row r="21" spans="1:98" ht="15.75">
      <c r="A21" s="420"/>
      <c r="B21"/>
      <c r="C21"/>
      <c r="D21"/>
      <c r="E21"/>
      <c r="F21"/>
      <c r="G21"/>
      <c r="H21" s="8"/>
      <c r="I21"/>
      <c r="J21"/>
      <c r="K21"/>
      <c r="L21" s="273"/>
      <c r="M21" s="318"/>
      <c r="N21" s="607"/>
      <c r="O21" s="608"/>
      <c r="P21" s="668"/>
      <c r="Q21" s="640"/>
      <c r="R21" s="669"/>
      <c r="S21" s="640"/>
      <c r="T21" s="640"/>
      <c r="U21" s="640"/>
      <c r="V21" s="640"/>
      <c r="W21" s="350"/>
      <c r="X21"/>
      <c r="Y21" s="273"/>
      <c r="Z21" s="273"/>
      <c r="AA21" s="273"/>
      <c r="AB21" s="273"/>
      <c r="AC21" s="273"/>
      <c r="AD21" s="273"/>
      <c r="AE21" s="273"/>
      <c r="AF21" s="273"/>
      <c r="AG21" s="273"/>
      <c r="AH21" s="273"/>
      <c r="AI21" s="273"/>
      <c r="AJ21" s="273"/>
      <c r="AK21" s="273"/>
      <c r="AL21" s="273"/>
      <c r="AM21" s="273"/>
      <c r="AN21" s="273"/>
      <c r="AO21" s="273"/>
      <c r="AP21" s="273"/>
      <c r="AQ21" s="273"/>
      <c r="AR21" s="273"/>
      <c r="AS21" s="273"/>
      <c r="AT21" s="273"/>
      <c r="AU21" s="273"/>
      <c r="AV21" s="273"/>
      <c r="AW21" s="273"/>
      <c r="AX21" s="273"/>
      <c r="AY21" s="273"/>
      <c r="AZ21" s="273"/>
      <c r="BA21" s="273"/>
      <c r="BB21" s="273"/>
      <c r="BC21" s="273"/>
      <c r="BD21" s="273"/>
      <c r="BE21" s="120"/>
      <c r="BF21" s="120"/>
      <c r="BG21" s="120"/>
      <c r="BH21" s="120"/>
      <c r="BI21" s="120"/>
      <c r="BJ21" s="120"/>
      <c r="BK21" s="120"/>
      <c r="BL21" s="120"/>
      <c r="BM21" s="120"/>
      <c r="BN21" s="120"/>
      <c r="BO21" s="120"/>
      <c r="BP21" s="120"/>
      <c r="BQ21" s="120"/>
      <c r="BR21" s="120"/>
      <c r="BS21" s="120"/>
      <c r="BT21" s="120"/>
      <c r="BU21" s="120"/>
      <c r="BV21" s="120"/>
      <c r="BW21" s="120"/>
      <c r="BX21" s="120"/>
      <c r="BY21" s="120"/>
      <c r="BZ21" s="120"/>
      <c r="CA21" s="120"/>
      <c r="CB21" s="120"/>
      <c r="CC21" s="120"/>
      <c r="CD21" s="120"/>
      <c r="CE21" s="120"/>
      <c r="CF21" s="120"/>
      <c r="CG21" s="120"/>
      <c r="CH21" s="120"/>
      <c r="CI21" s="120"/>
      <c r="CJ21" s="120"/>
      <c r="CK21" s="120"/>
      <c r="CL21" s="120"/>
      <c r="CM21" s="120"/>
      <c r="CN21" s="120"/>
      <c r="CO21" s="120"/>
      <c r="CP21" s="120"/>
      <c r="CQ21" s="120"/>
      <c r="CR21" s="120"/>
      <c r="CS21" s="120"/>
      <c r="CT21" s="120"/>
    </row>
    <row r="22" spans="1:98" ht="15.75">
      <c r="A22" s="612"/>
      <c r="B22"/>
      <c r="C22"/>
      <c r="D22" s="252"/>
      <c r="E22"/>
      <c r="F22"/>
      <c r="G22" s="3">
        <f>F16/H7/E5*1000</f>
        <v>954.54545454545473</v>
      </c>
      <c r="H22" s="505" t="s">
        <v>77</v>
      </c>
      <c r="I22"/>
      <c r="J22"/>
      <c r="K22"/>
      <c r="L22" s="273"/>
      <c r="M22" s="318"/>
      <c r="N22" s="607"/>
      <c r="O22" s="607"/>
      <c r="P22" s="635"/>
      <c r="Q22" s="636"/>
      <c r="R22" s="637" t="s">
        <v>47</v>
      </c>
      <c r="S22" s="636"/>
      <c r="T22" s="636"/>
      <c r="U22" s="636"/>
      <c r="V22" s="636"/>
      <c r="W22" s="638"/>
      <c r="X22"/>
      <c r="Y22" s="273"/>
      <c r="Z22" s="273"/>
      <c r="AA22" s="273"/>
      <c r="AB22" s="273"/>
      <c r="AC22" s="273"/>
      <c r="AD22" s="273"/>
      <c r="AE22" s="273"/>
      <c r="AF22" s="273"/>
      <c r="AG22" s="273"/>
      <c r="AH22" s="273"/>
      <c r="AI22" s="273"/>
      <c r="AJ22" s="273"/>
      <c r="AK22" s="273"/>
      <c r="AL22" s="273"/>
      <c r="AM22" s="273"/>
      <c r="AN22" s="273"/>
      <c r="AO22" s="273"/>
      <c r="AP22" s="273"/>
      <c r="AQ22" s="273"/>
      <c r="AR22" s="273"/>
      <c r="AS22" s="273"/>
      <c r="AT22" s="273"/>
      <c r="AU22" s="273"/>
      <c r="AV22" s="273"/>
      <c r="AW22" s="273"/>
      <c r="AX22" s="273"/>
      <c r="AY22" s="273"/>
      <c r="AZ22" s="273"/>
      <c r="BA22" s="273"/>
      <c r="BB22" s="273"/>
      <c r="BC22" s="273"/>
      <c r="BD22" s="273"/>
      <c r="BE22" s="120"/>
      <c r="BF22" s="120"/>
      <c r="BG22" s="120"/>
      <c r="BH22" s="120"/>
      <c r="BI22" s="120"/>
      <c r="BJ22" s="120"/>
      <c r="BK22" s="120"/>
      <c r="BL22" s="120"/>
      <c r="BM22" s="120"/>
      <c r="BN22" s="120"/>
      <c r="BO22" s="120"/>
      <c r="BP22" s="120"/>
      <c r="BQ22" s="120"/>
      <c r="BR22" s="120"/>
      <c r="BS22" s="120"/>
      <c r="BT22" s="120"/>
      <c r="BU22" s="120"/>
      <c r="BV22" s="120"/>
      <c r="BW22" s="120"/>
      <c r="BX22" s="120"/>
      <c r="BY22" s="120"/>
      <c r="BZ22" s="120"/>
      <c r="CA22" s="120"/>
      <c r="CB22" s="120"/>
      <c r="CC22" s="120"/>
      <c r="CD22" s="120"/>
      <c r="CE22" s="120"/>
      <c r="CF22" s="120"/>
      <c r="CG22" s="120"/>
      <c r="CH22" s="120"/>
      <c r="CI22" s="120"/>
      <c r="CJ22" s="120"/>
      <c r="CK22" s="120"/>
      <c r="CL22" s="120"/>
      <c r="CM22" s="120"/>
      <c r="CN22" s="120"/>
      <c r="CO22" s="120"/>
      <c r="CP22" s="120"/>
      <c r="CQ22" s="120"/>
      <c r="CR22" s="120"/>
      <c r="CS22" s="120"/>
      <c r="CT22" s="120"/>
    </row>
    <row r="23" spans="1:98" ht="15.75">
      <c r="A23" s="614"/>
      <c r="B23"/>
      <c r="C23"/>
      <c r="D23" s="252"/>
      <c r="E23"/>
      <c r="F23"/>
      <c r="G23"/>
      <c r="H23" s="8"/>
      <c r="I23"/>
      <c r="J23"/>
      <c r="K23"/>
      <c r="L23" s="273"/>
      <c r="M23" s="318"/>
      <c r="N23" s="607"/>
      <c r="O23" s="607"/>
      <c r="P23" s="639"/>
      <c r="Q23" s="640"/>
      <c r="R23" s="641"/>
      <c r="S23" s="640"/>
      <c r="T23" s="640"/>
      <c r="U23" s="640"/>
      <c r="V23" s="640"/>
      <c r="W23" s="350"/>
      <c r="X23"/>
      <c r="Y23" s="615"/>
      <c r="Z23" s="615"/>
      <c r="AA23" s="615"/>
      <c r="AB23" s="615"/>
      <c r="AC23" s="615"/>
      <c r="AD23" s="615"/>
      <c r="AE23" s="273"/>
      <c r="AF23" s="273"/>
      <c r="AG23" s="273"/>
      <c r="AH23" s="273"/>
      <c r="AI23" s="273"/>
      <c r="AJ23" s="273"/>
      <c r="AK23" s="273"/>
      <c r="AL23" s="273"/>
      <c r="AM23" s="273"/>
      <c r="AN23" s="273"/>
      <c r="AO23" s="273"/>
      <c r="AP23" s="273"/>
      <c r="AQ23" s="273"/>
      <c r="AR23" s="273"/>
      <c r="AS23" s="273"/>
      <c r="AT23" s="273"/>
      <c r="AU23" s="273"/>
      <c r="AV23" s="273"/>
      <c r="AW23" s="273"/>
      <c r="AX23" s="273"/>
      <c r="AY23" s="273"/>
      <c r="AZ23" s="273"/>
      <c r="BA23" s="273"/>
      <c r="BB23" s="273"/>
      <c r="BC23" s="273"/>
      <c r="BD23" s="273"/>
      <c r="BE23" s="120"/>
      <c r="BF23" s="120"/>
      <c r="BG23" s="120"/>
      <c r="BH23" s="120"/>
      <c r="BI23" s="120"/>
      <c r="BJ23" s="120"/>
      <c r="BK23" s="120"/>
      <c r="BL23" s="120"/>
      <c r="BM23" s="120"/>
      <c r="BN23" s="120"/>
      <c r="BO23" s="120"/>
      <c r="BP23" s="120"/>
      <c r="BQ23" s="120"/>
      <c r="BR23" s="120"/>
      <c r="BS23" s="120"/>
      <c r="BT23" s="120"/>
      <c r="BU23" s="120"/>
      <c r="BV23" s="120"/>
      <c r="BW23" s="120"/>
      <c r="BX23" s="120"/>
      <c r="BY23" s="120"/>
      <c r="BZ23" s="120"/>
      <c r="CA23" s="120"/>
      <c r="CB23" s="120"/>
      <c r="CC23" s="120"/>
      <c r="CD23" s="120"/>
      <c r="CE23" s="120"/>
      <c r="CF23" s="120"/>
      <c r="CG23" s="120"/>
      <c r="CH23" s="120"/>
      <c r="CI23" s="120"/>
      <c r="CJ23" s="120"/>
      <c r="CK23" s="120"/>
      <c r="CL23" s="120"/>
      <c r="CM23" s="120"/>
      <c r="CN23" s="120"/>
      <c r="CO23" s="120"/>
      <c r="CP23" s="120"/>
      <c r="CQ23" s="120"/>
      <c r="CR23" s="120"/>
      <c r="CS23" s="120"/>
      <c r="CT23" s="120"/>
    </row>
    <row r="24" spans="1:98" ht="15.75">
      <c r="A24" s="211"/>
      <c r="B24"/>
      <c r="C24"/>
      <c r="D24" s="516"/>
      <c r="E24" s="516" t="s">
        <v>2501</v>
      </c>
      <c r="F24" s="3">
        <f>(G22+G7)/G7/2</f>
        <v>1.144963144963145</v>
      </c>
      <c r="G24"/>
      <c r="H24" s="505" t="s">
        <v>2502</v>
      </c>
      <c r="I24" s="504" t="s">
        <v>2503</v>
      </c>
      <c r="J24"/>
      <c r="K24"/>
      <c r="L24" s="273"/>
      <c r="M24" s="318"/>
      <c r="N24" s="607"/>
      <c r="O24" s="607"/>
      <c r="P24" s="670" t="s">
        <v>2585</v>
      </c>
      <c r="Q24" s="671"/>
      <c r="R24" s="671"/>
      <c r="S24" s="671"/>
      <c r="T24" s="671"/>
      <c r="U24" s="671"/>
      <c r="V24" s="671"/>
      <c r="W24" s="672"/>
      <c r="X24"/>
      <c r="Y24" s="334"/>
      <c r="Z24" s="334"/>
      <c r="AA24" s="334"/>
      <c r="AB24" s="334"/>
      <c r="AC24" s="336"/>
      <c r="AD24" s="334"/>
      <c r="AE24" s="334"/>
      <c r="AF24" s="334"/>
      <c r="AG24" s="334"/>
      <c r="AH24" s="332"/>
      <c r="AI24" s="334"/>
      <c r="AJ24" s="334"/>
      <c r="AK24" s="334"/>
      <c r="AL24" s="334"/>
      <c r="AM24" s="334"/>
      <c r="AN24" s="334"/>
      <c r="AO24" s="334"/>
      <c r="AP24" s="334"/>
      <c r="AQ24" s="334"/>
      <c r="AR24" s="334"/>
      <c r="AS24" s="334"/>
      <c r="AT24" s="334"/>
      <c r="AU24" s="334"/>
      <c r="AV24" s="616"/>
      <c r="AW24" s="609"/>
      <c r="AX24" s="609"/>
      <c r="AY24" s="609"/>
      <c r="AZ24" s="609"/>
      <c r="BA24" s="616"/>
      <c r="BB24" s="617"/>
      <c r="BC24" s="617"/>
      <c r="BD24" s="617"/>
      <c r="BE24" s="120"/>
      <c r="BF24" s="120"/>
      <c r="BG24" s="120"/>
      <c r="BH24" s="120"/>
      <c r="BI24" s="120"/>
      <c r="BJ24" s="120"/>
      <c r="BK24" s="120"/>
      <c r="BL24" s="120"/>
      <c r="BM24" s="120"/>
      <c r="BN24" s="120"/>
      <c r="BO24" s="120"/>
      <c r="BP24" s="120"/>
      <c r="BQ24" s="120"/>
      <c r="BR24" s="120"/>
      <c r="BS24" s="120"/>
      <c r="BT24" s="120"/>
      <c r="BU24" s="120"/>
      <c r="BV24" s="120"/>
      <c r="BW24" s="120"/>
      <c r="BX24" s="120"/>
      <c r="BY24" s="120"/>
      <c r="BZ24" s="120"/>
      <c r="CA24" s="120"/>
      <c r="CB24" s="120"/>
      <c r="CC24" s="120"/>
      <c r="CD24" s="120"/>
      <c r="CE24" s="120"/>
      <c r="CF24" s="120"/>
      <c r="CG24" s="120"/>
      <c r="CH24" s="120"/>
      <c r="CI24" s="120"/>
      <c r="CJ24" s="120"/>
      <c r="CK24" s="120"/>
      <c r="CL24" s="120"/>
      <c r="CM24" s="120"/>
      <c r="CN24" s="120"/>
      <c r="CO24" s="120"/>
      <c r="CP24" s="120"/>
      <c r="CQ24" s="120"/>
      <c r="CR24" s="120"/>
      <c r="CS24" s="120"/>
      <c r="CT24" s="120"/>
    </row>
    <row r="25" spans="1:98" ht="21.75" thickBot="1">
      <c r="A25" s="120"/>
      <c r="B25"/>
      <c r="C25"/>
      <c r="D25" s="252"/>
      <c r="E25"/>
      <c r="F25"/>
      <c r="G25"/>
      <c r="H25" s="505" t="s">
        <v>2504</v>
      </c>
      <c r="I25" s="504" t="s">
        <v>2505</v>
      </c>
      <c r="J25"/>
      <c r="K25"/>
      <c r="L25" s="273"/>
      <c r="M25" s="274"/>
      <c r="N25" s="273"/>
      <c r="O25" s="273"/>
      <c r="P25" s="673" t="s">
        <v>85</v>
      </c>
      <c r="Q25" s="674" t="s">
        <v>2586</v>
      </c>
      <c r="R25" s="674" t="s">
        <v>2587</v>
      </c>
      <c r="S25" s="674" t="s">
        <v>2588</v>
      </c>
      <c r="T25" s="674" t="s">
        <v>2589</v>
      </c>
      <c r="U25" s="675" t="s">
        <v>2590</v>
      </c>
      <c r="V25" s="674" t="s">
        <v>2591</v>
      </c>
      <c r="W25" s="676"/>
      <c r="X25"/>
      <c r="Y25" s="334"/>
      <c r="Z25" s="334"/>
      <c r="AA25" s="334"/>
      <c r="AB25" s="334"/>
      <c r="AC25" s="334"/>
      <c r="AD25" s="334"/>
      <c r="AE25" s="334"/>
      <c r="AF25" s="334"/>
      <c r="AG25" s="334"/>
      <c r="AH25" s="332"/>
      <c r="AI25" s="334"/>
      <c r="AJ25" s="334"/>
      <c r="AK25" s="334"/>
      <c r="AL25" s="334"/>
      <c r="AM25" s="334"/>
      <c r="AN25" s="334"/>
      <c r="AO25" s="334"/>
      <c r="AP25" s="334"/>
      <c r="AQ25" s="334"/>
      <c r="AR25" s="334"/>
      <c r="AS25" s="334"/>
      <c r="AT25" s="334"/>
      <c r="AU25" s="618"/>
      <c r="AV25" s="616"/>
      <c r="AW25" s="609"/>
      <c r="AX25" s="609"/>
      <c r="AY25" s="609"/>
      <c r="AZ25" s="609"/>
      <c r="BA25" s="616"/>
      <c r="BB25" s="617"/>
      <c r="BC25" s="617"/>
      <c r="BD25" s="617"/>
      <c r="BE25" s="120"/>
      <c r="BF25" s="120"/>
      <c r="BG25" s="120"/>
      <c r="BH25" s="120"/>
      <c r="BI25" s="120"/>
      <c r="BJ25" s="120"/>
      <c r="BK25" s="120"/>
      <c r="BL25" s="120"/>
      <c r="BM25" s="120"/>
      <c r="BN25" s="120"/>
      <c r="BO25" s="120"/>
      <c r="BP25" s="120"/>
      <c r="BQ25" s="120"/>
      <c r="BR25" s="120"/>
      <c r="BS25" s="120"/>
      <c r="BT25" s="120"/>
      <c r="BU25" s="120"/>
      <c r="BV25" s="120"/>
      <c r="BW25" s="120"/>
      <c r="BX25" s="120"/>
      <c r="BY25" s="120"/>
      <c r="BZ25" s="120"/>
      <c r="CA25" s="120"/>
      <c r="CB25" s="120"/>
      <c r="CC25" s="120"/>
      <c r="CD25" s="120"/>
      <c r="CE25" s="120"/>
      <c r="CF25" s="120"/>
      <c r="CG25" s="120"/>
      <c r="CH25" s="120"/>
      <c r="CI25" s="120"/>
      <c r="CJ25" s="120"/>
      <c r="CK25" s="120"/>
      <c r="CL25" s="120"/>
      <c r="CM25" s="120"/>
      <c r="CN25" s="120"/>
      <c r="CO25" s="120"/>
      <c r="CP25" s="120"/>
      <c r="CQ25" s="120"/>
      <c r="CR25" s="120"/>
      <c r="CS25" s="120"/>
      <c r="CT25" s="120"/>
    </row>
    <row r="26" spans="1:98" ht="19.5" thickTop="1">
      <c r="A26" s="120"/>
      <c r="B26"/>
      <c r="C26"/>
      <c r="D26"/>
      <c r="E26"/>
      <c r="F26"/>
      <c r="G26"/>
      <c r="H26" s="8"/>
      <c r="I26"/>
      <c r="J26"/>
      <c r="K26"/>
      <c r="L26" s="273"/>
      <c r="M26" s="274"/>
      <c r="N26" s="273"/>
      <c r="O26" s="273"/>
      <c r="P26" s="677" t="s">
        <v>2592</v>
      </c>
      <c r="Q26" s="678" t="s">
        <v>2593</v>
      </c>
      <c r="R26" s="678" t="s">
        <v>2594</v>
      </c>
      <c r="S26" s="678" t="s">
        <v>2593</v>
      </c>
      <c r="T26" s="678" t="s">
        <v>2593</v>
      </c>
      <c r="U26" s="678" t="s">
        <v>77</v>
      </c>
      <c r="V26" s="678" t="s">
        <v>2593</v>
      </c>
      <c r="W26" s="678"/>
      <c r="X26" s="679"/>
      <c r="Y26" s="334"/>
      <c r="Z26" s="334"/>
      <c r="AA26" s="334"/>
      <c r="AB26" s="334"/>
      <c r="AC26" s="334"/>
      <c r="AD26" s="334"/>
      <c r="AE26" s="334"/>
      <c r="AF26" s="334"/>
      <c r="AG26" s="334"/>
      <c r="AH26" s="334"/>
      <c r="AI26" s="334"/>
      <c r="AJ26" s="334"/>
      <c r="AK26" s="334"/>
      <c r="AL26" s="334"/>
      <c r="AM26" s="619"/>
      <c r="AN26" s="334"/>
      <c r="AO26" s="334"/>
      <c r="AP26" s="334"/>
      <c r="AQ26" s="334"/>
      <c r="AR26" s="619"/>
      <c r="AS26" s="334"/>
      <c r="AT26" s="334"/>
      <c r="AU26" s="620"/>
      <c r="AV26" s="609"/>
      <c r="AW26" s="609"/>
      <c r="AX26" s="609"/>
      <c r="AY26" s="609"/>
      <c r="AZ26" s="609"/>
      <c r="BA26" s="609"/>
      <c r="BB26" s="617"/>
      <c r="BC26" s="617"/>
      <c r="BD26" s="617"/>
      <c r="BE26" s="120"/>
      <c r="BF26" s="120"/>
      <c r="BG26" s="120"/>
      <c r="BH26" s="120"/>
      <c r="BI26" s="120"/>
      <c r="BJ26" s="120"/>
      <c r="BK26" s="120"/>
      <c r="BL26" s="120"/>
      <c r="BM26" s="120"/>
      <c r="BN26" s="120"/>
      <c r="BO26" s="120"/>
      <c r="BP26" s="120"/>
      <c r="BQ26" s="120"/>
      <c r="BR26" s="120"/>
      <c r="BS26" s="120"/>
      <c r="BT26" s="120"/>
      <c r="BU26" s="120"/>
      <c r="BV26" s="120"/>
      <c r="BW26" s="120"/>
      <c r="BX26" s="120"/>
      <c r="BY26" s="120"/>
      <c r="BZ26" s="120"/>
      <c r="CA26" s="120"/>
      <c r="CB26" s="120"/>
      <c r="CC26" s="120"/>
      <c r="CD26" s="120"/>
      <c r="CE26" s="120"/>
      <c r="CF26" s="120"/>
      <c r="CG26" s="120"/>
      <c r="CH26" s="120"/>
      <c r="CI26" s="120"/>
      <c r="CJ26" s="120"/>
      <c r="CK26" s="120"/>
      <c r="CL26" s="120"/>
      <c r="CM26" s="120"/>
      <c r="CN26" s="120"/>
      <c r="CO26" s="120"/>
      <c r="CP26" s="120"/>
      <c r="CQ26" s="120"/>
      <c r="CR26" s="120"/>
      <c r="CS26" s="120"/>
      <c r="CT26" s="120"/>
    </row>
    <row r="27" spans="1:98" ht="15.75">
      <c r="A27" s="420"/>
      <c r="B27"/>
      <c r="C27"/>
      <c r="D27"/>
      <c r="E27"/>
      <c r="F27"/>
      <c r="G27"/>
      <c r="H27" s="8"/>
      <c r="I27"/>
      <c r="J27"/>
      <c r="K27"/>
      <c r="L27" s="273"/>
      <c r="M27" s="273"/>
      <c r="N27" s="273"/>
      <c r="O27" s="273"/>
      <c r="P27" s="8">
        <f>Q13*Q14+Q15*Q16+Q17*Q18</f>
        <v>44800</v>
      </c>
      <c r="Q27" s="511">
        <f>Q15*Q16*(S15-Q16/2)+POWER((S15-Q16),2)*Q18/2</f>
        <v>7144000</v>
      </c>
      <c r="R27" s="8">
        <f>(Q13*POWER(Q14,3)+Q15*POWER(Q16,3)+Q18*POWER(Q17,3))/12+Q13*Q14*POWER((S13-Q14/2-S15),2)+Q17*Q18*POWER((Q16+Q17/2-S15),2)+Q15*Q16*POWER((-Q16/2+S15),2)</f>
        <v>5124373333.333334</v>
      </c>
      <c r="S27" s="511">
        <f>R27/(S13-S15)</f>
        <v>12810933.333333336</v>
      </c>
      <c r="T27" s="511">
        <f>R27/S15</f>
        <v>12810933.333333336</v>
      </c>
      <c r="U27" s="254">
        <f>SQRT(R27/P27)</f>
        <v>338.20605159182668</v>
      </c>
      <c r="V27" s="640">
        <f>R58+T58</f>
        <v>14288000</v>
      </c>
      <c r="W27" s="350"/>
      <c r="X27"/>
      <c r="Y27" s="615"/>
      <c r="Z27" s="615"/>
      <c r="AA27" s="615"/>
      <c r="AB27" s="615"/>
      <c r="AC27" s="615"/>
      <c r="AD27" s="615"/>
      <c r="AE27" s="615"/>
      <c r="AF27" s="615"/>
      <c r="AG27" s="615"/>
      <c r="AH27" s="615"/>
      <c r="AI27" s="615"/>
      <c r="AJ27" s="615"/>
      <c r="AK27" s="615"/>
      <c r="AL27" s="615"/>
      <c r="AM27" s="615"/>
      <c r="AN27" s="615"/>
      <c r="AO27" s="615"/>
      <c r="AP27" s="615"/>
      <c r="AQ27" s="615"/>
      <c r="AR27" s="615"/>
      <c r="AS27" s="615"/>
      <c r="AT27" s="615"/>
      <c r="AU27" s="615"/>
      <c r="AV27" s="273"/>
      <c r="AW27" s="273"/>
      <c r="AX27" s="273"/>
      <c r="AY27" s="273"/>
      <c r="AZ27" s="273"/>
      <c r="BA27" s="273"/>
      <c r="BB27" s="273"/>
      <c r="BC27" s="273"/>
      <c r="BD27" s="273"/>
      <c r="BE27" s="120"/>
      <c r="BF27" s="120"/>
      <c r="BG27" s="120"/>
      <c r="BH27" s="120"/>
      <c r="BI27" s="120"/>
      <c r="BJ27" s="120"/>
      <c r="BK27" s="120"/>
      <c r="BL27" s="120"/>
      <c r="BM27" s="120"/>
      <c r="BN27" s="120"/>
      <c r="BO27" s="120"/>
      <c r="BP27" s="120"/>
      <c r="BQ27" s="120"/>
      <c r="BR27" s="120"/>
      <c r="BS27" s="120"/>
      <c r="BT27" s="120"/>
      <c r="BU27" s="120"/>
      <c r="BV27" s="120"/>
      <c r="BW27" s="120"/>
      <c r="BX27" s="120"/>
      <c r="BY27" s="120"/>
      <c r="BZ27" s="120"/>
      <c r="CA27" s="120"/>
      <c r="CB27" s="120"/>
      <c r="CC27" s="120"/>
      <c r="CD27" s="120"/>
      <c r="CE27" s="120"/>
      <c r="CF27" s="120"/>
      <c r="CG27" s="120"/>
      <c r="CH27" s="120"/>
      <c r="CI27" s="120"/>
      <c r="CJ27" s="120"/>
      <c r="CK27" s="120"/>
      <c r="CL27" s="120"/>
      <c r="CM27" s="120"/>
      <c r="CN27" s="120"/>
      <c r="CO27" s="120"/>
      <c r="CP27" s="120"/>
      <c r="CQ27" s="120"/>
      <c r="CR27" s="120"/>
      <c r="CS27" s="120"/>
      <c r="CT27" s="120"/>
    </row>
    <row r="28" spans="1:98" ht="15.75">
      <c r="A28" s="275"/>
      <c r="B28"/>
      <c r="C28"/>
      <c r="D28"/>
      <c r="E28" s="504" t="s">
        <v>2508</v>
      </c>
      <c r="F28">
        <f>$F$16*10/$C$7+$G$16/$E$11*1000</f>
        <v>150.63630544743032</v>
      </c>
      <c r="G28" s="517" t="s">
        <v>2532</v>
      </c>
      <c r="H28" s="505" t="s">
        <v>2534</v>
      </c>
      <c r="I28" s="515">
        <f>H5</f>
        <v>0.92441627773717538</v>
      </c>
      <c r="J28"/>
      <c r="K28"/>
      <c r="L28" s="273"/>
      <c r="M28" s="273"/>
      <c r="N28" s="273"/>
      <c r="O28" s="273"/>
      <c r="P28"/>
      <c r="Q28"/>
      <c r="R28"/>
      <c r="S28"/>
      <c r="T28"/>
      <c r="U28"/>
      <c r="V28"/>
      <c r="W28" s="350"/>
      <c r="X28"/>
      <c r="Y28" s="615"/>
      <c r="Z28" s="615"/>
      <c r="AA28" s="615"/>
      <c r="AB28" s="615"/>
      <c r="AC28" s="615"/>
      <c r="AD28" s="615"/>
      <c r="AE28" s="615"/>
      <c r="AF28" s="615"/>
      <c r="AG28" s="615"/>
      <c r="AH28" s="615"/>
      <c r="AI28" s="615"/>
      <c r="AJ28" s="615"/>
      <c r="AK28" s="615"/>
      <c r="AL28" s="615"/>
      <c r="AM28" s="615"/>
      <c r="AN28" s="615"/>
      <c r="AO28" s="615"/>
      <c r="AP28" s="615"/>
      <c r="AQ28" s="615"/>
      <c r="AR28" s="615"/>
      <c r="AS28" s="615"/>
      <c r="AT28" s="615"/>
      <c r="AU28" s="615"/>
      <c r="AV28" s="273"/>
      <c r="AW28" s="273"/>
      <c r="AX28" s="273"/>
      <c r="AY28" s="273"/>
      <c r="AZ28" s="273"/>
      <c r="BA28" s="273"/>
      <c r="BB28" s="273"/>
      <c r="BC28" s="273"/>
      <c r="BD28" s="273"/>
      <c r="BE28" s="120"/>
      <c r="BF28" s="120"/>
      <c r="BG28" s="120"/>
      <c r="BH28" s="120"/>
      <c r="BI28" s="120"/>
      <c r="BJ28" s="120"/>
      <c r="BK28" s="120"/>
      <c r="BL28" s="120"/>
      <c r="BM28" s="120"/>
      <c r="BN28" s="120"/>
      <c r="BO28" s="120"/>
      <c r="BP28" s="120"/>
      <c r="BQ28" s="120"/>
      <c r="BR28" s="120"/>
      <c r="BS28" s="120"/>
      <c r="BT28" s="120"/>
      <c r="BU28" s="120"/>
      <c r="BV28" s="120"/>
      <c r="BW28" s="120"/>
      <c r="BX28" s="120"/>
      <c r="BY28" s="120"/>
      <c r="BZ28" s="120"/>
      <c r="CA28" s="120"/>
      <c r="CB28" s="120"/>
      <c r="CC28" s="120"/>
      <c r="CD28" s="120"/>
      <c r="CE28" s="120"/>
      <c r="CF28" s="120"/>
      <c r="CG28" s="120"/>
      <c r="CH28" s="120"/>
      <c r="CI28" s="120"/>
      <c r="CJ28" s="120"/>
      <c r="CK28" s="120"/>
      <c r="CL28" s="120"/>
      <c r="CM28" s="120"/>
      <c r="CN28" s="120"/>
      <c r="CO28" s="120"/>
      <c r="CP28" s="120"/>
      <c r="CQ28" s="120"/>
      <c r="CR28" s="120"/>
      <c r="CS28" s="120"/>
      <c r="CT28" s="120"/>
    </row>
    <row r="29" spans="1:98" ht="21.75" thickBot="1">
      <c r="A29" s="120"/>
      <c r="B29"/>
      <c r="C29"/>
      <c r="D29"/>
      <c r="E29" s="504" t="s">
        <v>2509</v>
      </c>
      <c r="F29">
        <f>$F$16*10/$C$7-$G$16/$E$11*1000</f>
        <v>72.577980266855405</v>
      </c>
      <c r="G29" s="517" t="s">
        <v>2533</v>
      </c>
      <c r="H29" s="8"/>
      <c r="I29"/>
      <c r="J29"/>
      <c r="K29"/>
      <c r="L29" s="273"/>
      <c r="M29" s="273"/>
      <c r="N29" s="273"/>
      <c r="O29" s="273"/>
      <c r="P29"/>
      <c r="Q29"/>
      <c r="R29" s="674" t="s">
        <v>2595</v>
      </c>
      <c r="S29" s="674" t="s">
        <v>2596</v>
      </c>
      <c r="T29" s="675" t="s">
        <v>2597</v>
      </c>
      <c r="U29" s="674" t="s">
        <v>1129</v>
      </c>
      <c r="V29" s="674" t="s">
        <v>2598</v>
      </c>
      <c r="W29" s="674" t="s">
        <v>2599</v>
      </c>
      <c r="X29"/>
      <c r="Y29" s="615"/>
      <c r="Z29" s="615"/>
      <c r="AA29" s="615"/>
      <c r="AB29" s="615"/>
      <c r="AC29" s="615"/>
      <c r="AD29" s="615"/>
      <c r="AE29" s="615"/>
      <c r="AF29" s="615"/>
      <c r="AG29" s="615"/>
      <c r="AH29" s="615"/>
      <c r="AI29" s="615"/>
      <c r="AJ29" s="615"/>
      <c r="AK29" s="615"/>
      <c r="AL29" s="615"/>
      <c r="AM29" s="615"/>
      <c r="AN29" s="615"/>
      <c r="AO29" s="615"/>
      <c r="AP29" s="615"/>
      <c r="AQ29" s="615"/>
      <c r="AR29" s="615"/>
      <c r="AS29" s="615"/>
      <c r="AT29" s="615"/>
      <c r="AU29" s="615"/>
      <c r="AV29" s="273"/>
      <c r="AW29" s="273"/>
      <c r="AX29" s="273"/>
      <c r="AY29" s="273"/>
      <c r="AZ29" s="273"/>
      <c r="BA29" s="273"/>
      <c r="BB29" s="273"/>
      <c r="BC29" s="273"/>
      <c r="BD29" s="273"/>
      <c r="BE29" s="120"/>
      <c r="BF29" s="120"/>
      <c r="BG29" s="120"/>
      <c r="BH29" s="120"/>
      <c r="BI29" s="120"/>
      <c r="BJ29" s="120"/>
      <c r="BK29" s="120"/>
      <c r="BL29" s="120"/>
      <c r="BM29" s="120"/>
      <c r="BN29" s="120"/>
      <c r="BO29" s="120"/>
      <c r="BP29" s="120"/>
      <c r="BQ29" s="120"/>
      <c r="BR29" s="120"/>
      <c r="BS29" s="120"/>
      <c r="BT29" s="120"/>
      <c r="BU29" s="120"/>
      <c r="BV29" s="120"/>
      <c r="BW29" s="120"/>
      <c r="BX29" s="120"/>
      <c r="BY29" s="120"/>
      <c r="BZ29" s="120"/>
      <c r="CA29" s="120"/>
      <c r="CB29" s="120"/>
      <c r="CC29" s="120"/>
      <c r="CD29" s="120"/>
      <c r="CE29" s="120"/>
      <c r="CF29" s="120"/>
      <c r="CG29" s="120"/>
      <c r="CH29" s="120"/>
      <c r="CI29" s="120"/>
      <c r="CJ29" s="120"/>
      <c r="CK29" s="120"/>
      <c r="CL29" s="120"/>
      <c r="CM29" s="120"/>
      <c r="CN29" s="120"/>
      <c r="CO29" s="120"/>
      <c r="CP29" s="120"/>
      <c r="CQ29" s="120"/>
      <c r="CR29" s="120"/>
      <c r="CS29" s="120"/>
      <c r="CT29" s="120"/>
    </row>
    <row r="30" spans="1:98" ht="19.5" thickTop="1">
      <c r="A30" s="611"/>
      <c r="B30"/>
      <c r="C30"/>
      <c r="D30"/>
      <c r="E30" s="504" t="s">
        <v>2531</v>
      </c>
      <c r="F30">
        <f>F29/F28</f>
        <v>0.48180934902299477</v>
      </c>
      <c r="G30"/>
      <c r="H30" s="8"/>
      <c r="I30"/>
      <c r="J30"/>
      <c r="K30"/>
      <c r="L30" s="273"/>
      <c r="M30" s="273"/>
      <c r="N30" s="273"/>
      <c r="O30" s="273"/>
      <c r="P30"/>
      <c r="Q30"/>
      <c r="R30" s="680" t="s">
        <v>2594</v>
      </c>
      <c r="S30" s="680" t="s">
        <v>2593</v>
      </c>
      <c r="T30" s="678" t="s">
        <v>77</v>
      </c>
      <c r="U30" s="680" t="s">
        <v>2594</v>
      </c>
      <c r="V30" s="680" t="s">
        <v>2600</v>
      </c>
      <c r="W30" s="680" t="s">
        <v>2593</v>
      </c>
      <c r="X30"/>
      <c r="Y30" s="273"/>
      <c r="Z30" s="273"/>
      <c r="AA30" s="273"/>
      <c r="AB30" s="273"/>
      <c r="AC30" s="273"/>
      <c r="AD30" s="273"/>
      <c r="AE30" s="615"/>
      <c r="AF30" s="615"/>
      <c r="AG30" s="615"/>
      <c r="AH30" s="615"/>
      <c r="AI30" s="615"/>
      <c r="AJ30" s="615"/>
      <c r="AK30" s="615"/>
      <c r="AL30" s="615"/>
      <c r="AM30" s="615"/>
      <c r="AN30" s="615"/>
      <c r="AO30" s="615"/>
      <c r="AP30" s="615"/>
      <c r="AQ30" s="615"/>
      <c r="AR30" s="615"/>
      <c r="AS30" s="615"/>
      <c r="AT30" s="615"/>
      <c r="AU30" s="615"/>
      <c r="AV30" s="273"/>
      <c r="AW30" s="273"/>
      <c r="AX30" s="273"/>
      <c r="AY30" s="273"/>
      <c r="AZ30" s="273"/>
      <c r="BA30" s="273"/>
      <c r="BB30" s="273"/>
      <c r="BC30" s="273"/>
      <c r="BD30" s="273"/>
      <c r="BE30" s="120"/>
      <c r="BF30" s="120"/>
      <c r="BG30" s="120"/>
      <c r="BH30" s="120"/>
      <c r="BI30" s="120"/>
      <c r="BJ30" s="120"/>
      <c r="BK30" s="120"/>
      <c r="BL30" s="120"/>
      <c r="BM30" s="120"/>
      <c r="BN30" s="120"/>
      <c r="BO30" s="120"/>
      <c r="BP30" s="120"/>
      <c r="BQ30" s="120"/>
      <c r="BR30" s="120"/>
      <c r="BS30" s="120"/>
      <c r="BT30" s="120"/>
      <c r="BU30" s="120"/>
      <c r="BV30" s="120"/>
      <c r="BW30" s="120"/>
      <c r="BX30" s="120"/>
      <c r="BY30" s="120"/>
      <c r="BZ30" s="120"/>
      <c r="CA30" s="120"/>
      <c r="CB30" s="120"/>
      <c r="CC30" s="120"/>
      <c r="CD30" s="120"/>
      <c r="CE30" s="120"/>
      <c r="CF30" s="120"/>
      <c r="CG30" s="120"/>
      <c r="CH30" s="120"/>
      <c r="CI30" s="120"/>
      <c r="CJ30" s="120"/>
      <c r="CK30" s="120"/>
      <c r="CL30" s="120"/>
      <c r="CM30" s="120"/>
      <c r="CN30" s="120"/>
      <c r="CO30" s="120"/>
      <c r="CP30" s="120"/>
      <c r="CQ30" s="120"/>
      <c r="CR30" s="120"/>
      <c r="CS30" s="120"/>
      <c r="CT30" s="120"/>
    </row>
    <row r="31" spans="1:98">
      <c r="A31" s="120"/>
      <c r="B31"/>
      <c r="C31"/>
      <c r="D31"/>
      <c r="E31"/>
      <c r="F31"/>
      <c r="G31"/>
      <c r="H31" s="8"/>
      <c r="I31"/>
      <c r="J31"/>
      <c r="K31"/>
      <c r="L31" s="273"/>
      <c r="M31" s="273"/>
      <c r="N31" s="273"/>
      <c r="O31" s="273"/>
      <c r="P31"/>
      <c r="Q31"/>
      <c r="R31" s="511">
        <f>(Q14*POWER(Q13,3)+Q16*POWER(Q15,3)+Q17*POWER(Q18,3))/12</f>
        <v>625493333.33333337</v>
      </c>
      <c r="S31" s="511">
        <f>R31/Q15*2</f>
        <v>2501973.3333333335</v>
      </c>
      <c r="T31" s="254">
        <f>SQRT((R31/P27))</f>
        <v>118.16050423853464</v>
      </c>
      <c r="U31" s="511">
        <f>(Q13*POWER(Q14,3)+Q15*POWER(Q16,3)+Q17*POWER(Q18,3))/3</f>
        <v>10973333.333333334</v>
      </c>
      <c r="V31" s="681">
        <f>POWER(S14,2)*R27*Q14*POWER(Q13,3)*Q16*POWER(Q15,3)/POWER((Q14*POWER(Q13,3)+Q16*POWER(Q15,3)),2)</f>
        <v>759560237333333.38</v>
      </c>
      <c r="W31" s="682">
        <f>(Q13/2)^2*Q14+(Q15/2)^2*Q16+Q17*(Q18/2)^2</f>
        <v>3824000</v>
      </c>
      <c r="X31"/>
      <c r="Y31" s="273"/>
      <c r="Z31" s="273"/>
      <c r="AA31" s="273"/>
      <c r="AB31" s="273"/>
      <c r="AC31" s="273"/>
      <c r="AD31" s="273"/>
      <c r="AE31" s="273"/>
      <c r="AF31" s="273"/>
      <c r="AG31" s="273"/>
      <c r="AH31" s="273"/>
      <c r="AI31" s="273"/>
      <c r="AJ31" s="273"/>
      <c r="AK31" s="273"/>
      <c r="AL31" s="273"/>
      <c r="AM31" s="273"/>
      <c r="AN31" s="273"/>
      <c r="AO31" s="273"/>
      <c r="AP31" s="273"/>
      <c r="AQ31" s="273"/>
      <c r="AR31" s="273"/>
      <c r="AS31" s="273"/>
      <c r="AT31" s="273"/>
      <c r="AU31" s="273"/>
      <c r="AV31" s="273"/>
      <c r="AW31" s="273"/>
      <c r="AX31" s="273"/>
      <c r="AY31" s="273"/>
      <c r="AZ31" s="273"/>
      <c r="BA31" s="273"/>
      <c r="BB31" s="273"/>
      <c r="BC31" s="273"/>
      <c r="BD31" s="273"/>
      <c r="BE31" s="120"/>
      <c r="BF31" s="120"/>
      <c r="BG31" s="120"/>
      <c r="BH31" s="120"/>
      <c r="BI31" s="120"/>
      <c r="BJ31" s="120"/>
      <c r="BK31" s="120"/>
      <c r="BL31" s="120"/>
      <c r="BM31" s="120"/>
      <c r="BN31" s="120"/>
      <c r="BO31" s="120"/>
      <c r="BP31" s="120"/>
      <c r="BQ31" s="120"/>
      <c r="BR31" s="120"/>
      <c r="BS31" s="120"/>
      <c r="BT31" s="120"/>
      <c r="BU31" s="120"/>
      <c r="BV31" s="120"/>
      <c r="BW31" s="120"/>
      <c r="BX31" s="120"/>
      <c r="BY31" s="120"/>
      <c r="BZ31" s="120"/>
      <c r="CA31" s="120"/>
      <c r="CB31" s="120"/>
      <c r="CC31" s="120"/>
      <c r="CD31" s="120"/>
      <c r="CE31" s="120"/>
      <c r="CF31" s="120"/>
      <c r="CG31" s="120"/>
      <c r="CH31" s="120"/>
      <c r="CI31" s="120"/>
      <c r="CJ31" s="120"/>
      <c r="CK31" s="120"/>
      <c r="CL31" s="120"/>
      <c r="CM31" s="120"/>
      <c r="CN31" s="120"/>
      <c r="CO31" s="120"/>
      <c r="CP31" s="120"/>
      <c r="CQ31" s="120"/>
      <c r="CR31" s="120"/>
      <c r="CS31" s="120"/>
      <c r="CT31" s="120"/>
    </row>
    <row r="32" spans="1:98">
      <c r="A32" s="120"/>
      <c r="B32" s="586" t="s">
        <v>2510</v>
      </c>
      <c r="C32" s="587"/>
      <c r="D32" s="589" t="s">
        <v>2540</v>
      </c>
      <c r="E32" s="587"/>
      <c r="F32" s="588" t="s">
        <v>2516</v>
      </c>
      <c r="G32" s="587"/>
      <c r="H32" s="588" t="s">
        <v>2517</v>
      </c>
      <c r="I32" s="587"/>
      <c r="J32" s="588" t="s">
        <v>2518</v>
      </c>
      <c r="K32" s="587"/>
      <c r="L32" s="273"/>
      <c r="M32" s="273"/>
      <c r="N32" s="274"/>
      <c r="O32" s="273"/>
      <c r="P32" s="639"/>
      <c r="Q32" s="640"/>
      <c r="R32" s="640"/>
      <c r="S32" s="640"/>
      <c r="T32" s="640"/>
      <c r="U32" s="640"/>
      <c r="V32" s="640"/>
      <c r="W32" s="350"/>
      <c r="X32"/>
      <c r="Y32" s="273"/>
      <c r="Z32" s="273"/>
      <c r="AA32" s="273"/>
      <c r="AB32" s="273"/>
      <c r="AC32" s="273"/>
      <c r="AD32" s="273"/>
      <c r="AE32" s="273"/>
      <c r="AF32" s="273"/>
      <c r="AG32" s="273"/>
      <c r="AH32" s="273"/>
      <c r="AI32" s="273"/>
      <c r="AJ32" s="273"/>
      <c r="AK32" s="273"/>
      <c r="AL32" s="273"/>
      <c r="AM32" s="273"/>
      <c r="AN32" s="273"/>
      <c r="AO32" s="273"/>
      <c r="AP32" s="273"/>
      <c r="AQ32" s="273"/>
      <c r="AR32" s="273"/>
      <c r="AS32" s="273"/>
      <c r="AT32" s="273"/>
      <c r="AU32" s="273"/>
      <c r="AV32" s="273"/>
      <c r="AW32" s="273"/>
      <c r="AX32" s="273"/>
      <c r="AY32" s="273"/>
      <c r="AZ32" s="273"/>
      <c r="BA32" s="273"/>
      <c r="BB32" s="273"/>
      <c r="BC32" s="273"/>
      <c r="BD32" s="273"/>
      <c r="BE32" s="120"/>
      <c r="BF32" s="120"/>
      <c r="BG32" s="120"/>
      <c r="BH32" s="120"/>
      <c r="BI32" s="120"/>
      <c r="BJ32" s="120"/>
      <c r="BK32" s="120"/>
      <c r="BL32" s="120"/>
      <c r="BM32" s="120"/>
      <c r="BN32" s="120"/>
      <c r="BO32" s="120"/>
      <c r="BP32" s="120"/>
      <c r="BQ32" s="120"/>
      <c r="BR32" s="120"/>
      <c r="BS32" s="120"/>
      <c r="BT32" s="120"/>
      <c r="BU32" s="120"/>
      <c r="BV32" s="120"/>
      <c r="BW32" s="120"/>
      <c r="BX32" s="120"/>
      <c r="BY32" s="120"/>
      <c r="BZ32" s="120"/>
      <c r="CA32" s="120"/>
      <c r="CB32" s="120"/>
      <c r="CC32" s="120"/>
      <c r="CD32" s="120"/>
      <c r="CE32" s="120"/>
      <c r="CF32" s="120"/>
      <c r="CG32" s="120"/>
      <c r="CH32" s="120"/>
      <c r="CI32" s="120"/>
      <c r="CJ32" s="120"/>
      <c r="CK32" s="120"/>
      <c r="CL32" s="120"/>
      <c r="CM32" s="120"/>
      <c r="CN32" s="120"/>
      <c r="CO32" s="120"/>
      <c r="CP32" s="120"/>
      <c r="CQ32" s="120"/>
      <c r="CR32" s="120"/>
      <c r="CS32" s="120"/>
      <c r="CT32" s="120"/>
    </row>
    <row r="33" spans="1:98" ht="15.75">
      <c r="A33" s="120"/>
      <c r="B33" s="504" t="s">
        <v>2511</v>
      </c>
      <c r="C33" s="504"/>
      <c r="D33" s="529" t="s">
        <v>2513</v>
      </c>
      <c r="E33"/>
      <c r="F33" s="504" t="s">
        <v>2519</v>
      </c>
      <c r="G33"/>
      <c r="H33" s="504" t="s">
        <v>2520</v>
      </c>
      <c r="I33"/>
      <c r="J33" s="504" t="s">
        <v>2521</v>
      </c>
      <c r="K33"/>
      <c r="L33" s="273"/>
      <c r="M33" s="273"/>
      <c r="N33" s="621"/>
      <c r="O33" s="621"/>
      <c r="P33" s="683" t="s">
        <v>2601</v>
      </c>
      <c r="Q33" s="684"/>
      <c r="R33" s="684"/>
      <c r="S33" s="684"/>
      <c r="T33" s="684"/>
      <c r="U33" s="684"/>
      <c r="V33" s="684"/>
      <c r="W33" s="685"/>
      <c r="X33"/>
      <c r="Y33" s="273"/>
      <c r="Z33" s="273"/>
      <c r="AA33" s="273"/>
      <c r="AB33" s="273"/>
      <c r="AC33" s="273"/>
      <c r="AD33" s="273"/>
      <c r="AE33" s="273"/>
      <c r="AF33" s="273"/>
      <c r="AG33" s="273"/>
      <c r="AH33" s="273"/>
      <c r="AI33" s="273"/>
      <c r="AJ33" s="273"/>
      <c r="AK33" s="273"/>
      <c r="AL33" s="273"/>
      <c r="AM33" s="273"/>
      <c r="AN33" s="273"/>
      <c r="AO33" s="273"/>
      <c r="AP33" s="273"/>
      <c r="AQ33" s="273"/>
      <c r="AR33" s="273"/>
      <c r="AS33" s="273"/>
      <c r="AT33" s="273"/>
      <c r="AU33" s="273"/>
      <c r="AV33" s="273"/>
      <c r="AW33" s="273"/>
      <c r="AX33" s="273"/>
      <c r="AY33" s="273"/>
      <c r="AZ33" s="273"/>
      <c r="BA33" s="273"/>
      <c r="BB33" s="273"/>
      <c r="BC33" s="273"/>
      <c r="BD33" s="273"/>
      <c r="BE33" s="120"/>
      <c r="BF33" s="120"/>
      <c r="BG33" s="120"/>
      <c r="BH33" s="120"/>
      <c r="BI33" s="120"/>
      <c r="BJ33" s="120"/>
      <c r="BK33" s="120"/>
      <c r="BL33" s="120"/>
      <c r="BM33" s="120"/>
      <c r="BN33" s="120"/>
      <c r="BO33" s="120"/>
      <c r="BP33" s="120"/>
      <c r="BQ33" s="120"/>
      <c r="BR33" s="120"/>
      <c r="BS33" s="120"/>
      <c r="BT33" s="120"/>
      <c r="BU33" s="120"/>
      <c r="BV33" s="120"/>
      <c r="BW33" s="120"/>
      <c r="BX33" s="120"/>
      <c r="BY33" s="120"/>
      <c r="BZ33" s="120"/>
      <c r="CA33" s="120"/>
      <c r="CB33" s="120"/>
      <c r="CC33" s="120"/>
      <c r="CD33" s="120"/>
      <c r="CE33" s="120"/>
      <c r="CF33" s="120"/>
      <c r="CG33" s="120"/>
      <c r="CH33" s="120"/>
      <c r="CI33" s="120"/>
      <c r="CJ33" s="120"/>
      <c r="CK33" s="120"/>
      <c r="CL33" s="120"/>
      <c r="CM33" s="120"/>
      <c r="CN33" s="120"/>
      <c r="CO33" s="120"/>
      <c r="CP33" s="120"/>
      <c r="CQ33" s="120"/>
      <c r="CR33" s="120"/>
      <c r="CS33" s="120"/>
      <c r="CT33" s="120"/>
    </row>
    <row r="34" spans="1:98" ht="21">
      <c r="A34" s="120"/>
      <c r="B34" s="504" t="s">
        <v>2512</v>
      </c>
      <c r="C34" s="504"/>
      <c r="D34" s="530" t="s">
        <v>965</v>
      </c>
      <c r="E34"/>
      <c r="F34" s="504" t="s">
        <v>2522</v>
      </c>
      <c r="G34"/>
      <c r="H34" s="505" t="s">
        <v>2523</v>
      </c>
      <c r="I34"/>
      <c r="J34" s="504" t="s">
        <v>2524</v>
      </c>
      <c r="K34"/>
      <c r="L34" s="273"/>
      <c r="M34" s="273"/>
      <c r="N34" s="621"/>
      <c r="O34" s="621"/>
      <c r="P34" s="639"/>
      <c r="Q34" s="686" t="s">
        <v>2602</v>
      </c>
      <c r="R34" s="687">
        <f>ABS(Q7*1000)/P27+ABS(R7*1000000/S27)+ABS(S7*1000000/S31)</f>
        <v>150.63630544743032</v>
      </c>
      <c r="S34" s="688" t="s">
        <v>2603</v>
      </c>
      <c r="T34" s="689">
        <f>ABS(T7*1000)*Q27/(R27*Q18)</f>
        <v>1.0455912657938009</v>
      </c>
      <c r="U34" s="640" t="s">
        <v>78</v>
      </c>
      <c r="V34" s="640"/>
      <c r="W34" s="350"/>
      <c r="X34" s="504" t="s">
        <v>2604</v>
      </c>
      <c r="Y34" s="273"/>
      <c r="Z34" s="273"/>
      <c r="AA34" s="273"/>
      <c r="AB34" s="273"/>
      <c r="AC34" s="273"/>
      <c r="AD34" s="273"/>
      <c r="AE34" s="273"/>
      <c r="AF34" s="273"/>
      <c r="AG34" s="273"/>
      <c r="AH34" s="273"/>
      <c r="AI34" s="273"/>
      <c r="AJ34" s="273"/>
      <c r="AK34" s="273"/>
      <c r="AL34" s="273"/>
      <c r="AM34" s="273"/>
      <c r="AN34" s="273"/>
      <c r="AO34" s="273"/>
      <c r="AP34" s="273"/>
      <c r="AQ34" s="273"/>
      <c r="AR34" s="273"/>
      <c r="AS34" s="273"/>
      <c r="AT34" s="273"/>
      <c r="AU34" s="273"/>
      <c r="AV34" s="273"/>
      <c r="AW34" s="273"/>
      <c r="AX34" s="273"/>
      <c r="AY34" s="273"/>
      <c r="AZ34" s="273"/>
      <c r="BA34" s="273"/>
      <c r="BB34" s="273"/>
      <c r="BC34" s="273"/>
      <c r="BD34" s="273"/>
      <c r="BE34" s="120"/>
      <c r="BF34" s="120"/>
      <c r="BG34" s="120"/>
      <c r="BH34" s="120"/>
      <c r="BI34" s="120"/>
      <c r="BJ34" s="120"/>
      <c r="BK34" s="120"/>
      <c r="BL34" s="120"/>
      <c r="BM34" s="120"/>
      <c r="BN34" s="120"/>
      <c r="BO34" s="120"/>
      <c r="BP34" s="120"/>
      <c r="BQ34" s="120"/>
      <c r="BR34" s="120"/>
      <c r="BS34" s="120"/>
      <c r="BT34" s="120"/>
      <c r="BU34" s="120"/>
      <c r="BV34" s="120"/>
      <c r="BW34" s="120"/>
      <c r="BX34" s="120"/>
      <c r="BY34" s="120"/>
      <c r="BZ34" s="120"/>
      <c r="CA34" s="120"/>
      <c r="CB34" s="120"/>
      <c r="CC34" s="120"/>
      <c r="CD34" s="120"/>
      <c r="CE34" s="120"/>
      <c r="CF34" s="120"/>
      <c r="CG34" s="120"/>
      <c r="CH34" s="120"/>
      <c r="CI34" s="120"/>
      <c r="CJ34" s="120"/>
      <c r="CK34" s="120"/>
      <c r="CL34" s="120"/>
      <c r="CM34" s="120"/>
      <c r="CN34" s="120"/>
      <c r="CO34" s="120"/>
      <c r="CP34" s="120"/>
      <c r="CQ34" s="120"/>
      <c r="CR34" s="120"/>
      <c r="CS34" s="120"/>
      <c r="CT34" s="120"/>
    </row>
    <row r="35" spans="1:98" ht="19.5">
      <c r="A35" s="273"/>
      <c r="B35"/>
      <c r="C35"/>
      <c r="D35" s="530" t="s">
        <v>2514</v>
      </c>
      <c r="E35"/>
      <c r="F35" s="520" t="s">
        <v>2525</v>
      </c>
      <c r="G35"/>
      <c r="H35" s="520" t="s">
        <v>2526</v>
      </c>
      <c r="I35"/>
      <c r="J35" s="520" t="s">
        <v>2527</v>
      </c>
      <c r="K35" s="532" t="s">
        <v>1113</v>
      </c>
      <c r="L35" s="274"/>
      <c r="M35" s="273"/>
      <c r="N35" s="621"/>
      <c r="O35" s="621"/>
      <c r="P35" s="639"/>
      <c r="Q35" s="690"/>
      <c r="R35" s="691"/>
      <c r="S35" s="692"/>
      <c r="T35" s="660"/>
      <c r="U35" s="640"/>
      <c r="V35" s="640"/>
      <c r="W35" s="350"/>
      <c r="X35"/>
      <c r="Y35" s="273"/>
      <c r="Z35" s="273"/>
      <c r="AA35" s="273"/>
      <c r="AB35" s="273"/>
      <c r="AC35" s="273"/>
      <c r="AD35" s="273"/>
      <c r="AE35" s="273"/>
      <c r="AF35" s="273"/>
      <c r="AG35" s="273"/>
      <c r="AH35" s="273"/>
      <c r="AI35" s="273"/>
      <c r="AJ35" s="273"/>
      <c r="AK35" s="273"/>
      <c r="AL35" s="273"/>
      <c r="AM35" s="273"/>
      <c r="AN35" s="273"/>
      <c r="AO35" s="273"/>
      <c r="AP35" s="273"/>
      <c r="AQ35" s="273"/>
      <c r="AR35" s="273"/>
      <c r="AS35" s="273"/>
      <c r="AT35" s="273"/>
      <c r="AU35" s="273"/>
      <c r="AV35" s="273"/>
      <c r="AW35" s="273"/>
      <c r="AX35" s="273"/>
      <c r="AY35" s="273"/>
      <c r="AZ35" s="273"/>
      <c r="BA35" s="273"/>
      <c r="BB35" s="273"/>
      <c r="BC35" s="273"/>
      <c r="BD35" s="273"/>
      <c r="BE35" s="120"/>
      <c r="BF35" s="120"/>
      <c r="BG35" s="120"/>
      <c r="BH35" s="120"/>
      <c r="BI35" s="120"/>
      <c r="BJ35" s="120"/>
      <c r="BK35" s="120"/>
      <c r="BL35" s="120"/>
      <c r="BM35" s="120"/>
      <c r="BN35" s="120"/>
      <c r="BO35" s="120"/>
      <c r="BP35" s="120"/>
      <c r="BQ35" s="120"/>
      <c r="BR35" s="120"/>
      <c r="BS35" s="120"/>
      <c r="BT35" s="120"/>
      <c r="BU35" s="120"/>
      <c r="BV35" s="120"/>
      <c r="BW35" s="120"/>
      <c r="BX35" s="120"/>
      <c r="BY35" s="120"/>
      <c r="BZ35" s="120"/>
      <c r="CA35" s="120"/>
      <c r="CB35" s="120"/>
      <c r="CC35" s="120"/>
      <c r="CD35" s="120"/>
      <c r="CE35" s="120"/>
      <c r="CF35" s="120"/>
      <c r="CG35" s="120"/>
      <c r="CH35" s="120"/>
      <c r="CI35" s="120"/>
      <c r="CJ35" s="120"/>
      <c r="CK35" s="120"/>
      <c r="CL35" s="120"/>
      <c r="CM35" s="120"/>
      <c r="CN35" s="120"/>
      <c r="CO35" s="120"/>
      <c r="CP35" s="120"/>
      <c r="CQ35" s="120"/>
      <c r="CR35" s="120"/>
      <c r="CS35" s="120"/>
      <c r="CT35" s="120"/>
    </row>
    <row r="36" spans="1:98" ht="19.5">
      <c r="A36" s="613"/>
      <c r="B36"/>
      <c r="C36"/>
      <c r="D36" s="531" t="s">
        <v>2515</v>
      </c>
      <c r="E36"/>
      <c r="F36" s="520" t="s">
        <v>2528</v>
      </c>
      <c r="G36"/>
      <c r="H36" s="520" t="s">
        <v>2529</v>
      </c>
      <c r="I36"/>
      <c r="J36" s="520" t="s">
        <v>2530</v>
      </c>
      <c r="K36"/>
      <c r="L36" s="322"/>
      <c r="M36" s="273"/>
      <c r="N36" s="621"/>
      <c r="O36" s="621"/>
      <c r="P36" s="639"/>
      <c r="Q36" s="690"/>
      <c r="R36" s="691"/>
      <c r="S36" s="692"/>
      <c r="T36" s="660"/>
      <c r="U36" s="640"/>
      <c r="V36" s="640"/>
      <c r="W36" s="350"/>
      <c r="X36"/>
      <c r="Y36" s="273"/>
      <c r="Z36" s="273"/>
      <c r="AA36" s="273"/>
      <c r="AB36" s="273"/>
      <c r="AC36" s="273"/>
      <c r="AD36" s="273"/>
      <c r="AE36" s="273"/>
      <c r="AF36" s="273"/>
      <c r="AG36" s="273"/>
      <c r="AH36" s="273"/>
      <c r="AI36" s="273"/>
      <c r="AJ36" s="273"/>
      <c r="AK36" s="273"/>
      <c r="AL36" s="273"/>
      <c r="AM36" s="273"/>
      <c r="AN36" s="273"/>
      <c r="AO36" s="273"/>
      <c r="AP36" s="273"/>
      <c r="AQ36" s="273"/>
      <c r="AR36" s="273"/>
      <c r="AS36" s="273"/>
      <c r="AT36" s="273"/>
      <c r="AU36" s="273"/>
      <c r="AV36" s="273"/>
      <c r="AW36" s="273"/>
      <c r="AX36" s="273"/>
      <c r="AY36" s="273"/>
      <c r="AZ36" s="273"/>
      <c r="BA36" s="273"/>
      <c r="BB36" s="273"/>
      <c r="BC36" s="273"/>
      <c r="BD36" s="273"/>
      <c r="BE36" s="120"/>
      <c r="BF36" s="120"/>
      <c r="BG36" s="120"/>
      <c r="BH36" s="120"/>
      <c r="BI36" s="120"/>
      <c r="BJ36" s="120"/>
      <c r="BK36" s="120"/>
      <c r="BL36" s="120"/>
      <c r="BM36" s="120"/>
      <c r="BN36" s="120"/>
      <c r="BO36" s="120"/>
      <c r="BP36" s="120"/>
      <c r="BQ36" s="120"/>
      <c r="BR36" s="120"/>
      <c r="BS36" s="120"/>
      <c r="BT36" s="120"/>
      <c r="BU36" s="120"/>
      <c r="BV36" s="120"/>
      <c r="BW36" s="120"/>
      <c r="BX36" s="120"/>
      <c r="BY36" s="120"/>
      <c r="BZ36" s="120"/>
      <c r="CA36" s="120"/>
      <c r="CB36" s="120"/>
      <c r="CC36" s="120"/>
      <c r="CD36" s="120"/>
      <c r="CE36" s="120"/>
      <c r="CF36" s="120"/>
      <c r="CG36" s="120"/>
      <c r="CH36" s="120"/>
      <c r="CI36" s="120"/>
      <c r="CJ36" s="120"/>
      <c r="CK36" s="120"/>
      <c r="CL36" s="120"/>
      <c r="CM36" s="120"/>
      <c r="CN36" s="120"/>
      <c r="CO36" s="120"/>
      <c r="CP36" s="120"/>
      <c r="CQ36" s="120"/>
      <c r="CR36" s="120"/>
      <c r="CS36" s="120"/>
      <c r="CT36" s="120"/>
    </row>
    <row r="37" spans="1:98" ht="19.5">
      <c r="A37" s="420"/>
      <c r="B37"/>
      <c r="C37"/>
      <c r="D37" s="526" t="s">
        <v>2513</v>
      </c>
      <c r="E37" s="522">
        <f>$F$20</f>
        <v>37</v>
      </c>
      <c r="F37" s="3">
        <f>33*H5</f>
        <v>30.505737165326789</v>
      </c>
      <c r="G37" s="8">
        <f>IF(E37&lt;=F37,1,0)</f>
        <v>0</v>
      </c>
      <c r="H37" s="3">
        <f>38*H5</f>
        <v>35.127818554012663</v>
      </c>
      <c r="I37" s="8">
        <f>IF(G37=1,1,IF(E37&lt;=H37,2,0))</f>
        <v>0</v>
      </c>
      <c r="J37" s="519">
        <f>42*H5</f>
        <v>38.825483664961368</v>
      </c>
      <c r="K37" s="534">
        <f>IF(G37=1,1,IF(I37=2,2,IF(E37&lt;=J37,3,4)))</f>
        <v>3</v>
      </c>
      <c r="L37" s="274"/>
      <c r="M37" s="273"/>
      <c r="N37" s="621"/>
      <c r="O37" s="621"/>
      <c r="P37" s="639"/>
      <c r="Q37" s="690"/>
      <c r="R37" s="691"/>
      <c r="S37" s="692"/>
      <c r="T37" s="660"/>
      <c r="U37" s="640"/>
      <c r="V37" s="640"/>
      <c r="W37" s="350"/>
      <c r="X37"/>
      <c r="Y37" s="273"/>
      <c r="Z37" s="273"/>
      <c r="AA37" s="273"/>
      <c r="AB37" s="273"/>
      <c r="AC37" s="273"/>
      <c r="AD37" s="273"/>
      <c r="AE37" s="273"/>
      <c r="AF37" s="273"/>
      <c r="AG37" s="273"/>
      <c r="AH37" s="273"/>
      <c r="AI37" s="273"/>
      <c r="AJ37" s="273"/>
      <c r="AK37" s="273"/>
      <c r="AL37" s="273"/>
      <c r="AM37" s="273"/>
      <c r="AN37" s="273"/>
      <c r="AO37" s="273"/>
      <c r="AP37" s="273"/>
      <c r="AQ37" s="273"/>
      <c r="AR37" s="273"/>
      <c r="AS37" s="273"/>
      <c r="AT37" s="273"/>
      <c r="AU37" s="273"/>
      <c r="AV37" s="273"/>
      <c r="AW37" s="273"/>
      <c r="AX37" s="273"/>
      <c r="AY37" s="273"/>
      <c r="AZ37" s="273"/>
      <c r="BA37" s="273"/>
      <c r="BB37" s="273"/>
      <c r="BC37" s="273"/>
      <c r="BD37" s="273"/>
      <c r="BE37" s="120"/>
      <c r="BF37" s="120"/>
      <c r="BG37" s="120"/>
      <c r="BH37" s="120"/>
      <c r="BI37" s="120"/>
      <c r="BJ37" s="120"/>
      <c r="BK37" s="120"/>
      <c r="BL37" s="120"/>
      <c r="BM37" s="120"/>
      <c r="BN37" s="120"/>
      <c r="BO37" s="120"/>
      <c r="BP37" s="120"/>
      <c r="BQ37" s="120"/>
      <c r="BR37" s="120"/>
      <c r="BS37" s="120"/>
      <c r="BT37" s="120"/>
      <c r="BU37" s="120"/>
      <c r="BV37" s="120"/>
      <c r="BW37" s="120"/>
      <c r="BX37" s="120"/>
      <c r="BY37" s="120"/>
      <c r="BZ37" s="120"/>
      <c r="CA37" s="120"/>
      <c r="CB37" s="120"/>
      <c r="CC37" s="120"/>
      <c r="CD37" s="120"/>
      <c r="CE37" s="120"/>
      <c r="CF37" s="120"/>
      <c r="CG37" s="120"/>
      <c r="CH37" s="120"/>
      <c r="CI37" s="120"/>
      <c r="CJ37" s="120"/>
      <c r="CK37" s="120"/>
      <c r="CL37" s="120"/>
      <c r="CM37" s="120"/>
      <c r="CN37" s="120"/>
      <c r="CO37" s="120"/>
      <c r="CP37" s="120"/>
      <c r="CQ37" s="120"/>
      <c r="CR37" s="120"/>
      <c r="CS37" s="120"/>
      <c r="CT37" s="120"/>
    </row>
    <row r="38" spans="1:98">
      <c r="A38" s="308"/>
      <c r="B38"/>
      <c r="C38"/>
      <c r="D38" s="527" t="s">
        <v>965</v>
      </c>
      <c r="E38" s="522">
        <f>$F$20</f>
        <v>37</v>
      </c>
      <c r="F38" s="3">
        <f>72*I28</f>
        <v>66.557971997076635</v>
      </c>
      <c r="G38" s="8">
        <f>IF(E38&lt;=F38,1,0)</f>
        <v>1</v>
      </c>
      <c r="H38" s="3">
        <f>83*I28</f>
        <v>76.726551052185556</v>
      </c>
      <c r="I38" s="8">
        <f>IF(G38=1,1,IF(E38&lt;=H38,2,0))</f>
        <v>1</v>
      </c>
      <c r="J38" s="3">
        <f>124*I28</f>
        <v>114.62761843940974</v>
      </c>
      <c r="K38" s="535">
        <f>IF(G38=1,1,IF(I38=2,2,IF(E38&lt;=J38,3,4)))</f>
        <v>1</v>
      </c>
      <c r="L38" s="274"/>
      <c r="M38" s="273"/>
      <c r="N38" s="621"/>
      <c r="O38" s="621"/>
      <c r="P38" s="639"/>
      <c r="Q38" s="7"/>
      <c r="R38" s="640"/>
      <c r="S38" s="640"/>
      <c r="T38" s="640"/>
      <c r="U38" s="640"/>
      <c r="V38" s="640"/>
      <c r="W38" s="350"/>
      <c r="X38"/>
      <c r="Y38" s="273"/>
      <c r="Z38" s="273"/>
      <c r="AA38" s="273"/>
      <c r="AB38" s="273"/>
      <c r="AC38" s="273"/>
      <c r="AD38" s="273"/>
      <c r="AE38" s="273"/>
      <c r="AF38" s="273"/>
      <c r="AG38" s="273"/>
      <c r="AH38" s="273"/>
      <c r="AI38" s="273"/>
      <c r="AJ38" s="273"/>
      <c r="AK38" s="273"/>
      <c r="AL38" s="273"/>
      <c r="AM38" s="273"/>
      <c r="AN38" s="273"/>
      <c r="AO38" s="273"/>
      <c r="AP38" s="273"/>
      <c r="AQ38" s="273"/>
      <c r="AR38" s="273"/>
      <c r="AS38" s="273"/>
      <c r="AT38" s="273"/>
      <c r="AU38" s="273"/>
      <c r="AV38" s="273"/>
      <c r="AW38" s="273"/>
      <c r="AX38" s="273"/>
      <c r="AY38" s="273"/>
      <c r="AZ38" s="273"/>
      <c r="BA38" s="273"/>
      <c r="BB38" s="273"/>
      <c r="BC38" s="273"/>
      <c r="BD38" s="273"/>
      <c r="BE38" s="120"/>
      <c r="BF38" s="120"/>
      <c r="BG38" s="120"/>
      <c r="BH38" s="120"/>
      <c r="BI38" s="120"/>
      <c r="BJ38" s="120"/>
      <c r="BK38" s="120"/>
      <c r="BL38" s="120"/>
      <c r="BM38" s="120"/>
      <c r="BN38" s="120"/>
      <c r="BO38" s="120"/>
      <c r="BP38" s="120"/>
      <c r="BQ38" s="120"/>
      <c r="BR38" s="120"/>
      <c r="BS38" s="120"/>
      <c r="BT38" s="120"/>
      <c r="BU38" s="120"/>
      <c r="BV38" s="120"/>
      <c r="BW38" s="120"/>
      <c r="BX38" s="120"/>
      <c r="BY38" s="120"/>
      <c r="BZ38" s="120"/>
      <c r="CA38" s="120"/>
      <c r="CB38" s="120"/>
      <c r="CC38" s="120"/>
      <c r="CD38" s="120"/>
      <c r="CE38" s="120"/>
      <c r="CF38" s="120"/>
      <c r="CG38" s="120"/>
      <c r="CH38" s="120"/>
      <c r="CI38" s="120"/>
      <c r="CJ38" s="120"/>
      <c r="CK38" s="120"/>
      <c r="CL38" s="120"/>
      <c r="CM38" s="120"/>
      <c r="CN38" s="120"/>
      <c r="CO38" s="120"/>
      <c r="CP38" s="120"/>
      <c r="CQ38" s="120"/>
      <c r="CR38" s="120"/>
      <c r="CS38" s="120"/>
      <c r="CT38" s="120"/>
    </row>
    <row r="39" spans="1:98" ht="15">
      <c r="A39" s="308"/>
      <c r="B39"/>
      <c r="C39"/>
      <c r="D39" s="527" t="s">
        <v>2514</v>
      </c>
      <c r="E39" s="522">
        <f>$F$20</f>
        <v>37</v>
      </c>
      <c r="F39" s="3">
        <f>396*I28/(13*F24-1)</f>
        <v>26.365248684384362</v>
      </c>
      <c r="G39" s="8">
        <f>IF(E39&lt;=F39,1,0)</f>
        <v>0</v>
      </c>
      <c r="H39" s="3">
        <f>456*I28/(13*F24-1)</f>
        <v>30.359983333533506</v>
      </c>
      <c r="I39" s="8">
        <f>IF(G39=1,1,IF(E39&lt;=H39,2,0))</f>
        <v>0</v>
      </c>
      <c r="J39" s="3">
        <f>42*I28/(0.67+0.33*F30)</f>
        <v>46.834282483205776</v>
      </c>
      <c r="K39" s="535">
        <f>IF(G39=1,1,IF(I39=2,2,IF(E39&lt;=J39,3,4)))</f>
        <v>3</v>
      </c>
      <c r="L39" s="273"/>
      <c r="M39" s="273"/>
      <c r="N39" s="621"/>
      <c r="O39" s="621"/>
      <c r="P39" s="683" t="s">
        <v>2605</v>
      </c>
      <c r="Q39" s="684"/>
      <c r="R39" s="684"/>
      <c r="S39" s="684"/>
      <c r="T39" s="684"/>
      <c r="U39" s="684"/>
      <c r="V39" s="684"/>
      <c r="W39" s="685"/>
      <c r="X39"/>
      <c r="Y39" s="273"/>
      <c r="Z39" s="273"/>
      <c r="AA39" s="273"/>
      <c r="AB39" s="273"/>
      <c r="AC39" s="273"/>
      <c r="AD39" s="273"/>
      <c r="AE39" s="273"/>
      <c r="AF39" s="273"/>
      <c r="AG39" s="273"/>
      <c r="AH39" s="273"/>
      <c r="AI39" s="273"/>
      <c r="AJ39" s="273"/>
      <c r="AK39" s="273"/>
      <c r="AL39" s="273"/>
      <c r="AM39" s="273"/>
      <c r="AN39" s="273"/>
      <c r="AO39" s="273"/>
      <c r="AP39" s="273"/>
      <c r="AQ39" s="273"/>
      <c r="AR39" s="273"/>
      <c r="AS39" s="273"/>
      <c r="AT39" s="273"/>
      <c r="AU39" s="273"/>
      <c r="AV39" s="273"/>
      <c r="AW39" s="273"/>
      <c r="AX39" s="273"/>
      <c r="AY39" s="273"/>
      <c r="AZ39" s="273"/>
      <c r="BA39" s="273"/>
      <c r="BB39" s="273"/>
      <c r="BC39" s="273"/>
      <c r="BD39" s="273"/>
      <c r="BE39" s="120"/>
      <c r="BF39" s="120"/>
      <c r="BG39" s="120"/>
      <c r="BH39" s="120"/>
      <c r="BI39" s="120"/>
      <c r="BJ39" s="120"/>
      <c r="BK39" s="120"/>
      <c r="BL39" s="120"/>
      <c r="BM39" s="120"/>
      <c r="BN39" s="120"/>
      <c r="BO39" s="120"/>
      <c r="BP39" s="120"/>
      <c r="BQ39" s="120"/>
      <c r="BR39" s="120"/>
      <c r="BS39" s="120"/>
      <c r="BT39" s="120"/>
      <c r="BU39" s="120"/>
      <c r="BV39" s="120"/>
      <c r="BW39" s="120"/>
      <c r="BX39" s="120"/>
      <c r="BY39" s="120"/>
      <c r="BZ39" s="120"/>
      <c r="CA39" s="120"/>
      <c r="CB39" s="120"/>
      <c r="CC39" s="120"/>
      <c r="CD39" s="120"/>
      <c r="CE39" s="120"/>
      <c r="CF39" s="120"/>
      <c r="CG39" s="120"/>
      <c r="CH39" s="120"/>
      <c r="CI39" s="120"/>
      <c r="CJ39" s="120"/>
      <c r="CK39" s="120"/>
      <c r="CL39" s="120"/>
      <c r="CM39" s="120"/>
      <c r="CN39" s="120"/>
      <c r="CO39" s="120"/>
      <c r="CP39" s="120"/>
      <c r="CQ39" s="120"/>
      <c r="CR39" s="120"/>
      <c r="CS39" s="120"/>
      <c r="CT39" s="120"/>
    </row>
    <row r="40" spans="1:98">
      <c r="A40" s="308"/>
      <c r="B40"/>
      <c r="C40"/>
      <c r="D40" s="528" t="s">
        <v>2515</v>
      </c>
      <c r="E40" s="522">
        <f>$F$20</f>
        <v>37</v>
      </c>
      <c r="F40" s="3">
        <f>36*I28/F24</f>
        <v>29.065552148937972</v>
      </c>
      <c r="G40" s="8">
        <f>IF(E40&lt;=F40,1,0)</f>
        <v>0</v>
      </c>
      <c r="H40" s="3">
        <f>41.5*I28/F24</f>
        <v>33.506122616136821</v>
      </c>
      <c r="I40" s="8">
        <f>IF(G40=1,1,IF(E40&lt;=H40,2,0))</f>
        <v>0</v>
      </c>
      <c r="J40" s="3" t="e">
        <f>62*I28*(1-F30)*SQRT(-F30)</f>
        <v>#NUM!</v>
      </c>
      <c r="K40" s="536" t="e">
        <f>IF(G40=1,1,IF(I40=2,2,IF(E40&lt;=J40,3,4)))</f>
        <v>#NUM!</v>
      </c>
      <c r="L40" s="273"/>
      <c r="M40" s="273"/>
      <c r="N40" s="621"/>
      <c r="O40" s="621"/>
      <c r="P40" s="349"/>
      <c r="Q40" s="640" t="s">
        <v>2606</v>
      </c>
      <c r="R40" s="640"/>
      <c r="S40" s="640"/>
      <c r="T40" s="640"/>
      <c r="U40" s="640"/>
      <c r="V40" s="7"/>
      <c r="W40" s="350"/>
      <c r="X40"/>
      <c r="Y40" s="273"/>
      <c r="Z40" s="273"/>
      <c r="AA40" s="273"/>
      <c r="AB40" s="273"/>
      <c r="AC40" s="273"/>
      <c r="AD40" s="273"/>
      <c r="AE40" s="273"/>
      <c r="AF40" s="273"/>
      <c r="AG40" s="273"/>
      <c r="AH40" s="273"/>
      <c r="AI40" s="273"/>
      <c r="AJ40" s="273"/>
      <c r="AK40" s="273"/>
      <c r="AL40" s="273"/>
      <c r="AM40" s="273"/>
      <c r="AN40" s="273"/>
      <c r="AO40" s="273"/>
      <c r="AP40" s="273"/>
      <c r="AQ40" s="273"/>
      <c r="AR40" s="273"/>
      <c r="AS40" s="273"/>
      <c r="AT40" s="273"/>
      <c r="AU40" s="273"/>
      <c r="AV40" s="273"/>
      <c r="AW40" s="273"/>
      <c r="AX40" s="273"/>
      <c r="AY40" s="273"/>
      <c r="AZ40" s="273"/>
      <c r="BA40" s="273"/>
      <c r="BB40" s="273"/>
      <c r="BC40" s="273"/>
      <c r="BD40" s="273"/>
      <c r="BE40" s="120"/>
      <c r="BF40" s="120"/>
      <c r="BG40" s="120"/>
      <c r="BH40" s="120"/>
      <c r="BI40" s="120"/>
      <c r="BJ40" s="120"/>
      <c r="BK40" s="120"/>
      <c r="BL40" s="120"/>
      <c r="BM40" s="120"/>
      <c r="BN40" s="120"/>
      <c r="BO40" s="120"/>
      <c r="BP40" s="120"/>
      <c r="BQ40" s="120"/>
      <c r="BR40" s="120"/>
      <c r="BS40" s="120"/>
      <c r="BT40" s="120"/>
      <c r="BU40" s="120"/>
      <c r="BV40" s="120"/>
      <c r="BW40" s="120"/>
      <c r="BX40" s="120"/>
      <c r="BY40" s="120"/>
      <c r="BZ40" s="120"/>
      <c r="CA40" s="120"/>
      <c r="CB40" s="120"/>
      <c r="CC40" s="120"/>
      <c r="CD40" s="120"/>
      <c r="CE40" s="120"/>
      <c r="CF40" s="120"/>
      <c r="CG40" s="120"/>
      <c r="CH40" s="120"/>
      <c r="CI40" s="120"/>
      <c r="CJ40" s="120"/>
      <c r="CK40" s="120"/>
      <c r="CL40" s="120"/>
      <c r="CM40" s="120"/>
      <c r="CN40" s="120"/>
      <c r="CO40" s="120"/>
      <c r="CP40" s="120"/>
      <c r="CQ40" s="120"/>
      <c r="CR40" s="120"/>
      <c r="CS40" s="120"/>
      <c r="CT40" s="120"/>
    </row>
    <row r="41" spans="1:98" ht="21.75" thickBot="1">
      <c r="A41" s="308"/>
      <c r="B41"/>
      <c r="C41"/>
      <c r="D41"/>
      <c r="E41"/>
      <c r="F41"/>
      <c r="G41"/>
      <c r="H41" s="8"/>
      <c r="I41"/>
      <c r="J41"/>
      <c r="K41"/>
      <c r="L41" s="273"/>
      <c r="M41" s="273"/>
      <c r="N41" s="621"/>
      <c r="O41" s="621"/>
      <c r="P41" s="693" t="s">
        <v>2607</v>
      </c>
      <c r="Q41" s="694" t="s">
        <v>2608</v>
      </c>
      <c r="R41" s="694" t="s">
        <v>2609</v>
      </c>
      <c r="S41" s="695" t="s">
        <v>2610</v>
      </c>
      <c r="T41" s="696" t="s">
        <v>2611</v>
      </c>
      <c r="U41" s="697" t="s">
        <v>2612</v>
      </c>
      <c r="V41" s="696" t="s">
        <v>2613</v>
      </c>
      <c r="W41" s="698" t="s">
        <v>2614</v>
      </c>
      <c r="X41"/>
      <c r="Y41" s="273"/>
      <c r="Z41" s="273"/>
      <c r="AA41" s="273"/>
      <c r="AB41" s="273"/>
      <c r="AC41" s="273"/>
      <c r="AD41" s="273"/>
      <c r="AE41" s="273"/>
      <c r="AF41" s="273"/>
      <c r="AG41" s="273"/>
      <c r="AH41" s="273"/>
      <c r="AI41" s="273"/>
      <c r="AJ41" s="273"/>
      <c r="AK41" s="273"/>
      <c r="AL41" s="273"/>
      <c r="AM41" s="273"/>
      <c r="AN41" s="273"/>
      <c r="AO41" s="273"/>
      <c r="AP41" s="273"/>
      <c r="AQ41" s="273"/>
      <c r="AR41" s="273"/>
      <c r="AS41" s="273"/>
      <c r="AT41" s="273"/>
      <c r="AU41" s="273"/>
      <c r="AV41" s="273"/>
      <c r="AW41" s="273"/>
      <c r="AX41" s="273"/>
      <c r="AY41" s="273"/>
      <c r="AZ41" s="273"/>
      <c r="BA41" s="273"/>
      <c r="BB41" s="273"/>
      <c r="BC41" s="273"/>
      <c r="BD41" s="273"/>
      <c r="BE41" s="120"/>
      <c r="BF41" s="120"/>
      <c r="BG41" s="120"/>
      <c r="BH41" s="120"/>
      <c r="BI41" s="120"/>
      <c r="BJ41" s="120"/>
      <c r="BK41" s="120"/>
      <c r="BL41" s="120"/>
      <c r="BM41" s="120"/>
      <c r="BN41" s="120"/>
      <c r="BO41" s="120"/>
      <c r="BP41" s="120"/>
      <c r="BQ41" s="120"/>
      <c r="BR41" s="120"/>
      <c r="BS41" s="120"/>
      <c r="BT41" s="120"/>
      <c r="BU41" s="120"/>
      <c r="BV41" s="120"/>
      <c r="BW41" s="120"/>
      <c r="BX41" s="120"/>
      <c r="BY41" s="120"/>
      <c r="BZ41" s="120"/>
      <c r="CA41" s="120"/>
      <c r="CB41" s="120"/>
      <c r="CC41" s="120"/>
      <c r="CD41" s="120"/>
      <c r="CE41" s="120"/>
      <c r="CF41" s="120"/>
      <c r="CG41" s="120"/>
      <c r="CH41" s="120"/>
      <c r="CI41" s="120"/>
      <c r="CJ41" s="120"/>
      <c r="CK41" s="120"/>
      <c r="CL41" s="120"/>
      <c r="CM41" s="120"/>
      <c r="CN41" s="120"/>
      <c r="CO41" s="120"/>
      <c r="CP41" s="120"/>
      <c r="CQ41" s="120"/>
      <c r="CR41" s="120"/>
      <c r="CS41" s="120"/>
      <c r="CT41" s="120"/>
    </row>
    <row r="42" spans="1:98" ht="15.75" thickTop="1" thickBot="1">
      <c r="A42" s="308"/>
      <c r="B42"/>
      <c r="C42" s="508" t="s">
        <v>2541</v>
      </c>
      <c r="D42" s="591" t="str">
        <f>IF(F24&lt;0.5,D36,I17)</f>
        <v>Flex-compr</v>
      </c>
      <c r="E42"/>
      <c r="F42" s="592">
        <f>VLOOKUP(D42,D37:K40,8)</f>
        <v>3</v>
      </c>
      <c r="G42"/>
      <c r="H42" s="8"/>
      <c r="I42" s="504" t="s">
        <v>2550</v>
      </c>
      <c r="J42" t="str">
        <f>I17</f>
        <v>Flex-compr</v>
      </c>
      <c r="K42" s="590">
        <f>VLOOKUP(J42,D37:K40,8)</f>
        <v>3</v>
      </c>
      <c r="L42" s="273"/>
      <c r="M42" s="273"/>
      <c r="N42" s="621"/>
      <c r="O42" s="621"/>
      <c r="P42" s="699" t="s">
        <v>2615</v>
      </c>
      <c r="Q42" s="660">
        <v>0</v>
      </c>
      <c r="R42" s="660">
        <f>S15</f>
        <v>400</v>
      </c>
      <c r="S42" s="700">
        <f>Q27-0.5*POWER(S15,2)*Q18</f>
        <v>5544000</v>
      </c>
      <c r="T42" s="691" t="e">
        <f t="shared" ref="T42:T47" si="0">$B$7*1000/$A$27+$C$7*1000000/$C$27*R42+$D$7*1000000/$C$31*Q42</f>
        <v>#VALUE!</v>
      </c>
      <c r="U42" s="475" t="e">
        <f>ABS($E$7*1000)*S42/($C$27*$B$18)</f>
        <v>#DIV/0!</v>
      </c>
      <c r="V42" s="691" t="e">
        <f t="shared" ref="V42:V47" si="1">SQRT(T42*T42+3*U42*U42)</f>
        <v>#VALUE!</v>
      </c>
      <c r="W42" s="701" t="e">
        <f>IF(V42&gt;$D$5,"No cumple",      $F$4)</f>
        <v>#VALUE!</v>
      </c>
      <c r="X42" s="504" t="s">
        <v>2616</v>
      </c>
      <c r="Y42" s="273"/>
      <c r="Z42" s="273"/>
      <c r="AA42" s="273"/>
      <c r="AB42" s="273"/>
      <c r="AC42" s="273"/>
      <c r="AD42" s="273"/>
      <c r="AE42" s="273"/>
      <c r="AF42" s="273"/>
      <c r="AG42" s="273"/>
      <c r="AH42" s="273"/>
      <c r="AI42" s="273"/>
      <c r="AJ42" s="273"/>
      <c r="AK42" s="273"/>
      <c r="AL42" s="273"/>
      <c r="AM42" s="273"/>
      <c r="AN42" s="273"/>
      <c r="AO42" s="273"/>
      <c r="AP42" s="273"/>
      <c r="AQ42" s="273"/>
      <c r="AR42" s="273"/>
      <c r="AS42" s="273"/>
      <c r="AT42" s="273"/>
      <c r="AU42" s="273"/>
      <c r="AV42" s="273"/>
      <c r="AW42" s="273"/>
      <c r="AX42" s="273"/>
      <c r="AY42" s="273"/>
      <c r="AZ42" s="273"/>
      <c r="BA42" s="273"/>
      <c r="BB42" s="273"/>
      <c r="BC42" s="273"/>
      <c r="BD42" s="273"/>
      <c r="BE42" s="120"/>
      <c r="BF42" s="120"/>
      <c r="BG42" s="120"/>
      <c r="BH42" s="120"/>
      <c r="BI42" s="120"/>
      <c r="BJ42" s="120"/>
      <c r="BK42" s="120"/>
      <c r="BL42" s="120"/>
      <c r="BM42" s="120"/>
      <c r="BN42" s="120"/>
      <c r="BO42" s="120"/>
      <c r="BP42" s="120"/>
      <c r="BQ42" s="120"/>
      <c r="BR42" s="120"/>
      <c r="BS42" s="120"/>
      <c r="BT42" s="120"/>
      <c r="BU42" s="120"/>
      <c r="BV42" s="120"/>
      <c r="BW42" s="120"/>
      <c r="BX42" s="120"/>
      <c r="BY42" s="120"/>
      <c r="BZ42" s="120"/>
      <c r="CA42" s="120"/>
      <c r="CB42" s="120"/>
      <c r="CC42" s="120"/>
      <c r="CD42" s="120"/>
      <c r="CE42" s="120"/>
      <c r="CF42" s="120"/>
      <c r="CG42" s="120"/>
      <c r="CH42" s="120"/>
      <c r="CI42" s="120"/>
      <c r="CJ42" s="120"/>
      <c r="CK42" s="120"/>
      <c r="CL42" s="120"/>
      <c r="CM42" s="120"/>
      <c r="CN42" s="120"/>
      <c r="CO42" s="120"/>
      <c r="CP42" s="120"/>
      <c r="CQ42" s="120"/>
      <c r="CR42" s="120"/>
      <c r="CS42" s="120"/>
      <c r="CT42" s="120"/>
    </row>
    <row r="43" spans="1:98" ht="13.5" thickTop="1">
      <c r="A43" s="308"/>
      <c r="B43"/>
      <c r="C43"/>
      <c r="D43"/>
      <c r="E43"/>
      <c r="F43"/>
      <c r="G43"/>
      <c r="H43" s="8"/>
      <c r="I43"/>
      <c r="J43"/>
      <c r="K43"/>
      <c r="L43" s="273"/>
      <c r="M43" s="273"/>
      <c r="N43" s="621"/>
      <c r="O43" s="621"/>
      <c r="P43" s="699" t="s">
        <v>2617</v>
      </c>
      <c r="Q43" s="660">
        <v>0</v>
      </c>
      <c r="R43" s="660">
        <f>Q17/2</f>
        <v>370</v>
      </c>
      <c r="S43" s="700">
        <f>Q16*Q15*(R43+Q16/2)</f>
        <v>5775000</v>
      </c>
      <c r="T43" s="691" t="e">
        <f t="shared" si="0"/>
        <v>#VALUE!</v>
      </c>
      <c r="U43" s="475" t="e">
        <f>ABS($E$7*1000)*S43/($C$27*$B$18)</f>
        <v>#DIV/0!</v>
      </c>
      <c r="V43" s="691" t="e">
        <f t="shared" si="1"/>
        <v>#VALUE!</v>
      </c>
      <c r="W43" s="701" t="e">
        <f>IF(V43&gt;$D$5,"No cumple",      $F$4)</f>
        <v>#VALUE!</v>
      </c>
      <c r="X43" s="504" t="s">
        <v>2604</v>
      </c>
      <c r="Y43" s="273"/>
      <c r="Z43" s="273"/>
      <c r="AA43" s="273"/>
      <c r="AB43" s="273"/>
      <c r="AC43" s="273"/>
      <c r="AD43" s="273"/>
      <c r="AE43" s="273"/>
      <c r="AF43" s="273"/>
      <c r="AG43" s="273"/>
      <c r="AH43" s="273"/>
      <c r="AI43" s="273"/>
      <c r="AJ43" s="273"/>
      <c r="AK43" s="273"/>
      <c r="AL43" s="273"/>
      <c r="AM43" s="273"/>
      <c r="AN43" s="273"/>
      <c r="AO43" s="273"/>
      <c r="AP43" s="273"/>
      <c r="AQ43" s="273"/>
      <c r="AR43" s="273"/>
      <c r="AS43" s="273"/>
      <c r="AT43" s="273"/>
      <c r="AU43" s="273"/>
      <c r="AV43" s="273"/>
      <c r="AW43" s="273"/>
      <c r="AX43" s="273"/>
      <c r="AY43" s="273"/>
      <c r="AZ43" s="273"/>
      <c r="BA43" s="273"/>
      <c r="BB43" s="273"/>
      <c r="BC43" s="273"/>
      <c r="BD43" s="273"/>
      <c r="BE43" s="120"/>
      <c r="BF43" s="120"/>
      <c r="BG43" s="120"/>
      <c r="BH43" s="120"/>
      <c r="BI43" s="120"/>
      <c r="BJ43" s="120"/>
      <c r="BK43" s="120"/>
      <c r="BL43" s="120"/>
      <c r="BM43" s="120"/>
      <c r="BN43" s="120"/>
      <c r="BO43" s="120"/>
      <c r="BP43" s="120"/>
      <c r="BQ43" s="120"/>
      <c r="BR43" s="120"/>
      <c r="BS43" s="120"/>
      <c r="BT43" s="120"/>
      <c r="BU43" s="120"/>
      <c r="BV43" s="120"/>
      <c r="BW43" s="120"/>
      <c r="BX43" s="120"/>
      <c r="BY43" s="120"/>
      <c r="BZ43" s="120"/>
      <c r="CA43" s="120"/>
      <c r="CB43" s="120"/>
      <c r="CC43" s="120"/>
      <c r="CD43" s="120"/>
      <c r="CE43" s="120"/>
      <c r="CF43" s="120"/>
      <c r="CG43" s="120"/>
      <c r="CH43" s="120"/>
      <c r="CI43" s="120"/>
      <c r="CJ43" s="120"/>
      <c r="CK43" s="120"/>
      <c r="CL43" s="120"/>
      <c r="CM43" s="120"/>
      <c r="CN43" s="120"/>
      <c r="CO43" s="120"/>
      <c r="CP43" s="120"/>
      <c r="CQ43" s="120"/>
      <c r="CR43" s="120"/>
      <c r="CS43" s="120"/>
      <c r="CT43" s="120"/>
    </row>
    <row r="44" spans="1:98">
      <c r="A44" s="308"/>
      <c r="B44"/>
      <c r="C44"/>
      <c r="D44"/>
      <c r="E44"/>
      <c r="F44"/>
      <c r="G44"/>
      <c r="H44" s="8"/>
      <c r="I44"/>
      <c r="J44"/>
      <c r="K44"/>
      <c r="L44" s="273"/>
      <c r="M44" s="273"/>
      <c r="N44" s="621"/>
      <c r="O44" s="621"/>
      <c r="P44" s="699" t="s">
        <v>2618</v>
      </c>
      <c r="Q44" s="660">
        <f>Q15/2</f>
        <v>250</v>
      </c>
      <c r="R44" s="660">
        <f>S15</f>
        <v>400</v>
      </c>
      <c r="S44" s="700">
        <v>0</v>
      </c>
      <c r="T44" s="691" t="e">
        <f t="shared" si="0"/>
        <v>#VALUE!</v>
      </c>
      <c r="U44" s="475" t="e">
        <f>ABS($E$7*1000)*S44/($C$27*$B$18)</f>
        <v>#DIV/0!</v>
      </c>
      <c r="V44" s="691" t="e">
        <f t="shared" si="1"/>
        <v>#VALUE!</v>
      </c>
      <c r="W44" s="701" t="e">
        <f>IF(V44&gt;$D$5,"No cumple",      $F$4)</f>
        <v>#VALUE!</v>
      </c>
      <c r="X44" s="504" t="s">
        <v>2619</v>
      </c>
      <c r="Y44" s="273"/>
      <c r="Z44" s="273"/>
      <c r="AA44" s="273"/>
      <c r="AB44" s="273"/>
      <c r="AC44" s="273"/>
      <c r="AD44" s="273"/>
      <c r="AE44" s="273"/>
      <c r="AF44" s="273"/>
      <c r="AG44" s="273"/>
      <c r="AH44" s="273"/>
      <c r="AI44" s="273"/>
      <c r="AJ44" s="273"/>
      <c r="AK44" s="273"/>
      <c r="AL44" s="273"/>
      <c r="AM44" s="273"/>
      <c r="AN44" s="273"/>
      <c r="AO44" s="273"/>
      <c r="AP44" s="273"/>
      <c r="AQ44" s="273"/>
      <c r="AR44" s="273"/>
      <c r="AS44" s="273"/>
      <c r="AT44" s="273"/>
      <c r="AU44" s="273"/>
      <c r="AV44" s="273"/>
      <c r="AW44" s="273"/>
      <c r="AX44" s="273"/>
      <c r="AY44" s="273"/>
      <c r="AZ44" s="273"/>
      <c r="BA44" s="273"/>
      <c r="BB44" s="273"/>
      <c r="BC44" s="273"/>
      <c r="BD44" s="273"/>
      <c r="BE44" s="120"/>
      <c r="BF44" s="120"/>
      <c r="BG44" s="120"/>
      <c r="BH44" s="120"/>
      <c r="BI44" s="120"/>
      <c r="BJ44" s="120"/>
      <c r="BK44" s="120"/>
      <c r="BL44" s="120"/>
      <c r="BM44" s="120"/>
      <c r="BN44" s="120"/>
      <c r="BO44" s="120"/>
      <c r="BP44" s="120"/>
      <c r="BQ44" s="120"/>
      <c r="BR44" s="120"/>
      <c r="BS44" s="120"/>
      <c r="BT44" s="120"/>
      <c r="BU44" s="120"/>
      <c r="BV44" s="120"/>
      <c r="BW44" s="120"/>
      <c r="BX44" s="120"/>
      <c r="BY44" s="120"/>
      <c r="BZ44" s="120"/>
      <c r="CA44" s="120"/>
      <c r="CB44" s="120"/>
      <c r="CC44" s="120"/>
      <c r="CD44" s="120"/>
      <c r="CE44" s="120"/>
      <c r="CF44" s="120"/>
      <c r="CG44" s="120"/>
      <c r="CH44" s="120"/>
      <c r="CI44" s="120"/>
      <c r="CJ44" s="120"/>
      <c r="CK44" s="120"/>
      <c r="CL44" s="120"/>
      <c r="CM44" s="120"/>
      <c r="CN44" s="120"/>
      <c r="CO44" s="120"/>
      <c r="CP44" s="120"/>
      <c r="CQ44" s="120"/>
      <c r="CR44" s="120"/>
      <c r="CS44" s="120"/>
      <c r="CT44" s="120"/>
    </row>
    <row r="45" spans="1:98">
      <c r="A45" s="308"/>
      <c r="B45" s="541" t="s">
        <v>2542</v>
      </c>
      <c r="C45" s="542"/>
      <c r="D45" s="542"/>
      <c r="E45" s="574">
        <f>K52</f>
        <v>1</v>
      </c>
      <c r="F45" s="542"/>
      <c r="G45" s="542"/>
      <c r="H45" s="478"/>
      <c r="I45" s="542"/>
      <c r="J45" s="542"/>
      <c r="K45" s="542"/>
      <c r="L45" s="273"/>
      <c r="M45" s="273"/>
      <c r="N45" s="621"/>
      <c r="O45" s="621"/>
      <c r="P45" s="699" t="s">
        <v>2620</v>
      </c>
      <c r="Q45" s="8">
        <f>-Q13/2</f>
        <v>-250</v>
      </c>
      <c r="R45" s="660">
        <f>-(Q17-S15+Q14)</f>
        <v>-370</v>
      </c>
      <c r="S45" s="700">
        <f>Q28</f>
        <v>0</v>
      </c>
      <c r="T45" s="691" t="e">
        <f t="shared" si="0"/>
        <v>#VALUE!</v>
      </c>
      <c r="U45" s="475" t="e">
        <f>ABS($E$7*1000)*S45/($C$27*$B$18)</f>
        <v>#DIV/0!</v>
      </c>
      <c r="V45" s="691" t="e">
        <f t="shared" si="1"/>
        <v>#VALUE!</v>
      </c>
      <c r="W45" s="701" t="e">
        <f>IF(V45&gt;$D$5,"No cumple",      $F$4)</f>
        <v>#VALUE!</v>
      </c>
      <c r="X45"/>
      <c r="Y45" s="273"/>
      <c r="Z45" s="273"/>
      <c r="AA45" s="273"/>
      <c r="AB45" s="273"/>
      <c r="AC45" s="273"/>
      <c r="AD45" s="273"/>
      <c r="AE45" s="273"/>
      <c r="AF45" s="273"/>
      <c r="AG45" s="273"/>
      <c r="AH45" s="273"/>
      <c r="AI45" s="273"/>
      <c r="AJ45" s="273"/>
      <c r="AK45" s="273"/>
      <c r="AL45" s="273"/>
      <c r="AM45" s="273"/>
      <c r="AN45" s="273"/>
      <c r="AO45" s="273"/>
      <c r="AP45" s="273"/>
      <c r="AQ45" s="273"/>
      <c r="AR45" s="273"/>
      <c r="AS45" s="273"/>
      <c r="AT45" s="273"/>
      <c r="AU45" s="273"/>
      <c r="AV45" s="273"/>
      <c r="AW45" s="273"/>
      <c r="AX45" s="273"/>
      <c r="AY45" s="273"/>
      <c r="AZ45" s="273"/>
      <c r="BA45" s="273"/>
      <c r="BB45" s="273"/>
      <c r="BC45" s="273"/>
      <c r="BD45" s="273"/>
      <c r="BE45" s="120"/>
      <c r="BF45" s="120"/>
      <c r="BG45" s="120"/>
      <c r="BH45" s="120"/>
      <c r="BI45" s="120"/>
      <c r="BJ45" s="120"/>
      <c r="BK45" s="120"/>
      <c r="BL45" s="120"/>
      <c r="BM45" s="120"/>
      <c r="BN45" s="120"/>
      <c r="BO45" s="120"/>
      <c r="BP45" s="120"/>
      <c r="BQ45" s="120"/>
      <c r="BR45" s="120"/>
      <c r="BS45" s="120"/>
      <c r="BT45" s="120"/>
      <c r="BU45" s="120"/>
      <c r="BV45" s="120"/>
      <c r="BW45" s="120"/>
      <c r="BX45" s="120"/>
      <c r="BY45" s="120"/>
      <c r="BZ45" s="120"/>
      <c r="CA45" s="120"/>
      <c r="CB45" s="120"/>
      <c r="CC45" s="120"/>
      <c r="CD45" s="120"/>
      <c r="CE45" s="120"/>
      <c r="CF45" s="120"/>
      <c r="CG45" s="120"/>
      <c r="CH45" s="120"/>
      <c r="CI45" s="120"/>
      <c r="CJ45" s="120"/>
      <c r="CK45" s="120"/>
      <c r="CL45" s="120"/>
      <c r="CM45" s="120"/>
      <c r="CN45" s="120"/>
      <c r="CO45" s="120"/>
      <c r="CP45" s="120"/>
      <c r="CQ45" s="120"/>
      <c r="CR45" s="120"/>
      <c r="CS45" s="120"/>
      <c r="CT45" s="120"/>
    </row>
    <row r="46" spans="1:98" ht="15.75">
      <c r="A46" s="308"/>
      <c r="B46"/>
      <c r="C46"/>
      <c r="D46"/>
      <c r="E46"/>
      <c r="F46"/>
      <c r="G46"/>
      <c r="H46" s="8"/>
      <c r="I46"/>
      <c r="J46"/>
      <c r="K46"/>
      <c r="L46" s="273"/>
      <c r="M46" s="273"/>
      <c r="N46" s="621"/>
      <c r="O46" s="621"/>
      <c r="P46" s="702" t="s">
        <v>2621</v>
      </c>
      <c r="Q46" s="645">
        <v>0</v>
      </c>
      <c r="R46" s="645">
        <v>200</v>
      </c>
      <c r="S46" s="703"/>
      <c r="T46" s="691" t="e">
        <f t="shared" si="0"/>
        <v>#VALUE!</v>
      </c>
      <c r="U46" s="704"/>
      <c r="V46" s="691" t="e">
        <f t="shared" si="1"/>
        <v>#VALUE!</v>
      </c>
      <c r="W46" s="701" t="e">
        <f>IF(V46&gt;$D$5,"No cumple",      $F$4)</f>
        <v>#VALUE!</v>
      </c>
      <c r="X46"/>
      <c r="Y46" s="273"/>
      <c r="Z46" s="273"/>
      <c r="AA46" s="273"/>
      <c r="AB46" s="273"/>
      <c r="AC46" s="273"/>
      <c r="AD46" s="273"/>
      <c r="AE46" s="273"/>
      <c r="AF46" s="273"/>
      <c r="AG46" s="273"/>
      <c r="AH46" s="273"/>
      <c r="AI46" s="273"/>
      <c r="AJ46" s="273"/>
      <c r="AK46" s="273"/>
      <c r="AL46" s="273"/>
      <c r="AM46" s="273"/>
      <c r="AN46" s="273"/>
      <c r="AO46" s="273"/>
      <c r="AP46" s="273"/>
      <c r="AQ46" s="273"/>
      <c r="AR46" s="273"/>
      <c r="AS46" s="273"/>
      <c r="AT46" s="273"/>
      <c r="AU46" s="273"/>
      <c r="AV46" s="273"/>
      <c r="AW46" s="273"/>
      <c r="AX46" s="273"/>
      <c r="AY46" s="273"/>
      <c r="AZ46" s="273"/>
      <c r="BA46" s="273"/>
      <c r="BB46" s="273"/>
      <c r="BC46" s="273"/>
      <c r="BD46" s="273"/>
      <c r="BE46" s="120"/>
      <c r="BF46" s="120"/>
      <c r="BG46" s="120"/>
      <c r="BH46" s="120"/>
      <c r="BI46" s="120"/>
      <c r="BJ46" s="120"/>
      <c r="BK46" s="120"/>
      <c r="BL46" s="120"/>
      <c r="BM46" s="120"/>
      <c r="BN46" s="120"/>
      <c r="BO46" s="120"/>
      <c r="BP46" s="120"/>
      <c r="BQ46" s="120"/>
      <c r="BR46" s="120"/>
      <c r="BS46" s="120"/>
      <c r="BT46" s="120"/>
      <c r="BU46" s="120"/>
      <c r="BV46" s="120"/>
      <c r="BW46" s="120"/>
      <c r="BX46" s="120"/>
      <c r="BY46" s="120"/>
      <c r="BZ46" s="120"/>
      <c r="CA46" s="120"/>
      <c r="CB46" s="120"/>
      <c r="CC46" s="120"/>
      <c r="CD46" s="120"/>
      <c r="CE46" s="120"/>
      <c r="CF46" s="120"/>
      <c r="CG46" s="120"/>
      <c r="CH46" s="120"/>
      <c r="CI46" s="120"/>
      <c r="CJ46" s="120"/>
      <c r="CK46" s="120"/>
      <c r="CL46" s="120"/>
      <c r="CM46" s="120"/>
      <c r="CN46" s="120"/>
      <c r="CO46" s="120"/>
      <c r="CP46" s="120"/>
      <c r="CQ46" s="120"/>
      <c r="CR46" s="120"/>
      <c r="CS46" s="120"/>
      <c r="CT46" s="120"/>
    </row>
    <row r="47" spans="1:98" ht="15.75">
      <c r="A47" s="622"/>
      <c r="B47"/>
      <c r="C47"/>
      <c r="D47" s="3">
        <f>(E7-H7)/2-J7</f>
        <v>240</v>
      </c>
      <c r="E47"/>
      <c r="F47"/>
      <c r="G47"/>
      <c r="H47" s="8"/>
      <c r="I47"/>
      <c r="J47"/>
      <c r="K47"/>
      <c r="L47" s="273"/>
      <c r="M47" s="273"/>
      <c r="N47" s="621"/>
      <c r="O47" s="621"/>
      <c r="P47" s="702" t="s">
        <v>2621</v>
      </c>
      <c r="Q47" s="645">
        <v>0</v>
      </c>
      <c r="R47" s="645">
        <v>-200</v>
      </c>
      <c r="S47" s="705"/>
      <c r="T47" s="691" t="e">
        <f t="shared" si="0"/>
        <v>#VALUE!</v>
      </c>
      <c r="U47" s="706"/>
      <c r="V47" s="691" t="e">
        <f t="shared" si="1"/>
        <v>#VALUE!</v>
      </c>
      <c r="W47" s="707" t="e">
        <f>IF(V47&gt;$D$5,"No cumple", "OK")</f>
        <v>#VALUE!</v>
      </c>
      <c r="X47"/>
      <c r="Y47" s="273"/>
      <c r="Z47" s="273"/>
      <c r="AA47" s="273"/>
      <c r="AB47" s="273"/>
      <c r="AC47" s="273"/>
      <c r="AD47" s="273"/>
      <c r="AE47" s="273"/>
      <c r="AF47" s="273"/>
      <c r="AG47" s="273"/>
      <c r="AH47" s="273"/>
      <c r="AI47" s="273"/>
      <c r="AJ47" s="273"/>
      <c r="AK47" s="273"/>
      <c r="AL47" s="273"/>
      <c r="AM47" s="273"/>
      <c r="AN47" s="273"/>
      <c r="AO47" s="273"/>
      <c r="AP47" s="273"/>
      <c r="AQ47" s="273"/>
      <c r="AR47" s="273"/>
      <c r="AS47" s="273"/>
      <c r="AT47" s="273"/>
      <c r="AU47" s="273"/>
      <c r="AV47" s="273"/>
      <c r="AW47" s="273"/>
      <c r="AX47" s="273"/>
      <c r="AY47" s="273"/>
      <c r="AZ47" s="273"/>
      <c r="BA47" s="273"/>
      <c r="BB47" s="273"/>
      <c r="BC47" s="273"/>
      <c r="BD47" s="273"/>
      <c r="BE47" s="120"/>
      <c r="BF47" s="120"/>
      <c r="BG47" s="120"/>
      <c r="BH47" s="120"/>
      <c r="BI47" s="120"/>
      <c r="BJ47" s="120"/>
      <c r="BK47" s="120"/>
      <c r="BL47" s="120"/>
      <c r="BM47" s="120"/>
      <c r="BN47" s="120"/>
      <c r="BO47" s="120"/>
      <c r="BP47" s="120"/>
      <c r="BQ47" s="120"/>
      <c r="BR47" s="120"/>
      <c r="BS47" s="120"/>
      <c r="BT47" s="120"/>
      <c r="BU47" s="120"/>
      <c r="BV47" s="120"/>
      <c r="BW47" s="120"/>
      <c r="BX47" s="120"/>
      <c r="BY47" s="120"/>
      <c r="BZ47" s="120"/>
      <c r="CA47" s="120"/>
      <c r="CB47" s="120"/>
      <c r="CC47" s="120"/>
      <c r="CD47" s="120"/>
      <c r="CE47" s="120"/>
      <c r="CF47" s="120"/>
      <c r="CG47" s="120"/>
      <c r="CH47" s="120"/>
      <c r="CI47" s="120"/>
      <c r="CJ47" s="120"/>
      <c r="CK47" s="120"/>
      <c r="CL47" s="120"/>
      <c r="CM47" s="120"/>
      <c r="CN47" s="120"/>
      <c r="CO47" s="120"/>
      <c r="CP47" s="120"/>
      <c r="CQ47" s="120"/>
      <c r="CR47" s="120"/>
      <c r="CS47" s="120"/>
      <c r="CT47" s="120"/>
    </row>
    <row r="48" spans="1:98">
      <c r="A48" s="308"/>
      <c r="B48"/>
      <c r="C48"/>
      <c r="D48"/>
      <c r="E48"/>
      <c r="F48"/>
      <c r="G48"/>
      <c r="H48" s="8"/>
      <c r="I48"/>
      <c r="J48"/>
      <c r="K48"/>
      <c r="L48" s="273"/>
      <c r="M48" s="273"/>
      <c r="N48" s="621"/>
      <c r="O48" s="621"/>
      <c r="P48" s="639"/>
      <c r="Q48" s="708">
        <f>$C$52*R48+$C$53</f>
        <v>0</v>
      </c>
      <c r="R48" s="709">
        <v>0</v>
      </c>
      <c r="S48" s="640"/>
      <c r="T48" s="640"/>
      <c r="U48" s="640"/>
      <c r="V48" s="640"/>
      <c r="W48" s="350"/>
      <c r="X48"/>
      <c r="Y48" s="273"/>
      <c r="Z48" s="273"/>
      <c r="AA48" s="273"/>
      <c r="AB48" s="273"/>
      <c r="AC48" s="273"/>
      <c r="AD48" s="273"/>
      <c r="AE48" s="273"/>
      <c r="AF48" s="273"/>
      <c r="AG48" s="273"/>
      <c r="AH48" s="273"/>
      <c r="AI48" s="273"/>
      <c r="AJ48" s="273"/>
      <c r="AK48" s="273"/>
      <c r="AL48" s="273"/>
      <c r="AM48" s="273"/>
      <c r="AN48" s="273"/>
      <c r="AO48" s="273"/>
      <c r="AP48" s="273"/>
      <c r="AQ48" s="273"/>
      <c r="AR48" s="273"/>
      <c r="AS48" s="273"/>
      <c r="AT48" s="273"/>
      <c r="AU48" s="273"/>
      <c r="AV48" s="273"/>
      <c r="AW48" s="273"/>
      <c r="AX48" s="273"/>
      <c r="AY48" s="273"/>
      <c r="AZ48" s="273"/>
      <c r="BA48" s="273"/>
      <c r="BB48" s="273"/>
      <c r="BC48" s="273"/>
      <c r="BD48" s="273"/>
      <c r="BE48" s="120"/>
      <c r="BF48" s="120"/>
      <c r="BG48" s="120"/>
      <c r="BH48" s="120"/>
      <c r="BI48" s="120"/>
      <c r="BJ48" s="120"/>
      <c r="BK48" s="120"/>
      <c r="BL48" s="120"/>
      <c r="BM48" s="120"/>
      <c r="BN48" s="120"/>
      <c r="BO48" s="120"/>
      <c r="BP48" s="120"/>
      <c r="BQ48" s="120"/>
      <c r="BR48" s="120"/>
      <c r="BS48" s="120"/>
      <c r="BT48" s="120"/>
      <c r="BU48" s="120"/>
      <c r="BV48" s="120"/>
      <c r="BW48" s="120"/>
      <c r="BX48" s="120"/>
      <c r="BY48" s="120"/>
      <c r="BZ48" s="120"/>
      <c r="CA48" s="120"/>
      <c r="CB48" s="120"/>
      <c r="CC48" s="120"/>
      <c r="CD48" s="120"/>
      <c r="CE48" s="120"/>
      <c r="CF48" s="120"/>
      <c r="CG48" s="120"/>
      <c r="CH48" s="120"/>
      <c r="CI48" s="120"/>
      <c r="CJ48" s="120"/>
      <c r="CK48" s="120"/>
      <c r="CL48" s="120"/>
      <c r="CM48" s="120"/>
      <c r="CN48" s="120"/>
      <c r="CO48" s="120"/>
      <c r="CP48" s="120"/>
      <c r="CQ48" s="120"/>
      <c r="CR48" s="120"/>
      <c r="CS48" s="120"/>
      <c r="CT48" s="120"/>
    </row>
    <row r="49" spans="1:98">
      <c r="A49" s="308"/>
      <c r="B49"/>
      <c r="C49"/>
      <c r="D49"/>
      <c r="E49"/>
      <c r="F49" s="537" t="s">
        <v>2516</v>
      </c>
      <c r="G49" s="537"/>
      <c r="H49" s="537" t="s">
        <v>2517</v>
      </c>
      <c r="I49" s="537"/>
      <c r="J49" s="537" t="s">
        <v>2518</v>
      </c>
      <c r="K49" s="532" t="s">
        <v>1113</v>
      </c>
      <c r="L49" s="273"/>
      <c r="M49" s="273"/>
      <c r="N49" s="621"/>
      <c r="O49" s="621"/>
      <c r="P49" s="639"/>
      <c r="Q49" s="708">
        <f>-($C$52*R49+$C$53)</f>
        <v>0</v>
      </c>
      <c r="R49" s="710">
        <v>2</v>
      </c>
      <c r="S49" s="640"/>
      <c r="T49" s="640"/>
      <c r="U49" s="640"/>
      <c r="V49" s="640"/>
      <c r="W49" s="350"/>
      <c r="X49"/>
      <c r="Y49" s="273"/>
      <c r="Z49" s="273"/>
      <c r="AA49" s="273"/>
      <c r="AB49" s="273"/>
      <c r="AC49" s="273"/>
      <c r="AD49" s="273"/>
      <c r="AE49" s="273"/>
      <c r="AF49" s="273"/>
      <c r="AG49" s="273"/>
      <c r="AH49" s="273"/>
      <c r="AI49" s="273"/>
      <c r="AJ49" s="273"/>
      <c r="AK49" s="273"/>
      <c r="AL49" s="273"/>
      <c r="AM49" s="273"/>
      <c r="AN49" s="273"/>
      <c r="AO49" s="273"/>
      <c r="AP49" s="273"/>
      <c r="AQ49" s="273"/>
      <c r="AR49" s="273"/>
      <c r="AS49" s="273"/>
      <c r="AT49" s="273"/>
      <c r="AU49" s="273"/>
      <c r="AV49" s="273"/>
      <c r="AW49" s="273"/>
      <c r="AX49" s="273"/>
      <c r="AY49" s="273"/>
      <c r="AZ49" s="273"/>
      <c r="BA49" s="273"/>
      <c r="BB49" s="273"/>
      <c r="BC49" s="273"/>
      <c r="BD49" s="273"/>
      <c r="BE49" s="120"/>
      <c r="BF49" s="120"/>
      <c r="BG49" s="120"/>
      <c r="BH49" s="120"/>
      <c r="BI49" s="120"/>
      <c r="BJ49" s="120"/>
      <c r="BK49" s="120"/>
      <c r="BL49" s="120"/>
      <c r="BM49" s="120"/>
      <c r="BN49" s="120"/>
      <c r="BO49" s="120"/>
      <c r="BP49" s="120"/>
      <c r="BQ49" s="120"/>
      <c r="BR49" s="120"/>
      <c r="BS49" s="120"/>
      <c r="BT49" s="120"/>
      <c r="BU49" s="120"/>
      <c r="BV49" s="120"/>
      <c r="BW49" s="120"/>
      <c r="BX49" s="120"/>
      <c r="BY49" s="120"/>
      <c r="BZ49" s="120"/>
      <c r="CA49" s="120"/>
      <c r="CB49" s="120"/>
      <c r="CC49" s="120"/>
      <c r="CD49" s="120"/>
      <c r="CE49" s="120"/>
      <c r="CF49" s="120"/>
      <c r="CG49" s="120"/>
      <c r="CH49" s="120"/>
      <c r="CI49" s="120"/>
      <c r="CJ49" s="120"/>
      <c r="CK49" s="120"/>
      <c r="CL49" s="120"/>
      <c r="CM49" s="120"/>
      <c r="CN49" s="120"/>
      <c r="CO49" s="120"/>
      <c r="CP49" s="120"/>
      <c r="CQ49" s="120"/>
      <c r="CR49" s="120"/>
      <c r="CS49" s="120"/>
      <c r="CT49" s="120"/>
    </row>
    <row r="50" spans="1:98" ht="15.75">
      <c r="A50" s="308"/>
      <c r="B50"/>
      <c r="C50"/>
      <c r="D50"/>
      <c r="E50"/>
      <c r="F50" s="505" t="s">
        <v>2543</v>
      </c>
      <c r="G50" s="8"/>
      <c r="H50" s="505" t="s">
        <v>2544</v>
      </c>
      <c r="I50" s="8"/>
      <c r="J50" s="505" t="s">
        <v>2545</v>
      </c>
      <c r="K50"/>
      <c r="L50" s="273"/>
      <c r="M50" s="273"/>
      <c r="N50" s="621"/>
      <c r="O50" s="621"/>
      <c r="P50" s="639"/>
      <c r="Q50" s="711"/>
      <c r="R50" s="640"/>
      <c r="S50" s="640"/>
      <c r="T50" s="7"/>
      <c r="U50" s="7"/>
      <c r="V50" s="640"/>
      <c r="W50" s="350"/>
      <c r="X50"/>
      <c r="Y50" s="273"/>
      <c r="Z50" s="273"/>
      <c r="AA50" s="273"/>
      <c r="AB50" s="273"/>
      <c r="AC50" s="273"/>
      <c r="AD50" s="273"/>
      <c r="AE50" s="273"/>
      <c r="AF50" s="273"/>
      <c r="AG50" s="273"/>
      <c r="AH50" s="273"/>
      <c r="AI50" s="273"/>
      <c r="AJ50" s="273"/>
      <c r="AK50" s="273"/>
      <c r="AL50" s="273"/>
      <c r="AM50" s="273"/>
      <c r="AN50" s="273"/>
      <c r="AO50" s="273"/>
      <c r="AP50" s="273"/>
      <c r="AQ50" s="273"/>
      <c r="AR50" s="273"/>
      <c r="AS50" s="273"/>
      <c r="AT50" s="273"/>
      <c r="AU50" s="273"/>
      <c r="AV50" s="273"/>
      <c r="AW50" s="273"/>
      <c r="AX50" s="273"/>
      <c r="AY50" s="273"/>
      <c r="AZ50" s="273"/>
      <c r="BA50" s="273"/>
      <c r="BB50" s="273"/>
      <c r="BC50" s="273"/>
      <c r="BD50" s="273"/>
      <c r="BE50" s="120"/>
      <c r="BF50" s="120"/>
      <c r="BG50" s="120"/>
      <c r="BH50" s="120"/>
      <c r="BI50" s="120"/>
      <c r="BJ50" s="120"/>
      <c r="BK50" s="120"/>
      <c r="BL50" s="120"/>
      <c r="BM50" s="120"/>
      <c r="BN50" s="120"/>
      <c r="BO50" s="120"/>
      <c r="BP50" s="120"/>
      <c r="BQ50" s="120"/>
      <c r="BR50" s="120"/>
      <c r="BS50" s="120"/>
      <c r="BT50" s="120"/>
      <c r="BU50" s="120"/>
      <c r="BV50" s="120"/>
      <c r="BW50" s="120"/>
      <c r="BX50" s="120"/>
      <c r="BY50" s="120"/>
      <c r="BZ50" s="120"/>
      <c r="CA50" s="120"/>
      <c r="CB50" s="120"/>
      <c r="CC50" s="120"/>
      <c r="CD50" s="120"/>
      <c r="CE50" s="120"/>
      <c r="CF50" s="120"/>
      <c r="CG50" s="120"/>
      <c r="CH50" s="120"/>
      <c r="CI50" s="120"/>
      <c r="CJ50" s="120"/>
      <c r="CK50" s="120"/>
      <c r="CL50" s="120"/>
      <c r="CM50" s="120"/>
      <c r="CN50" s="120"/>
      <c r="CO50" s="120"/>
      <c r="CP50" s="120"/>
      <c r="CQ50" s="120"/>
      <c r="CR50" s="120"/>
      <c r="CS50" s="120"/>
      <c r="CT50" s="120"/>
    </row>
    <row r="51" spans="1:98" ht="15">
      <c r="A51" s="308"/>
      <c r="B51"/>
      <c r="C51"/>
      <c r="D51"/>
      <c r="E51"/>
      <c r="F51" s="19">
        <f>9*I28</f>
        <v>8.3197464996345794</v>
      </c>
      <c r="G51" s="8"/>
      <c r="H51" s="19">
        <f>10*I28</f>
        <v>9.2441627773717538</v>
      </c>
      <c r="I51" s="8"/>
      <c r="J51" s="19">
        <f>14*I28</f>
        <v>12.941827888320455</v>
      </c>
      <c r="K51"/>
      <c r="L51" s="273"/>
      <c r="M51" s="273"/>
      <c r="N51" s="318"/>
      <c r="O51" s="621"/>
      <c r="P51" s="683" t="s">
        <v>2622</v>
      </c>
      <c r="Q51" s="712"/>
      <c r="R51" s="7"/>
      <c r="S51" s="712"/>
      <c r="T51" s="712"/>
      <c r="U51" s="712"/>
      <c r="V51" s="640"/>
      <c r="W51" s="350"/>
      <c r="X51"/>
      <c r="Y51" s="273"/>
      <c r="Z51" s="273"/>
      <c r="AA51" s="273"/>
      <c r="AB51" s="273"/>
      <c r="AC51" s="273"/>
      <c r="AD51" s="273"/>
      <c r="AE51" s="273"/>
      <c r="AF51" s="273"/>
      <c r="AG51" s="273"/>
      <c r="AH51" s="273"/>
      <c r="AI51" s="273"/>
      <c r="AJ51" s="273"/>
      <c r="AK51" s="273"/>
      <c r="AL51" s="273"/>
      <c r="AM51" s="273"/>
      <c r="AN51" s="273"/>
      <c r="AO51" s="273"/>
      <c r="AP51" s="273"/>
      <c r="AQ51" s="273"/>
      <c r="AR51" s="273"/>
      <c r="AS51" s="273"/>
      <c r="AT51" s="273"/>
      <c r="AU51" s="273"/>
      <c r="AV51" s="273"/>
      <c r="AW51" s="273"/>
      <c r="AX51" s="273"/>
      <c r="AY51" s="273"/>
      <c r="AZ51" s="273"/>
      <c r="BA51" s="273"/>
      <c r="BB51" s="273"/>
      <c r="BC51" s="273"/>
      <c r="BD51" s="273"/>
      <c r="BE51" s="120"/>
      <c r="BF51" s="120"/>
      <c r="BG51" s="120"/>
      <c r="BH51" s="120"/>
      <c r="BI51" s="120"/>
      <c r="BJ51" s="120"/>
      <c r="BK51" s="120"/>
      <c r="BL51" s="120"/>
      <c r="BM51" s="120"/>
      <c r="BN51" s="120"/>
      <c r="BO51" s="120"/>
      <c r="BP51" s="120"/>
      <c r="BQ51" s="120"/>
      <c r="BR51" s="120"/>
      <c r="BS51" s="120"/>
      <c r="BT51" s="120"/>
      <c r="BU51" s="120"/>
      <c r="BV51" s="120"/>
      <c r="BW51" s="120"/>
      <c r="BX51" s="120"/>
      <c r="BY51" s="120"/>
      <c r="BZ51" s="120"/>
      <c r="CA51" s="120"/>
      <c r="CB51" s="120"/>
      <c r="CC51" s="120"/>
      <c r="CD51" s="120"/>
      <c r="CE51" s="120"/>
      <c r="CF51" s="120"/>
      <c r="CG51" s="120"/>
      <c r="CH51" s="120"/>
      <c r="CI51" s="120"/>
      <c r="CJ51" s="120"/>
      <c r="CK51" s="120"/>
      <c r="CL51" s="120"/>
      <c r="CM51" s="120"/>
      <c r="CN51" s="120"/>
      <c r="CO51" s="120"/>
      <c r="CP51" s="120"/>
      <c r="CQ51" s="120"/>
      <c r="CR51" s="120"/>
      <c r="CS51" s="120"/>
      <c r="CT51" s="120"/>
    </row>
    <row r="52" spans="1:98">
      <c r="A52" s="277"/>
      <c r="B52"/>
      <c r="C52"/>
      <c r="D52"/>
      <c r="E52" s="3">
        <f>D47/I7</f>
        <v>8</v>
      </c>
      <c r="F52" s="8">
        <f>IF(E52&lt;=F51,1,4)</f>
        <v>1</v>
      </c>
      <c r="G52" s="8"/>
      <c r="H52" s="8">
        <f>IF(E52&lt;=H51,2,4)</f>
        <v>2</v>
      </c>
      <c r="I52" s="8"/>
      <c r="J52" s="8">
        <f>IF(E52&lt;=J51,3,4)</f>
        <v>3</v>
      </c>
      <c r="K52" s="538">
        <f>MIN(F52,H52,J52)</f>
        <v>1</v>
      </c>
      <c r="L52" s="273"/>
      <c r="M52" s="273"/>
      <c r="N52" s="607"/>
      <c r="O52" s="621"/>
      <c r="P52" s="639"/>
      <c r="Q52" s="669" t="s">
        <v>2623</v>
      </c>
      <c r="R52" s="713">
        <f>-S7/R31*R27/R7</f>
        <v>0</v>
      </c>
      <c r="S52" s="714" t="s">
        <v>2624</v>
      </c>
      <c r="T52" s="713">
        <f>DEGREES(ATAN(R52))</f>
        <v>0</v>
      </c>
      <c r="U52" s="640" t="s">
        <v>1047</v>
      </c>
      <c r="V52" s="640"/>
      <c r="W52" s="350"/>
      <c r="X52"/>
      <c r="Y52" s="273"/>
      <c r="Z52" s="273"/>
      <c r="AA52" s="273"/>
      <c r="AB52" s="273"/>
      <c r="AC52" s="273"/>
      <c r="AD52" s="273"/>
      <c r="AE52" s="273"/>
      <c r="AF52" s="273"/>
      <c r="AG52" s="273"/>
      <c r="AH52" s="273"/>
      <c r="AI52" s="273"/>
      <c r="AJ52" s="273"/>
      <c r="AK52" s="273"/>
      <c r="AL52" s="273"/>
      <c r="AM52" s="273"/>
      <c r="AN52" s="273"/>
      <c r="AO52" s="273"/>
      <c r="AP52" s="273"/>
      <c r="AQ52" s="273"/>
      <c r="AR52" s="273"/>
      <c r="AS52" s="273"/>
      <c r="AT52" s="273"/>
      <c r="AU52" s="273"/>
      <c r="AV52" s="273"/>
      <c r="AW52" s="273"/>
      <c r="AX52" s="273"/>
      <c r="AY52" s="273"/>
      <c r="AZ52" s="273"/>
      <c r="BA52" s="273"/>
      <c r="BB52" s="273"/>
      <c r="BC52" s="273"/>
      <c r="BD52" s="273"/>
      <c r="BE52" s="120"/>
      <c r="BF52" s="120"/>
      <c r="BG52" s="120"/>
      <c r="BH52" s="120"/>
      <c r="BI52" s="120"/>
      <c r="BJ52" s="120"/>
      <c r="BK52" s="120"/>
      <c r="BL52" s="120"/>
      <c r="BM52" s="120"/>
      <c r="BN52" s="120"/>
      <c r="BO52" s="120"/>
      <c r="BP52" s="120"/>
      <c r="BQ52" s="120"/>
      <c r="BR52" s="120"/>
      <c r="BS52" s="120"/>
      <c r="BT52" s="120"/>
      <c r="BU52" s="120"/>
      <c r="BV52" s="120"/>
      <c r="BW52" s="120"/>
      <c r="BX52" s="120"/>
      <c r="BY52" s="120"/>
      <c r="BZ52" s="120"/>
      <c r="CA52" s="120"/>
      <c r="CB52" s="120"/>
      <c r="CC52" s="120"/>
      <c r="CD52" s="120"/>
      <c r="CE52" s="120"/>
      <c r="CF52" s="120"/>
      <c r="CG52" s="120"/>
      <c r="CH52" s="120"/>
      <c r="CI52" s="120"/>
      <c r="CJ52" s="120"/>
      <c r="CK52" s="120"/>
      <c r="CL52" s="120"/>
      <c r="CM52" s="120"/>
      <c r="CN52" s="120"/>
      <c r="CO52" s="120"/>
      <c r="CP52" s="120"/>
      <c r="CQ52" s="120"/>
      <c r="CR52" s="120"/>
      <c r="CS52" s="120"/>
      <c r="CT52" s="120"/>
    </row>
    <row r="53" spans="1:98">
      <c r="A53" s="308"/>
      <c r="B53"/>
      <c r="C53"/>
      <c r="D53"/>
      <c r="E53"/>
      <c r="F53"/>
      <c r="G53"/>
      <c r="H53" s="8"/>
      <c r="I53"/>
      <c r="J53"/>
      <c r="K53"/>
      <c r="L53" s="273"/>
      <c r="M53" s="273"/>
      <c r="N53" s="318"/>
      <c r="O53" s="621"/>
      <c r="P53" s="639"/>
      <c r="Q53" s="669" t="s">
        <v>2625</v>
      </c>
      <c r="R53" s="713">
        <f>-R27/R7*Q7/1000/P27</f>
        <v>1143.8333333333335</v>
      </c>
      <c r="S53" s="715" t="s">
        <v>77</v>
      </c>
      <c r="T53" s="640"/>
      <c r="U53" s="640"/>
      <c r="V53" s="640"/>
      <c r="W53" s="350"/>
      <c r="X53"/>
      <c r="Y53" s="273"/>
      <c r="Z53" s="273"/>
      <c r="AA53" s="273"/>
      <c r="AB53" s="273"/>
      <c r="AC53" s="273"/>
      <c r="AD53" s="273"/>
      <c r="AE53" s="273"/>
      <c r="AF53" s="273"/>
      <c r="AG53" s="273"/>
      <c r="AH53" s="273"/>
      <c r="AI53" s="273"/>
      <c r="AJ53" s="273"/>
      <c r="AK53" s="273"/>
      <c r="AL53" s="273"/>
      <c r="AM53" s="273"/>
      <c r="AN53" s="273"/>
      <c r="AO53" s="273"/>
      <c r="AP53" s="273"/>
      <c r="AQ53" s="273"/>
      <c r="AR53" s="273"/>
      <c r="AS53" s="273"/>
      <c r="AT53" s="273"/>
      <c r="AU53" s="273"/>
      <c r="AV53" s="273"/>
      <c r="AW53" s="273"/>
      <c r="AX53" s="273"/>
      <c r="AY53" s="273"/>
      <c r="AZ53" s="273"/>
      <c r="BA53" s="273"/>
      <c r="BB53" s="273"/>
      <c r="BC53" s="273"/>
      <c r="BD53" s="273"/>
      <c r="BE53" s="120"/>
      <c r="BF53" s="120"/>
      <c r="BG53" s="120"/>
      <c r="BH53" s="120"/>
      <c r="BI53" s="120"/>
      <c r="BJ53" s="120"/>
      <c r="BK53" s="120"/>
      <c r="BL53" s="120"/>
      <c r="BM53" s="120"/>
      <c r="BN53" s="120"/>
      <c r="BO53" s="120"/>
      <c r="BP53" s="120"/>
      <c r="BQ53" s="120"/>
      <c r="BR53" s="120"/>
      <c r="BS53" s="120"/>
      <c r="BT53" s="120"/>
      <c r="BU53" s="120"/>
      <c r="BV53" s="120"/>
      <c r="BW53" s="120"/>
      <c r="BX53" s="120"/>
      <c r="BY53" s="120"/>
      <c r="BZ53" s="120"/>
      <c r="CA53" s="120"/>
      <c r="CB53" s="120"/>
      <c r="CC53" s="120"/>
      <c r="CD53" s="120"/>
      <c r="CE53" s="120"/>
      <c r="CF53" s="120"/>
      <c r="CG53" s="120"/>
      <c r="CH53" s="120"/>
      <c r="CI53" s="120"/>
      <c r="CJ53" s="120"/>
      <c r="CK53" s="120"/>
      <c r="CL53" s="120"/>
      <c r="CM53" s="120"/>
      <c r="CN53" s="120"/>
      <c r="CO53" s="120"/>
      <c r="CP53" s="120"/>
      <c r="CQ53" s="120"/>
      <c r="CR53" s="120"/>
      <c r="CS53" s="120"/>
      <c r="CT53" s="120"/>
    </row>
    <row r="54" spans="1:98" ht="15.75" thickBot="1">
      <c r="A54" s="308"/>
      <c r="B54" s="543" t="s">
        <v>2546</v>
      </c>
      <c r="C54" s="543"/>
      <c r="D54" s="543"/>
      <c r="E54" s="543"/>
      <c r="F54" s="544"/>
      <c r="G54" s="593">
        <f>MAX(D56:D57)</f>
        <v>3</v>
      </c>
      <c r="H54" s="505" t="s">
        <v>2551</v>
      </c>
      <c r="I54"/>
      <c r="J54"/>
      <c r="K54"/>
      <c r="L54" s="273"/>
      <c r="M54" s="273"/>
      <c r="N54" s="607"/>
      <c r="O54" s="621"/>
      <c r="P54" s="716" t="s">
        <v>2626</v>
      </c>
      <c r="Q54" s="717">
        <v>40512</v>
      </c>
      <c r="R54" s="718"/>
      <c r="S54" s="718"/>
      <c r="T54" s="718"/>
      <c r="U54" s="718"/>
      <c r="V54" s="718"/>
      <c r="W54" s="719"/>
      <c r="X54"/>
      <c r="Y54" s="273"/>
      <c r="Z54" s="273"/>
      <c r="AA54" s="273"/>
      <c r="AB54" s="273"/>
      <c r="AC54" s="273"/>
      <c r="AD54" s="273"/>
      <c r="AE54" s="273"/>
      <c r="AF54" s="273"/>
      <c r="AG54" s="273"/>
      <c r="AH54" s="273"/>
      <c r="AI54" s="273"/>
      <c r="AJ54" s="273"/>
      <c r="AK54" s="273"/>
      <c r="AL54" s="273"/>
      <c r="AM54" s="273"/>
      <c r="AN54" s="273"/>
      <c r="AO54" s="273"/>
      <c r="AP54" s="273"/>
      <c r="AQ54" s="273"/>
      <c r="AR54" s="273"/>
      <c r="AS54" s="273"/>
      <c r="AT54" s="273"/>
      <c r="AU54" s="273"/>
      <c r="AV54" s="273"/>
      <c r="AW54" s="273"/>
      <c r="AX54" s="273"/>
      <c r="AY54" s="273"/>
      <c r="AZ54" s="273"/>
      <c r="BA54" s="273"/>
      <c r="BB54" s="273"/>
      <c r="BC54" s="273"/>
      <c r="BD54" s="273"/>
      <c r="BE54" s="120"/>
      <c r="BF54" s="120"/>
      <c r="BG54" s="120"/>
      <c r="BH54" s="120"/>
      <c r="BI54" s="120"/>
      <c r="BJ54" s="120"/>
      <c r="BK54" s="120"/>
      <c r="BL54" s="120"/>
      <c r="BM54" s="120"/>
      <c r="BN54" s="120"/>
      <c r="BO54" s="120"/>
      <c r="BP54" s="120"/>
      <c r="BQ54" s="120"/>
      <c r="BR54" s="120"/>
      <c r="BS54" s="120"/>
      <c r="BT54" s="120"/>
      <c r="BU54" s="120"/>
      <c r="BV54" s="120"/>
      <c r="BW54" s="120"/>
      <c r="BX54" s="120"/>
      <c r="BY54" s="120"/>
      <c r="BZ54" s="120"/>
      <c r="CA54" s="120"/>
      <c r="CB54" s="120"/>
      <c r="CC54" s="120"/>
      <c r="CD54" s="120"/>
      <c r="CE54" s="120"/>
      <c r="CF54" s="120"/>
      <c r="CG54" s="120"/>
      <c r="CH54" s="120"/>
      <c r="CI54" s="120"/>
      <c r="CJ54" s="120"/>
      <c r="CK54" s="120"/>
      <c r="CL54" s="120"/>
      <c r="CM54" s="120"/>
      <c r="CN54" s="120"/>
      <c r="CO54" s="120"/>
      <c r="CP54" s="120"/>
      <c r="CQ54" s="120"/>
      <c r="CR54" s="120"/>
      <c r="CS54" s="120"/>
      <c r="CT54" s="120"/>
    </row>
    <row r="55" spans="1:98" ht="13.5" thickTop="1">
      <c r="A55" s="308"/>
      <c r="B55"/>
      <c r="C55"/>
      <c r="D55"/>
      <c r="E55"/>
      <c r="F55"/>
      <c r="G55"/>
      <c r="H55" s="8"/>
      <c r="I55"/>
      <c r="J55"/>
      <c r="K55"/>
      <c r="L55" s="273"/>
      <c r="M55" s="273"/>
      <c r="N55" s="318"/>
      <c r="O55" s="621"/>
      <c r="P55" s="720"/>
      <c r="Q55" s="721"/>
      <c r="R55" s="721"/>
      <c r="S55" s="721"/>
      <c r="T55" s="721"/>
      <c r="U55" s="721"/>
      <c r="V55" s="721"/>
      <c r="W55"/>
      <c r="X55"/>
      <c r="Y55" s="273"/>
      <c r="Z55" s="273"/>
      <c r="AA55" s="273"/>
      <c r="AB55" s="273"/>
      <c r="AC55" s="273"/>
      <c r="AD55" s="273"/>
      <c r="AE55" s="273"/>
      <c r="AF55" s="273"/>
      <c r="AG55" s="273"/>
      <c r="AH55" s="273"/>
      <c r="AI55" s="273"/>
      <c r="AJ55" s="273"/>
      <c r="AK55" s="273"/>
      <c r="AL55" s="273"/>
      <c r="AM55" s="273"/>
      <c r="AN55" s="273"/>
      <c r="AO55" s="273"/>
      <c r="AP55" s="273"/>
      <c r="AQ55" s="273"/>
      <c r="AR55" s="273"/>
      <c r="AS55" s="273"/>
      <c r="AT55" s="273"/>
      <c r="AU55" s="273"/>
      <c r="AV55" s="273"/>
      <c r="AW55" s="273"/>
      <c r="AX55" s="273"/>
      <c r="AY55" s="273"/>
      <c r="AZ55" s="273"/>
      <c r="BA55" s="273"/>
      <c r="BB55" s="273"/>
      <c r="BC55" s="273"/>
      <c r="BD55" s="273"/>
      <c r="BE55" s="120"/>
      <c r="BF55" s="120"/>
      <c r="BG55" s="120"/>
      <c r="BH55" s="120"/>
      <c r="BI55" s="120"/>
      <c r="BJ55" s="120"/>
      <c r="BK55" s="120"/>
      <c r="BL55" s="120"/>
      <c r="BM55" s="120"/>
      <c r="BN55" s="120"/>
      <c r="BO55" s="120"/>
      <c r="BP55" s="120"/>
      <c r="BQ55" s="120"/>
      <c r="BR55" s="120"/>
      <c r="BS55" s="120"/>
      <c r="BT55" s="120"/>
      <c r="BU55" s="120"/>
      <c r="BV55" s="120"/>
      <c r="BW55" s="120"/>
      <c r="BX55" s="120"/>
      <c r="BY55" s="120"/>
      <c r="BZ55" s="120"/>
      <c r="CA55" s="120"/>
      <c r="CB55" s="120"/>
      <c r="CC55" s="120"/>
      <c r="CD55" s="120"/>
      <c r="CE55" s="120"/>
      <c r="CF55" s="120"/>
      <c r="CG55" s="120"/>
      <c r="CH55" s="120"/>
      <c r="CI55" s="120"/>
      <c r="CJ55" s="120"/>
      <c r="CK55" s="120"/>
      <c r="CL55" s="120"/>
      <c r="CM55" s="120"/>
      <c r="CN55" s="120"/>
      <c r="CO55" s="120"/>
      <c r="CP55" s="120"/>
      <c r="CQ55" s="120"/>
      <c r="CR55" s="120"/>
      <c r="CS55" s="120"/>
      <c r="CT55" s="120"/>
    </row>
    <row r="56" spans="1:98" ht="13.5">
      <c r="A56" s="312"/>
      <c r="B56" s="504" t="s">
        <v>2541</v>
      </c>
      <c r="C56"/>
      <c r="D56" s="8">
        <f>F42</f>
        <v>3</v>
      </c>
      <c r="E56"/>
      <c r="F56"/>
      <c r="G56"/>
      <c r="H56" s="8"/>
      <c r="I56"/>
      <c r="J56"/>
      <c r="K56"/>
      <c r="L56" s="120"/>
      <c r="M56" s="273"/>
      <c r="N56" s="623"/>
      <c r="O56" s="624"/>
      <c r="P56"/>
      <c r="Q56" s="722" t="s">
        <v>2627</v>
      </c>
      <c r="R56"/>
      <c r="S56"/>
      <c r="T56"/>
      <c r="U56"/>
      <c r="V56"/>
      <c r="W56"/>
      <c r="X56"/>
      <c r="Y56" s="120"/>
      <c r="Z56" s="120"/>
      <c r="AA56" s="120"/>
      <c r="AB56" s="120"/>
      <c r="AC56" s="120"/>
      <c r="AD56" s="120"/>
      <c r="AE56" s="120"/>
      <c r="AF56" s="120"/>
      <c r="AG56" s="120"/>
      <c r="AH56" s="120"/>
      <c r="AI56" s="120"/>
      <c r="AJ56" s="120"/>
      <c r="AK56" s="120"/>
      <c r="AL56" s="120"/>
      <c r="AM56" s="120"/>
      <c r="AN56" s="120"/>
      <c r="AO56" s="120"/>
      <c r="AP56" s="120"/>
      <c r="AQ56" s="120"/>
      <c r="AR56" s="120"/>
      <c r="AS56" s="120"/>
      <c r="AT56" s="120"/>
      <c r="AU56" s="120"/>
      <c r="AV56" s="120"/>
      <c r="AW56" s="120"/>
      <c r="AX56" s="120"/>
      <c r="AY56" s="120"/>
      <c r="AZ56" s="120"/>
      <c r="BA56" s="120"/>
      <c r="BB56" s="120"/>
      <c r="BC56" s="120"/>
      <c r="BD56" s="120"/>
      <c r="BE56" s="120"/>
      <c r="BF56" s="120"/>
      <c r="BG56" s="120"/>
      <c r="BH56" s="120"/>
      <c r="BI56" s="120"/>
      <c r="BJ56" s="120"/>
      <c r="BK56" s="120"/>
      <c r="BL56" s="120"/>
      <c r="BM56" s="120"/>
      <c r="BN56" s="120"/>
      <c r="BO56" s="120"/>
      <c r="BP56" s="120"/>
      <c r="BQ56" s="120"/>
      <c r="BR56" s="120"/>
      <c r="BS56" s="120"/>
      <c r="BT56" s="120"/>
      <c r="BU56" s="120"/>
      <c r="BV56" s="120"/>
      <c r="BW56" s="120"/>
      <c r="BX56" s="120"/>
      <c r="BY56" s="120"/>
      <c r="BZ56" s="120"/>
      <c r="CA56" s="120"/>
      <c r="CB56" s="120"/>
      <c r="CC56" s="120"/>
      <c r="CD56" s="120"/>
      <c r="CE56" s="120"/>
      <c r="CF56" s="120"/>
      <c r="CG56" s="120"/>
      <c r="CH56" s="120"/>
      <c r="CI56" s="120"/>
      <c r="CJ56" s="120"/>
      <c r="CK56" s="120"/>
      <c r="CL56" s="120"/>
      <c r="CM56" s="120"/>
      <c r="CN56" s="120"/>
      <c r="CO56" s="120"/>
      <c r="CP56" s="120"/>
      <c r="CQ56" s="120"/>
      <c r="CR56" s="120"/>
      <c r="CS56" s="120"/>
      <c r="CT56" s="120"/>
    </row>
    <row r="57" spans="1:98">
      <c r="A57" s="313"/>
      <c r="B57" s="504" t="s">
        <v>2547</v>
      </c>
      <c r="C57"/>
      <c r="D57" s="8">
        <f>K52</f>
        <v>1</v>
      </c>
      <c r="E57"/>
      <c r="F57"/>
      <c r="G57"/>
      <c r="H57" s="8"/>
      <c r="I57"/>
      <c r="J57"/>
      <c r="K57"/>
      <c r="L57" s="120"/>
      <c r="M57" s="211"/>
      <c r="N57" s="625"/>
      <c r="O57" s="625"/>
      <c r="P57"/>
      <c r="Q57" s="521" t="s">
        <v>2628</v>
      </c>
      <c r="R57" s="521" t="s">
        <v>2629</v>
      </c>
      <c r="S57" s="521" t="s">
        <v>2630</v>
      </c>
      <c r="T57" s="521" t="s">
        <v>2631</v>
      </c>
      <c r="U57"/>
      <c r="V57"/>
      <c r="W57"/>
      <c r="X57"/>
      <c r="Y57" s="120"/>
      <c r="Z57" s="120"/>
      <c r="AA57" s="120"/>
      <c r="AB57" s="120"/>
      <c r="AC57" s="120"/>
      <c r="AD57" s="120"/>
      <c r="AE57" s="120"/>
      <c r="AF57" s="120"/>
      <c r="AG57" s="120"/>
      <c r="AH57" s="120"/>
      <c r="AI57" s="120"/>
      <c r="AJ57" s="120"/>
      <c r="AK57" s="120"/>
      <c r="AL57" s="120"/>
      <c r="AM57" s="120"/>
      <c r="AN57" s="120"/>
      <c r="AO57" s="120"/>
      <c r="AP57" s="120"/>
      <c r="AQ57" s="120"/>
      <c r="AR57" s="120"/>
      <c r="AS57" s="120"/>
      <c r="AT57" s="120"/>
      <c r="AU57" s="120"/>
      <c r="AV57" s="120"/>
      <c r="AW57" s="120"/>
      <c r="AX57" s="120"/>
      <c r="AY57" s="120"/>
      <c r="AZ57" s="120"/>
      <c r="BA57" s="120"/>
      <c r="BB57" s="120"/>
      <c r="BC57" s="120"/>
      <c r="BD57" s="120"/>
      <c r="BE57" s="120"/>
      <c r="BF57" s="120"/>
      <c r="BG57" s="120"/>
      <c r="BH57" s="120"/>
      <c r="BI57" s="120"/>
      <c r="BJ57" s="120"/>
      <c r="BK57" s="120"/>
      <c r="BL57" s="120"/>
      <c r="BM57" s="120"/>
      <c r="BN57" s="120"/>
      <c r="BO57" s="120"/>
      <c r="BP57" s="120"/>
      <c r="BQ57" s="120"/>
      <c r="BR57" s="120"/>
      <c r="BS57" s="120"/>
      <c r="BT57" s="120"/>
      <c r="BU57" s="120"/>
      <c r="BV57" s="120"/>
      <c r="BW57" s="120"/>
      <c r="BX57" s="120"/>
      <c r="BY57" s="120"/>
      <c r="BZ57" s="120"/>
      <c r="CA57" s="120"/>
      <c r="CB57" s="120"/>
      <c r="CC57" s="120"/>
      <c r="CD57" s="120"/>
      <c r="CE57" s="120"/>
      <c r="CF57" s="120"/>
      <c r="CG57" s="120"/>
      <c r="CH57" s="120"/>
      <c r="CI57" s="120"/>
      <c r="CJ57" s="120"/>
      <c r="CK57" s="120"/>
      <c r="CL57" s="120"/>
      <c r="CM57" s="120"/>
      <c r="CN57" s="120"/>
      <c r="CO57" s="120"/>
      <c r="CP57" s="120"/>
      <c r="CQ57" s="120"/>
      <c r="CR57" s="120"/>
      <c r="CS57" s="120"/>
      <c r="CT57" s="120"/>
    </row>
    <row r="58" spans="1:98">
      <c r="A58" s="626"/>
      <c r="B58" s="504"/>
      <c r="C58"/>
      <c r="D58"/>
      <c r="E58"/>
      <c r="F58"/>
      <c r="G58"/>
      <c r="H58" s="8"/>
      <c r="I58"/>
      <c r="J58"/>
      <c r="K58"/>
      <c r="L58" s="120"/>
      <c r="M58" s="211"/>
      <c r="N58" s="625"/>
      <c r="O58" s="625"/>
      <c r="P58"/>
      <c r="Q58" s="521">
        <f>(P27/2-Q13*Q14)/Q18</f>
        <v>370</v>
      </c>
      <c r="R58" s="521">
        <f>Q58^2/2*Q18+Q13*Q14*(Q58+Q14/2)</f>
        <v>7144000</v>
      </c>
      <c r="S58" s="521">
        <f>Q17-Q58</f>
        <v>370</v>
      </c>
      <c r="T58" s="521">
        <f>S58^2/2*Q18+Q16*Q15*(S58+Q16/2)</f>
        <v>7144000</v>
      </c>
      <c r="U58"/>
      <c r="V58"/>
      <c r="W58"/>
      <c r="X58"/>
      <c r="Y58" s="120"/>
      <c r="Z58" s="120"/>
      <c r="AA58" s="120"/>
      <c r="AB58" s="120"/>
      <c r="AC58" s="120"/>
      <c r="AD58" s="120"/>
      <c r="AE58" s="120"/>
      <c r="AF58" s="120"/>
      <c r="AG58" s="120"/>
      <c r="AH58" s="120"/>
      <c r="AI58" s="120"/>
      <c r="AJ58" s="120"/>
      <c r="AK58" s="120"/>
      <c r="AL58" s="120"/>
      <c r="AM58" s="120"/>
      <c r="AN58" s="120"/>
      <c r="AO58" s="120"/>
      <c r="AP58" s="120"/>
      <c r="AQ58" s="120"/>
      <c r="AR58" s="120"/>
      <c r="AS58" s="120"/>
      <c r="AT58" s="120"/>
      <c r="AU58" s="120"/>
      <c r="AV58" s="120"/>
      <c r="AW58" s="120"/>
      <c r="AX58" s="120"/>
      <c r="AY58" s="120"/>
      <c r="AZ58" s="120"/>
      <c r="BA58" s="120"/>
      <c r="BB58" s="120"/>
      <c r="BC58" s="120"/>
      <c r="BD58" s="120"/>
      <c r="BE58" s="120"/>
      <c r="BF58" s="120"/>
      <c r="BG58" s="120"/>
      <c r="BH58" s="120"/>
      <c r="BI58" s="120"/>
      <c r="BJ58" s="120"/>
      <c r="BK58" s="120"/>
      <c r="BL58" s="120"/>
      <c r="BM58" s="120"/>
      <c r="BN58" s="120"/>
      <c r="BO58" s="120"/>
      <c r="BP58" s="120"/>
      <c r="BQ58" s="120"/>
      <c r="BR58" s="120"/>
      <c r="BS58" s="120"/>
      <c r="BT58" s="120"/>
      <c r="BU58" s="120"/>
      <c r="BV58" s="120"/>
      <c r="BW58" s="120"/>
      <c r="BX58" s="120"/>
      <c r="BY58" s="120"/>
      <c r="BZ58" s="120"/>
      <c r="CA58" s="120"/>
      <c r="CB58" s="120"/>
      <c r="CC58" s="120"/>
      <c r="CD58" s="120"/>
      <c r="CE58" s="120"/>
      <c r="CF58" s="120"/>
      <c r="CG58" s="120"/>
      <c r="CH58" s="120"/>
      <c r="CI58" s="120"/>
      <c r="CJ58" s="120"/>
      <c r="CK58" s="120"/>
      <c r="CL58" s="120"/>
      <c r="CM58" s="120"/>
      <c r="CN58" s="120"/>
      <c r="CO58" s="120"/>
      <c r="CP58" s="120"/>
      <c r="CQ58" s="120"/>
      <c r="CR58" s="120"/>
      <c r="CS58" s="120"/>
      <c r="CT58" s="120"/>
    </row>
    <row r="59" spans="1:98">
      <c r="A59" s="308"/>
      <c r="B59"/>
      <c r="C59"/>
      <c r="D59"/>
      <c r="E59"/>
      <c r="F59"/>
      <c r="G59"/>
      <c r="H59" s="8"/>
      <c r="I59"/>
      <c r="J59"/>
      <c r="K59"/>
      <c r="L59" s="120"/>
      <c r="M59" s="211"/>
      <c r="N59" s="625"/>
      <c r="O59" s="625"/>
      <c r="P59"/>
      <c r="Q59"/>
      <c r="R59"/>
      <c r="S59"/>
      <c r="T59"/>
      <c r="U59"/>
      <c r="V59"/>
      <c r="W59"/>
      <c r="X59"/>
      <c r="Y59" s="120"/>
      <c r="Z59" s="120"/>
      <c r="AA59" s="120"/>
      <c r="AB59" s="120"/>
      <c r="AC59" s="120"/>
      <c r="AD59" s="120"/>
      <c r="AE59" s="120"/>
      <c r="AF59" s="120"/>
      <c r="AG59" s="120"/>
      <c r="AH59" s="120"/>
      <c r="AI59" s="120"/>
      <c r="AJ59" s="120"/>
      <c r="AK59" s="120"/>
      <c r="AL59" s="120"/>
      <c r="AM59" s="120"/>
      <c r="AN59" s="120"/>
      <c r="AO59" s="120"/>
      <c r="AP59" s="120"/>
      <c r="AQ59" s="120"/>
      <c r="AR59" s="120"/>
      <c r="AS59" s="120"/>
      <c r="AT59" s="120"/>
      <c r="AU59" s="120"/>
      <c r="AV59" s="120"/>
      <c r="AW59" s="120"/>
      <c r="AX59" s="120"/>
      <c r="AY59" s="120"/>
      <c r="AZ59" s="120"/>
      <c r="BA59" s="120"/>
      <c r="BB59" s="120"/>
      <c r="BC59" s="120"/>
      <c r="BD59" s="120"/>
      <c r="BE59" s="120"/>
      <c r="BF59" s="120"/>
      <c r="BG59" s="120"/>
      <c r="BH59" s="120"/>
      <c r="BI59" s="120"/>
      <c r="BJ59" s="120"/>
      <c r="BK59" s="120"/>
      <c r="BL59" s="120"/>
      <c r="BM59" s="120"/>
      <c r="BN59" s="120"/>
      <c r="BO59" s="120"/>
      <c r="BP59" s="120"/>
      <c r="BQ59" s="120"/>
      <c r="BR59" s="120"/>
      <c r="BS59" s="120"/>
      <c r="BT59" s="120"/>
      <c r="BU59" s="120"/>
      <c r="BV59" s="120"/>
      <c r="BW59" s="120"/>
      <c r="BX59" s="120"/>
      <c r="BY59" s="120"/>
      <c r="BZ59" s="120"/>
      <c r="CA59" s="120"/>
      <c r="CB59" s="120"/>
      <c r="CC59" s="120"/>
      <c r="CD59" s="120"/>
      <c r="CE59" s="120"/>
      <c r="CF59" s="120"/>
      <c r="CG59" s="120"/>
      <c r="CH59" s="120"/>
      <c r="CI59" s="120"/>
      <c r="CJ59" s="120"/>
      <c r="CK59" s="120"/>
      <c r="CL59" s="120"/>
      <c r="CM59" s="120"/>
      <c r="CN59" s="120"/>
      <c r="CO59" s="120"/>
      <c r="CP59" s="120"/>
      <c r="CQ59" s="120"/>
      <c r="CR59" s="120"/>
      <c r="CS59" s="120"/>
      <c r="CT59" s="120"/>
    </row>
    <row r="60" spans="1:98">
      <c r="A60" s="627"/>
      <c r="B60" s="598" t="s">
        <v>2553</v>
      </c>
      <c r="C60" s="598"/>
      <c r="D60" s="598"/>
      <c r="E60" s="606" t="s">
        <v>2560</v>
      </c>
      <c r="F60" s="606"/>
      <c r="G60" s="606"/>
      <c r="H60" s="599"/>
      <c r="I60" s="598"/>
      <c r="J60" s="598"/>
      <c r="K60" s="598"/>
      <c r="L60" s="120"/>
      <c r="M60" s="211"/>
      <c r="N60" s="625"/>
      <c r="O60" s="211"/>
      <c r="P60" s="211"/>
      <c r="Q60" s="211"/>
      <c r="R60" s="211"/>
      <c r="S60" s="211"/>
      <c r="T60" s="625"/>
      <c r="U60" s="625"/>
      <c r="V60" s="120"/>
      <c r="W60" s="120"/>
      <c r="X60" s="120"/>
      <c r="Y60" s="120"/>
      <c r="Z60" s="120"/>
      <c r="AA60" s="120"/>
      <c r="AB60" s="120"/>
      <c r="AC60" s="120"/>
      <c r="AD60" s="120"/>
      <c r="AE60" s="120"/>
      <c r="AF60" s="120"/>
      <c r="AG60" s="120"/>
      <c r="AH60" s="120"/>
      <c r="AI60" s="120"/>
      <c r="AJ60" s="120"/>
      <c r="AK60" s="120"/>
      <c r="AL60" s="120"/>
      <c r="AM60" s="120"/>
      <c r="AN60" s="120"/>
      <c r="AO60" s="120"/>
      <c r="AP60" s="120"/>
      <c r="AQ60" s="120"/>
      <c r="AR60" s="120"/>
      <c r="AS60" s="120"/>
      <c r="AT60" s="120"/>
      <c r="AU60" s="120"/>
      <c r="AV60" s="120"/>
      <c r="AW60" s="120"/>
      <c r="AX60" s="120"/>
      <c r="AY60" s="120"/>
      <c r="AZ60" s="120"/>
      <c r="BA60" s="120"/>
      <c r="BB60" s="120"/>
      <c r="BC60" s="120"/>
      <c r="BD60" s="120"/>
      <c r="BE60" s="120"/>
      <c r="BF60" s="120"/>
      <c r="BG60" s="120"/>
      <c r="BH60" s="120"/>
      <c r="BI60" s="120"/>
      <c r="BJ60" s="120"/>
      <c r="BK60" s="120"/>
      <c r="BL60" s="120"/>
      <c r="BM60" s="120"/>
      <c r="BN60" s="120"/>
      <c r="BO60" s="120"/>
      <c r="BP60" s="120"/>
      <c r="BQ60" s="120"/>
      <c r="BR60" s="120"/>
      <c r="BS60" s="120"/>
      <c r="BT60" s="120"/>
      <c r="BU60" s="120"/>
      <c r="BV60" s="120"/>
      <c r="BW60" s="120"/>
      <c r="BX60" s="120"/>
      <c r="BY60" s="120"/>
      <c r="BZ60" s="120"/>
      <c r="CA60" s="120"/>
      <c r="CB60" s="120"/>
      <c r="CC60" s="120"/>
      <c r="CD60" s="120"/>
      <c r="CE60" s="120"/>
      <c r="CF60" s="120"/>
      <c r="CG60" s="120"/>
      <c r="CH60" s="120"/>
      <c r="CI60" s="120"/>
      <c r="CJ60" s="120"/>
      <c r="CK60" s="120"/>
      <c r="CL60" s="120"/>
      <c r="CM60" s="120"/>
      <c r="CN60" s="120"/>
      <c r="CO60" s="120"/>
      <c r="CP60" s="120"/>
      <c r="CQ60" s="120"/>
      <c r="CR60" s="120"/>
      <c r="CS60" s="120"/>
      <c r="CT60" s="120"/>
    </row>
    <row r="61" spans="1:98" ht="15.75">
      <c r="A61" s="628"/>
      <c r="B61"/>
      <c r="C61"/>
      <c r="D61"/>
      <c r="E61"/>
      <c r="F61"/>
      <c r="G61"/>
      <c r="H61" s="8"/>
      <c r="I61"/>
      <c r="J61"/>
      <c r="K61"/>
      <c r="L61" s="120"/>
      <c r="M61" s="211"/>
      <c r="N61" s="629"/>
      <c r="O61" s="630"/>
      <c r="P61" s="630"/>
      <c r="Q61" s="630"/>
      <c r="R61" s="630"/>
      <c r="S61" s="630"/>
      <c r="T61" s="630"/>
      <c r="U61" s="625"/>
      <c r="V61" s="120"/>
      <c r="W61" s="120"/>
      <c r="X61" s="120"/>
      <c r="Y61" s="120"/>
      <c r="Z61" s="120"/>
      <c r="AA61" s="120"/>
      <c r="AB61" s="120"/>
      <c r="AC61" s="120"/>
      <c r="AD61" s="120"/>
      <c r="AE61" s="120"/>
      <c r="AF61" s="120"/>
      <c r="AG61" s="120"/>
      <c r="AH61" s="120"/>
      <c r="AI61" s="120"/>
      <c r="AJ61" s="120"/>
      <c r="AK61" s="120"/>
      <c r="AL61" s="120"/>
      <c r="AM61" s="120"/>
      <c r="AN61" s="120"/>
      <c r="AO61" s="120"/>
      <c r="AP61" s="120"/>
      <c r="AQ61" s="120"/>
      <c r="AR61" s="120"/>
      <c r="AS61" s="120"/>
      <c r="AT61" s="120"/>
      <c r="AU61" s="120"/>
      <c r="AV61" s="120"/>
      <c r="AW61" s="120"/>
      <c r="AX61" s="120"/>
      <c r="AY61" s="120"/>
      <c r="AZ61" s="120"/>
      <c r="BA61" s="120"/>
      <c r="BB61" s="120"/>
      <c r="BC61" s="120"/>
      <c r="BD61" s="120"/>
      <c r="BE61" s="120"/>
      <c r="BF61" s="120"/>
      <c r="BG61" s="120"/>
      <c r="BH61" s="120"/>
      <c r="BI61" s="120"/>
      <c r="BJ61" s="120"/>
      <c r="BK61" s="120"/>
      <c r="BL61" s="120"/>
      <c r="BM61" s="120"/>
      <c r="BN61" s="120"/>
      <c r="BO61" s="120"/>
      <c r="BP61" s="120"/>
      <c r="BQ61" s="120"/>
      <c r="BR61" s="120"/>
      <c r="BS61" s="120"/>
      <c r="BT61" s="120"/>
      <c r="BU61" s="120"/>
      <c r="BV61" s="120"/>
      <c r="BW61" s="120"/>
      <c r="BX61" s="120"/>
      <c r="BY61" s="120"/>
      <c r="BZ61" s="120"/>
      <c r="CA61" s="120"/>
      <c r="CB61" s="120"/>
      <c r="CC61" s="120"/>
      <c r="CD61" s="120"/>
      <c r="CE61" s="120"/>
      <c r="CF61" s="120"/>
      <c r="CG61" s="120"/>
      <c r="CH61" s="120"/>
      <c r="CI61" s="120"/>
      <c r="CJ61" s="120"/>
      <c r="CK61" s="120"/>
      <c r="CL61" s="120"/>
      <c r="CM61" s="120"/>
      <c r="CN61" s="120"/>
      <c r="CO61" s="120"/>
      <c r="CP61" s="120"/>
      <c r="CQ61" s="120"/>
      <c r="CR61" s="120"/>
      <c r="CS61" s="120"/>
      <c r="CT61" s="120"/>
    </row>
    <row r="62" spans="1:98" ht="15.75">
      <c r="A62" s="308"/>
      <c r="B62" s="600" t="s">
        <v>2554</v>
      </c>
      <c r="C62" s="504" t="s">
        <v>2555</v>
      </c>
      <c r="D62"/>
      <c r="E62"/>
      <c r="F62"/>
      <c r="G62"/>
      <c r="H62" s="8"/>
      <c r="I62"/>
      <c r="J62"/>
      <c r="K62"/>
      <c r="L62" s="120"/>
      <c r="M62" s="211"/>
      <c r="N62" s="629"/>
      <c r="O62" s="630"/>
      <c r="P62" s="630"/>
      <c r="Q62" s="630"/>
      <c r="R62" s="630"/>
      <c r="S62" s="630"/>
      <c r="T62" s="625"/>
      <c r="U62" s="625"/>
      <c r="V62" s="120"/>
      <c r="W62" s="120"/>
      <c r="X62" s="120"/>
      <c r="Y62" s="120"/>
      <c r="Z62" s="120"/>
      <c r="AA62" s="120"/>
      <c r="AB62" s="120"/>
      <c r="AC62" s="120"/>
      <c r="AD62" s="120"/>
      <c r="AE62" s="120"/>
      <c r="AF62" s="120"/>
      <c r="AG62" s="120"/>
      <c r="AH62" s="120"/>
      <c r="AI62" s="120"/>
      <c r="AJ62" s="120"/>
      <c r="AK62" s="120"/>
      <c r="AL62" s="120"/>
      <c r="AM62" s="120"/>
      <c r="AN62" s="120"/>
      <c r="AO62" s="120"/>
      <c r="AP62" s="120"/>
      <c r="AQ62" s="120"/>
      <c r="AR62" s="120"/>
      <c r="AS62" s="120"/>
      <c r="AT62" s="120"/>
      <c r="AU62" s="120"/>
      <c r="AV62" s="120"/>
      <c r="AW62" s="120"/>
      <c r="AX62" s="120"/>
      <c r="AY62" s="120"/>
      <c r="AZ62" s="120"/>
      <c r="BA62" s="120"/>
      <c r="BB62" s="120"/>
      <c r="BC62" s="120"/>
      <c r="BD62" s="120"/>
      <c r="BE62" s="120"/>
      <c r="BF62" s="120"/>
      <c r="BG62" s="120"/>
      <c r="BH62" s="120"/>
      <c r="BI62" s="120"/>
      <c r="BJ62" s="120"/>
      <c r="BK62" s="120"/>
      <c r="BL62" s="120"/>
      <c r="BM62" s="120"/>
      <c r="BN62" s="120"/>
      <c r="BO62" s="120"/>
      <c r="BP62" s="120"/>
      <c r="BQ62" s="120"/>
      <c r="BR62" s="120"/>
      <c r="BS62" s="120"/>
      <c r="BT62" s="120"/>
      <c r="BU62" s="120"/>
      <c r="BV62" s="120"/>
      <c r="BW62" s="120"/>
      <c r="BX62" s="120"/>
      <c r="BY62" s="120"/>
      <c r="BZ62" s="120"/>
      <c r="CA62" s="120"/>
      <c r="CB62" s="120"/>
      <c r="CC62" s="120"/>
      <c r="CD62" s="120"/>
      <c r="CE62" s="120"/>
      <c r="CF62" s="120"/>
      <c r="CG62" s="120"/>
      <c r="CH62" s="120"/>
      <c r="CI62" s="120"/>
      <c r="CJ62" s="120"/>
      <c r="CK62" s="120"/>
      <c r="CL62" s="120"/>
      <c r="CM62" s="120"/>
      <c r="CN62" s="120"/>
      <c r="CO62" s="120"/>
      <c r="CP62" s="120"/>
      <c r="CQ62" s="120"/>
      <c r="CR62" s="120"/>
      <c r="CS62" s="120"/>
      <c r="CT62" s="120"/>
    </row>
    <row r="63" spans="1:98" ht="15.75">
      <c r="A63" s="631"/>
      <c r="B63"/>
      <c r="C63"/>
      <c r="D63"/>
      <c r="E63"/>
      <c r="F63"/>
      <c r="G63"/>
      <c r="H63" s="8"/>
      <c r="I63"/>
      <c r="J63"/>
      <c r="K63"/>
      <c r="L63" s="120"/>
      <c r="M63" s="211"/>
      <c r="N63" s="625"/>
      <c r="O63" s="625"/>
      <c r="P63" s="625"/>
      <c r="Q63" s="625"/>
      <c r="R63" s="625"/>
      <c r="S63" s="625"/>
      <c r="T63" s="625"/>
      <c r="U63" s="625"/>
      <c r="V63" s="120"/>
      <c r="W63" s="120"/>
      <c r="X63" s="120"/>
      <c r="Y63" s="120"/>
      <c r="Z63" s="120"/>
      <c r="AA63" s="120"/>
      <c r="AB63" s="120"/>
      <c r="AC63" s="120"/>
      <c r="AD63" s="120"/>
      <c r="AE63" s="120"/>
      <c r="AF63" s="120"/>
      <c r="AG63" s="120"/>
      <c r="AH63" s="120"/>
      <c r="AI63" s="120"/>
      <c r="AJ63" s="120"/>
      <c r="AK63" s="120"/>
      <c r="AL63" s="120"/>
      <c r="AM63" s="120"/>
      <c r="AN63" s="120"/>
      <c r="AO63" s="120"/>
      <c r="AP63" s="120"/>
      <c r="AQ63" s="120"/>
      <c r="AR63" s="120"/>
      <c r="AS63" s="120"/>
      <c r="AT63" s="120"/>
      <c r="AU63" s="120"/>
      <c r="AV63" s="120"/>
      <c r="AW63" s="120"/>
      <c r="AX63" s="120"/>
      <c r="AY63" s="120"/>
      <c r="AZ63" s="120"/>
      <c r="BA63" s="120"/>
      <c r="BB63" s="120"/>
      <c r="BC63" s="120"/>
      <c r="BD63" s="120"/>
      <c r="BE63" s="120"/>
      <c r="BF63" s="120"/>
      <c r="BG63" s="120"/>
      <c r="BH63" s="120"/>
      <c r="BI63" s="120"/>
      <c r="BJ63" s="120"/>
      <c r="BK63" s="120"/>
      <c r="BL63" s="120"/>
      <c r="BM63" s="120"/>
      <c r="BN63" s="120"/>
      <c r="BO63" s="120"/>
      <c r="BP63" s="120"/>
      <c r="BQ63" s="120"/>
      <c r="BR63" s="120"/>
      <c r="BS63" s="120"/>
      <c r="BT63" s="120"/>
      <c r="BU63" s="120"/>
      <c r="BV63" s="120"/>
      <c r="BW63" s="120"/>
      <c r="BX63" s="120"/>
      <c r="BY63" s="120"/>
      <c r="BZ63" s="120"/>
      <c r="CA63" s="120"/>
      <c r="CB63" s="120"/>
      <c r="CC63" s="120"/>
      <c r="CD63" s="120"/>
      <c r="CE63" s="120"/>
      <c r="CF63" s="120"/>
      <c r="CG63" s="120"/>
      <c r="CH63" s="120"/>
      <c r="CI63" s="120"/>
      <c r="CJ63" s="120"/>
      <c r="CK63" s="120"/>
      <c r="CL63" s="120"/>
      <c r="CM63" s="120"/>
      <c r="CN63" s="120"/>
      <c r="CO63" s="120"/>
      <c r="CP63" s="120"/>
      <c r="CQ63" s="120"/>
      <c r="CR63" s="120"/>
      <c r="CS63" s="120"/>
      <c r="CT63" s="120"/>
    </row>
    <row r="64" spans="1:98">
      <c r="B64" s="601" t="s">
        <v>2556</v>
      </c>
      <c r="C64" s="504" t="s">
        <v>2558</v>
      </c>
      <c r="D64"/>
      <c r="E64"/>
      <c r="F64"/>
      <c r="G64"/>
      <c r="H64" s="8"/>
      <c r="I64"/>
      <c r="J64"/>
      <c r="K64"/>
    </row>
    <row r="65" spans="2:11">
      <c r="B65"/>
      <c r="C65"/>
      <c r="D65"/>
      <c r="E65"/>
      <c r="F65"/>
      <c r="G65"/>
      <c r="H65" s="8"/>
      <c r="I65"/>
      <c r="J65"/>
      <c r="K65"/>
    </row>
    <row r="66" spans="2:11">
      <c r="B66"/>
      <c r="C66"/>
      <c r="D66"/>
      <c r="E66"/>
      <c r="F66"/>
      <c r="G66"/>
      <c r="H66" s="8"/>
      <c r="I66"/>
      <c r="J66"/>
      <c r="K66"/>
    </row>
    <row r="67" spans="2:11">
      <c r="B67"/>
      <c r="C67"/>
      <c r="D67"/>
      <c r="E67"/>
      <c r="F67" s="588" t="s">
        <v>2516</v>
      </c>
      <c r="G67" s="587"/>
      <c r="H67" s="588" t="s">
        <v>2517</v>
      </c>
      <c r="I67" s="587"/>
      <c r="J67" s="588" t="s">
        <v>2518</v>
      </c>
      <c r="K67"/>
    </row>
    <row r="68" spans="2:11" ht="15.75">
      <c r="B68" s="601" t="s">
        <v>2559</v>
      </c>
      <c r="C68" s="603"/>
      <c r="D68" s="603"/>
      <c r="E68"/>
      <c r="F68" s="517" t="s">
        <v>2543</v>
      </c>
      <c r="G68" s="521"/>
      <c r="H68" s="517" t="s">
        <v>2544</v>
      </c>
      <c r="I68" s="521"/>
      <c r="J68" s="517" t="s">
        <v>2545</v>
      </c>
      <c r="K68"/>
    </row>
    <row r="69" spans="2:11">
      <c r="B69"/>
      <c r="C69"/>
      <c r="D69" s="8">
        <f>E52</f>
        <v>8</v>
      </c>
      <c r="E69"/>
      <c r="F69" s="602">
        <f>F51</f>
        <v>8.3197464996345794</v>
      </c>
      <c r="G69" s="521"/>
      <c r="H69" s="602">
        <f>H51</f>
        <v>9.2441627773717538</v>
      </c>
      <c r="I69" s="521"/>
      <c r="J69" s="602">
        <f>J51</f>
        <v>12.941827888320455</v>
      </c>
      <c r="K69"/>
    </row>
    <row r="70" spans="2:11">
      <c r="B70"/>
      <c r="C70"/>
      <c r="D70"/>
      <c r="E70"/>
      <c r="F70"/>
      <c r="G70"/>
      <c r="H70" s="8"/>
      <c r="I70"/>
      <c r="J70"/>
      <c r="K70"/>
    </row>
    <row r="71" spans="2:11">
      <c r="B71" s="604" t="s">
        <v>2557</v>
      </c>
      <c r="C71" s="605"/>
      <c r="D71" s="605"/>
      <c r="E71"/>
      <c r="F71"/>
      <c r="G71"/>
      <c r="H71" s="8"/>
      <c r="I71"/>
      <c r="J71"/>
      <c r="K71"/>
    </row>
    <row r="72" spans="2:11">
      <c r="B72"/>
      <c r="C72"/>
      <c r="D72">
        <f>D69</f>
        <v>8</v>
      </c>
      <c r="E72"/>
      <c r="F72">
        <f>F51/F24^1.5</f>
        <v>6.7908295916280403</v>
      </c>
      <c r="G72"/>
      <c r="H72" s="8">
        <f>H51/F24^1.5</f>
        <v>7.5453662129200438</v>
      </c>
      <c r="I72"/>
      <c r="J72"/>
      <c r="K72"/>
    </row>
    <row r="73" spans="2:11">
      <c r="B73"/>
      <c r="C73"/>
      <c r="D73"/>
      <c r="E73"/>
      <c r="F73"/>
      <c r="G73"/>
      <c r="H73" s="8"/>
      <c r="I73"/>
      <c r="J73"/>
      <c r="K73"/>
    </row>
  </sheetData>
  <sheetProtection selectLockedCells="1"/>
  <phoneticPr fontId="0" type="noConversion"/>
  <conditionalFormatting sqref="G53 G50 J50 G45 F42 H42 J42 I58 E62 I62">
    <cfRule type="cellIs" dxfId="1" priority="1" stopIfTrue="1" operator="equal">
      <formula>"¡No!"</formula>
    </cfRule>
    <cfRule type="cellIs" dxfId="0" priority="2" stopIfTrue="1" operator="equal">
      <formula>"¡Si!"</formula>
    </cfRule>
  </conditionalFormatting>
  <dataValidations count="5">
    <dataValidation type="list" allowBlank="1" showInputMessage="1" showErrorMessage="1" sqref="A38" xr:uid="{00000000-0002-0000-0D00-000000000000}">
      <formula1>$M$22:$M$77</formula1>
    </dataValidation>
    <dataValidation type="list" errorStyle="warning" allowBlank="1" showInputMessage="1" showErrorMessage="1" error="Debes elegir un valor" prompt="Elige un coeficiente de minoración del acero" sqref="A58" xr:uid="{00000000-0002-0000-0D00-000001000000}">
      <formula1>$O$22:$O$27</formula1>
    </dataValidation>
    <dataValidation type="list" allowBlank="1" showInputMessage="1" showErrorMessage="1" prompt="elegir del 1 al tres" sqref="A52" xr:uid="{00000000-0002-0000-0D00-000002000000}">
      <formula1>$P$22:$P$27</formula1>
    </dataValidation>
    <dataValidation type="list" allowBlank="1" showInputMessage="1" showErrorMessage="1" sqref="D16" xr:uid="{00000000-0002-0000-0D00-000003000000}">
      <formula1>$B$16:$B$17</formula1>
    </dataValidation>
    <dataValidation type="list" allowBlank="1" showInputMessage="1" showErrorMessage="1" sqref="C5" xr:uid="{00000000-0002-0000-0D00-000004000000}">
      <formula1>$V$4:$V$7</formula1>
    </dataValidation>
  </dataValidations>
  <pageMargins left="0.75" right="0.75" top="1" bottom="1" header="0" footer="0"/>
  <pageSetup paperSize="9" orientation="portrait" horizontalDpi="4294967295" verticalDpi="300" r:id="rId1"/>
  <headerFooter alignWithMargins="0"/>
  <drawing r:id="rId2"/>
  <legacyDrawing r:id="rId3"/>
  <oleObjects>
    <mc:AlternateContent xmlns:mc="http://schemas.openxmlformats.org/markup-compatibility/2006">
      <mc:Choice Requires="x14">
        <oleObject progId="Equation.3" shapeId="10271" r:id="rId4">
          <objectPr defaultSize="0" autoPict="0" r:id="rId5">
            <anchor moveWithCells="1" sizeWithCells="1">
              <from>
                <xdr:col>16</xdr:col>
                <xdr:colOff>38100</xdr:colOff>
                <xdr:row>47</xdr:row>
                <xdr:rowOff>47625</xdr:rowOff>
              </from>
              <to>
                <xdr:col>18</xdr:col>
                <xdr:colOff>19050</xdr:colOff>
                <xdr:row>49</xdr:row>
                <xdr:rowOff>66675</xdr:rowOff>
              </to>
            </anchor>
          </objectPr>
        </oleObject>
      </mc:Choice>
      <mc:Fallback>
        <oleObject progId="Equation.3" shapeId="10271" r:id="rId4"/>
      </mc:Fallback>
    </mc:AlternateContent>
    <mc:AlternateContent xmlns:mc="http://schemas.openxmlformats.org/markup-compatibility/2006">
      <mc:Choice Requires="x14">
        <oleObject progId="Equation.3" shapeId="10272" r:id="rId6">
          <objectPr defaultSize="0" autoPict="0" r:id="rId7">
            <anchor moveWithCells="1" sizeWithCells="1">
              <from>
                <xdr:col>15</xdr:col>
                <xdr:colOff>104775</xdr:colOff>
                <xdr:row>34</xdr:row>
                <xdr:rowOff>47625</xdr:rowOff>
              </from>
              <to>
                <xdr:col>17</xdr:col>
                <xdr:colOff>200025</xdr:colOff>
                <xdr:row>36</xdr:row>
                <xdr:rowOff>19050</xdr:rowOff>
              </to>
            </anchor>
          </objectPr>
        </oleObject>
      </mc:Choice>
      <mc:Fallback>
        <oleObject progId="Equation.3" shapeId="10272" r:id="rId6"/>
      </mc:Fallback>
    </mc:AlternateContent>
    <mc:AlternateContent xmlns:mc="http://schemas.openxmlformats.org/markup-compatibility/2006">
      <mc:Choice Requires="x14">
        <oleObject progId="Equation.3" shapeId="10273" r:id="rId8">
          <objectPr defaultSize="0" autoPict="0" r:id="rId9">
            <anchor moveWithCells="1" sizeWithCells="1">
              <from>
                <xdr:col>17</xdr:col>
                <xdr:colOff>285750</xdr:colOff>
                <xdr:row>34</xdr:row>
                <xdr:rowOff>38100</xdr:rowOff>
              </from>
              <to>
                <xdr:col>18</xdr:col>
                <xdr:colOff>361950</xdr:colOff>
                <xdr:row>36</xdr:row>
                <xdr:rowOff>19050</xdr:rowOff>
              </to>
            </anchor>
          </objectPr>
        </oleObject>
      </mc:Choice>
      <mc:Fallback>
        <oleObject progId="Equation.3" shapeId="10273" r:id="rId8"/>
      </mc:Fallback>
    </mc:AlternateContent>
    <mc:AlternateContent xmlns:mc="http://schemas.openxmlformats.org/markup-compatibility/2006">
      <mc:Choice Requires="x14">
        <oleObject progId="Equation.3" shapeId="10274" r:id="rId10">
          <objectPr defaultSize="0" autoPict="0" r:id="rId11">
            <anchor moveWithCells="1" sizeWithCells="1">
              <from>
                <xdr:col>20</xdr:col>
                <xdr:colOff>228600</xdr:colOff>
                <xdr:row>47</xdr:row>
                <xdr:rowOff>28575</xdr:rowOff>
              </from>
              <to>
                <xdr:col>22</xdr:col>
                <xdr:colOff>361950</xdr:colOff>
                <xdr:row>49</xdr:row>
                <xdr:rowOff>19050</xdr:rowOff>
              </to>
            </anchor>
          </objectPr>
        </oleObject>
      </mc:Choice>
      <mc:Fallback>
        <oleObject progId="Equation.3" shapeId="10274" r:id="rId10"/>
      </mc:Fallback>
    </mc:AlternateContent>
    <mc:AlternateContent xmlns:mc="http://schemas.openxmlformats.org/markup-compatibility/2006">
      <mc:Choice Requires="x14">
        <oleObject progId="Equation.3" shapeId="10275" r:id="rId12">
          <objectPr defaultSize="0" autoPict="0" r:id="rId13">
            <anchor moveWithCells="1" sizeWithCells="1">
              <from>
                <xdr:col>17</xdr:col>
                <xdr:colOff>57150</xdr:colOff>
                <xdr:row>49</xdr:row>
                <xdr:rowOff>57150</xdr:rowOff>
              </from>
              <to>
                <xdr:col>17</xdr:col>
                <xdr:colOff>457200</xdr:colOff>
                <xdr:row>51</xdr:row>
                <xdr:rowOff>19050</xdr:rowOff>
              </to>
            </anchor>
          </objectPr>
        </oleObject>
      </mc:Choice>
      <mc:Fallback>
        <oleObject progId="Equation.3" shapeId="10275" r:id="rId12"/>
      </mc:Fallback>
    </mc:AlternateContent>
  </oleObjec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Hoja15"/>
  <dimension ref="A1:I22"/>
  <sheetViews>
    <sheetView topLeftCell="A31" workbookViewId="0">
      <selection activeCell="K27" sqref="K27"/>
    </sheetView>
  </sheetViews>
  <sheetFormatPr baseColWidth="10" defaultRowHeight="12.75"/>
  <cols>
    <col min="2" max="2" width="7.85546875" customWidth="1"/>
    <col min="3" max="4" width="8" bestFit="1" customWidth="1"/>
    <col min="5" max="5" width="3.85546875" bestFit="1" customWidth="1"/>
    <col min="6" max="6" width="5.140625" bestFit="1" customWidth="1"/>
    <col min="7" max="7" width="8.7109375" bestFit="1" customWidth="1"/>
    <col min="8" max="8" width="9.42578125" bestFit="1" customWidth="1"/>
    <col min="9" max="9" width="8.7109375" bestFit="1" customWidth="1"/>
    <col min="10" max="10" width="8.5703125" customWidth="1"/>
  </cols>
  <sheetData>
    <row r="1" spans="1:9">
      <c r="A1" s="504" t="s">
        <v>2476</v>
      </c>
    </row>
    <row r="2" spans="1:9">
      <c r="A2" s="504" t="s">
        <v>2477</v>
      </c>
    </row>
    <row r="3" spans="1:9">
      <c r="B3" s="508" t="s">
        <v>2485</v>
      </c>
    </row>
    <row r="4" spans="1:9">
      <c r="A4" s="506" t="s">
        <v>2478</v>
      </c>
      <c r="B4" s="506" t="s">
        <v>2466</v>
      </c>
      <c r="C4" s="506" t="s">
        <v>2479</v>
      </c>
      <c r="D4" s="506" t="s">
        <v>2470</v>
      </c>
      <c r="E4" s="506" t="s">
        <v>2480</v>
      </c>
      <c r="F4" s="506" t="s">
        <v>2481</v>
      </c>
      <c r="G4" s="506" t="s">
        <v>2482</v>
      </c>
      <c r="H4" s="506" t="s">
        <v>2483</v>
      </c>
      <c r="I4" s="506" t="s">
        <v>2484</v>
      </c>
    </row>
    <row r="5" spans="1:9">
      <c r="A5" s="8">
        <v>100</v>
      </c>
      <c r="B5" s="8">
        <v>0.13</v>
      </c>
      <c r="C5" s="507">
        <v>57.8</v>
      </c>
      <c r="D5" s="507">
        <v>11.7</v>
      </c>
      <c r="E5" s="8"/>
      <c r="F5" s="8">
        <v>1</v>
      </c>
      <c r="G5" s="8">
        <v>0.55000000000000004</v>
      </c>
      <c r="H5" s="8">
        <v>0.77</v>
      </c>
      <c r="I5" s="8">
        <v>0.91</v>
      </c>
    </row>
    <row r="6" spans="1:9">
      <c r="A6" s="8">
        <v>200</v>
      </c>
      <c r="B6" s="8">
        <v>0.27</v>
      </c>
      <c r="C6" s="8">
        <v>53</v>
      </c>
      <c r="D6" s="507">
        <v>11.7</v>
      </c>
      <c r="E6" s="8"/>
      <c r="F6" s="8">
        <v>1.3</v>
      </c>
      <c r="G6" s="8">
        <v>0.46</v>
      </c>
      <c r="H6" s="8">
        <v>0.81</v>
      </c>
      <c r="I6" s="8">
        <v>1.04</v>
      </c>
    </row>
    <row r="7" spans="1:9">
      <c r="A7" s="8">
        <v>300</v>
      </c>
      <c r="B7" s="8">
        <v>0.4</v>
      </c>
      <c r="C7" s="8">
        <v>43.3</v>
      </c>
      <c r="D7" s="507">
        <v>11.7</v>
      </c>
      <c r="E7" s="8"/>
      <c r="F7" s="8">
        <v>2</v>
      </c>
      <c r="G7" s="8">
        <v>0.4</v>
      </c>
      <c r="H7" s="8">
        <v>0.89</v>
      </c>
      <c r="I7" s="8">
        <v>1.18</v>
      </c>
    </row>
    <row r="8" spans="1:9">
      <c r="A8" s="8">
        <v>350</v>
      </c>
      <c r="B8" s="505">
        <v>0.47</v>
      </c>
      <c r="C8" s="8">
        <v>38.4</v>
      </c>
      <c r="D8" s="8">
        <v>11.5</v>
      </c>
      <c r="E8" s="8"/>
      <c r="F8" s="8">
        <v>2.2999999999999998</v>
      </c>
      <c r="G8" s="8">
        <v>0.41</v>
      </c>
      <c r="H8" s="8">
        <v>0.95</v>
      </c>
      <c r="I8" s="8">
        <v>1.24</v>
      </c>
    </row>
    <row r="9" spans="1:9">
      <c r="A9" s="8">
        <v>373.2</v>
      </c>
      <c r="B9" s="8">
        <v>0.5</v>
      </c>
      <c r="C9" s="8">
        <v>36.200000000000003</v>
      </c>
      <c r="D9" s="8">
        <v>11.4</v>
      </c>
      <c r="E9" s="8"/>
      <c r="F9" s="8">
        <v>2.5</v>
      </c>
      <c r="G9" s="8">
        <v>0.43</v>
      </c>
      <c r="H9" s="8">
        <v>0.99</v>
      </c>
      <c r="I9" s="8">
        <v>1.27</v>
      </c>
    </row>
    <row r="10" spans="1:9">
      <c r="A10" s="8">
        <v>400</v>
      </c>
      <c r="B10" s="8">
        <v>0.54</v>
      </c>
      <c r="C10" s="8">
        <v>33.6</v>
      </c>
      <c r="D10" s="8">
        <v>11.1</v>
      </c>
      <c r="E10" s="8"/>
      <c r="F10" s="8">
        <v>2.7</v>
      </c>
      <c r="G10" s="8">
        <v>0.47</v>
      </c>
      <c r="H10" s="8">
        <v>1.05</v>
      </c>
      <c r="I10" s="8">
        <v>1.31</v>
      </c>
    </row>
    <row r="11" spans="1:9">
      <c r="A11" s="8">
        <v>500</v>
      </c>
      <c r="B11" s="8">
        <v>0.67</v>
      </c>
      <c r="C11" s="8">
        <v>23.9</v>
      </c>
      <c r="D11" s="8">
        <v>9.4</v>
      </c>
      <c r="E11" s="8"/>
      <c r="F11" s="8">
        <v>3.3</v>
      </c>
      <c r="G11" s="8">
        <v>0.82</v>
      </c>
      <c r="H11" s="8">
        <v>1.37</v>
      </c>
      <c r="I11" s="8">
        <v>1.44</v>
      </c>
    </row>
    <row r="12" spans="1:9">
      <c r="A12" s="8">
        <v>524</v>
      </c>
      <c r="B12" s="8">
        <v>0.7</v>
      </c>
      <c r="C12" s="8">
        <v>21.6</v>
      </c>
      <c r="D12" s="8">
        <v>8.8000000000000007</v>
      </c>
      <c r="E12" s="8"/>
      <c r="F12" s="8">
        <v>3.5</v>
      </c>
      <c r="G12" s="8">
        <v>1</v>
      </c>
      <c r="H12" s="8">
        <v>1.5</v>
      </c>
      <c r="I12" s="8">
        <v>1.48</v>
      </c>
    </row>
    <row r="13" spans="1:9">
      <c r="A13" s="8"/>
      <c r="B13" s="8"/>
      <c r="C13" s="8"/>
      <c r="D13" s="8"/>
      <c r="E13" s="8"/>
      <c r="F13" s="8"/>
      <c r="G13" s="8"/>
      <c r="H13" s="8"/>
      <c r="I13" s="8"/>
    </row>
    <row r="14" spans="1:9">
      <c r="A14" s="8"/>
      <c r="B14" s="8"/>
      <c r="C14" s="8"/>
      <c r="D14" s="8"/>
      <c r="E14" s="8"/>
      <c r="F14" s="8"/>
      <c r="G14" s="8"/>
      <c r="H14" s="8"/>
      <c r="I14" s="8"/>
    </row>
    <row r="15" spans="1:9">
      <c r="A15" s="8"/>
      <c r="B15" s="8"/>
      <c r="C15" s="8"/>
      <c r="D15" s="8"/>
      <c r="E15" s="8"/>
      <c r="F15" s="8"/>
      <c r="G15" s="8"/>
      <c r="H15" s="8"/>
      <c r="I15" s="8"/>
    </row>
    <row r="16" spans="1:9">
      <c r="A16" s="8"/>
      <c r="B16" s="8"/>
      <c r="C16" s="8"/>
      <c r="D16" s="8"/>
      <c r="E16" s="8"/>
      <c r="F16" s="8"/>
      <c r="G16" s="8"/>
      <c r="H16" s="8"/>
      <c r="I16" s="8"/>
    </row>
    <row r="17" spans="1:9">
      <c r="A17" s="8"/>
      <c r="B17" s="8"/>
      <c r="C17" s="8"/>
      <c r="D17" s="8"/>
      <c r="E17" s="8"/>
      <c r="F17" s="8"/>
      <c r="G17" s="8"/>
      <c r="H17" s="8"/>
      <c r="I17" s="8"/>
    </row>
    <row r="18" spans="1:9">
      <c r="A18" s="8"/>
      <c r="B18" s="8"/>
      <c r="C18" s="8"/>
      <c r="D18" s="8"/>
      <c r="E18" s="8"/>
      <c r="F18" s="8"/>
      <c r="G18" s="8"/>
      <c r="H18" s="8"/>
      <c r="I18" s="8"/>
    </row>
    <row r="19" spans="1:9">
      <c r="A19" s="8"/>
      <c r="B19" s="8"/>
      <c r="C19" s="8"/>
      <c r="D19" s="8"/>
      <c r="E19" s="8"/>
      <c r="F19" s="8"/>
      <c r="G19" s="8"/>
      <c r="H19" s="8"/>
      <c r="I19" s="8"/>
    </row>
    <row r="20" spans="1:9">
      <c r="A20" s="8"/>
      <c r="B20" s="8"/>
      <c r="C20" s="8"/>
      <c r="D20" s="8"/>
      <c r="E20" s="8"/>
      <c r="F20" s="8"/>
      <c r="G20" s="8"/>
      <c r="H20" s="8"/>
      <c r="I20" s="8"/>
    </row>
    <row r="21" spans="1:9">
      <c r="A21" s="8"/>
      <c r="B21" s="8"/>
      <c r="C21" s="8"/>
      <c r="D21" s="8"/>
      <c r="E21" s="8"/>
      <c r="F21" s="8"/>
      <c r="G21" s="8"/>
      <c r="H21" s="8"/>
      <c r="I21" s="8"/>
    </row>
    <row r="22" spans="1:9">
      <c r="A22" s="8"/>
      <c r="B22" s="8"/>
      <c r="C22" s="8"/>
      <c r="D22" s="8"/>
      <c r="E22" s="8"/>
      <c r="F22" s="8"/>
      <c r="G22" s="8"/>
      <c r="H22" s="8"/>
      <c r="I22" s="8"/>
    </row>
  </sheetData>
  <phoneticPr fontId="0" type="noConversion"/>
  <pageMargins left="0.75" right="0.75" top="1" bottom="1" header="0" footer="0"/>
  <pageSetup paperSize="9" orientation="portrait" horizontalDpi="4294967295" verticalDpi="300"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Hoja16"/>
  <dimension ref="B2:J96"/>
  <sheetViews>
    <sheetView topLeftCell="B1" workbookViewId="0">
      <selection activeCell="J27" sqref="J27"/>
    </sheetView>
  </sheetViews>
  <sheetFormatPr baseColWidth="10" defaultRowHeight="12.75"/>
  <cols>
    <col min="1" max="1" width="0" hidden="1" customWidth="1"/>
    <col min="3" max="3" width="11.42578125" style="8"/>
    <col min="9" max="9" width="11.42578125" style="8"/>
  </cols>
  <sheetData>
    <row r="2" spans="2:10">
      <c r="B2">
        <f>IPE!B2</f>
        <v>0</v>
      </c>
    </row>
    <row r="3" spans="2:10">
      <c r="B3">
        <f>IPE!B3</f>
        <v>0</v>
      </c>
    </row>
    <row r="4" spans="2:10">
      <c r="B4">
        <f>IPE!B4</f>
        <v>0</v>
      </c>
      <c r="E4" t="s">
        <v>2454</v>
      </c>
    </row>
    <row r="5" spans="2:10">
      <c r="B5">
        <f>IPE!B5</f>
        <v>0</v>
      </c>
      <c r="D5" t="s">
        <v>2457</v>
      </c>
      <c r="E5" t="s">
        <v>2458</v>
      </c>
      <c r="F5" t="s">
        <v>2459</v>
      </c>
      <c r="G5" t="s">
        <v>2460</v>
      </c>
      <c r="H5" t="s">
        <v>2456</v>
      </c>
      <c r="I5" s="8" t="s">
        <v>2461</v>
      </c>
      <c r="J5" t="s">
        <v>2462</v>
      </c>
    </row>
    <row r="6" spans="2:10">
      <c r="B6">
        <f>IPE!B6</f>
        <v>0</v>
      </c>
      <c r="C6" s="478" t="s">
        <v>33</v>
      </c>
      <c r="D6" s="477">
        <v>0</v>
      </c>
      <c r="E6" s="477">
        <v>0.25</v>
      </c>
      <c r="F6" s="477">
        <v>0.5</v>
      </c>
      <c r="G6" s="477">
        <v>0.75</v>
      </c>
      <c r="H6" s="477">
        <v>1</v>
      </c>
      <c r="I6" s="479" t="s">
        <v>2455</v>
      </c>
    </row>
    <row r="7" spans="2:10">
      <c r="B7" t="str">
        <f>IPE!B7</f>
        <v>IPE 80</v>
      </c>
      <c r="C7" s="1">
        <f>(IPE!I7-0.02*IPE!E7*IPE!G7)/IPE!I7</f>
        <v>0.3738219895287957</v>
      </c>
      <c r="D7" s="252">
        <f>IPE!V7</f>
        <v>23.22</v>
      </c>
      <c r="E7" s="252">
        <f>$D7-0.25*IPE!$F7/10*IPE!$K7/10*E$6</f>
        <v>23.07845</v>
      </c>
      <c r="F7" s="252">
        <f>$D7-0.25*IPE!$F7/10*IPE!$K7/10*F$6</f>
        <v>22.936899999999998</v>
      </c>
      <c r="G7" s="252">
        <f>$D7-0.25*IPE!$F7/10*IPE!$K7/10*G$6</f>
        <v>22.795349999999999</v>
      </c>
      <c r="H7" s="252">
        <f>$D7-0.25*IPE!$F7/10*IPE!$K7/10*H$6</f>
        <v>22.6538</v>
      </c>
      <c r="I7" s="254">
        <f>(H7/D7)*100</f>
        <v>97.561584840654618</v>
      </c>
      <c r="J7" s="254">
        <f>(IPE!I7-2*IPE!G7/100*IPE!E7)/IPE!I7*100</f>
        <v>37.38219895287957</v>
      </c>
    </row>
    <row r="8" spans="2:10">
      <c r="B8" t="str">
        <f>IPE!B8</f>
        <v>IPE 100</v>
      </c>
      <c r="C8" s="1">
        <f>(IPE!I8-0.02*IPE!E8*IPE!G8)/IPE!I8</f>
        <v>0.39126213592233011</v>
      </c>
      <c r="D8" s="252">
        <f>IPE!V8</f>
        <v>39.409999999999997</v>
      </c>
      <c r="E8" s="252">
        <f>$D8-0.25*IPE!$F8/10*IPE!$K8/10*E$6</f>
        <v>39.218837499999999</v>
      </c>
      <c r="F8" s="252">
        <f>$D8-0.25*IPE!$F8/10*IPE!$K8/10*F$6</f>
        <v>39.027674999999995</v>
      </c>
      <c r="G8" s="252">
        <f>$D8-0.25*IPE!$F8/10*IPE!$K8/10*G$6</f>
        <v>38.836512499999998</v>
      </c>
      <c r="H8" s="252">
        <f>$D8-0.25*IPE!$F8/10*IPE!$K8/10*H$6</f>
        <v>38.645349999999993</v>
      </c>
      <c r="I8" s="254">
        <f t="shared" ref="I8:I71" si="0">(H8/D8)*100</f>
        <v>98.059756407003292</v>
      </c>
      <c r="J8" s="254">
        <f>(IPE!I8-2*IPE!G8/100*IPE!E8)/IPE!I8*100</f>
        <v>39.126213592233015</v>
      </c>
    </row>
    <row r="9" spans="2:10">
      <c r="B9" t="str">
        <f>IPE!B9</f>
        <v>IPE 120</v>
      </c>
      <c r="C9" s="1">
        <f>(IPE!I9-0.02*IPE!E9*IPE!G9)/IPE!I9</f>
        <v>0.38909090909090904</v>
      </c>
      <c r="D9" s="252">
        <f>IPE!V9</f>
        <v>60.73</v>
      </c>
      <c r="E9" s="252">
        <f>$D9-0.25*IPE!$F9/10*IPE!$K9/10*E$6</f>
        <v>60.473149999999997</v>
      </c>
      <c r="F9" s="252">
        <f>$D9-0.25*IPE!$F9/10*IPE!$K9/10*F$6</f>
        <v>60.216299999999997</v>
      </c>
      <c r="G9" s="252">
        <f>$D9-0.25*IPE!$F9/10*IPE!$K9/10*G$6</f>
        <v>59.959449999999997</v>
      </c>
      <c r="H9" s="252">
        <f>$D9-0.25*IPE!$F9/10*IPE!$K9/10*H$6</f>
        <v>59.702599999999997</v>
      </c>
      <c r="I9" s="254">
        <f t="shared" si="0"/>
        <v>98.308249629507657</v>
      </c>
      <c r="J9" s="254">
        <f>(IPE!I9-2*IPE!G9/100*IPE!E9)/IPE!I9*100</f>
        <v>38.909090909090907</v>
      </c>
    </row>
    <row r="10" spans="2:10">
      <c r="B10" t="str">
        <f>IPE!B10</f>
        <v>IPE 140</v>
      </c>
      <c r="C10" s="1">
        <f>(IPE!I10-0.02*IPE!E10*IPE!G10)/IPE!I10</f>
        <v>0.38573170731707312</v>
      </c>
      <c r="D10" s="252">
        <f>IPE!V10</f>
        <v>88.34</v>
      </c>
      <c r="E10" s="252">
        <f>$D10-0.25*IPE!$F10/10*IPE!$K10/10*E$6</f>
        <v>88.010412500000001</v>
      </c>
      <c r="F10" s="252">
        <f>$D10-0.25*IPE!$F10/10*IPE!$K10/10*F$6</f>
        <v>87.680824999999999</v>
      </c>
      <c r="G10" s="252">
        <f>$D10-0.25*IPE!$F10/10*IPE!$K10/10*G$6</f>
        <v>87.351237499999996</v>
      </c>
      <c r="H10" s="252">
        <f>$D10-0.25*IPE!$F10/10*IPE!$K10/10*H$6</f>
        <v>87.021650000000008</v>
      </c>
      <c r="I10" s="254">
        <f t="shared" si="0"/>
        <v>98.507640932759799</v>
      </c>
      <c r="J10" s="254">
        <f>(IPE!I10-2*IPE!G10/100*IPE!E10)/IPE!I10*100</f>
        <v>38.5731707317073</v>
      </c>
    </row>
    <row r="11" spans="2:10">
      <c r="B11" t="str">
        <f>IPE!B11</f>
        <v>IPE 160</v>
      </c>
      <c r="C11" s="1">
        <f>(IPE!I11-0.02*IPE!E11*IPE!G11)/IPE!I11</f>
        <v>0.39621890547263683</v>
      </c>
      <c r="D11" s="252">
        <f>IPE!V11</f>
        <v>123.9</v>
      </c>
      <c r="E11" s="252">
        <f>$D11-0.25*IPE!$F11/10*IPE!$K11/10*E$6</f>
        <v>123.50250000000001</v>
      </c>
      <c r="F11" s="252">
        <f>$D11-0.25*IPE!$F11/10*IPE!$K11/10*F$6</f>
        <v>123.105</v>
      </c>
      <c r="G11" s="252">
        <f>$D11-0.25*IPE!$F11/10*IPE!$K11/10*G$6</f>
        <v>122.70750000000001</v>
      </c>
      <c r="H11" s="252">
        <f>$D11-0.25*IPE!$F11/10*IPE!$K11/10*H$6</f>
        <v>122.31</v>
      </c>
      <c r="I11" s="254">
        <f t="shared" si="0"/>
        <v>98.716707021791763</v>
      </c>
      <c r="J11" s="254">
        <f>(IPE!I11-2*IPE!G11/100*IPE!E11)/IPE!I11*100</f>
        <v>39.621890547263682</v>
      </c>
    </row>
    <row r="12" spans="2:10">
      <c r="B12" t="str">
        <f>IPE!B12</f>
        <v>IPE 180</v>
      </c>
      <c r="C12" s="1">
        <f>(IPE!I12-0.02*IPE!E12*IPE!G12)/IPE!I12</f>
        <v>0.39079497907949784</v>
      </c>
      <c r="D12" s="252">
        <f>IPE!V12</f>
        <v>166.4</v>
      </c>
      <c r="E12" s="252">
        <f>$D12-0.25*IPE!$F12/10*IPE!$K12/10*E$6</f>
        <v>165.91637500000002</v>
      </c>
      <c r="F12" s="252">
        <f>$D12-0.25*IPE!$F12/10*IPE!$K12/10*F$6</f>
        <v>165.43275</v>
      </c>
      <c r="G12" s="252">
        <f>$D12-0.25*IPE!$F12/10*IPE!$K12/10*G$6</f>
        <v>164.94912500000001</v>
      </c>
      <c r="H12" s="252">
        <f>$D12-0.25*IPE!$F12/10*IPE!$K12/10*H$6</f>
        <v>164.46549999999999</v>
      </c>
      <c r="I12" s="254">
        <f t="shared" si="0"/>
        <v>98.837439903846146</v>
      </c>
      <c r="J12" s="254">
        <f>(IPE!I12-2*IPE!G12/100*IPE!E12)/IPE!I12*100</f>
        <v>39.079497907949786</v>
      </c>
    </row>
    <row r="13" spans="2:10">
      <c r="B13" t="str">
        <f>IPE!B13</f>
        <v>IPE 200</v>
      </c>
      <c r="C13" s="1">
        <f>(IPE!I13-0.02*IPE!E13*IPE!G13)/IPE!I13</f>
        <v>0.40350877192982454</v>
      </c>
      <c r="D13" s="252">
        <f>IPE!V13</f>
        <v>220.6</v>
      </c>
      <c r="E13" s="252">
        <f>$D13-0.25*IPE!$F13/10*IPE!$K13/10*E$6</f>
        <v>220.04349999999999</v>
      </c>
      <c r="F13" s="252">
        <f>$D13-0.25*IPE!$F13/10*IPE!$K13/10*F$6</f>
        <v>219.48699999999999</v>
      </c>
      <c r="G13" s="252">
        <f>$D13-0.25*IPE!$F13/10*IPE!$K13/10*G$6</f>
        <v>218.93049999999999</v>
      </c>
      <c r="H13" s="252">
        <f>$D13-0.25*IPE!$F13/10*IPE!$K13/10*H$6</f>
        <v>218.374</v>
      </c>
      <c r="I13" s="254">
        <f t="shared" si="0"/>
        <v>98.990933816863105</v>
      </c>
      <c r="J13" s="254">
        <f>(IPE!I13-2*IPE!G13/100*IPE!E13)/IPE!I13*100</f>
        <v>40.350877192982452</v>
      </c>
    </row>
    <row r="14" spans="2:10">
      <c r="B14" t="str">
        <f>IPE!B14</f>
        <v>IPE 220</v>
      </c>
      <c r="C14" s="1">
        <f>(IPE!I14-0.02*IPE!E14*IPE!G14)/IPE!I14</f>
        <v>0.39401197604790422</v>
      </c>
      <c r="D14" s="252">
        <f>IPE!V14</f>
        <v>285.39999999999998</v>
      </c>
      <c r="E14" s="252">
        <f>$D14-0.25*IPE!$F14/10*IPE!$K14/10*E$6</f>
        <v>284.74509999999998</v>
      </c>
      <c r="F14" s="252">
        <f>$D14-0.25*IPE!$F14/10*IPE!$K14/10*F$6</f>
        <v>284.09019999999998</v>
      </c>
      <c r="G14" s="252">
        <f>$D14-0.25*IPE!$F14/10*IPE!$K14/10*G$6</f>
        <v>283.43529999999998</v>
      </c>
      <c r="H14" s="252">
        <f>$D14-0.25*IPE!$F14/10*IPE!$K14/10*H$6</f>
        <v>282.78039999999999</v>
      </c>
      <c r="I14" s="254">
        <f t="shared" si="0"/>
        <v>99.082130343377713</v>
      </c>
      <c r="J14" s="254">
        <f>(IPE!I14-2*IPE!G14/100*IPE!E14)/IPE!I14*100</f>
        <v>39.401197604790426</v>
      </c>
    </row>
    <row r="15" spans="2:10">
      <c r="B15" t="str">
        <f>IPE!B15</f>
        <v>IPE 240</v>
      </c>
      <c r="C15" s="1">
        <f>(IPE!I15-0.02*IPE!E15*IPE!G15)/IPE!I15</f>
        <v>0.39846547314578007</v>
      </c>
      <c r="D15" s="252">
        <f>IPE!V15</f>
        <v>366.6</v>
      </c>
      <c r="E15" s="252">
        <f>$D15-0.25*IPE!$F15/10*IPE!$K15/10*E$6</f>
        <v>365.86220000000003</v>
      </c>
      <c r="F15" s="252">
        <f>$D15-0.25*IPE!$F15/10*IPE!$K15/10*F$6</f>
        <v>365.12440000000004</v>
      </c>
      <c r="G15" s="252">
        <f>$D15-0.25*IPE!$F15/10*IPE!$K15/10*G$6</f>
        <v>364.38660000000004</v>
      </c>
      <c r="H15" s="252">
        <f>$D15-0.25*IPE!$F15/10*IPE!$K15/10*H$6</f>
        <v>363.64880000000005</v>
      </c>
      <c r="I15" s="254">
        <f t="shared" si="0"/>
        <v>99.194980905619218</v>
      </c>
      <c r="J15" s="254">
        <f>(IPE!I15-2*IPE!G15/100*IPE!E15)/IPE!I15*100</f>
        <v>39.846547314578004</v>
      </c>
    </row>
    <row r="16" spans="2:10">
      <c r="B16" t="str">
        <f>IPE!B16</f>
        <v>IPE 270</v>
      </c>
      <c r="C16" s="1">
        <f>(IPE!I16-0.02*IPE!E16*IPE!G16)/IPE!I16</f>
        <v>0.4</v>
      </c>
      <c r="D16" s="252">
        <f>IPE!V16</f>
        <v>484</v>
      </c>
      <c r="E16" s="252">
        <f>$D16-0.25*IPE!$F16/10*IPE!$K16/10*E$6</f>
        <v>483.09415000000001</v>
      </c>
      <c r="F16" s="252">
        <f>$D16-0.25*IPE!$F16/10*IPE!$K16/10*F$6</f>
        <v>482.18830000000003</v>
      </c>
      <c r="G16" s="252">
        <f>$D16-0.25*IPE!$F16/10*IPE!$K16/10*G$6</f>
        <v>481.28244999999998</v>
      </c>
      <c r="H16" s="252">
        <f>$D16-0.25*IPE!$F16/10*IPE!$K16/10*H$6</f>
        <v>480.3766</v>
      </c>
      <c r="I16" s="254">
        <f t="shared" si="0"/>
        <v>99.251363636363635</v>
      </c>
      <c r="J16" s="254">
        <f>(IPE!I16-2*IPE!G16/100*IPE!E16)/IPE!I16*100</f>
        <v>40</v>
      </c>
    </row>
    <row r="17" spans="2:10">
      <c r="B17" t="str">
        <f>IPE!B17</f>
        <v>IPE 300</v>
      </c>
      <c r="C17" s="1">
        <f>(IPE!I17-0.02*IPE!E17*IPE!G17)/IPE!I17</f>
        <v>0.40334572490706327</v>
      </c>
      <c r="D17" s="252">
        <f>IPE!V17</f>
        <v>628.4</v>
      </c>
      <c r="E17" s="252">
        <f>$D17-0.25*IPE!$F17/10*IPE!$K17/10*E$6</f>
        <v>627.29683749999992</v>
      </c>
      <c r="F17" s="252">
        <f>$D17-0.25*IPE!$F17/10*IPE!$K17/10*F$6</f>
        <v>626.19367499999998</v>
      </c>
      <c r="G17" s="252">
        <f>$D17-0.25*IPE!$F17/10*IPE!$K17/10*G$6</f>
        <v>625.09051249999993</v>
      </c>
      <c r="H17" s="252">
        <f>$D17-0.25*IPE!$F17/10*IPE!$K17/10*H$6</f>
        <v>623.98734999999999</v>
      </c>
      <c r="I17" s="254">
        <f t="shared" si="0"/>
        <v>99.297795989815413</v>
      </c>
      <c r="J17" s="254">
        <f>(IPE!I17-2*IPE!G17/100*IPE!E17)/IPE!I17*100</f>
        <v>40.334572490706314</v>
      </c>
    </row>
    <row r="18" spans="2:10">
      <c r="B18" t="str">
        <f>IPE!B18</f>
        <v>IPE 330</v>
      </c>
      <c r="C18" s="1">
        <f>(IPE!I18-0.02*IPE!E18*IPE!G18)/IPE!I18</f>
        <v>0.41214057507987217</v>
      </c>
      <c r="D18" s="252">
        <f>IPE!V18</f>
        <v>804.3</v>
      </c>
      <c r="E18" s="252">
        <f>$D18-0.25*IPE!$F18/10*IPE!$K18/10*E$6</f>
        <v>803.02968749999991</v>
      </c>
      <c r="F18" s="252">
        <f>$D18-0.25*IPE!$F18/10*IPE!$K18/10*F$6</f>
        <v>801.75937499999998</v>
      </c>
      <c r="G18" s="252">
        <f>$D18-0.25*IPE!$F18/10*IPE!$K18/10*G$6</f>
        <v>800.48906249999993</v>
      </c>
      <c r="H18" s="252">
        <f>$D18-0.25*IPE!$F18/10*IPE!$K18/10*H$6</f>
        <v>799.21875</v>
      </c>
      <c r="I18" s="254">
        <f t="shared" si="0"/>
        <v>99.36823946288699</v>
      </c>
      <c r="J18" s="254">
        <f>(IPE!I18-2*IPE!G18/100*IPE!E18)/IPE!I18*100</f>
        <v>41.214057507987221</v>
      </c>
    </row>
    <row r="19" spans="2:10">
      <c r="B19" t="str">
        <f>IPE!B19</f>
        <v>IPE 360</v>
      </c>
      <c r="C19" s="1">
        <f>(IPE!I19-0.02*IPE!E19*IPE!G19)/IPE!I19</f>
        <v>0.40605226960110041</v>
      </c>
      <c r="D19" s="252">
        <f>IPE!V19</f>
        <v>1019</v>
      </c>
      <c r="E19" s="252">
        <f>$D19-0.25*IPE!$F19/10*IPE!$K19/10*E$6</f>
        <v>1017.5069999999999</v>
      </c>
      <c r="F19" s="252">
        <f>$D19-0.25*IPE!$F19/10*IPE!$K19/10*F$6</f>
        <v>1016.014</v>
      </c>
      <c r="G19" s="252">
        <f>$D19-0.25*IPE!$F19/10*IPE!$K19/10*G$6</f>
        <v>1014.521</v>
      </c>
      <c r="H19" s="252">
        <f>$D19-0.25*IPE!$F19/10*IPE!$K19/10*H$6</f>
        <v>1013.028</v>
      </c>
      <c r="I19" s="254">
        <f t="shared" si="0"/>
        <v>99.41393523061825</v>
      </c>
      <c r="J19" s="254">
        <f>(IPE!I19-2*IPE!G19/100*IPE!E19)/IPE!I19*100</f>
        <v>40.605226960110045</v>
      </c>
    </row>
    <row r="20" spans="2:10">
      <c r="B20" t="str">
        <f>IPE!B20</f>
        <v>IPE 400</v>
      </c>
      <c r="C20" s="1">
        <f>(IPE!I20-0.02*IPE!E20*IPE!G20)/IPE!I20</f>
        <v>0.42485207100591715</v>
      </c>
      <c r="D20" s="252">
        <f>IPE!V20</f>
        <v>1307</v>
      </c>
      <c r="E20" s="252">
        <f>$D20-0.25*IPE!$F20/10*IPE!$K20/10*E$6</f>
        <v>1305.220875</v>
      </c>
      <c r="F20" s="252">
        <f>$D20-0.25*IPE!$F20/10*IPE!$K20/10*F$6</f>
        <v>1303.44175</v>
      </c>
      <c r="G20" s="252">
        <f>$D20-0.25*IPE!$F20/10*IPE!$K20/10*G$6</f>
        <v>1301.6626249999999</v>
      </c>
      <c r="H20" s="252">
        <f>$D20-0.25*IPE!$F20/10*IPE!$K20/10*H$6</f>
        <v>1299.8834999999999</v>
      </c>
      <c r="I20" s="254">
        <f t="shared" si="0"/>
        <v>99.45550879877581</v>
      </c>
      <c r="J20" s="254">
        <f>(IPE!I20-2*IPE!G20/100*IPE!E20)/IPE!I20*100</f>
        <v>42.485207100591715</v>
      </c>
    </row>
    <row r="21" spans="2:10">
      <c r="B21" t="str">
        <f>IPE!B21</f>
        <v>IPE 450</v>
      </c>
      <c r="C21" s="1">
        <f>(IPE!I21-0.02*IPE!E21*IPE!G21)/IPE!I21</f>
        <v>0.4384615384615384</v>
      </c>
      <c r="D21" s="252">
        <f>IPE!V21</f>
        <v>1702</v>
      </c>
      <c r="E21" s="252">
        <f>$D21-0.25*IPE!$F21/10*IPE!$K21/10*E$6</f>
        <v>1699.7745500000001</v>
      </c>
      <c r="F21" s="252">
        <f>$D21-0.25*IPE!$F21/10*IPE!$K21/10*F$6</f>
        <v>1697.5491</v>
      </c>
      <c r="G21" s="252">
        <f>$D21-0.25*IPE!$F21/10*IPE!$K21/10*G$6</f>
        <v>1695.32365</v>
      </c>
      <c r="H21" s="252">
        <f>$D21-0.25*IPE!$F21/10*IPE!$K21/10*H$6</f>
        <v>1693.0981999999999</v>
      </c>
      <c r="I21" s="254">
        <f t="shared" si="0"/>
        <v>99.476980023501767</v>
      </c>
      <c r="J21" s="254">
        <f>(IPE!I21-2*IPE!G21/100*IPE!E21)/IPE!I21*100</f>
        <v>43.846153846153847</v>
      </c>
    </row>
    <row r="22" spans="2:10">
      <c r="B22" t="str">
        <f>IPE!B22</f>
        <v>IPE 500</v>
      </c>
      <c r="C22" s="1">
        <f>(IPE!I22-0.02*IPE!E22*IPE!G22)/IPE!I22</f>
        <v>0.44827586206896552</v>
      </c>
      <c r="D22" s="252">
        <f>IPE!V22</f>
        <v>2194</v>
      </c>
      <c r="E22" s="252">
        <f>$D22-0.25*IPE!$F22/10*IPE!$K22/10*E$6</f>
        <v>2191.2842500000002</v>
      </c>
      <c r="F22" s="252">
        <f>$D22-0.25*IPE!$F22/10*IPE!$K22/10*F$6</f>
        <v>2188.5684999999999</v>
      </c>
      <c r="G22" s="252">
        <f>$D22-0.25*IPE!$F22/10*IPE!$K22/10*G$6</f>
        <v>2185.85275</v>
      </c>
      <c r="H22" s="252">
        <f>$D22-0.25*IPE!$F22/10*IPE!$K22/10*H$6</f>
        <v>2183.1370000000002</v>
      </c>
      <c r="I22" s="254">
        <f t="shared" si="0"/>
        <v>99.504876937101187</v>
      </c>
      <c r="J22" s="254">
        <f>(IPE!I22-2*IPE!G22/100*IPE!E22)/IPE!I22*100</f>
        <v>44.827586206896555</v>
      </c>
    </row>
    <row r="23" spans="2:10">
      <c r="B23" t="str">
        <f>IPE!B23</f>
        <v xml:space="preserve">IPE 550                 </v>
      </c>
      <c r="C23" s="1">
        <f>(IPE!I23-0.02*IPE!E23*IPE!G23)/IPE!I23</f>
        <v>0.46089552238805975</v>
      </c>
      <c r="D23" s="252">
        <f>IPE!V23</f>
        <v>2787</v>
      </c>
      <c r="E23" s="252">
        <f>$D23-0.25*IPE!$F23/10*IPE!$K23/10*E$6</f>
        <v>2783.7560250000001</v>
      </c>
      <c r="F23" s="252">
        <f>$D23-0.25*IPE!$F23/10*IPE!$K23/10*F$6</f>
        <v>2780.5120499999998</v>
      </c>
      <c r="G23" s="252">
        <f>$D23-0.25*IPE!$F23/10*IPE!$K23/10*G$6</f>
        <v>2777.268075</v>
      </c>
      <c r="H23" s="252">
        <f>$D23-0.25*IPE!$F23/10*IPE!$K23/10*H$6</f>
        <v>2774.0241000000001</v>
      </c>
      <c r="I23" s="254">
        <f t="shared" si="0"/>
        <v>99.534413347685685</v>
      </c>
      <c r="J23" s="254">
        <f>(IPE!I23-2*IPE!G23/100*IPE!E23)/IPE!I23*100</f>
        <v>46.089552238805979</v>
      </c>
    </row>
    <row r="24" spans="2:10">
      <c r="B24" t="str">
        <f>IPE!B24</f>
        <v>IPE 600</v>
      </c>
      <c r="C24" s="1">
        <f>(IPE!I24-0.02*IPE!E24*IPE!G24)/IPE!I24</f>
        <v>0.46410256410256406</v>
      </c>
      <c r="D24" s="252">
        <f>IPE!V24</f>
        <v>3512</v>
      </c>
      <c r="E24" s="252">
        <f>$D24-0.25*IPE!$F24/10*IPE!$K24/10*E$6</f>
        <v>3508.145</v>
      </c>
      <c r="F24" s="252">
        <f>$D24-0.25*IPE!$F24/10*IPE!$K24/10*F$6</f>
        <v>3504.29</v>
      </c>
      <c r="G24" s="252">
        <f>$D24-0.25*IPE!$F24/10*IPE!$K24/10*G$6</f>
        <v>3500.4349999999999</v>
      </c>
      <c r="H24" s="252">
        <f>$D24-0.25*IPE!$F24/10*IPE!$K24/10*H$6</f>
        <v>3496.58</v>
      </c>
      <c r="I24" s="254">
        <f t="shared" si="0"/>
        <v>99.56093394077449</v>
      </c>
      <c r="J24" s="254">
        <f>(IPE!I24-2*IPE!G24/100*IPE!E24)/IPE!I24*100</f>
        <v>46.410256410256409</v>
      </c>
    </row>
    <row r="25" spans="2:10">
      <c r="B25" t="str">
        <f>IPE!B25</f>
        <v>HE 100 B</v>
      </c>
      <c r="C25" s="1">
        <f>(IPE!I25-0.02*IPE!E25*IPE!G25)/IPE!I25</f>
        <v>0.23076923076923078</v>
      </c>
      <c r="D25" s="252">
        <f>IPE!V25</f>
        <v>104.2</v>
      </c>
      <c r="E25" s="252">
        <f>$D25-0.25*IPE!$F25/10*IPE!$K25/10*E$6</f>
        <v>103.99000000000001</v>
      </c>
      <c r="F25" s="252">
        <f>$D25-0.25*IPE!$F25/10*IPE!$K25/10*F$6</f>
        <v>103.78</v>
      </c>
      <c r="G25" s="252">
        <f>$D25-0.25*IPE!$F25/10*IPE!$K25/10*G$6</f>
        <v>103.57000000000001</v>
      </c>
      <c r="H25" s="252">
        <f>$D25-0.25*IPE!$F25/10*IPE!$K25/10*H$6</f>
        <v>103.36</v>
      </c>
      <c r="I25" s="254">
        <f t="shared" si="0"/>
        <v>99.193857965451045</v>
      </c>
      <c r="J25" s="254">
        <f>(IPE!I25-2*IPE!G25/100*IPE!E25)/IPE!I25*100</f>
        <v>23.076923076923077</v>
      </c>
    </row>
    <row r="26" spans="2:10">
      <c r="B26" t="str">
        <f>IPE!B26</f>
        <v>HE 120 B</v>
      </c>
      <c r="C26" s="1">
        <f>(IPE!I26-0.02*IPE!E26*IPE!G26)/IPE!I26</f>
        <v>0.22352941176470592</v>
      </c>
      <c r="D26" s="252">
        <f>IPE!V26</f>
        <v>165.2</v>
      </c>
      <c r="E26" s="252">
        <f>$D26-0.25*IPE!$F26/10*IPE!$K26/10*E$6</f>
        <v>164.89937499999999</v>
      </c>
      <c r="F26" s="252">
        <f>$D26-0.25*IPE!$F26/10*IPE!$K26/10*F$6</f>
        <v>164.59875</v>
      </c>
      <c r="G26" s="252">
        <f>$D26-0.25*IPE!$F26/10*IPE!$K26/10*G$6</f>
        <v>164.298125</v>
      </c>
      <c r="H26" s="252">
        <f>$D26-0.25*IPE!$F26/10*IPE!$K26/10*H$6</f>
        <v>163.9975</v>
      </c>
      <c r="I26" s="254">
        <f t="shared" si="0"/>
        <v>99.272094430992738</v>
      </c>
      <c r="J26" s="254">
        <f>(IPE!I26-2*IPE!G26/100*IPE!E26)/IPE!I26*100</f>
        <v>22.352941176470591</v>
      </c>
    </row>
    <row r="27" spans="2:10">
      <c r="B27" t="str">
        <f>IPE!B27</f>
        <v>HE 140 B</v>
      </c>
      <c r="C27" s="1">
        <f>(IPE!I27-0.02*IPE!E27*IPE!G27)/IPE!I27</f>
        <v>0.21860465116279065</v>
      </c>
      <c r="D27" s="252">
        <f>IPE!V27</f>
        <v>245.4</v>
      </c>
      <c r="E27" s="252">
        <f>$D27-0.25*IPE!$F27/10*IPE!$K27/10*E$6</f>
        <v>244.9975</v>
      </c>
      <c r="F27" s="252">
        <f>$D27-0.25*IPE!$F27/10*IPE!$K27/10*F$6</f>
        <v>244.595</v>
      </c>
      <c r="G27" s="252">
        <f>$D27-0.25*IPE!$F27/10*IPE!$K27/10*G$6</f>
        <v>244.1925</v>
      </c>
      <c r="H27" s="252">
        <f>$D27-0.25*IPE!$F27/10*IPE!$K27/10*H$6</f>
        <v>243.79</v>
      </c>
      <c r="I27" s="254">
        <f t="shared" si="0"/>
        <v>99.343928280358597</v>
      </c>
      <c r="J27" s="254">
        <f>(IPE!I27-2*IPE!G27/100*IPE!E27)/IPE!I27*100</f>
        <v>21.860465116279066</v>
      </c>
    </row>
    <row r="28" spans="2:10">
      <c r="B28" t="str">
        <f>IPE!B28</f>
        <v>HE 160 B</v>
      </c>
      <c r="C28" s="1">
        <f>(IPE!I28-0.02*IPE!E28*IPE!G28)/IPE!I28</f>
        <v>0.23388581952117857</v>
      </c>
      <c r="D28" s="252">
        <f>IPE!V28</f>
        <v>354</v>
      </c>
      <c r="E28" s="252">
        <f>$D28-0.25*IPE!$F28/10*IPE!$K28/10*E$6</f>
        <v>353.48</v>
      </c>
      <c r="F28" s="252">
        <f>$D28-0.25*IPE!$F28/10*IPE!$K28/10*F$6</f>
        <v>352.96</v>
      </c>
      <c r="G28" s="252">
        <f>$D28-0.25*IPE!$F28/10*IPE!$K28/10*G$6</f>
        <v>352.44</v>
      </c>
      <c r="H28" s="252">
        <f>$D28-0.25*IPE!$F28/10*IPE!$K28/10*H$6</f>
        <v>351.92</v>
      </c>
      <c r="I28" s="254">
        <f t="shared" si="0"/>
        <v>99.412429378531073</v>
      </c>
      <c r="J28" s="254">
        <f>(IPE!I28-2*IPE!G28/100*IPE!E28)/IPE!I28*100</f>
        <v>23.388581952117857</v>
      </c>
    </row>
    <row r="29" spans="2:10">
      <c r="B29" t="str">
        <f>IPE!B29</f>
        <v>HE 180 B</v>
      </c>
      <c r="C29" s="1">
        <f>(IPE!I29-0.02*IPE!E29*IPE!G29)/IPE!I29</f>
        <v>0.22817764165390506</v>
      </c>
      <c r="D29" s="252">
        <f>IPE!V29</f>
        <v>481.4</v>
      </c>
      <c r="E29" s="252">
        <f>$D29-0.25*IPE!$F29/10*IPE!$K29/10*E$6</f>
        <v>480.75187499999998</v>
      </c>
      <c r="F29" s="252">
        <f>$D29-0.25*IPE!$F29/10*IPE!$K29/10*F$6</f>
        <v>480.10374999999999</v>
      </c>
      <c r="G29" s="252">
        <f>$D29-0.25*IPE!$F29/10*IPE!$K29/10*G$6</f>
        <v>479.455625</v>
      </c>
      <c r="H29" s="252">
        <f>$D29-0.25*IPE!$F29/10*IPE!$K29/10*H$6</f>
        <v>478.8075</v>
      </c>
      <c r="I29" s="254">
        <f t="shared" si="0"/>
        <v>99.461466555878701</v>
      </c>
      <c r="J29" s="254">
        <f>(IPE!I29-2*IPE!G29/100*IPE!E29)/IPE!I29*100</f>
        <v>22.817764165390493</v>
      </c>
    </row>
    <row r="30" spans="2:10">
      <c r="B30" t="str">
        <f>IPE!B30</f>
        <v>HE 200 B</v>
      </c>
      <c r="C30" s="1">
        <f>(IPE!I30-0.02*IPE!E30*IPE!G30)/IPE!I30</f>
        <v>0.23175416133162607</v>
      </c>
      <c r="D30" s="252">
        <f>IPE!V30</f>
        <v>642.5</v>
      </c>
      <c r="E30" s="252">
        <f>$D30-0.25*IPE!$F30/10*IPE!$K30/10*E$6</f>
        <v>641.74625000000003</v>
      </c>
      <c r="F30" s="252">
        <f>$D30-0.25*IPE!$F30/10*IPE!$K30/10*F$6</f>
        <v>640.99249999999995</v>
      </c>
      <c r="G30" s="252">
        <f>$D30-0.25*IPE!$F30/10*IPE!$K30/10*G$6</f>
        <v>640.23874999999998</v>
      </c>
      <c r="H30" s="252">
        <f>$D30-0.25*IPE!$F30/10*IPE!$K30/10*H$6</f>
        <v>639.48500000000001</v>
      </c>
      <c r="I30" s="254">
        <f t="shared" si="0"/>
        <v>99.5307392996109</v>
      </c>
      <c r="J30" s="254">
        <f>(IPE!I30-2*IPE!G30/100*IPE!E30)/IPE!I30*100</f>
        <v>23.175416133162607</v>
      </c>
    </row>
    <row r="31" spans="2:10">
      <c r="B31" t="str">
        <f>IPE!B31</f>
        <v>HE 220 B</v>
      </c>
      <c r="C31" s="1">
        <f>(IPE!I31-0.02*IPE!E31*IPE!G31)/IPE!I31</f>
        <v>0.22637362637362632</v>
      </c>
      <c r="D31" s="252">
        <f>IPE!V31</f>
        <v>827</v>
      </c>
      <c r="E31" s="252">
        <f>$D31-0.25*IPE!$F31/10*IPE!$K31/10*E$6</f>
        <v>826.09749999999997</v>
      </c>
      <c r="F31" s="252">
        <f>$D31-0.25*IPE!$F31/10*IPE!$K31/10*F$6</f>
        <v>825.19500000000005</v>
      </c>
      <c r="G31" s="252">
        <f>$D31-0.25*IPE!$F31/10*IPE!$K31/10*G$6</f>
        <v>824.29250000000002</v>
      </c>
      <c r="H31" s="252">
        <f>$D31-0.25*IPE!$F31/10*IPE!$K31/10*H$6</f>
        <v>823.39</v>
      </c>
      <c r="I31" s="254">
        <f t="shared" si="0"/>
        <v>99.563482466747274</v>
      </c>
      <c r="J31" s="254">
        <f>(IPE!I31-2*IPE!G31/100*IPE!E31)/IPE!I31*100</f>
        <v>22.637362637362632</v>
      </c>
    </row>
    <row r="32" spans="2:10">
      <c r="B32" t="str">
        <f>IPE!B32</f>
        <v>HE 240 B</v>
      </c>
      <c r="C32" s="1">
        <f>(IPE!I32-0.02*IPE!E32*IPE!G32)/IPE!I32</f>
        <v>0.23018867924528308</v>
      </c>
      <c r="D32" s="252">
        <f>IPE!V32</f>
        <v>1053</v>
      </c>
      <c r="E32" s="252">
        <f>$D32-0.25*IPE!$F32/10*IPE!$K32/10*E$6</f>
        <v>1051.9749999999999</v>
      </c>
      <c r="F32" s="252">
        <f>$D32-0.25*IPE!$F32/10*IPE!$K32/10*F$6</f>
        <v>1050.95</v>
      </c>
      <c r="G32" s="252">
        <f>$D32-0.25*IPE!$F32/10*IPE!$K32/10*G$6</f>
        <v>1049.925</v>
      </c>
      <c r="H32" s="252">
        <f>$D32-0.25*IPE!$F32/10*IPE!$K32/10*H$6</f>
        <v>1048.9000000000001</v>
      </c>
      <c r="I32" s="254">
        <f t="shared" si="0"/>
        <v>99.610636277302959</v>
      </c>
      <c r="J32" s="254">
        <f>(IPE!I32-2*IPE!G32/100*IPE!E32)/IPE!I32*100</f>
        <v>23.018867924528294</v>
      </c>
    </row>
    <row r="33" spans="2:10">
      <c r="B33" t="str">
        <f>IPE!B33</f>
        <v>HE 260 B</v>
      </c>
      <c r="C33" s="1">
        <f>(IPE!I33-0.02*IPE!E33*IPE!G33)/IPE!I33</f>
        <v>0.23141891891891894</v>
      </c>
      <c r="D33" s="252">
        <f>IPE!V33</f>
        <v>1283</v>
      </c>
      <c r="E33" s="252">
        <f>$D33-0.25*IPE!$F33/10*IPE!$K33/10*E$6</f>
        <v>1281.89375</v>
      </c>
      <c r="F33" s="252">
        <f>$D33-0.25*IPE!$F33/10*IPE!$K33/10*F$6</f>
        <v>1280.7874999999999</v>
      </c>
      <c r="G33" s="252">
        <f>$D33-0.25*IPE!$F33/10*IPE!$K33/10*G$6</f>
        <v>1279.6812500000001</v>
      </c>
      <c r="H33" s="252">
        <f>$D33-0.25*IPE!$F33/10*IPE!$K33/10*H$6</f>
        <v>1278.575</v>
      </c>
      <c r="I33" s="254">
        <f t="shared" si="0"/>
        <v>99.655105222135617</v>
      </c>
      <c r="J33" s="254">
        <f>(IPE!I33-2*IPE!G33/100*IPE!E33)/IPE!I33*100</f>
        <v>23.141891891891895</v>
      </c>
    </row>
    <row r="34" spans="2:10">
      <c r="B34" t="str">
        <f>IPE!B34</f>
        <v>HE 280 B</v>
      </c>
      <c r="C34" s="1">
        <f>(IPE!I34-0.02*IPE!E34*IPE!G34)/IPE!I34</f>
        <v>0.23287671232876708</v>
      </c>
      <c r="D34" s="252">
        <f>IPE!V34</f>
        <v>1534</v>
      </c>
      <c r="E34" s="252">
        <f>$D34-0.25*IPE!$F34/10*IPE!$K34/10*E$6</f>
        <v>1532.7137499999999</v>
      </c>
      <c r="F34" s="252">
        <f>$D34-0.25*IPE!$F34/10*IPE!$K34/10*F$6</f>
        <v>1531.4275</v>
      </c>
      <c r="G34" s="252">
        <f>$D34-0.25*IPE!$F34/10*IPE!$K34/10*G$6</f>
        <v>1530.1412499999999</v>
      </c>
      <c r="H34" s="252">
        <f>$D34-0.25*IPE!$F34/10*IPE!$K34/10*H$6</f>
        <v>1528.855</v>
      </c>
      <c r="I34" s="254">
        <f t="shared" si="0"/>
        <v>99.664602346805736</v>
      </c>
      <c r="J34" s="254">
        <f>(IPE!I34-2*IPE!G34/100*IPE!E34)/IPE!I34*100</f>
        <v>23.287671232876718</v>
      </c>
    </row>
    <row r="35" spans="2:10">
      <c r="B35" t="str">
        <f>IPE!B35</f>
        <v>HE 300 B</v>
      </c>
      <c r="C35" s="1" t="e">
        <f>(IPE!I35-0.02*IPE!E35*IPE!G35)/IPE!I35</f>
        <v>#VALUE!</v>
      </c>
      <c r="D35" s="252">
        <f>IPE!V35</f>
        <v>1869</v>
      </c>
      <c r="E35" s="252">
        <f>$D35-0.25*IPE!$F35/10*IPE!$K35/10*E$6</f>
        <v>1867.57</v>
      </c>
      <c r="F35" s="252">
        <f>$D35-0.25*IPE!$F35/10*IPE!$K35/10*F$6</f>
        <v>1866.14</v>
      </c>
      <c r="G35" s="252">
        <f>$D35-0.25*IPE!$F35/10*IPE!$K35/10*G$6</f>
        <v>1864.71</v>
      </c>
      <c r="H35" s="252">
        <f>$D35-0.25*IPE!$F35/10*IPE!$K35/10*H$6</f>
        <v>1863.28</v>
      </c>
      <c r="I35" s="254">
        <f t="shared" si="0"/>
        <v>99.693953986088815</v>
      </c>
      <c r="J35" s="254" t="e">
        <f>(IPE!I35-2*IPE!G35/100*IPE!E35)/IPE!I35*100</f>
        <v>#VALUE!</v>
      </c>
    </row>
    <row r="36" spans="2:10">
      <c r="B36" t="str">
        <f>IPE!B36</f>
        <v>HE 320 B</v>
      </c>
      <c r="C36" s="1">
        <f>(IPE!I36-0.02*IPE!E36*IPE!G36)/IPE!I36</f>
        <v>0.23744575325480477</v>
      </c>
      <c r="D36" s="252">
        <f>IPE!V36</f>
        <v>2149</v>
      </c>
      <c r="E36" s="252">
        <f>$D36-0.25*IPE!$F36/10*IPE!$K36/10*E$6</f>
        <v>2147.3828125</v>
      </c>
      <c r="F36" s="252">
        <f>$D36-0.25*IPE!$F36/10*IPE!$K36/10*F$6</f>
        <v>2145.765625</v>
      </c>
      <c r="G36" s="252">
        <f>$D36-0.25*IPE!$F36/10*IPE!$K36/10*G$6</f>
        <v>2144.1484375</v>
      </c>
      <c r="H36" s="252">
        <f>$D36-0.25*IPE!$F36/10*IPE!$K36/10*H$6</f>
        <v>2142.53125</v>
      </c>
      <c r="I36" s="254">
        <f t="shared" si="0"/>
        <v>99.698987901349469</v>
      </c>
      <c r="J36" s="254">
        <f>(IPE!I36-2*IPE!G36/100*IPE!E36)/IPE!I36*100</f>
        <v>23.744575325480486</v>
      </c>
    </row>
    <row r="37" spans="2:10">
      <c r="B37" t="str">
        <f>IPE!B37</f>
        <v>HE 340 B</v>
      </c>
      <c r="C37" s="1">
        <f>(IPE!I37-0.02*IPE!E37*IPE!G37)/IPE!I37</f>
        <v>0.24517261556465772</v>
      </c>
      <c r="D37" s="252">
        <f>IPE!V37</f>
        <v>2408</v>
      </c>
      <c r="E37" s="252">
        <f>$D37-0.25*IPE!$F37/10*IPE!$K37/10*E$6</f>
        <v>2406.1774999999998</v>
      </c>
      <c r="F37" s="252">
        <f>$D37-0.25*IPE!$F37/10*IPE!$K37/10*F$6</f>
        <v>2404.355</v>
      </c>
      <c r="G37" s="252">
        <f>$D37-0.25*IPE!$F37/10*IPE!$K37/10*G$6</f>
        <v>2402.5324999999998</v>
      </c>
      <c r="H37" s="252">
        <f>$D37-0.25*IPE!$F37/10*IPE!$K37/10*H$6</f>
        <v>2400.71</v>
      </c>
      <c r="I37" s="254">
        <f t="shared" si="0"/>
        <v>99.697259136212622</v>
      </c>
      <c r="J37" s="254">
        <f>(IPE!I37-2*IPE!G37/100*IPE!E37)/IPE!I37*100</f>
        <v>24.517261556465773</v>
      </c>
    </row>
    <row r="38" spans="2:10">
      <c r="B38" t="str">
        <f>IPE!B38</f>
        <v>HE 360 B</v>
      </c>
      <c r="C38" s="1">
        <f>(IPE!I38-0.02*IPE!E38*IPE!G38)/IPE!I38</f>
        <v>0.25249169435215946</v>
      </c>
      <c r="D38" s="252">
        <f>IPE!V38</f>
        <v>2683</v>
      </c>
      <c r="E38" s="252">
        <f>$D38-0.25*IPE!$F38/10*IPE!$K38/10*E$6</f>
        <v>2680.9609375</v>
      </c>
      <c r="F38" s="252">
        <f>$D38-0.25*IPE!$F38/10*IPE!$K38/10*F$6</f>
        <v>2678.921875</v>
      </c>
      <c r="G38" s="252">
        <f>$D38-0.25*IPE!$F38/10*IPE!$K38/10*G$6</f>
        <v>2676.8828125</v>
      </c>
      <c r="H38" s="252">
        <f>$D38-0.25*IPE!$F38/10*IPE!$K38/10*H$6</f>
        <v>2674.84375</v>
      </c>
      <c r="I38" s="254">
        <f t="shared" si="0"/>
        <v>99.696002609019757</v>
      </c>
      <c r="J38" s="254">
        <f>(IPE!I38-2*IPE!G38/100*IPE!E38)/IPE!I38*100</f>
        <v>25.249169435215947</v>
      </c>
    </row>
    <row r="39" spans="2:10">
      <c r="B39" t="str">
        <f>IPE!B39</f>
        <v>HE 400 B</v>
      </c>
      <c r="C39" s="1">
        <f>(IPE!I39-0.02*IPE!E39*IPE!G39)/IPE!I39</f>
        <v>0.2719919110212336</v>
      </c>
      <c r="D39" s="252">
        <f>IPE!V39</f>
        <v>3232</v>
      </c>
      <c r="E39" s="252">
        <f>$D39-0.25*IPE!$F39/10*IPE!$K39/10*E$6</f>
        <v>3229.4856249999998</v>
      </c>
      <c r="F39" s="252">
        <f>$D39-0.25*IPE!$F39/10*IPE!$K39/10*F$6</f>
        <v>3226.9712500000001</v>
      </c>
      <c r="G39" s="252">
        <f>$D39-0.25*IPE!$F39/10*IPE!$K39/10*G$6</f>
        <v>3224.4568749999999</v>
      </c>
      <c r="H39" s="252">
        <f>$D39-0.25*IPE!$F39/10*IPE!$K39/10*H$6</f>
        <v>3221.9425000000001</v>
      </c>
      <c r="I39" s="254">
        <f t="shared" si="0"/>
        <v>99.688814975247524</v>
      </c>
      <c r="J39" s="254">
        <f>(IPE!I39-2*IPE!G39/100*IPE!E39)/IPE!I39*100</f>
        <v>27.199191102123361</v>
      </c>
    </row>
    <row r="40" spans="2:10">
      <c r="B40" t="str">
        <f>IPE!B40</f>
        <v>HE 450 B</v>
      </c>
      <c r="C40" s="1">
        <f>(IPE!I40-0.02*IPE!E40*IPE!G40)/IPE!I40</f>
        <v>0.28440366972477066</v>
      </c>
      <c r="D40" s="252">
        <f>IPE!V40</f>
        <v>3982</v>
      </c>
      <c r="E40" s="252">
        <f>$D40-0.25*IPE!$F40/10*IPE!$K40/10*E$6</f>
        <v>3978.99</v>
      </c>
      <c r="F40" s="252">
        <f>$D40-0.25*IPE!$F40/10*IPE!$K40/10*F$6</f>
        <v>3975.98</v>
      </c>
      <c r="G40" s="252">
        <f>$D40-0.25*IPE!$F40/10*IPE!$K40/10*G$6</f>
        <v>3972.97</v>
      </c>
      <c r="H40" s="252">
        <f>$D40-0.25*IPE!$F40/10*IPE!$K40/10*H$6</f>
        <v>3969.96</v>
      </c>
      <c r="I40" s="254">
        <f t="shared" si="0"/>
        <v>99.69763937719739</v>
      </c>
      <c r="J40" s="254">
        <f>(IPE!I40-2*IPE!G40/100*IPE!E40)/IPE!I40*100</f>
        <v>28.440366972477065</v>
      </c>
    </row>
    <row r="41" spans="2:10">
      <c r="B41" t="str">
        <f>IPE!B41</f>
        <v>HE 500 B</v>
      </c>
      <c r="C41" s="1">
        <f>(IPE!I41-0.02*IPE!E41*IPE!G41)/IPE!I41</f>
        <v>0.29589270746018437</v>
      </c>
      <c r="D41" s="252">
        <f>IPE!V41</f>
        <v>4815</v>
      </c>
      <c r="E41" s="252">
        <f>$D41-0.25*IPE!$F41/10*IPE!$K41/10*E$6</f>
        <v>4811.4656249999998</v>
      </c>
      <c r="F41" s="252">
        <f>$D41-0.25*IPE!$F41/10*IPE!$K41/10*F$6</f>
        <v>4807.9312499999996</v>
      </c>
      <c r="G41" s="252">
        <f>$D41-0.25*IPE!$F41/10*IPE!$K41/10*G$6</f>
        <v>4804.3968750000004</v>
      </c>
      <c r="H41" s="252">
        <f>$D41-0.25*IPE!$F41/10*IPE!$K41/10*H$6</f>
        <v>4800.8625000000002</v>
      </c>
      <c r="I41" s="254">
        <f t="shared" si="0"/>
        <v>99.706386292834893</v>
      </c>
      <c r="J41" s="254">
        <f>(IPE!I41-2*IPE!G41/100*IPE!E41)/IPE!I41*100</f>
        <v>29.589270746018425</v>
      </c>
    </row>
    <row r="42" spans="2:10">
      <c r="B42" t="str">
        <f>IPE!B42</f>
        <v>HE 550 B</v>
      </c>
      <c r="C42" s="1">
        <f>(IPE!I42-0.02*IPE!E42*IPE!G42)/IPE!I42</f>
        <v>0.3152302243211334</v>
      </c>
      <c r="D42" s="252">
        <f>IPE!V42</f>
        <v>5591</v>
      </c>
      <c r="E42" s="252">
        <f>$D42-0.25*IPE!$F42/10*IPE!$K42/10*E$6</f>
        <v>5586.8937500000002</v>
      </c>
      <c r="F42" s="252">
        <f>$D42-0.25*IPE!$F42/10*IPE!$K42/10*F$6</f>
        <v>5582.7875000000004</v>
      </c>
      <c r="G42" s="252">
        <f>$D42-0.25*IPE!$F42/10*IPE!$K42/10*G$6</f>
        <v>5578.6812499999996</v>
      </c>
      <c r="H42" s="252">
        <f>$D42-0.25*IPE!$F42/10*IPE!$K42/10*H$6</f>
        <v>5574.5749999999998</v>
      </c>
      <c r="I42" s="254">
        <f t="shared" si="0"/>
        <v>99.706224289035944</v>
      </c>
      <c r="J42" s="254">
        <f>(IPE!I42-2*IPE!G42/100*IPE!E42)/IPE!I42*100</f>
        <v>31.52302243211334</v>
      </c>
    </row>
    <row r="43" spans="2:10">
      <c r="B43" t="str">
        <f>IPE!B43</f>
        <v>HE 600 B</v>
      </c>
      <c r="C43" s="1">
        <f>(IPE!I43-0.02*IPE!E43*IPE!G43)/IPE!I43</f>
        <v>0.33333333333333331</v>
      </c>
      <c r="D43" s="252">
        <f>IPE!V43</f>
        <v>6425</v>
      </c>
      <c r="E43" s="252">
        <f>$D43-0.25*IPE!$F43/10*IPE!$K43/10*E$6</f>
        <v>6420.2918749999999</v>
      </c>
      <c r="F43" s="252">
        <f>$D43-0.25*IPE!$F43/10*IPE!$K43/10*F$6</f>
        <v>6415.5837499999998</v>
      </c>
      <c r="G43" s="252">
        <f>$D43-0.25*IPE!$F43/10*IPE!$K43/10*G$6</f>
        <v>6410.8756249999997</v>
      </c>
      <c r="H43" s="252">
        <f>$D43-0.25*IPE!$F43/10*IPE!$K43/10*H$6</f>
        <v>6406.1674999999996</v>
      </c>
      <c r="I43" s="254">
        <f t="shared" si="0"/>
        <v>99.706887159533068</v>
      </c>
      <c r="J43" s="254">
        <f>(IPE!I43-2*IPE!G43/100*IPE!E43)/IPE!I43*100</f>
        <v>33.333333333333329</v>
      </c>
    </row>
    <row r="44" spans="2:10">
      <c r="B44" t="str">
        <f>IPE!B44</f>
        <v>HE 650 B</v>
      </c>
      <c r="C44" s="1">
        <f>(IPE!I44-0.02*IPE!E44*IPE!G44)/IPE!I44</f>
        <v>0.35033181976947259</v>
      </c>
      <c r="D44" s="252">
        <f>IPE!V44</f>
        <v>7320</v>
      </c>
      <c r="E44" s="252">
        <f>$D44-0.25*IPE!$F44/10*IPE!$K44/10*E$6</f>
        <v>7314.66</v>
      </c>
      <c r="F44" s="252">
        <f>$D44-0.25*IPE!$F44/10*IPE!$K44/10*F$6</f>
        <v>7309.32</v>
      </c>
      <c r="G44" s="252">
        <f>$D44-0.25*IPE!$F44/10*IPE!$K44/10*G$6</f>
        <v>7303.98</v>
      </c>
      <c r="H44" s="252">
        <f>$D44-0.25*IPE!$F44/10*IPE!$K44/10*H$6</f>
        <v>7298.64</v>
      </c>
      <c r="I44" s="254">
        <f t="shared" si="0"/>
        <v>99.708196721311481</v>
      </c>
      <c r="J44" s="254">
        <f>(IPE!I44-2*IPE!G44/100*IPE!E44)/IPE!I44*100</f>
        <v>35.033181976947262</v>
      </c>
    </row>
    <row r="45" spans="2:10">
      <c r="B45" t="str">
        <f>IPE!B45</f>
        <v>HE 700 B</v>
      </c>
      <c r="C45" s="1">
        <f>(IPE!I45-0.02*IPE!E45*IPE!G45)/IPE!I45</f>
        <v>0.37336814621409919</v>
      </c>
      <c r="D45" s="252">
        <f>IPE!V45</f>
        <v>8327</v>
      </c>
      <c r="E45" s="252">
        <f>$D45-0.25*IPE!$F45/10*IPE!$K45/10*E$6</f>
        <v>8320.8162499999999</v>
      </c>
      <c r="F45" s="252">
        <f>$D45-0.25*IPE!$F45/10*IPE!$K45/10*F$6</f>
        <v>8314.6324999999997</v>
      </c>
      <c r="G45" s="252">
        <f>$D45-0.25*IPE!$F45/10*IPE!$K45/10*G$6</f>
        <v>8308.4487499999996</v>
      </c>
      <c r="H45" s="252">
        <f>$D45-0.25*IPE!$F45/10*IPE!$K45/10*H$6</f>
        <v>8302.2649999999994</v>
      </c>
      <c r="I45" s="254">
        <f t="shared" si="0"/>
        <v>99.702954245226366</v>
      </c>
      <c r="J45" s="254">
        <f>(IPE!I45-2*IPE!G45/100*IPE!E45)/IPE!I45*100</f>
        <v>37.336814621409921</v>
      </c>
    </row>
    <row r="46" spans="2:10">
      <c r="B46" t="str">
        <f>IPE!B46</f>
        <v>HE 800 B</v>
      </c>
      <c r="C46" s="1">
        <f>(IPE!I46-0.02*IPE!E46*IPE!G46)/IPE!I46</f>
        <v>0.40754039497306999</v>
      </c>
      <c r="D46" s="252">
        <f>IPE!V46</f>
        <v>10230</v>
      </c>
      <c r="E46" s="252">
        <f>$D46-0.25*IPE!$F46/10*IPE!$K46/10*E$6</f>
        <v>10222.628124999999</v>
      </c>
      <c r="F46" s="252">
        <f>$D46-0.25*IPE!$F46/10*IPE!$K46/10*F$6</f>
        <v>10215.25625</v>
      </c>
      <c r="G46" s="252">
        <f>$D46-0.25*IPE!$F46/10*IPE!$K46/10*G$6</f>
        <v>10207.884375</v>
      </c>
      <c r="H46" s="252">
        <f>$D46-0.25*IPE!$F46/10*IPE!$K46/10*H$6</f>
        <v>10200.512500000001</v>
      </c>
      <c r="I46" s="254">
        <f t="shared" si="0"/>
        <v>99.711754643206262</v>
      </c>
      <c r="J46" s="254">
        <f>(IPE!I46-2*IPE!G46/100*IPE!E46)/IPE!I46*100</f>
        <v>40.754039497306998</v>
      </c>
    </row>
    <row r="47" spans="2:10">
      <c r="B47" t="str">
        <f>IPE!B47</f>
        <v>HE 900 B</v>
      </c>
      <c r="C47" s="1">
        <f>(IPE!I47-0.02*IPE!E47*IPE!G47)/IPE!I47</f>
        <v>0.43441960678696473</v>
      </c>
      <c r="D47" s="252">
        <f>IPE!V47</f>
        <v>12580</v>
      </c>
      <c r="E47" s="252">
        <f>$D47-0.25*IPE!$F47/10*IPE!$K47/10*E$6</f>
        <v>12571.096874999999</v>
      </c>
      <c r="F47" s="252">
        <f>$D47-0.25*IPE!$F47/10*IPE!$K47/10*F$6</f>
        <v>12562.19375</v>
      </c>
      <c r="G47" s="252">
        <f>$D47-0.25*IPE!$F47/10*IPE!$K47/10*G$6</f>
        <v>12553.290625</v>
      </c>
      <c r="H47" s="252">
        <f>$D47-0.25*IPE!$F47/10*IPE!$K47/10*H$6</f>
        <v>12544.387500000001</v>
      </c>
      <c r="I47" s="254">
        <f t="shared" si="0"/>
        <v>99.716911764705884</v>
      </c>
      <c r="J47" s="254">
        <f>(IPE!I47-2*IPE!G47/100*IPE!E47)/IPE!I47*100</f>
        <v>43.441960678696475</v>
      </c>
    </row>
    <row r="48" spans="2:10">
      <c r="B48" t="str">
        <f>IPE!B48</f>
        <v>HE 1000 B</v>
      </c>
      <c r="C48" s="1">
        <f>(IPE!I48-0.02*IPE!E48*IPE!G48)/IPE!I48</f>
        <v>0.46</v>
      </c>
      <c r="D48" s="252">
        <f>IPE!V48</f>
        <v>14860</v>
      </c>
      <c r="E48" s="252">
        <f>$D48-0.25*IPE!$F48/10*IPE!$K48/10*E$6</f>
        <v>14849.692499999999</v>
      </c>
      <c r="F48" s="252">
        <f>$D48-0.25*IPE!$F48/10*IPE!$K48/10*F$6</f>
        <v>14839.385</v>
      </c>
      <c r="G48" s="252">
        <f>$D48-0.25*IPE!$F48/10*IPE!$K48/10*G$6</f>
        <v>14829.077499999999</v>
      </c>
      <c r="H48" s="252">
        <f>$D48-0.25*IPE!$F48/10*IPE!$K48/10*H$6</f>
        <v>14818.77</v>
      </c>
      <c r="I48" s="254">
        <f t="shared" si="0"/>
        <v>99.722543741588154</v>
      </c>
      <c r="J48" s="254">
        <f>(IPE!I48-2*IPE!G48/100*IPE!E48)/IPE!I48*100</f>
        <v>46</v>
      </c>
    </row>
    <row r="49" spans="2:10">
      <c r="B49" t="str">
        <f>IPE!B49</f>
        <v>HE 100 A</v>
      </c>
      <c r="C49" s="1">
        <f>(IPE!I49-0.02*IPE!E49*IPE!G49)/IPE!I49</f>
        <v>0.2452830188679245</v>
      </c>
      <c r="D49" s="252">
        <f>IPE!V49</f>
        <v>83.01</v>
      </c>
      <c r="E49" s="252">
        <f>$D49-0.25*IPE!$F49/10*IPE!$K49/10*E$6</f>
        <v>82.835000000000008</v>
      </c>
      <c r="F49" s="252">
        <f>$D49-0.25*IPE!$F49/10*IPE!$K49/10*F$6</f>
        <v>82.660000000000011</v>
      </c>
      <c r="G49" s="252">
        <f>$D49-0.25*IPE!$F49/10*IPE!$K49/10*G$6</f>
        <v>82.484999999999999</v>
      </c>
      <c r="H49" s="252">
        <f>$D49-0.25*IPE!$F49/10*IPE!$K49/10*H$6</f>
        <v>82.31</v>
      </c>
      <c r="I49" s="254">
        <f t="shared" si="0"/>
        <v>99.156728105047577</v>
      </c>
      <c r="J49" s="254">
        <f>(IPE!I49-2*IPE!G49/100*IPE!E49)/IPE!I49*100</f>
        <v>24.528301886792452</v>
      </c>
    </row>
    <row r="50" spans="2:10">
      <c r="B50" t="str">
        <f>IPE!B50</f>
        <v>HE 120 A</v>
      </c>
      <c r="C50" s="1">
        <f>(IPE!I50-0.02*IPE!E50*IPE!G50)/IPE!I50</f>
        <v>0.24110671936758898</v>
      </c>
      <c r="D50" s="252">
        <f>IPE!V50</f>
        <v>119.5</v>
      </c>
      <c r="E50" s="252">
        <f>$D50-0.25*IPE!$F50/10*IPE!$K50/10*E$6</f>
        <v>119.26875</v>
      </c>
      <c r="F50" s="252">
        <f>$D50-0.25*IPE!$F50/10*IPE!$K50/10*F$6</f>
        <v>119.03749999999999</v>
      </c>
      <c r="G50" s="252">
        <f>$D50-0.25*IPE!$F50/10*IPE!$K50/10*G$6</f>
        <v>118.80625000000001</v>
      </c>
      <c r="H50" s="252">
        <f>$D50-0.25*IPE!$F50/10*IPE!$K50/10*H$6</f>
        <v>118.575</v>
      </c>
      <c r="I50" s="254">
        <f t="shared" si="0"/>
        <v>99.225941422594147</v>
      </c>
      <c r="J50" s="254">
        <f>(IPE!I50-2*IPE!G50/100*IPE!E50)/IPE!I50*100</f>
        <v>24.110671936758898</v>
      </c>
    </row>
    <row r="51" spans="2:10">
      <c r="B51" t="str">
        <f>IPE!B51</f>
        <v>HE 140 A</v>
      </c>
      <c r="C51" s="1">
        <f>(IPE!I51-0.02*IPE!E51*IPE!G51)/IPE!I51</f>
        <v>0.2420382165605095</v>
      </c>
      <c r="D51" s="252">
        <f>IPE!V51</f>
        <v>173.5</v>
      </c>
      <c r="E51" s="252">
        <f>$D51-0.25*IPE!$F51/10*IPE!$K51/10*E$6</f>
        <v>173.18375</v>
      </c>
      <c r="F51" s="252">
        <f>$D51-0.25*IPE!$F51/10*IPE!$K51/10*F$6</f>
        <v>172.86750000000001</v>
      </c>
      <c r="G51" s="252">
        <f>$D51-0.25*IPE!$F51/10*IPE!$K51/10*G$6</f>
        <v>172.55125000000001</v>
      </c>
      <c r="H51" s="252">
        <f>$D51-0.25*IPE!$F51/10*IPE!$K51/10*H$6</f>
        <v>172.23500000000001</v>
      </c>
      <c r="I51" s="254">
        <f t="shared" si="0"/>
        <v>99.270893371757936</v>
      </c>
      <c r="J51" s="254">
        <f>(IPE!I51-2*IPE!G51/100*IPE!E51)/IPE!I51*100</f>
        <v>24.203821656050948</v>
      </c>
    </row>
    <row r="52" spans="2:10">
      <c r="B52" t="str">
        <f>IPE!B52</f>
        <v>HE 160 A</v>
      </c>
      <c r="C52" s="1">
        <f>(IPE!I52-0.02*IPE!E52*IPE!G52)/IPE!I52</f>
        <v>0.25773195876288651</v>
      </c>
      <c r="D52" s="252">
        <f>IPE!V52</f>
        <v>245.1</v>
      </c>
      <c r="E52" s="252">
        <f>$D52-0.25*IPE!$F52/10*IPE!$K52/10*E$6</f>
        <v>244.71</v>
      </c>
      <c r="F52" s="252">
        <f>$D52-0.25*IPE!$F52/10*IPE!$K52/10*F$6</f>
        <v>244.32</v>
      </c>
      <c r="G52" s="252">
        <f>$D52-0.25*IPE!$F52/10*IPE!$K52/10*G$6</f>
        <v>243.93</v>
      </c>
      <c r="H52" s="252">
        <f>$D52-0.25*IPE!$F52/10*IPE!$K52/10*H$6</f>
        <v>243.54</v>
      </c>
      <c r="I52" s="254">
        <f t="shared" si="0"/>
        <v>99.363525091799261</v>
      </c>
      <c r="J52" s="254">
        <f>(IPE!I52-2*IPE!G52/100*IPE!E52)/IPE!I52*100</f>
        <v>25.773195876288664</v>
      </c>
    </row>
    <row r="53" spans="2:10">
      <c r="B53" t="str">
        <f>IPE!B53</f>
        <v>HE 180 A</v>
      </c>
      <c r="C53" s="1">
        <f>(IPE!I53-0.02*IPE!E53*IPE!G53)/IPE!I53</f>
        <v>0.24503311258278135</v>
      </c>
      <c r="D53" s="252">
        <f>IPE!V53</f>
        <v>324.89999999999998</v>
      </c>
      <c r="E53" s="252">
        <f>$D53-0.25*IPE!$F53/10*IPE!$K53/10*E$6</f>
        <v>324.4425</v>
      </c>
      <c r="F53" s="252">
        <f>$D53-0.25*IPE!$F53/10*IPE!$K53/10*F$6</f>
        <v>323.98499999999996</v>
      </c>
      <c r="G53" s="252">
        <f>$D53-0.25*IPE!$F53/10*IPE!$K53/10*G$6</f>
        <v>323.52749999999997</v>
      </c>
      <c r="H53" s="252">
        <f>$D53-0.25*IPE!$F53/10*IPE!$K53/10*H$6</f>
        <v>323.07</v>
      </c>
      <c r="I53" s="254">
        <f t="shared" si="0"/>
        <v>99.436749769159746</v>
      </c>
      <c r="J53" s="254">
        <f>(IPE!I53-2*IPE!G53/100*IPE!E53)/IPE!I53*100</f>
        <v>24.503311258278135</v>
      </c>
    </row>
    <row r="54" spans="2:10">
      <c r="B54" t="str">
        <f>IPE!B54</f>
        <v>HE 200 A</v>
      </c>
      <c r="C54" s="1">
        <f>(IPE!I54-0.02*IPE!E54*IPE!G54)/IPE!I54</f>
        <v>0.25650557620817838</v>
      </c>
      <c r="D54" s="252">
        <f>IPE!V54</f>
        <v>429.5</v>
      </c>
      <c r="E54" s="252">
        <f>$D54-0.25*IPE!$F54/10*IPE!$K54/10*E$6</f>
        <v>428.955625</v>
      </c>
      <c r="F54" s="252">
        <f>$D54-0.25*IPE!$F54/10*IPE!$K54/10*F$6</f>
        <v>428.41125</v>
      </c>
      <c r="G54" s="252">
        <f>$D54-0.25*IPE!$F54/10*IPE!$K54/10*G$6</f>
        <v>427.86687499999999</v>
      </c>
      <c r="H54" s="252">
        <f>$D54-0.25*IPE!$F54/10*IPE!$K54/10*H$6</f>
        <v>427.32249999999999</v>
      </c>
      <c r="I54" s="254">
        <f t="shared" si="0"/>
        <v>99.493015133876597</v>
      </c>
      <c r="J54" s="254">
        <f>(IPE!I54-2*IPE!G54/100*IPE!E54)/IPE!I54*100</f>
        <v>25.650557620817839</v>
      </c>
    </row>
    <row r="55" spans="2:10">
      <c r="B55" t="str">
        <f>IPE!B55</f>
        <v>HE 220 A</v>
      </c>
      <c r="C55" s="1">
        <f>(IPE!I55-0.02*IPE!E55*IPE!G55)/IPE!I55</f>
        <v>0.24727838258164839</v>
      </c>
      <c r="D55" s="252">
        <f>IPE!V55</f>
        <v>568.5</v>
      </c>
      <c r="E55" s="252">
        <f>$D55-0.25*IPE!$F55/10*IPE!$K55/10*E$6</f>
        <v>567.83500000000004</v>
      </c>
      <c r="F55" s="252">
        <f>$D55-0.25*IPE!$F55/10*IPE!$K55/10*F$6</f>
        <v>567.16999999999996</v>
      </c>
      <c r="G55" s="252">
        <f>$D55-0.25*IPE!$F55/10*IPE!$K55/10*G$6</f>
        <v>566.505</v>
      </c>
      <c r="H55" s="252">
        <f>$D55-0.25*IPE!$F55/10*IPE!$K55/10*H$6</f>
        <v>565.84</v>
      </c>
      <c r="I55" s="254">
        <f t="shared" si="0"/>
        <v>99.532102022867193</v>
      </c>
      <c r="J55" s="254">
        <f>(IPE!I55-2*IPE!G55/100*IPE!E55)/IPE!I55*100</f>
        <v>24.727838258164851</v>
      </c>
    </row>
    <row r="56" spans="2:10">
      <c r="B56" t="str">
        <f>IPE!B56</f>
        <v>HE 240 A</v>
      </c>
      <c r="C56" s="1">
        <f>(IPE!I56-0.02*IPE!E56*IPE!G56)/IPE!I56</f>
        <v>0.25000000000000006</v>
      </c>
      <c r="D56" s="252">
        <f>IPE!V56</f>
        <v>744.6</v>
      </c>
      <c r="E56" s="252">
        <f>$D56-0.25*IPE!$F56/10*IPE!$K56/10*E$6</f>
        <v>743.83125000000007</v>
      </c>
      <c r="F56" s="252">
        <f>$D56-0.25*IPE!$F56/10*IPE!$K56/10*F$6</f>
        <v>743.0625</v>
      </c>
      <c r="G56" s="252">
        <f>$D56-0.25*IPE!$F56/10*IPE!$K56/10*G$6</f>
        <v>742.29375000000005</v>
      </c>
      <c r="H56" s="252">
        <f>$D56-0.25*IPE!$F56/10*IPE!$K56/10*H$6</f>
        <v>741.52499999999998</v>
      </c>
      <c r="I56" s="254">
        <f t="shared" si="0"/>
        <v>99.587026591458496</v>
      </c>
      <c r="J56" s="254">
        <f>(IPE!I56-2*IPE!G56/100*IPE!E56)/IPE!I56*100</f>
        <v>25.000000000000007</v>
      </c>
    </row>
    <row r="57" spans="2:10">
      <c r="B57" t="str">
        <f>IPE!B57</f>
        <v>HE 260 A</v>
      </c>
      <c r="C57" s="1">
        <f>(IPE!I57-0.02*IPE!E57*IPE!G57)/IPE!I57</f>
        <v>0.25115207373271886</v>
      </c>
      <c r="D57" s="252">
        <f>IPE!V57</f>
        <v>919.8</v>
      </c>
      <c r="E57" s="252">
        <f>$D57-0.25*IPE!$F57/10*IPE!$K57/10*E$6</f>
        <v>918.97031249999998</v>
      </c>
      <c r="F57" s="252">
        <f>$D57-0.25*IPE!$F57/10*IPE!$K57/10*F$6</f>
        <v>918.140625</v>
      </c>
      <c r="G57" s="252">
        <f>$D57-0.25*IPE!$F57/10*IPE!$K57/10*G$6</f>
        <v>917.31093749999991</v>
      </c>
      <c r="H57" s="252">
        <f>$D57-0.25*IPE!$F57/10*IPE!$K57/10*H$6</f>
        <v>916.48124999999993</v>
      </c>
      <c r="I57" s="254">
        <f t="shared" si="0"/>
        <v>99.639187866927585</v>
      </c>
      <c r="J57" s="254">
        <f>(IPE!I57-2*IPE!G57/100*IPE!E57)/IPE!I57*100</f>
        <v>25.115207373271886</v>
      </c>
    </row>
    <row r="58" spans="2:10">
      <c r="B58" t="str">
        <f>IPE!B58</f>
        <v>HE 280 A</v>
      </c>
      <c r="C58" s="1">
        <f>(IPE!I58-0.02*IPE!E58*IPE!G58)/IPE!I58</f>
        <v>0.25179856115107901</v>
      </c>
      <c r="D58" s="252">
        <f>IPE!V58</f>
        <v>1112</v>
      </c>
      <c r="E58" s="252">
        <f>$D58-0.25*IPE!$F58/10*IPE!$K58/10*E$6</f>
        <v>1111.02</v>
      </c>
      <c r="F58" s="252">
        <f>$D58-0.25*IPE!$F58/10*IPE!$K58/10*F$6</f>
        <v>1110.04</v>
      </c>
      <c r="G58" s="252">
        <f>$D58-0.25*IPE!$F58/10*IPE!$K58/10*G$6</f>
        <v>1109.06</v>
      </c>
      <c r="H58" s="252">
        <f>$D58-0.25*IPE!$F58/10*IPE!$K58/10*H$6</f>
        <v>1108.08</v>
      </c>
      <c r="I58" s="254">
        <f t="shared" si="0"/>
        <v>99.647482014388473</v>
      </c>
      <c r="J58" s="254">
        <f>(IPE!I58-2*IPE!G58/100*IPE!E58)/IPE!I58*100</f>
        <v>25.179856115107913</v>
      </c>
    </row>
    <row r="59" spans="2:10">
      <c r="B59" t="str">
        <f>IPE!B59</f>
        <v>HE 300 A</v>
      </c>
      <c r="C59" s="1">
        <f>(IPE!I59-0.02*IPE!E59*IPE!G59)/IPE!I59</f>
        <v>0.25333333333333335</v>
      </c>
      <c r="D59" s="252">
        <f>IPE!V59</f>
        <v>1383</v>
      </c>
      <c r="E59" s="252">
        <f>$D59-0.25*IPE!$F59/10*IPE!$K59/10*E$6</f>
        <v>1381.895</v>
      </c>
      <c r="F59" s="252">
        <f>$D59-0.25*IPE!$F59/10*IPE!$K59/10*F$6</f>
        <v>1380.79</v>
      </c>
      <c r="G59" s="252">
        <f>$D59-0.25*IPE!$F59/10*IPE!$K59/10*G$6</f>
        <v>1379.6849999999999</v>
      </c>
      <c r="H59" s="252">
        <f>$D59-0.25*IPE!$F59/10*IPE!$K59/10*H$6</f>
        <v>1378.58</v>
      </c>
      <c r="I59" s="254">
        <f t="shared" si="0"/>
        <v>99.680404916847436</v>
      </c>
      <c r="J59" s="254">
        <f>(IPE!I59-2*IPE!G59/100*IPE!E59)/IPE!I59*100</f>
        <v>25.333333333333318</v>
      </c>
    </row>
    <row r="60" spans="2:10">
      <c r="B60" t="str">
        <f>IPE!B60</f>
        <v>HE 320 A</v>
      </c>
      <c r="C60" s="1">
        <f>(IPE!I60-0.02*IPE!E60*IPE!G60)/IPE!I60</f>
        <v>0.252411575562701</v>
      </c>
      <c r="D60" s="252">
        <f>IPE!V60</f>
        <v>1628</v>
      </c>
      <c r="E60" s="252">
        <f>$D60-0.25*IPE!$F60/10*IPE!$K60/10*E$6</f>
        <v>1626.734375</v>
      </c>
      <c r="F60" s="252">
        <f>$D60-0.25*IPE!$F60/10*IPE!$K60/10*F$6</f>
        <v>1625.46875</v>
      </c>
      <c r="G60" s="252">
        <f>$D60-0.25*IPE!$F60/10*IPE!$K60/10*G$6</f>
        <v>1624.203125</v>
      </c>
      <c r="H60" s="252">
        <f>$D60-0.25*IPE!$F60/10*IPE!$K60/10*H$6</f>
        <v>1622.9375</v>
      </c>
      <c r="I60" s="254">
        <f t="shared" si="0"/>
        <v>99.689035626535627</v>
      </c>
      <c r="J60" s="254">
        <f>(IPE!I60-2*IPE!G60/100*IPE!E60)/IPE!I60*100</f>
        <v>25.2411575562701</v>
      </c>
    </row>
    <row r="61" spans="2:10">
      <c r="B61" t="str">
        <f>IPE!B61</f>
        <v>HE 340 A</v>
      </c>
      <c r="C61" s="1">
        <f>(IPE!I61-0.02*IPE!E61*IPE!G61)/IPE!I61</f>
        <v>0.25842696629213485</v>
      </c>
      <c r="D61" s="252">
        <f>IPE!V61</f>
        <v>1850</v>
      </c>
      <c r="E61" s="252">
        <f>$D61-0.25*IPE!$F61/10*IPE!$K61/10*E$6</f>
        <v>1848.5571875000001</v>
      </c>
      <c r="F61" s="252">
        <f>$D61-0.25*IPE!$F61/10*IPE!$K61/10*F$6</f>
        <v>1847.1143750000001</v>
      </c>
      <c r="G61" s="252">
        <f>$D61-0.25*IPE!$F61/10*IPE!$K61/10*G$6</f>
        <v>1845.6715624999999</v>
      </c>
      <c r="H61" s="252">
        <f>$D61-0.25*IPE!$F61/10*IPE!$K61/10*H$6</f>
        <v>1844.22875</v>
      </c>
      <c r="I61" s="254">
        <f t="shared" si="0"/>
        <v>99.688040540540541</v>
      </c>
      <c r="J61" s="254">
        <f>(IPE!I61-2*IPE!G61/100*IPE!E61)/IPE!I61*100</f>
        <v>25.842696629213485</v>
      </c>
    </row>
    <row r="62" spans="2:10">
      <c r="B62" t="str">
        <f>IPE!B62</f>
        <v>HE 360 A</v>
      </c>
      <c r="C62" s="1">
        <f>(IPE!I62-0.02*IPE!E62*IPE!G62)/IPE!I62</f>
        <v>0.26470588235294124</v>
      </c>
      <c r="D62" s="252">
        <f>IPE!V62</f>
        <v>2088</v>
      </c>
      <c r="E62" s="252">
        <f>$D62-0.25*IPE!$F62/10*IPE!$K62/10*E$6</f>
        <v>2086.3687500000001</v>
      </c>
      <c r="F62" s="252">
        <f>$D62-0.25*IPE!$F62/10*IPE!$K62/10*F$6</f>
        <v>2084.7375000000002</v>
      </c>
      <c r="G62" s="252">
        <f>$D62-0.25*IPE!$F62/10*IPE!$K62/10*G$6</f>
        <v>2083.1062499999998</v>
      </c>
      <c r="H62" s="252">
        <f>$D62-0.25*IPE!$F62/10*IPE!$K62/10*H$6</f>
        <v>2081.4749999999999</v>
      </c>
      <c r="I62" s="254">
        <f t="shared" si="0"/>
        <v>99.6875</v>
      </c>
      <c r="J62" s="254">
        <f>(IPE!I62-2*IPE!G62/100*IPE!E62)/IPE!I62*100</f>
        <v>26.470588235294123</v>
      </c>
    </row>
    <row r="63" spans="2:10">
      <c r="B63" t="str">
        <f>IPE!B63</f>
        <v>HE 400 A</v>
      </c>
      <c r="C63" s="1">
        <f>(IPE!I63-0.02*IPE!E63*IPE!G63)/IPE!I63</f>
        <v>0.28301886792452829</v>
      </c>
      <c r="D63" s="252">
        <f>IPE!V63</f>
        <v>2562</v>
      </c>
      <c r="E63" s="252">
        <f>$D63-0.25*IPE!$F63/10*IPE!$K63/10*E$6</f>
        <v>2559.9512500000001</v>
      </c>
      <c r="F63" s="252">
        <f>$D63-0.25*IPE!$F63/10*IPE!$K63/10*F$6</f>
        <v>2557.9025000000001</v>
      </c>
      <c r="G63" s="252">
        <f>$D63-0.25*IPE!$F63/10*IPE!$K63/10*G$6</f>
        <v>2555.8537500000002</v>
      </c>
      <c r="H63" s="252">
        <f>$D63-0.25*IPE!$F63/10*IPE!$K63/10*H$6</f>
        <v>2553.8049999999998</v>
      </c>
      <c r="I63" s="254">
        <f>(H63/D63)*100</f>
        <v>99.680132708821219</v>
      </c>
      <c r="J63" s="254">
        <f>(IPE!I63-2*IPE!G63/100*IPE!E63)/IPE!I63*100</f>
        <v>28.30188679245283</v>
      </c>
    </row>
    <row r="64" spans="2:10">
      <c r="B64" t="str">
        <f>IPE!B64</f>
        <v>HE 450 A</v>
      </c>
      <c r="C64" s="1">
        <f>(IPE!I64-0.02*IPE!E64*IPE!G64)/IPE!I64</f>
        <v>0.29213483146067415</v>
      </c>
      <c r="D64" s="252">
        <f>IPE!V64</f>
        <v>3216</v>
      </c>
      <c r="E64" s="252">
        <f>$D64-0.25*IPE!$F64/10*IPE!$K64/10*E$6</f>
        <v>3213.5275000000001</v>
      </c>
      <c r="F64" s="252">
        <f>$D64-0.25*IPE!$F64/10*IPE!$K64/10*F$6</f>
        <v>3211.0549999999998</v>
      </c>
      <c r="G64" s="252">
        <f>$D64-0.25*IPE!$F64/10*IPE!$K64/10*G$6</f>
        <v>3208.5825</v>
      </c>
      <c r="H64" s="252">
        <f>$D64-0.25*IPE!$F64/10*IPE!$K64/10*H$6</f>
        <v>3206.11</v>
      </c>
      <c r="I64" s="254">
        <f t="shared" si="0"/>
        <v>99.692475124378106</v>
      </c>
      <c r="J64" s="254">
        <f>(IPE!I64-2*IPE!G64/100*IPE!E64)/IPE!I64*100</f>
        <v>29.213483146067414</v>
      </c>
    </row>
    <row r="65" spans="2:10">
      <c r="B65" t="str">
        <f>IPE!B65</f>
        <v>HE 500 A</v>
      </c>
      <c r="C65" s="1">
        <f>(IPE!I65-0.02*IPE!E65*IPE!G65)/IPE!I65</f>
        <v>0.30126582278481012</v>
      </c>
      <c r="D65" s="252">
        <f>IPE!V65</f>
        <v>3949</v>
      </c>
      <c r="E65" s="252">
        <f>$D65-0.25*IPE!$F65/10*IPE!$K65/10*E$6</f>
        <v>3946.0749999999998</v>
      </c>
      <c r="F65" s="252">
        <f>$D65-0.25*IPE!$F65/10*IPE!$K65/10*F$6</f>
        <v>3943.15</v>
      </c>
      <c r="G65" s="252">
        <f>$D65-0.25*IPE!$F65/10*IPE!$K65/10*G$6</f>
        <v>3940.2249999999999</v>
      </c>
      <c r="H65" s="252">
        <f>$D65-0.25*IPE!$F65/10*IPE!$K65/10*H$6</f>
        <v>3937.3</v>
      </c>
      <c r="I65" s="254">
        <f t="shared" si="0"/>
        <v>99.70372246138264</v>
      </c>
      <c r="J65" s="254">
        <f>(IPE!I65-2*IPE!G65/100*IPE!E65)/IPE!I65*100</f>
        <v>30.126582278481013</v>
      </c>
    </row>
    <row r="66" spans="2:10">
      <c r="B66" t="str">
        <f>IPE!B66</f>
        <v>HE 550 A</v>
      </c>
      <c r="C66" s="1">
        <f>(IPE!I66-0.02*IPE!E66*IPE!G66)/IPE!I66</f>
        <v>0.32011331444759211</v>
      </c>
      <c r="D66" s="252">
        <f>IPE!V66</f>
        <v>4622</v>
      </c>
      <c r="E66" s="252">
        <f>$D66-0.25*IPE!$F66/10*IPE!$K66/10*E$6</f>
        <v>4618.578125</v>
      </c>
      <c r="F66" s="252">
        <f>$D66-0.25*IPE!$F66/10*IPE!$K66/10*F$6</f>
        <v>4615.15625</v>
      </c>
      <c r="G66" s="252">
        <f>$D66-0.25*IPE!$F66/10*IPE!$K66/10*G$6</f>
        <v>4611.734375</v>
      </c>
      <c r="H66" s="252">
        <f>$D66-0.25*IPE!$F66/10*IPE!$K66/10*H$6</f>
        <v>4608.3125</v>
      </c>
      <c r="I66" s="254">
        <f t="shared" si="0"/>
        <v>99.703861964517529</v>
      </c>
      <c r="J66" s="254">
        <f>(IPE!I66-2*IPE!G66/100*IPE!E66)/IPE!I66*100</f>
        <v>32.011331444759215</v>
      </c>
    </row>
    <row r="67" spans="2:10">
      <c r="B67" t="str">
        <f>IPE!B67</f>
        <v>HE 600 A</v>
      </c>
      <c r="C67" s="1">
        <f>(IPE!I67-0.02*IPE!E67*IPE!G67)/IPE!I67</f>
        <v>0.33774834437086093</v>
      </c>
      <c r="D67" s="252">
        <f>IPE!V67</f>
        <v>5350</v>
      </c>
      <c r="E67" s="252">
        <f>$D67-0.25*IPE!$F67/10*IPE!$K67/10*E$6</f>
        <v>5346.0512500000004</v>
      </c>
      <c r="F67" s="252">
        <f>$D67-0.25*IPE!$F67/10*IPE!$K67/10*F$6</f>
        <v>5342.1025</v>
      </c>
      <c r="G67" s="252">
        <f>$D67-0.25*IPE!$F67/10*IPE!$K67/10*G$6</f>
        <v>5338.1537500000004</v>
      </c>
      <c r="H67" s="252">
        <f>$D67-0.25*IPE!$F67/10*IPE!$K67/10*H$6</f>
        <v>5334.2049999999999</v>
      </c>
      <c r="I67" s="254">
        <f t="shared" si="0"/>
        <v>99.70476635514018</v>
      </c>
      <c r="J67" s="254">
        <f>(IPE!I67-2*IPE!G67/100*IPE!E67)/IPE!I67*100</f>
        <v>33.774834437086092</v>
      </c>
    </row>
    <row r="68" spans="2:10">
      <c r="B68" t="str">
        <f>IPE!B68</f>
        <v>HE 650 A</v>
      </c>
      <c r="C68" s="1">
        <f>(IPE!I68-0.02*IPE!E68*IPE!G68)/IPE!I68</f>
        <v>0.35430463576158938</v>
      </c>
      <c r="D68" s="252">
        <f>IPE!V68</f>
        <v>6136</v>
      </c>
      <c r="E68" s="252">
        <f>$D68-0.25*IPE!$F68/10*IPE!$K68/10*E$6</f>
        <v>6131.4943750000002</v>
      </c>
      <c r="F68" s="252">
        <f>$D68-0.25*IPE!$F68/10*IPE!$K68/10*F$6</f>
        <v>6126.9887500000004</v>
      </c>
      <c r="G68" s="252">
        <f>$D68-0.25*IPE!$F68/10*IPE!$K68/10*G$6</f>
        <v>6122.4831249999997</v>
      </c>
      <c r="H68" s="252">
        <f>$D68-0.25*IPE!$F68/10*IPE!$K68/10*H$6</f>
        <v>6117.9775</v>
      </c>
      <c r="I68" s="254">
        <f t="shared" si="0"/>
        <v>99.706282594524126</v>
      </c>
      <c r="J68" s="254">
        <f>(IPE!I68-2*IPE!G68/100*IPE!E68)/IPE!I68*100</f>
        <v>35.430463576158935</v>
      </c>
    </row>
    <row r="69" spans="2:10">
      <c r="B69" t="str">
        <f>IPE!B69</f>
        <v>HE 700 A</v>
      </c>
      <c r="C69" s="1">
        <f>(IPE!I69-0.02*IPE!E69*IPE!G69)/IPE!I69</f>
        <v>0.3781190019193858</v>
      </c>
      <c r="D69" s="252">
        <f>IPE!V69</f>
        <v>7032</v>
      </c>
      <c r="E69" s="252">
        <f>$D69-0.25*IPE!$F69/10*IPE!$K69/10*E$6</f>
        <v>7026.725625</v>
      </c>
      <c r="F69" s="252">
        <f>$D69-0.25*IPE!$F69/10*IPE!$K69/10*F$6</f>
        <v>7021.4512500000001</v>
      </c>
      <c r="G69" s="252">
        <f>$D69-0.25*IPE!$F69/10*IPE!$K69/10*G$6</f>
        <v>7016.1768750000001</v>
      </c>
      <c r="H69" s="252">
        <f>$D69-0.25*IPE!$F69/10*IPE!$K69/10*H$6</f>
        <v>7010.9025000000001</v>
      </c>
      <c r="I69" s="254">
        <f t="shared" si="0"/>
        <v>99.699978668941981</v>
      </c>
      <c r="J69" s="254">
        <f>(IPE!I69-2*IPE!G69/100*IPE!E69)/IPE!I69*100</f>
        <v>37.811900191938577</v>
      </c>
    </row>
    <row r="70" spans="2:10">
      <c r="B70" t="str">
        <f>IPE!B70</f>
        <v>HE 800 A</v>
      </c>
      <c r="C70" s="1">
        <f>(IPE!I70-0.02*IPE!E70*IPE!G70)/IPE!I70</f>
        <v>0.41217634709587125</v>
      </c>
      <c r="D70" s="252">
        <f>IPE!V70</f>
        <v>8699</v>
      </c>
      <c r="E70" s="252">
        <f>$D70-0.25*IPE!$F70/10*IPE!$K70/10*E$6</f>
        <v>8692.6812499999996</v>
      </c>
      <c r="F70" s="252">
        <f>$D70-0.25*IPE!$F70/10*IPE!$K70/10*F$6</f>
        <v>8686.3624999999993</v>
      </c>
      <c r="G70" s="252">
        <f>$D70-0.25*IPE!$F70/10*IPE!$K70/10*G$6</f>
        <v>8680.0437500000007</v>
      </c>
      <c r="H70" s="252">
        <f>$D70-0.25*IPE!$F70/10*IPE!$K70/10*H$6</f>
        <v>8673.7250000000004</v>
      </c>
      <c r="I70" s="254">
        <f t="shared" si="0"/>
        <v>99.709449361995638</v>
      </c>
      <c r="J70" s="254">
        <f>(IPE!I70-2*IPE!G70/100*IPE!E70)/IPE!I70*100</f>
        <v>41.217634709587117</v>
      </c>
    </row>
    <row r="71" spans="2:10">
      <c r="B71" t="str">
        <f>IPE!B71</f>
        <v>HE 900 A</v>
      </c>
      <c r="C71" s="1">
        <f>(IPE!I71-0.02*IPE!E71*IPE!G71)/IPE!I71</f>
        <v>0.43837753510140404</v>
      </c>
      <c r="D71" s="252">
        <f>IPE!V71</f>
        <v>10810</v>
      </c>
      <c r="E71" s="252">
        <f>$D71-0.25*IPE!$F71/10*IPE!$K71/10*E$6</f>
        <v>10802.3</v>
      </c>
      <c r="F71" s="252">
        <f>$D71-0.25*IPE!$F71/10*IPE!$K71/10*F$6</f>
        <v>10794.6</v>
      </c>
      <c r="G71" s="252">
        <f>$D71-0.25*IPE!$F71/10*IPE!$K71/10*G$6</f>
        <v>10786.9</v>
      </c>
      <c r="H71" s="252">
        <f>$D71-0.25*IPE!$F71/10*IPE!$K71/10*H$6</f>
        <v>10779.2</v>
      </c>
      <c r="I71" s="254">
        <f t="shared" si="0"/>
        <v>99.715078630897324</v>
      </c>
      <c r="J71" s="254">
        <f>(IPE!I71-2*IPE!G71/100*IPE!E71)/IPE!I71*100</f>
        <v>43.837753510140402</v>
      </c>
    </row>
    <row r="72" spans="2:10">
      <c r="B72" t="str">
        <f>IPE!B72</f>
        <v>HE 1000 A</v>
      </c>
      <c r="C72" s="1">
        <f>(IPE!I72-0.02*IPE!E72*IPE!G72)/IPE!I72</f>
        <v>0.46366782006920415</v>
      </c>
      <c r="D72" s="252">
        <f>IPE!V72</f>
        <v>12820</v>
      </c>
      <c r="E72" s="252">
        <f>$D72-0.25*IPE!$F72/10*IPE!$K72/10*E$6</f>
        <v>12811.04875</v>
      </c>
      <c r="F72" s="252">
        <f>$D72-0.25*IPE!$F72/10*IPE!$K72/10*F$6</f>
        <v>12802.0975</v>
      </c>
      <c r="G72" s="252">
        <f>$D72-0.25*IPE!$F72/10*IPE!$K72/10*G$6</f>
        <v>12793.14625</v>
      </c>
      <c r="H72" s="252">
        <f>$D72-0.25*IPE!$F72/10*IPE!$K72/10*H$6</f>
        <v>12784.195</v>
      </c>
      <c r="I72" s="254">
        <f t="shared" ref="I72:I96" si="1">(H72/D72)*100</f>
        <v>99.720709828393126</v>
      </c>
      <c r="J72" s="254">
        <f>(IPE!I72-2*IPE!G72/100*IPE!E72)/IPE!I72*100</f>
        <v>46.366782006920417</v>
      </c>
    </row>
    <row r="73" spans="2:10">
      <c r="B73" t="str">
        <f>IPE!B73</f>
        <v>HE 100 B</v>
      </c>
      <c r="C73" s="1">
        <f>(IPE!I73-0.02*IPE!E73*IPE!G73)/IPE!I73</f>
        <v>0.23076923076923078</v>
      </c>
      <c r="D73" s="252">
        <f>IPE!V73</f>
        <v>104.2</v>
      </c>
      <c r="E73" s="252">
        <f>$D73-0.25*IPE!$F73/10*IPE!$K73/10*E$6</f>
        <v>103.99000000000001</v>
      </c>
      <c r="F73" s="252">
        <f>$D73-0.25*IPE!$F73/10*IPE!$K73/10*F$6</f>
        <v>103.78</v>
      </c>
      <c r="G73" s="252">
        <f>$D73-0.25*IPE!$F73/10*IPE!$K73/10*G$6</f>
        <v>103.57000000000001</v>
      </c>
      <c r="H73" s="252">
        <f>$D73-0.25*IPE!$F73/10*IPE!$K73/10*H$6</f>
        <v>103.36</v>
      </c>
      <c r="I73" s="254">
        <f t="shared" si="1"/>
        <v>99.193857965451045</v>
      </c>
      <c r="J73" s="254">
        <f>(IPE!I73-2*IPE!G73/100*IPE!E73)/IPE!I73*100</f>
        <v>23.076923076923077</v>
      </c>
    </row>
    <row r="74" spans="2:10">
      <c r="B74" t="str">
        <f>IPE!B74</f>
        <v>HE 100 M</v>
      </c>
      <c r="C74" s="1">
        <f>(IPE!I74-0.02*IPE!E74*IPE!G74)/IPE!I74</f>
        <v>0.20300751879699241</v>
      </c>
      <c r="D74" s="252">
        <f>IPE!V74</f>
        <v>235.8</v>
      </c>
      <c r="E74" s="252">
        <f>$D74-0.25*IPE!$F74/10*IPE!$K74/10*E$6</f>
        <v>235.38000000000002</v>
      </c>
      <c r="F74" s="252">
        <f>$D74-0.25*IPE!$F74/10*IPE!$K74/10*F$6</f>
        <v>234.96</v>
      </c>
      <c r="G74" s="252">
        <f>$D74-0.25*IPE!$F74/10*IPE!$K74/10*G$6</f>
        <v>234.54000000000002</v>
      </c>
      <c r="H74" s="252">
        <f>$D74-0.25*IPE!$F74/10*IPE!$K74/10*H$6</f>
        <v>234.12</v>
      </c>
      <c r="I74" s="254">
        <f t="shared" si="1"/>
        <v>99.287531806615775</v>
      </c>
      <c r="J74" s="254">
        <f>(IPE!I74-2*IPE!G74/100*IPE!E74)/IPE!I74*100</f>
        <v>20.300751879699241</v>
      </c>
    </row>
    <row r="75" spans="2:10">
      <c r="B75" t="str">
        <f>IPE!B75</f>
        <v>HE 120 M</v>
      </c>
      <c r="C75" s="1">
        <f>(IPE!I75-0.02*IPE!E75*IPE!G75)/IPE!I75</f>
        <v>0.20301204819277113</v>
      </c>
      <c r="D75" s="252">
        <f>IPE!V75</f>
        <v>350.6</v>
      </c>
      <c r="E75" s="252">
        <f>$D75-0.25*IPE!$F75/10*IPE!$K75/10*E$6</f>
        <v>350.02187500000002</v>
      </c>
      <c r="F75" s="252">
        <f>$D75-0.25*IPE!$F75/10*IPE!$K75/10*F$6</f>
        <v>349.44375000000002</v>
      </c>
      <c r="G75" s="252">
        <f>$D75-0.25*IPE!$F75/10*IPE!$K75/10*G$6</f>
        <v>348.86562500000002</v>
      </c>
      <c r="H75" s="252">
        <f>$D75-0.25*IPE!$F75/10*IPE!$K75/10*H$6</f>
        <v>348.28750000000002</v>
      </c>
      <c r="I75" s="254">
        <f t="shared" si="1"/>
        <v>99.340416428978898</v>
      </c>
      <c r="J75" s="254">
        <f>(IPE!I75-2*IPE!G75/100*IPE!E75)/IPE!I75*100</f>
        <v>20.301204819277125</v>
      </c>
    </row>
    <row r="76" spans="2:10">
      <c r="B76" t="str">
        <f>IPE!B76</f>
        <v>HE 140 M</v>
      </c>
      <c r="C76" s="1">
        <f>(IPE!I76-0.02*IPE!E76*IPE!G76)/IPE!I76</f>
        <v>0.20297766749379653</v>
      </c>
      <c r="D76" s="252">
        <f>IPE!V76</f>
        <v>493.8</v>
      </c>
      <c r="E76" s="252">
        <f>$D76-0.25*IPE!$F76/10*IPE!$K76/10*E$6</f>
        <v>493.05250000000001</v>
      </c>
      <c r="F76" s="252">
        <f>$D76-0.25*IPE!$F76/10*IPE!$K76/10*F$6</f>
        <v>492.30500000000001</v>
      </c>
      <c r="G76" s="252">
        <f>$D76-0.25*IPE!$F76/10*IPE!$K76/10*G$6</f>
        <v>491.5575</v>
      </c>
      <c r="H76" s="252">
        <f>$D76-0.25*IPE!$F76/10*IPE!$K76/10*H$6</f>
        <v>490.81</v>
      </c>
      <c r="I76" s="254">
        <f t="shared" si="1"/>
        <v>99.394491697043335</v>
      </c>
      <c r="J76" s="254">
        <f>(IPE!I76-2*IPE!G76/100*IPE!E76)/IPE!I76*100</f>
        <v>20.297766749379655</v>
      </c>
    </row>
    <row r="77" spans="2:10">
      <c r="B77" t="str">
        <f>IPE!B77</f>
        <v>HE 160 M</v>
      </c>
      <c r="C77" s="1">
        <f>(IPE!I77-0.02*IPE!E77*IPE!G77)/IPE!I77</f>
        <v>0.21359423274974235</v>
      </c>
      <c r="D77" s="252">
        <f>IPE!V77</f>
        <v>674.6</v>
      </c>
      <c r="E77" s="252">
        <f>$D77-0.25*IPE!$F77/10*IPE!$K77/10*E$6</f>
        <v>673.69</v>
      </c>
      <c r="F77" s="252">
        <f>$D77-0.25*IPE!$F77/10*IPE!$K77/10*F$6</f>
        <v>672.78</v>
      </c>
      <c r="G77" s="252">
        <f>$D77-0.25*IPE!$F77/10*IPE!$K77/10*G$6</f>
        <v>671.87</v>
      </c>
      <c r="H77" s="252">
        <f>$D77-0.25*IPE!$F77/10*IPE!$K77/10*H$6</f>
        <v>670.96</v>
      </c>
      <c r="I77" s="254">
        <f t="shared" si="1"/>
        <v>99.46042099021642</v>
      </c>
      <c r="J77" s="254">
        <f>(IPE!I77-2*IPE!G77/100*IPE!E77)/IPE!I77*100</f>
        <v>21.359423274974247</v>
      </c>
    </row>
    <row r="78" spans="2:10">
      <c r="B78" t="str">
        <f>IPE!B78</f>
        <v>HE 200 M</v>
      </c>
      <c r="C78" s="1">
        <f>(IPE!I78-0.02*IPE!E78*IPE!G78)/IPE!I78</f>
        <v>0.21553693830921561</v>
      </c>
      <c r="D78" s="252">
        <f>IPE!V78</f>
        <v>1135</v>
      </c>
      <c r="E78" s="252">
        <f>$D78-0.25*IPE!$F78/10*IPE!$K78/10*E$6</f>
        <v>1133.7437500000001</v>
      </c>
      <c r="F78" s="252">
        <f>$D78-0.25*IPE!$F78/10*IPE!$K78/10*F$6</f>
        <v>1132.4875</v>
      </c>
      <c r="G78" s="252">
        <f>$D78-0.25*IPE!$F78/10*IPE!$K78/10*G$6</f>
        <v>1131.23125</v>
      </c>
      <c r="H78" s="252">
        <f>$D78-0.25*IPE!$F78/10*IPE!$K78/10*H$6</f>
        <v>1129.9749999999999</v>
      </c>
      <c r="I78" s="254">
        <f t="shared" si="1"/>
        <v>99.557268722466958</v>
      </c>
      <c r="J78" s="254">
        <f>(IPE!I78-2*IPE!G78/100*IPE!E78)/IPE!I78*100</f>
        <v>21.55369383092156</v>
      </c>
    </row>
    <row r="79" spans="2:10">
      <c r="B79" t="str">
        <f>IPE!B79</f>
        <v>HE 220 M</v>
      </c>
      <c r="C79" s="1">
        <f>(IPE!I79-0.02*IPE!E79*IPE!G79)/IPE!I79</f>
        <v>0.21338688085676033</v>
      </c>
      <c r="D79" s="252">
        <f>IPE!V79</f>
        <v>1419</v>
      </c>
      <c r="E79" s="252">
        <f>$D79-0.25*IPE!$F79/10*IPE!$K79/10*E$6</f>
        <v>1417.5274999999999</v>
      </c>
      <c r="F79" s="252">
        <f>$D79-0.25*IPE!$F79/10*IPE!$K79/10*F$6</f>
        <v>1416.0550000000001</v>
      </c>
      <c r="G79" s="252">
        <f>$D79-0.25*IPE!$F79/10*IPE!$K79/10*G$6</f>
        <v>1414.5825</v>
      </c>
      <c r="H79" s="252">
        <f>$D79-0.25*IPE!$F79/10*IPE!$K79/10*H$6</f>
        <v>1413.11</v>
      </c>
      <c r="I79" s="254">
        <f t="shared" si="1"/>
        <v>99.584918957011965</v>
      </c>
      <c r="J79" s="254">
        <f>(IPE!I79-2*IPE!G79/100*IPE!E79)/IPE!I79*100</f>
        <v>21.338688085676033</v>
      </c>
    </row>
    <row r="80" spans="2:10">
      <c r="B80" t="str">
        <f>IPE!B80</f>
        <v>HE 240 M</v>
      </c>
      <c r="C80" s="1">
        <f>(IPE!I80-0.02*IPE!E80*IPE!G80)/IPE!I80</f>
        <v>0.20480961923847693</v>
      </c>
      <c r="D80" s="252">
        <f>IPE!V80</f>
        <v>2117</v>
      </c>
      <c r="E80" s="252">
        <f>$D80-0.25*IPE!$F80/10*IPE!$K80/10*E$6</f>
        <v>2115.1550000000002</v>
      </c>
      <c r="F80" s="252">
        <f>$D80-0.25*IPE!$F80/10*IPE!$K80/10*F$6</f>
        <v>2113.31</v>
      </c>
      <c r="G80" s="252">
        <f>$D80-0.25*IPE!$F80/10*IPE!$K80/10*G$6</f>
        <v>2111.4650000000001</v>
      </c>
      <c r="H80" s="252">
        <f>$D80-0.25*IPE!$F80/10*IPE!$K80/10*H$6</f>
        <v>2109.62</v>
      </c>
      <c r="I80" s="254">
        <f t="shared" si="1"/>
        <v>99.651393481341515</v>
      </c>
      <c r="J80" s="254">
        <f>(IPE!I80-2*IPE!G80/100*IPE!E80)/IPE!I80*100</f>
        <v>20.480961923847694</v>
      </c>
    </row>
    <row r="81" spans="2:10">
      <c r="B81" t="str">
        <f>IPE!B81</f>
        <v>HE 260 M</v>
      </c>
      <c r="C81" s="1">
        <f>(IPE!I81-0.02*IPE!E81*IPE!G81)/IPE!I81</f>
        <v>0.20673952641165746</v>
      </c>
      <c r="D81" s="252">
        <f>IPE!V81</f>
        <v>2524</v>
      </c>
      <c r="E81" s="252">
        <f>$D81-0.25*IPE!$F81/10*IPE!$K81/10*E$6</f>
        <v>2522.00875</v>
      </c>
      <c r="F81" s="252">
        <f>$D81-0.25*IPE!$F81/10*IPE!$K81/10*F$6</f>
        <v>2520.0174999999999</v>
      </c>
      <c r="G81" s="252">
        <f>$D81-0.25*IPE!$F81/10*IPE!$K81/10*G$6</f>
        <v>2518.0262499999999</v>
      </c>
      <c r="H81" s="252">
        <f>$D81-0.25*IPE!$F81/10*IPE!$K81/10*H$6</f>
        <v>2516.0349999999999</v>
      </c>
      <c r="I81" s="254">
        <f t="shared" si="1"/>
        <v>99.684429477020601</v>
      </c>
      <c r="J81" s="254">
        <f>(IPE!I81-2*IPE!G81/100*IPE!E81)/IPE!I81*100</f>
        <v>20.673952641165748</v>
      </c>
    </row>
    <row r="82" spans="2:10">
      <c r="B82" t="str">
        <f>IPE!B82</f>
        <v>HE 280 M</v>
      </c>
      <c r="C82" s="1">
        <f>(IPE!I82-0.02*IPE!E82*IPE!G82)/IPE!I82</f>
        <v>0.20865945045795173</v>
      </c>
      <c r="D82" s="252">
        <f>IPE!V82</f>
        <v>2966</v>
      </c>
      <c r="E82" s="252">
        <f>$D82-0.25*IPE!$F82/10*IPE!$K82/10*E$6</f>
        <v>2963.7337499999999</v>
      </c>
      <c r="F82" s="252">
        <f>$D82-0.25*IPE!$F82/10*IPE!$K82/10*F$6</f>
        <v>2961.4675000000002</v>
      </c>
      <c r="G82" s="252">
        <f>$D82-0.25*IPE!$F82/10*IPE!$K82/10*G$6</f>
        <v>2959.2012500000001</v>
      </c>
      <c r="H82" s="252">
        <f>$D82-0.25*IPE!$F82/10*IPE!$K82/10*H$6</f>
        <v>2956.9349999999999</v>
      </c>
      <c r="I82" s="254">
        <f t="shared" si="1"/>
        <v>99.694369521240716</v>
      </c>
      <c r="J82" s="254">
        <f>(IPE!I82-2*IPE!G82/100*IPE!E82)/IPE!I82*100</f>
        <v>20.865945045795161</v>
      </c>
    </row>
    <row r="83" spans="2:10">
      <c r="B83" t="str">
        <f>IPE!B83</f>
        <v>HE 300 M</v>
      </c>
      <c r="C83" s="1">
        <f>(IPE!I83-0.02*IPE!E83*IPE!G83)/IPE!I83</f>
        <v>0.20224348399868033</v>
      </c>
      <c r="D83" s="252">
        <f>IPE!V83</f>
        <v>4078</v>
      </c>
      <c r="E83" s="252">
        <f>$D83-0.25*IPE!$F83/10*IPE!$K83/10*E$6</f>
        <v>4075.27</v>
      </c>
      <c r="F83" s="252">
        <f>$D83-0.25*IPE!$F83/10*IPE!$K83/10*F$6</f>
        <v>4072.54</v>
      </c>
      <c r="G83" s="252">
        <f>$D83-0.25*IPE!$F83/10*IPE!$K83/10*G$6</f>
        <v>4069.81</v>
      </c>
      <c r="H83" s="252">
        <f>$D83-0.25*IPE!$F83/10*IPE!$K83/10*H$6</f>
        <v>4067.08</v>
      </c>
      <c r="I83" s="254">
        <f t="shared" si="1"/>
        <v>99.732221677292785</v>
      </c>
      <c r="J83" s="254">
        <f>(IPE!I83-2*IPE!G83/100*IPE!E83)/IPE!I83*100</f>
        <v>20.224348399868035</v>
      </c>
    </row>
    <row r="84" spans="2:10">
      <c r="B84" t="str">
        <f>IPE!B84</f>
        <v>HE 320 M</v>
      </c>
      <c r="C84" s="1">
        <f>(IPE!I84-0.02*IPE!E84*IPE!G84)/IPE!I84</f>
        <v>0.20769230769230773</v>
      </c>
      <c r="D84" s="252">
        <f>IPE!V84</f>
        <v>4435</v>
      </c>
      <c r="E84" s="252">
        <f>$D84-0.25*IPE!$F84/10*IPE!$K84/10*E$6</f>
        <v>4432.046875</v>
      </c>
      <c r="F84" s="252">
        <f>$D84-0.25*IPE!$F84/10*IPE!$K84/10*F$6</f>
        <v>4429.09375</v>
      </c>
      <c r="G84" s="252">
        <f>$D84-0.25*IPE!$F84/10*IPE!$K84/10*G$6</f>
        <v>4426.140625</v>
      </c>
      <c r="H84" s="252">
        <f>$D84-0.25*IPE!$F84/10*IPE!$K84/10*H$6</f>
        <v>4423.1875</v>
      </c>
      <c r="I84" s="254">
        <f t="shared" si="1"/>
        <v>99.733652762119505</v>
      </c>
      <c r="J84" s="254">
        <f>(IPE!I84-2*IPE!G84/100*IPE!E84)/IPE!I84*100</f>
        <v>20.769230769230766</v>
      </c>
    </row>
    <row r="85" spans="2:10">
      <c r="B85" t="str">
        <f>IPE!B85</f>
        <v>HE 340 M</v>
      </c>
      <c r="C85" s="1">
        <f>(IPE!I85-0.02*IPE!E85*IPE!G85)/IPE!I85</f>
        <v>0.21722609246358462</v>
      </c>
      <c r="D85" s="252">
        <f>IPE!V85</f>
        <v>4718</v>
      </c>
      <c r="E85" s="252">
        <f>$D85-0.25*IPE!$F85/10*IPE!$K85/10*E$6</f>
        <v>4714.8106250000001</v>
      </c>
      <c r="F85" s="252">
        <f>$D85-0.25*IPE!$F85/10*IPE!$K85/10*F$6</f>
        <v>4711.6212500000001</v>
      </c>
      <c r="G85" s="252">
        <f>$D85-0.25*IPE!$F85/10*IPE!$K85/10*G$6</f>
        <v>4708.4318750000002</v>
      </c>
      <c r="H85" s="252">
        <f>$D85-0.25*IPE!$F85/10*IPE!$K85/10*H$6</f>
        <v>4705.2425000000003</v>
      </c>
      <c r="I85" s="254">
        <f t="shared" si="1"/>
        <v>99.729599406528195</v>
      </c>
      <c r="J85" s="254">
        <f>(IPE!I85-2*IPE!G85/100*IPE!E85)/IPE!I85*100</f>
        <v>21.722609246358452</v>
      </c>
    </row>
    <row r="86" spans="2:10">
      <c r="B86" t="str">
        <f>IPE!B86</f>
        <v>HE 360 M</v>
      </c>
      <c r="C86" s="1">
        <f>(IPE!I86-0.02*IPE!E86*IPE!G86)/IPE!I86</f>
        <v>0.22710163111668757</v>
      </c>
      <c r="D86" s="252">
        <f>IPE!V86</f>
        <v>4989</v>
      </c>
      <c r="E86" s="252">
        <f>$D86-0.25*IPE!$F86/10*IPE!$K86/10*E$6</f>
        <v>4985.5743750000001</v>
      </c>
      <c r="F86" s="252">
        <f>$D86-0.25*IPE!$F86/10*IPE!$K86/10*F$6</f>
        <v>4982.1487500000003</v>
      </c>
      <c r="G86" s="252">
        <f>$D86-0.25*IPE!$F86/10*IPE!$K86/10*G$6</f>
        <v>4978.7231250000004</v>
      </c>
      <c r="H86" s="252">
        <f>$D86-0.25*IPE!$F86/10*IPE!$K86/10*H$6</f>
        <v>4975.2974999999997</v>
      </c>
      <c r="I86" s="254">
        <f t="shared" si="1"/>
        <v>99.725345760673477</v>
      </c>
      <c r="J86" s="254">
        <f>(IPE!I86-2*IPE!G86/100*IPE!E86)/IPE!I86*100</f>
        <v>22.710163111668756</v>
      </c>
    </row>
    <row r="87" spans="2:10">
      <c r="B87" t="str">
        <f>IPE!B87</f>
        <v>HE 400 M</v>
      </c>
      <c r="C87" s="1">
        <f>(IPE!I87-0.02*IPE!E87*IPE!G87)/IPE!I87</f>
        <v>0.24616329036218534</v>
      </c>
      <c r="D87" s="252">
        <f>IPE!V87</f>
        <v>5571</v>
      </c>
      <c r="E87" s="252">
        <f>$D87-0.25*IPE!$F87/10*IPE!$K87/10*E$6</f>
        <v>5567.0887499999999</v>
      </c>
      <c r="F87" s="252">
        <f>$D87-0.25*IPE!$F87/10*IPE!$K87/10*F$6</f>
        <v>5563.1774999999998</v>
      </c>
      <c r="G87" s="252">
        <f>$D87-0.25*IPE!$F87/10*IPE!$K87/10*G$6</f>
        <v>5559.2662499999997</v>
      </c>
      <c r="H87" s="252">
        <f>$D87-0.25*IPE!$F87/10*IPE!$K87/10*H$6</f>
        <v>5555.3549999999996</v>
      </c>
      <c r="I87" s="254">
        <f t="shared" si="1"/>
        <v>99.71917070543887</v>
      </c>
      <c r="J87" s="254">
        <f>(IPE!I87-2*IPE!G87/100*IPE!E87)/IPE!I87*100</f>
        <v>24.616329036218534</v>
      </c>
    </row>
    <row r="88" spans="2:10">
      <c r="B88" t="str">
        <f>IPE!B88</f>
        <v>HE 450 M</v>
      </c>
      <c r="C88" s="1">
        <f>(IPE!I88-0.02*IPE!E88*IPE!G88)/IPE!I88</f>
        <v>0.26774001192605834</v>
      </c>
      <c r="D88" s="252">
        <f>IPE!V88</f>
        <v>6331</v>
      </c>
      <c r="E88" s="252">
        <f>$D88-0.25*IPE!$F88/10*IPE!$K88/10*E$6</f>
        <v>6326.4849999999997</v>
      </c>
      <c r="F88" s="252">
        <f>$D88-0.25*IPE!$F88/10*IPE!$K88/10*F$6</f>
        <v>6321.97</v>
      </c>
      <c r="G88" s="252">
        <f>$D88-0.25*IPE!$F88/10*IPE!$K88/10*G$6</f>
        <v>6317.4549999999999</v>
      </c>
      <c r="H88" s="252">
        <f>$D88-0.25*IPE!$F88/10*IPE!$K88/10*H$6</f>
        <v>6312.94</v>
      </c>
      <c r="I88" s="254">
        <f t="shared" si="1"/>
        <v>99.7147370083715</v>
      </c>
      <c r="J88" s="254">
        <f>(IPE!I88-2*IPE!G88/100*IPE!E88)/IPE!I88*100</f>
        <v>26.774001192605834</v>
      </c>
    </row>
    <row r="89" spans="2:10">
      <c r="B89" t="str">
        <f>IPE!B89</f>
        <v>HE 500 M</v>
      </c>
      <c r="C89" s="1">
        <f>(IPE!I89-0.02*IPE!E89*IPE!G89)/IPE!I89</f>
        <v>0.28899215800174266</v>
      </c>
      <c r="D89" s="252">
        <f>IPE!V89</f>
        <v>7094</v>
      </c>
      <c r="E89" s="252">
        <f>$D89-0.25*IPE!$F89/10*IPE!$K89/10*E$6</f>
        <v>7088.8812500000004</v>
      </c>
      <c r="F89" s="252">
        <f>$D89-0.25*IPE!$F89/10*IPE!$K89/10*F$6</f>
        <v>7083.7624999999998</v>
      </c>
      <c r="G89" s="252">
        <f>$D89-0.25*IPE!$F89/10*IPE!$K89/10*G$6</f>
        <v>7078.6437500000002</v>
      </c>
      <c r="H89" s="252">
        <f>$D89-0.25*IPE!$F89/10*IPE!$K89/10*H$6</f>
        <v>7073.5249999999996</v>
      </c>
      <c r="I89" s="254">
        <f t="shared" si="1"/>
        <v>99.711375810544112</v>
      </c>
      <c r="J89" s="254">
        <f>(IPE!I89-2*IPE!G89/100*IPE!E89)/IPE!I89*100</f>
        <v>28.899215800174265</v>
      </c>
    </row>
    <row r="90" spans="2:10">
      <c r="B90" t="str">
        <f>IPE!B90</f>
        <v>HE 550 M</v>
      </c>
      <c r="C90" s="1">
        <f>(IPE!I90-0.02*IPE!E90*IPE!G90)/IPE!I90</f>
        <v>0.30925507900677196</v>
      </c>
      <c r="D90" s="252">
        <f>IPE!V90</f>
        <v>7933</v>
      </c>
      <c r="E90" s="252">
        <f>$D90-0.25*IPE!$F90/10*IPE!$K90/10*E$6</f>
        <v>7927.2512500000003</v>
      </c>
      <c r="F90" s="252">
        <f>$D90-0.25*IPE!$F90/10*IPE!$K90/10*F$6</f>
        <v>7921.5024999999996</v>
      </c>
      <c r="G90" s="252">
        <f>$D90-0.25*IPE!$F90/10*IPE!$K90/10*G$6</f>
        <v>7915.7537499999999</v>
      </c>
      <c r="H90" s="252">
        <f>$D90-0.25*IPE!$F90/10*IPE!$K90/10*H$6</f>
        <v>7910.0050000000001</v>
      </c>
      <c r="I90" s="254">
        <f t="shared" si="1"/>
        <v>99.710134879616803</v>
      </c>
      <c r="J90" s="254">
        <f>(IPE!I90-2*IPE!G90/100*IPE!E90)/IPE!I90*100</f>
        <v>30.925507900677196</v>
      </c>
    </row>
    <row r="91" spans="2:10">
      <c r="B91" t="str">
        <f>IPE!B91</f>
        <v>HE 600 M</v>
      </c>
      <c r="C91" s="1">
        <f>(IPE!I91-0.02*IPE!E91*IPE!G91)/IPE!I91</f>
        <v>0.32911740445422039</v>
      </c>
      <c r="D91" s="252">
        <f>IPE!V91</f>
        <v>8772</v>
      </c>
      <c r="E91" s="252">
        <f>$D91-0.25*IPE!$F91/10*IPE!$K91/10*E$6</f>
        <v>8765.6212500000001</v>
      </c>
      <c r="F91" s="252">
        <f>$D91-0.25*IPE!$F91/10*IPE!$K91/10*F$6</f>
        <v>8759.2425000000003</v>
      </c>
      <c r="G91" s="252">
        <f>$D91-0.25*IPE!$F91/10*IPE!$K91/10*G$6</f>
        <v>8752.8637500000004</v>
      </c>
      <c r="H91" s="252">
        <f>$D91-0.25*IPE!$F91/10*IPE!$K91/10*H$6</f>
        <v>8746.4850000000006</v>
      </c>
      <c r="I91" s="254">
        <f t="shared" si="1"/>
        <v>99.70913132694939</v>
      </c>
      <c r="J91" s="254">
        <f>(IPE!I91-2*IPE!G91/100*IPE!E91)/IPE!I91*100</f>
        <v>32.911740445422048</v>
      </c>
    </row>
    <row r="92" spans="2:10">
      <c r="B92" t="str">
        <f>IPE!B92</f>
        <v>HE 650 M</v>
      </c>
      <c r="C92" s="1">
        <f>(IPE!I92-0.02*IPE!E92*IPE!G92)/IPE!I92</f>
        <v>0.34706984211934699</v>
      </c>
      <c r="D92" s="252">
        <f>IPE!V92</f>
        <v>9657</v>
      </c>
      <c r="E92" s="252">
        <f>$D92-0.25*IPE!$F92/10*IPE!$K92/10*E$6</f>
        <v>9649.9912499999991</v>
      </c>
      <c r="F92" s="252">
        <f>$D92-0.25*IPE!$F92/10*IPE!$K92/10*F$6</f>
        <v>9642.9825000000001</v>
      </c>
      <c r="G92" s="252">
        <f>$D92-0.25*IPE!$F92/10*IPE!$K92/10*G$6</f>
        <v>9635.9737499999992</v>
      </c>
      <c r="H92" s="252">
        <f>$D92-0.25*IPE!$F92/10*IPE!$K92/10*H$6</f>
        <v>9628.9650000000001</v>
      </c>
      <c r="I92" s="254">
        <f t="shared" si="1"/>
        <v>99.70969245107176</v>
      </c>
      <c r="J92" s="254">
        <f>(IPE!I92-2*IPE!G92/100*IPE!E92)/IPE!I92*100</f>
        <v>34.706984211934703</v>
      </c>
    </row>
    <row r="93" spans="2:10">
      <c r="B93" t="str">
        <f>IPE!B93</f>
        <v>HE 700 M</v>
      </c>
      <c r="C93" s="1">
        <f>(IPE!I93-0.02*IPE!E93*IPE!G93)/IPE!I93</f>
        <v>0.36501305483028723</v>
      </c>
      <c r="D93" s="252">
        <f>IPE!V93</f>
        <v>10540</v>
      </c>
      <c r="E93" s="252">
        <f>$D93-0.25*IPE!$F93/10*IPE!$K93/10*E$6</f>
        <v>10532.36125</v>
      </c>
      <c r="F93" s="252">
        <f>$D93-0.25*IPE!$F93/10*IPE!$K93/10*F$6</f>
        <v>10524.7225</v>
      </c>
      <c r="G93" s="252">
        <f>$D93-0.25*IPE!$F93/10*IPE!$K93/10*G$6</f>
        <v>10517.08375</v>
      </c>
      <c r="H93" s="252">
        <f>$D93-0.25*IPE!$F93/10*IPE!$K93/10*H$6</f>
        <v>10509.445</v>
      </c>
      <c r="I93" s="254">
        <f t="shared" si="1"/>
        <v>99.710104364326369</v>
      </c>
      <c r="J93" s="254">
        <f>(IPE!I93-2*IPE!G93/100*IPE!E93)/IPE!I93*100</f>
        <v>36.501305483028716</v>
      </c>
    </row>
    <row r="94" spans="2:10">
      <c r="B94" t="str">
        <f>IPE!B94</f>
        <v>HE 800 M</v>
      </c>
      <c r="C94" s="1">
        <f>(IPE!I94-0.02*IPE!E94*IPE!G94)/IPE!I94</f>
        <v>0.40044521395003702</v>
      </c>
      <c r="D94" s="252">
        <f>IPE!V94</f>
        <v>12490</v>
      </c>
      <c r="E94" s="252">
        <f>$D94-0.25*IPE!$F94/10*IPE!$K94/10*E$6</f>
        <v>12481.153749999999</v>
      </c>
      <c r="F94" s="252">
        <f>$D94-0.25*IPE!$F94/10*IPE!$K94/10*F$6</f>
        <v>12472.307500000001</v>
      </c>
      <c r="G94" s="252">
        <f>$D94-0.25*IPE!$F94/10*IPE!$K94/10*G$6</f>
        <v>12463.46125</v>
      </c>
      <c r="H94" s="252">
        <f>$D94-0.25*IPE!$F94/10*IPE!$K94/10*H$6</f>
        <v>12454.615</v>
      </c>
      <c r="I94" s="254">
        <f t="shared" si="1"/>
        <v>99.716693354683756</v>
      </c>
      <c r="J94" s="254">
        <f>(IPE!I94-2*IPE!G94/100*IPE!E94)/IPE!I94*100</f>
        <v>40.044521395003713</v>
      </c>
    </row>
    <row r="95" spans="2:10">
      <c r="B95" t="str">
        <f>IPE!B95</f>
        <v>HE 900 M</v>
      </c>
      <c r="C95" s="1">
        <f>(IPE!I95-0.02*IPE!E95*IPE!G95)/IPE!I95</f>
        <v>0.42965061378659114</v>
      </c>
      <c r="D95" s="252">
        <f>IPE!V95</f>
        <v>14440</v>
      </c>
      <c r="E95" s="252">
        <f>$D95-0.25*IPE!$F95/10*IPE!$K95/10*E$6</f>
        <v>14429.893749999999</v>
      </c>
      <c r="F95" s="252">
        <f>$D95-0.25*IPE!$F95/10*IPE!$K95/10*F$6</f>
        <v>14419.7875</v>
      </c>
      <c r="G95" s="252">
        <f>$D95-0.25*IPE!$F95/10*IPE!$K95/10*G$6</f>
        <v>14409.68125</v>
      </c>
      <c r="H95" s="252">
        <f>$D95-0.25*IPE!$F95/10*IPE!$K95/10*H$6</f>
        <v>14399.575000000001</v>
      </c>
      <c r="I95" s="254">
        <f t="shared" si="1"/>
        <v>99.720048476454309</v>
      </c>
      <c r="J95" s="254">
        <f>(IPE!I95-2*IPE!G95/100*IPE!E95)/IPE!I95*100</f>
        <v>42.965061378659108</v>
      </c>
    </row>
    <row r="96" spans="2:10">
      <c r="B96" t="str">
        <f>IPE!B96</f>
        <v>HE 1000 M</v>
      </c>
      <c r="C96" s="1">
        <f>(IPE!I96-0.02*IPE!E96*IPE!G96)/IPE!I96</f>
        <v>0.45610085547050877</v>
      </c>
      <c r="D96" s="252">
        <f>IPE!V96</f>
        <v>16570</v>
      </c>
      <c r="E96" s="252">
        <f>$D96-0.25*IPE!$F96/10*IPE!$K96/10*E$6</f>
        <v>16558.607499999998</v>
      </c>
      <c r="F96" s="252">
        <f>$D96-0.25*IPE!$F96/10*IPE!$K96/10*F$6</f>
        <v>16547.215</v>
      </c>
      <c r="G96" s="252">
        <f>$D96-0.25*IPE!$F96/10*IPE!$K96/10*G$6</f>
        <v>16535.822499999998</v>
      </c>
      <c r="H96" s="252">
        <f>$D96-0.25*IPE!$F96/10*IPE!$K96/10*H$6</f>
        <v>16524.43</v>
      </c>
      <c r="I96" s="254">
        <f t="shared" si="1"/>
        <v>99.724984912492459</v>
      </c>
      <c r="J96" s="254">
        <f>(IPE!I96-2*IPE!G96/100*IPE!E96)/IPE!I96*100</f>
        <v>45.610085547050872</v>
      </c>
    </row>
  </sheetData>
  <phoneticPr fontId="0" type="noConversion"/>
  <pageMargins left="0.75" right="0.75" top="1" bottom="1" header="0" footer="0"/>
  <headerFooter alignWithMargins="0"/>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Hoja17"/>
  <dimension ref="A1:L97"/>
  <sheetViews>
    <sheetView workbookViewId="0">
      <selection activeCell="L72" sqref="L72"/>
    </sheetView>
  </sheetViews>
  <sheetFormatPr baseColWidth="10" defaultRowHeight="12.75"/>
  <cols>
    <col min="1" max="1" width="11.42578125" style="8" customWidth="1"/>
    <col min="6" max="6" width="11.42578125" style="8" customWidth="1"/>
    <col min="8" max="8" width="13.140625" customWidth="1"/>
  </cols>
  <sheetData>
    <row r="1" spans="1:12">
      <c r="B1" s="5" t="s">
        <v>4</v>
      </c>
      <c r="C1" s="49">
        <f>C2/1.05</f>
        <v>338.09523809523807</v>
      </c>
      <c r="D1" t="s">
        <v>5</v>
      </c>
    </row>
    <row r="2" spans="1:12">
      <c r="B2" s="50" t="s">
        <v>3</v>
      </c>
      <c r="C2">
        <v>355</v>
      </c>
    </row>
    <row r="3" spans="1:12">
      <c r="B3" s="4" t="s">
        <v>6</v>
      </c>
      <c r="C3" s="4" t="s">
        <v>7</v>
      </c>
      <c r="D3" s="4" t="s">
        <v>8</v>
      </c>
      <c r="I3" t="s">
        <v>2672</v>
      </c>
      <c r="L3" t="s">
        <v>2676</v>
      </c>
    </row>
    <row r="4" spans="1:12">
      <c r="A4" s="14" t="s">
        <v>14</v>
      </c>
      <c r="B4" s="3">
        <v>595</v>
      </c>
      <c r="C4" s="3">
        <v>1100</v>
      </c>
      <c r="D4" s="3"/>
      <c r="I4" s="22">
        <f>(IPE!I7*100-2*IPE!E7*IPE!G7)/IPE!I7/100</f>
        <v>0.37382198952879575</v>
      </c>
      <c r="J4" t="str">
        <f>IPE!B7</f>
        <v>IPE 80</v>
      </c>
    </row>
    <row r="5" spans="1:12">
      <c r="A5" s="9" t="s">
        <v>19</v>
      </c>
      <c r="B5" s="18" t="s">
        <v>11</v>
      </c>
      <c r="C5" s="18" t="s">
        <v>9</v>
      </c>
      <c r="D5" s="18" t="s">
        <v>10</v>
      </c>
      <c r="I5" s="22">
        <f>(IPE!I8*100-2*IPE!E8*IPE!G8)/IPE!I8/100</f>
        <v>0.39126213592233006</v>
      </c>
      <c r="J5" t="str">
        <f>IPE!B8</f>
        <v>IPE 100</v>
      </c>
    </row>
    <row r="6" spans="1:12">
      <c r="A6" s="8" t="s">
        <v>15</v>
      </c>
      <c r="B6" s="19">
        <v>190</v>
      </c>
      <c r="C6" s="19">
        <v>3588</v>
      </c>
      <c r="D6" s="19">
        <v>1125</v>
      </c>
      <c r="I6" s="22">
        <f>(IPE!I9*100-2*IPE!E9*IPE!G9)/IPE!I9/100</f>
        <v>0.38909090909090915</v>
      </c>
      <c r="J6" t="str">
        <f>IPE!B9</f>
        <v>IPE 120</v>
      </c>
    </row>
    <row r="7" spans="1:12">
      <c r="A7" s="8" t="s">
        <v>48</v>
      </c>
      <c r="B7" s="48">
        <v>13.2</v>
      </c>
      <c r="C7" s="48">
        <v>60.8</v>
      </c>
      <c r="D7" s="48">
        <v>45.4</v>
      </c>
      <c r="I7" s="22">
        <f>(IPE!I10*100-2*IPE!E10*IPE!G10)/IPE!I10/100</f>
        <v>0.38573170731707301</v>
      </c>
      <c r="J7" t="str">
        <f>IPE!B10</f>
        <v>IPE 140</v>
      </c>
    </row>
    <row r="8" spans="1:12">
      <c r="A8" s="8" t="s">
        <v>49</v>
      </c>
      <c r="B8" s="48">
        <v>10.3</v>
      </c>
      <c r="C8" s="20">
        <v>39.4</v>
      </c>
      <c r="D8" s="20">
        <v>28.5</v>
      </c>
      <c r="I8" s="22">
        <f>(IPE!I11*100-2*IPE!E11*IPE!G11)/IPE!I11/100</f>
        <v>0.39621890547263683</v>
      </c>
      <c r="J8" t="str">
        <f>IPE!B11</f>
        <v>IPE 160</v>
      </c>
    </row>
    <row r="9" spans="1:12" ht="13.5" thickBot="1">
      <c r="I9" s="22">
        <f>(IPE!I12*100-2*IPE!E12*IPE!G12)/IPE!I12/100</f>
        <v>0.39079497907949795</v>
      </c>
      <c r="J9" t="str">
        <f>IPE!B12</f>
        <v>IPE 180</v>
      </c>
    </row>
    <row r="10" spans="1:12">
      <c r="B10" s="2" t="s">
        <v>13</v>
      </c>
      <c r="C10" s="10"/>
      <c r="D10" s="6"/>
      <c r="F10" s="15" t="s">
        <v>12</v>
      </c>
      <c r="I10" s="22">
        <f>(IPE!I13*100-2*IPE!E13*IPE!G13)/IPE!I13/100</f>
        <v>0.40350877192982459</v>
      </c>
      <c r="J10" t="str">
        <f>IPE!B13</f>
        <v>IPE 200</v>
      </c>
    </row>
    <row r="11" spans="1:12" ht="13.5" thickBot="1">
      <c r="A11" s="9" t="str">
        <f>A6</f>
        <v>armado</v>
      </c>
      <c r="B11" s="11">
        <f>$B$4*10/(B6*$C$1)</f>
        <v>9.2624166048925136E-2</v>
      </c>
      <c r="C11" s="12">
        <f>$C$4*1000/(C6*$C$1)</f>
        <v>0.90677846342267654</v>
      </c>
      <c r="D11" s="12">
        <f>$D$4*1000/(D6*$C$1)</f>
        <v>0</v>
      </c>
      <c r="F11" s="17">
        <f>B11+C11+D11</f>
        <v>0.99940262947160163</v>
      </c>
      <c r="G11" t="str">
        <f>IF(F11&lt;1,"Vale","No cumple")</f>
        <v>Vale</v>
      </c>
      <c r="I11" s="22">
        <f>(IPE!I14*100-2*IPE!E14*IPE!G14)/IPE!I14/100</f>
        <v>0.39401197604790428</v>
      </c>
      <c r="J11" t="str">
        <f>IPE!B14</f>
        <v>IPE 220</v>
      </c>
    </row>
    <row r="12" spans="1:12" ht="13.5" thickBot="1">
      <c r="A12" s="9" t="str">
        <f>A7</f>
        <v>IPE-120</v>
      </c>
      <c r="B12" s="11">
        <f>$B$4*10/(B7*$C$1)</f>
        <v>1.3332266325224074</v>
      </c>
      <c r="C12" s="12">
        <f>$C$4*1000/(C7*$C$1)</f>
        <v>53.511860637509272</v>
      </c>
      <c r="D12" s="12">
        <f>$D$4*1000/(D7*$C$1)</f>
        <v>0</v>
      </c>
      <c r="F12" s="16">
        <f>B12+C12+D12</f>
        <v>54.845087270031676</v>
      </c>
      <c r="G12" t="str">
        <f>IF(F12&lt;1,"Vale","No cumple")</f>
        <v>No cumple</v>
      </c>
      <c r="I12" s="22">
        <f>(IPE!I15*100-2*IPE!E15*IPE!G15)/IPE!I15/100</f>
        <v>0.39846547314578001</v>
      </c>
      <c r="J12" t="str">
        <f>IPE!B15</f>
        <v>IPE 240</v>
      </c>
      <c r="L12" s="22">
        <f>AVERAGE(I4:I21)</f>
        <v>0.41005738750832404</v>
      </c>
    </row>
    <row r="13" spans="1:12" ht="13.5" thickBot="1">
      <c r="A13" s="9" t="str">
        <f>A8</f>
        <v>IPE-100</v>
      </c>
      <c r="B13" s="11">
        <f>$B$4*10/(B8*$C$1)</f>
        <v>1.7086011212908518</v>
      </c>
      <c r="C13" s="12">
        <f>$C$4*1000/(C8*$C$1)</f>
        <v>82.576678344176742</v>
      </c>
      <c r="D13" s="12">
        <f>$D$4*1000/(D8*$C$1)</f>
        <v>0</v>
      </c>
      <c r="F13" s="16">
        <f>B13+C13+D13</f>
        <v>84.285279465467596</v>
      </c>
      <c r="G13" t="str">
        <f>IF(F13&lt;1,"Vale","No cumple")</f>
        <v>No cumple</v>
      </c>
      <c r="I13" s="22">
        <f>(IPE!I16*100-2*IPE!E16*IPE!G16)/IPE!I16/100</f>
        <v>0.4</v>
      </c>
      <c r="J13" t="str">
        <f>IPE!B16</f>
        <v>IPE 270</v>
      </c>
    </row>
    <row r="14" spans="1:12">
      <c r="I14" s="22">
        <f>(IPE!I17*100-2*IPE!E17*IPE!G17)/IPE!I17/100</f>
        <v>0.40334572490706322</v>
      </c>
      <c r="J14" t="str">
        <f>IPE!B17</f>
        <v>IPE 300</v>
      </c>
    </row>
    <row r="15" spans="1:12">
      <c r="I15" s="22">
        <f>(IPE!I18*100-2*IPE!E18*IPE!G18)/IPE!I18/100</f>
        <v>0.41214057507987223</v>
      </c>
      <c r="J15" t="str">
        <f>IPE!B18</f>
        <v>IPE 330</v>
      </c>
    </row>
    <row r="16" spans="1:12">
      <c r="I16" s="22">
        <f>(IPE!I19*100-2*IPE!E19*IPE!G19)/IPE!I19/100</f>
        <v>0.40605226960110036</v>
      </c>
      <c r="J16" t="str">
        <f>IPE!B19</f>
        <v>IPE 360</v>
      </c>
    </row>
    <row r="17" spans="9:12">
      <c r="I17" s="22">
        <f>(IPE!I20*100-2*IPE!E20*IPE!G20)/IPE!I20/100</f>
        <v>0.42485207100591715</v>
      </c>
      <c r="J17" t="str">
        <f>IPE!B20</f>
        <v>IPE 400</v>
      </c>
    </row>
    <row r="18" spans="9:12">
      <c r="I18" s="22">
        <f>(IPE!I21*100-2*IPE!E21*IPE!G21)/IPE!I21/100</f>
        <v>0.43846153846153846</v>
      </c>
      <c r="J18" t="str">
        <f>IPE!B21</f>
        <v>IPE 450</v>
      </c>
    </row>
    <row r="19" spans="9:12">
      <c r="I19" s="22">
        <f>(IPE!I22*100-2*IPE!E22*IPE!G22)/IPE!I22/100</f>
        <v>0.44827586206896552</v>
      </c>
      <c r="J19" t="str">
        <f>IPE!B22</f>
        <v>IPE 500</v>
      </c>
    </row>
    <row r="20" spans="9:12">
      <c r="I20" s="22">
        <f>(IPE!I23*100-2*IPE!E23*IPE!G23)/IPE!I23/100</f>
        <v>0.4608955223880597</v>
      </c>
      <c r="J20" t="str">
        <f>IPE!B23</f>
        <v xml:space="preserve">IPE 550                 </v>
      </c>
    </row>
    <row r="21" spans="9:12">
      <c r="I21" s="22">
        <f>(IPE!I24*100-2*IPE!E24*IPE!G24)/IPE!I24/100</f>
        <v>0.46410256410256406</v>
      </c>
      <c r="J21" t="str">
        <f>IPE!B24</f>
        <v>IPE 600</v>
      </c>
    </row>
    <row r="22" spans="9:12">
      <c r="I22" s="22">
        <f>(IPE!I25*100-2*IPE!E25*IPE!G25)/IPE!I25/100</f>
        <v>0.23076923076923075</v>
      </c>
      <c r="J22" t="str">
        <f>IPE!B25</f>
        <v>HE 100 B</v>
      </c>
      <c r="L22" s="22" t="e">
        <f>AVERAGE(I22:I45)</f>
        <v>#VALUE!</v>
      </c>
    </row>
    <row r="23" spans="9:12">
      <c r="I23" s="22">
        <f>(IPE!I26*100-2*IPE!E26*IPE!G26)/IPE!I26/100</f>
        <v>0.22352941176470587</v>
      </c>
      <c r="J23" t="str">
        <f>IPE!B26</f>
        <v>HE 120 B</v>
      </c>
    </row>
    <row r="24" spans="9:12">
      <c r="I24" s="22">
        <f>(IPE!I27*100-2*IPE!E27*IPE!G27)/IPE!I27/100</f>
        <v>0.21860465116279071</v>
      </c>
      <c r="J24" t="str">
        <f>IPE!B27</f>
        <v>HE 140 B</v>
      </c>
    </row>
    <row r="25" spans="9:12">
      <c r="I25" s="22">
        <f>(IPE!I28*100-2*IPE!E28*IPE!G28)/IPE!I28/100</f>
        <v>0.23388581952117865</v>
      </c>
      <c r="J25" t="str">
        <f>IPE!B28</f>
        <v>HE 160 B</v>
      </c>
    </row>
    <row r="26" spans="9:12">
      <c r="I26" s="22">
        <f>(IPE!I29*100-2*IPE!E29*IPE!G29)/IPE!I29/100</f>
        <v>0.22817764165390508</v>
      </c>
      <c r="J26" t="str">
        <f>IPE!B29</f>
        <v>HE 180 B</v>
      </c>
    </row>
    <row r="27" spans="9:12">
      <c r="I27" s="22">
        <f>(IPE!I30*100-2*IPE!E30*IPE!G30)/IPE!I30/100</f>
        <v>0.23175416133162602</v>
      </c>
      <c r="J27" t="str">
        <f>IPE!B30</f>
        <v>HE 200 B</v>
      </c>
    </row>
    <row r="28" spans="9:12">
      <c r="I28" s="22">
        <f>(IPE!I31*100-2*IPE!E31*IPE!G31)/IPE!I31/100</f>
        <v>0.22637362637362637</v>
      </c>
      <c r="J28" t="str">
        <f>IPE!B31</f>
        <v>HE 220 B</v>
      </c>
    </row>
    <row r="29" spans="9:12">
      <c r="I29" s="22">
        <f>(IPE!I32*100-2*IPE!E32*IPE!G32)/IPE!I32/100</f>
        <v>0.23018867924528302</v>
      </c>
      <c r="J29" t="str">
        <f>IPE!B32</f>
        <v>HE 240 B</v>
      </c>
    </row>
    <row r="30" spans="9:12">
      <c r="I30" s="22">
        <f>(IPE!I33*100-2*IPE!E33*IPE!G33)/IPE!I33/100</f>
        <v>0.23141891891891891</v>
      </c>
      <c r="J30" t="str">
        <f>IPE!B33</f>
        <v>HE 260 B</v>
      </c>
    </row>
    <row r="31" spans="9:12">
      <c r="I31" s="22">
        <f>(IPE!I34*100-2*IPE!E34*IPE!G34)/IPE!I34/100</f>
        <v>0.23287671232876711</v>
      </c>
      <c r="J31" t="str">
        <f>IPE!B34</f>
        <v>HE 280 B</v>
      </c>
    </row>
    <row r="32" spans="9:12">
      <c r="I32" s="22" t="e">
        <f>(IPE!I35*100-2*IPE!E35*IPE!G35)/IPE!I35/100</f>
        <v>#VALUE!</v>
      </c>
      <c r="J32" t="str">
        <f>IPE!B35</f>
        <v>HE 300 B</v>
      </c>
    </row>
    <row r="33" spans="9:12">
      <c r="I33" s="22">
        <f>(IPE!I36*100-2*IPE!E36*IPE!G36)/IPE!I36/100</f>
        <v>0.2374457532548048</v>
      </c>
      <c r="J33" t="str">
        <f>IPE!B36</f>
        <v>HE 320 B</v>
      </c>
    </row>
    <row r="34" spans="9:12">
      <c r="I34" s="22">
        <f>(IPE!I37*100-2*IPE!E37*IPE!G37)/IPE!I37/100</f>
        <v>0.24517261556465769</v>
      </c>
      <c r="J34" t="str">
        <f>IPE!B37</f>
        <v>HE 340 B</v>
      </c>
    </row>
    <row r="35" spans="9:12">
      <c r="I35" s="22">
        <f>(IPE!I38*100-2*IPE!E38*IPE!G38)/IPE!I38/100</f>
        <v>0.25249169435215946</v>
      </c>
      <c r="J35" t="str">
        <f>IPE!B38</f>
        <v>HE 360 B</v>
      </c>
    </row>
    <row r="36" spans="9:12">
      <c r="I36" s="22">
        <f>(IPE!I39*100-2*IPE!E39*IPE!G39)/IPE!I39/100</f>
        <v>0.27199191102123355</v>
      </c>
      <c r="J36" t="str">
        <f>IPE!B39</f>
        <v>HE 400 B</v>
      </c>
    </row>
    <row r="37" spans="9:12">
      <c r="I37" s="22">
        <f>(IPE!I40*100-2*IPE!E40*IPE!G40)/IPE!I40/100</f>
        <v>0.28440366972477066</v>
      </c>
      <c r="J37" t="str">
        <f>IPE!B40</f>
        <v>HE 450 B</v>
      </c>
    </row>
    <row r="38" spans="9:12">
      <c r="I38" s="22">
        <f>(IPE!I41*100-2*IPE!E41*IPE!G41)/IPE!I41/100</f>
        <v>0.29589270746018442</v>
      </c>
      <c r="J38" t="str">
        <f>IPE!B41</f>
        <v>HE 500 B</v>
      </c>
    </row>
    <row r="39" spans="9:12">
      <c r="I39" s="22">
        <f>(IPE!I42*100-2*IPE!E42*IPE!G42)/IPE!I42/100</f>
        <v>0.31523022432113346</v>
      </c>
      <c r="J39" t="str">
        <f>IPE!B42</f>
        <v>HE 550 B</v>
      </c>
    </row>
    <row r="40" spans="9:12">
      <c r="I40" s="22">
        <f>(IPE!I43*100-2*IPE!E43*IPE!G43)/IPE!I43/100</f>
        <v>0.33333333333333337</v>
      </c>
      <c r="J40" t="str">
        <f>IPE!B43</f>
        <v>HE 600 B</v>
      </c>
    </row>
    <row r="41" spans="9:12">
      <c r="I41" s="22">
        <f>(IPE!I44*100-2*IPE!E44*IPE!G44)/IPE!I44/100</f>
        <v>0.35033181976947253</v>
      </c>
      <c r="J41" t="str">
        <f>IPE!B44</f>
        <v>HE 650 B</v>
      </c>
    </row>
    <row r="42" spans="9:12">
      <c r="I42" s="22">
        <f>(IPE!I45*100-2*IPE!E45*IPE!G45)/IPE!I45/100</f>
        <v>0.37336814621409914</v>
      </c>
      <c r="J42" t="str">
        <f>IPE!B45</f>
        <v>HE 700 B</v>
      </c>
    </row>
    <row r="43" spans="9:12">
      <c r="I43" s="22">
        <f>(IPE!I46*100-2*IPE!E46*IPE!G46)/IPE!I46/100</f>
        <v>0.40754039497307004</v>
      </c>
      <c r="J43" t="str">
        <f>IPE!B46</f>
        <v>HE 800 B</v>
      </c>
    </row>
    <row r="44" spans="9:12">
      <c r="I44" s="22">
        <f>(IPE!I47*100-2*IPE!E47*IPE!G47)/IPE!I47/100</f>
        <v>0.43441960678696467</v>
      </c>
      <c r="J44" t="str">
        <f>IPE!B47</f>
        <v>HE 900 B</v>
      </c>
    </row>
    <row r="45" spans="9:12">
      <c r="I45" s="22">
        <f>(IPE!I48*100-2*IPE!E48*IPE!G48)/IPE!I48/100</f>
        <v>0.46</v>
      </c>
      <c r="J45" t="str">
        <f>IPE!B48</f>
        <v>HE 1000 B</v>
      </c>
    </row>
    <row r="46" spans="9:12">
      <c r="I46" s="22">
        <f>(IPE!I49*100-2*IPE!E49*IPE!G49)/IPE!I49/100</f>
        <v>0.24528301886792456</v>
      </c>
      <c r="J46" t="str">
        <f>IPE!B49</f>
        <v>HE 100 A</v>
      </c>
      <c r="L46" s="22">
        <f>AVERAGE(I46:I69)</f>
        <v>0.29573882909551447</v>
      </c>
    </row>
    <row r="47" spans="9:12">
      <c r="I47" s="22">
        <f>(IPE!I50*100-2*IPE!E50*IPE!G50)/IPE!I50/100</f>
        <v>0.2411067193675889</v>
      </c>
      <c r="J47" t="str">
        <f>IPE!B50</f>
        <v>HE 120 A</v>
      </c>
    </row>
    <row r="48" spans="9:12">
      <c r="I48" s="22">
        <f>(IPE!I51*100-2*IPE!E51*IPE!G51)/IPE!I51/100</f>
        <v>0.24203821656050956</v>
      </c>
      <c r="J48" t="str">
        <f>IPE!B51</f>
        <v>HE 140 A</v>
      </c>
    </row>
    <row r="49" spans="9:10">
      <c r="I49" s="22">
        <f>(IPE!I52*100-2*IPE!E52*IPE!G52)/IPE!I52/100</f>
        <v>0.25773195876288651</v>
      </c>
      <c r="J49" t="str">
        <f>IPE!B52</f>
        <v>HE 160 A</v>
      </c>
    </row>
    <row r="50" spans="9:10">
      <c r="I50" s="22">
        <f>(IPE!I53*100-2*IPE!E53*IPE!G53)/IPE!I53/100</f>
        <v>0.24503311258278146</v>
      </c>
      <c r="J50" t="str">
        <f>IPE!B53</f>
        <v>HE 180 A</v>
      </c>
    </row>
    <row r="51" spans="9:10">
      <c r="I51" s="22">
        <f>(IPE!I54*100-2*IPE!E54*IPE!G54)/IPE!I54/100</f>
        <v>0.25650557620817849</v>
      </c>
      <c r="J51" t="str">
        <f>IPE!B54</f>
        <v>HE 200 A</v>
      </c>
    </row>
    <row r="52" spans="9:10">
      <c r="I52" s="22">
        <f>(IPE!I55*100-2*IPE!E55*IPE!G55)/IPE!I55/100</f>
        <v>0.24727838258164855</v>
      </c>
      <c r="J52" t="str">
        <f>IPE!B55</f>
        <v>HE 220 A</v>
      </c>
    </row>
    <row r="53" spans="9:10">
      <c r="I53" s="22">
        <f>(IPE!I56*100-2*IPE!E56*IPE!G56)/IPE!I56/100</f>
        <v>0.25</v>
      </c>
      <c r="J53" t="str">
        <f>IPE!B56</f>
        <v>HE 240 A</v>
      </c>
    </row>
    <row r="54" spans="9:10">
      <c r="I54" s="22">
        <f>(IPE!I57*100-2*IPE!E57*IPE!G57)/IPE!I57/100</f>
        <v>0.25115207373271892</v>
      </c>
      <c r="J54" t="str">
        <f>IPE!B57</f>
        <v>HE 260 A</v>
      </c>
    </row>
    <row r="55" spans="9:10">
      <c r="I55" s="22">
        <f>(IPE!I58*100-2*IPE!E58*IPE!G58)/IPE!I58/100</f>
        <v>0.25179856115107913</v>
      </c>
      <c r="J55" t="str">
        <f>IPE!B58</f>
        <v>HE 280 A</v>
      </c>
    </row>
    <row r="56" spans="9:10">
      <c r="I56" s="22">
        <f>(IPE!I59*100-2*IPE!E59*IPE!G59)/IPE!I59/100</f>
        <v>0.2533333333333333</v>
      </c>
      <c r="J56" t="str">
        <f>IPE!B59</f>
        <v>HE 300 A</v>
      </c>
    </row>
    <row r="57" spans="9:10">
      <c r="I57" s="22">
        <f>(IPE!I60*100-2*IPE!E60*IPE!G60)/IPE!I60/100</f>
        <v>0.25241157556270094</v>
      </c>
      <c r="J57" t="str">
        <f>IPE!B60</f>
        <v>HE 320 A</v>
      </c>
    </row>
    <row r="58" spans="9:10">
      <c r="I58" s="22">
        <f>(IPE!I61*100-2*IPE!E61*IPE!G61)/IPE!I61/100</f>
        <v>0.2584269662921348</v>
      </c>
      <c r="J58" t="str">
        <f>IPE!B61</f>
        <v>HE 340 A</v>
      </c>
    </row>
    <row r="59" spans="9:10">
      <c r="I59" s="22">
        <f>(IPE!I62*100-2*IPE!E62*IPE!G62)/IPE!I62/100</f>
        <v>0.26470588235294129</v>
      </c>
      <c r="J59" t="str">
        <f>IPE!B62</f>
        <v>HE 360 A</v>
      </c>
    </row>
    <row r="60" spans="9:10">
      <c r="I60" s="22">
        <f>(IPE!I63*100-2*IPE!E63*IPE!G63)/IPE!I63/100</f>
        <v>0.28301886792452829</v>
      </c>
      <c r="J60" t="str">
        <f>IPE!B63</f>
        <v>HE 400 A</v>
      </c>
    </row>
    <row r="61" spans="9:10">
      <c r="I61" s="22">
        <f>(IPE!I64*100-2*IPE!E64*IPE!G64)/IPE!I64/100</f>
        <v>0.29213483146067415</v>
      </c>
      <c r="J61" t="str">
        <f>IPE!B64</f>
        <v>HE 450 A</v>
      </c>
    </row>
    <row r="62" spans="9:10">
      <c r="I62" s="22">
        <f>(IPE!I65*100-2*IPE!E65*IPE!G65)/IPE!I65/100</f>
        <v>0.30126582278481012</v>
      </c>
      <c r="J62" t="str">
        <f>IPE!B65</f>
        <v>HE 500 A</v>
      </c>
    </row>
    <row r="63" spans="9:10">
      <c r="I63" s="22">
        <f>(IPE!I66*100-2*IPE!E66*IPE!G66)/IPE!I66/100</f>
        <v>0.32011331444759206</v>
      </c>
      <c r="J63" t="str">
        <f>IPE!B66</f>
        <v>HE 550 A</v>
      </c>
    </row>
    <row r="64" spans="9:10">
      <c r="I64" s="22">
        <f>(IPE!I67*100-2*IPE!E67*IPE!G67)/IPE!I67/100</f>
        <v>0.33774834437086093</v>
      </c>
      <c r="J64" t="str">
        <f>IPE!B67</f>
        <v>HE 600 A</v>
      </c>
    </row>
    <row r="65" spans="9:12">
      <c r="I65" s="22">
        <f>(IPE!I68*100-2*IPE!E68*IPE!G68)/IPE!I68/100</f>
        <v>0.35430463576158944</v>
      </c>
      <c r="J65" t="str">
        <f>IPE!B68</f>
        <v>HE 650 A</v>
      </c>
    </row>
    <row r="66" spans="9:12">
      <c r="I66" s="22">
        <f>(IPE!I69*100-2*IPE!E69*IPE!G69)/IPE!I69/100</f>
        <v>0.37811900191938574</v>
      </c>
      <c r="J66" t="str">
        <f>IPE!B69</f>
        <v>HE 700 A</v>
      </c>
    </row>
    <row r="67" spans="9:12">
      <c r="I67" s="22">
        <f>(IPE!I70*100-2*IPE!E70*IPE!G70)/IPE!I70/100</f>
        <v>0.41217634709587125</v>
      </c>
      <c r="J67" t="str">
        <f>IPE!B70</f>
        <v>HE 800 A</v>
      </c>
    </row>
    <row r="68" spans="9:12">
      <c r="I68" s="22">
        <f>(IPE!I71*100-2*IPE!E71*IPE!G71)/IPE!I71/100</f>
        <v>0.43837753510140404</v>
      </c>
      <c r="J68" t="str">
        <f>IPE!B71</f>
        <v>HE 900 A</v>
      </c>
    </row>
    <row r="69" spans="9:12">
      <c r="I69" s="22">
        <f>(IPE!I72*100-2*IPE!E72*IPE!G72)/IPE!I72/100</f>
        <v>0.46366782006920415</v>
      </c>
      <c r="J69" t="str">
        <f>IPE!B72</f>
        <v>HE 1000 A</v>
      </c>
    </row>
    <row r="70" spans="9:12">
      <c r="I70" s="22">
        <f>(IPE!I73*100-2*IPE!E73*IPE!G73)/IPE!I73/100</f>
        <v>0.23076923076923075</v>
      </c>
      <c r="J70" t="str">
        <f>IPE!B73</f>
        <v>HE 100 B</v>
      </c>
    </row>
    <row r="71" spans="9:12">
      <c r="I71" s="22">
        <f>(IPE!I74*100-2*IPE!E74*IPE!G74)/IPE!I74/100</f>
        <v>0.2030075187969925</v>
      </c>
      <c r="J71" t="str">
        <f>IPE!B74</f>
        <v>HE 100 M</v>
      </c>
      <c r="L71" s="22">
        <f>I71:I93</f>
        <v>0.2030075187969925</v>
      </c>
    </row>
    <row r="72" spans="9:12">
      <c r="I72" s="22">
        <f>(IPE!I75*100-2*IPE!E75*IPE!G75)/IPE!I75/100</f>
        <v>0.20301204819277122</v>
      </c>
      <c r="J72" t="str">
        <f>IPE!B75</f>
        <v>HE 120 M</v>
      </c>
    </row>
    <row r="73" spans="9:12">
      <c r="I73" s="832">
        <f>(IPE!I76*100-2*IPE!E76*IPE!G76)/IPE!I76/100</f>
        <v>0.20297766749379645</v>
      </c>
      <c r="J73" t="str">
        <f>IPE!B76</f>
        <v>HE 140 M</v>
      </c>
    </row>
    <row r="74" spans="9:12">
      <c r="I74" s="22">
        <f>(IPE!I77*100-2*IPE!E77*IPE!G77)/IPE!I77/100</f>
        <v>0.21359423274974254</v>
      </c>
      <c r="J74" t="str">
        <f>IPE!B77</f>
        <v>HE 160 M</v>
      </c>
    </row>
    <row r="75" spans="9:12">
      <c r="I75" s="22">
        <f>(IPE!I78*100-2*IPE!E78*IPE!G78)/IPE!I78/100</f>
        <v>0.21553693830921566</v>
      </c>
      <c r="J75" t="str">
        <f>IPE!B78</f>
        <v>HE 200 M</v>
      </c>
    </row>
    <row r="76" spans="9:12">
      <c r="I76" s="22">
        <f>(IPE!I79*100-2*IPE!E79*IPE!G79)/IPE!I79/100</f>
        <v>0.21338688085676036</v>
      </c>
      <c r="J76" t="str">
        <f>IPE!B79</f>
        <v>HE 220 M</v>
      </c>
    </row>
    <row r="77" spans="9:12">
      <c r="I77" s="22">
        <f>(IPE!I80*100-2*IPE!E80*IPE!G80)/IPE!I80/100</f>
        <v>0.20480961923847699</v>
      </c>
      <c r="J77" t="str">
        <f>IPE!B80</f>
        <v>HE 240 M</v>
      </c>
    </row>
    <row r="78" spans="9:12">
      <c r="I78" s="22">
        <f>(IPE!I81*100-2*IPE!E81*IPE!G81)/IPE!I81/100</f>
        <v>0.20673952641165755</v>
      </c>
      <c r="J78" t="str">
        <f>IPE!B81</f>
        <v>HE 260 M</v>
      </c>
    </row>
    <row r="79" spans="9:12">
      <c r="I79" s="22">
        <f>(IPE!I82*100-2*IPE!E82*IPE!G82)/IPE!I82/100</f>
        <v>0.20865945045795173</v>
      </c>
      <c r="J79" t="str">
        <f>IPE!B82</f>
        <v>HE 280 M</v>
      </c>
    </row>
    <row r="80" spans="9:12">
      <c r="I80" s="832">
        <f>(IPE!I83*100-2*IPE!E83*IPE!G83)/IPE!I83/100</f>
        <v>0.20224348399868042</v>
      </c>
      <c r="J80" t="str">
        <f>IPE!B83</f>
        <v>HE 300 M</v>
      </c>
    </row>
    <row r="81" spans="7:10">
      <c r="I81" s="22">
        <f>(IPE!I84*100-2*IPE!E84*IPE!G84)/IPE!I84/100</f>
        <v>0.2076923076923077</v>
      </c>
      <c r="J81" t="str">
        <f>IPE!B84</f>
        <v>HE 320 M</v>
      </c>
    </row>
    <row r="82" spans="7:10">
      <c r="I82" s="22">
        <f>(IPE!I85*100-2*IPE!E85*IPE!G85)/IPE!I85/100</f>
        <v>0.21722609246358457</v>
      </c>
      <c r="J82" t="str">
        <f>IPE!B85</f>
        <v>HE 340 M</v>
      </c>
    </row>
    <row r="83" spans="7:10">
      <c r="I83" s="22">
        <f>(IPE!I86*100-2*IPE!E86*IPE!G86)/IPE!I86/100</f>
        <v>0.22710163111668755</v>
      </c>
      <c r="J83" t="str">
        <f>IPE!B86</f>
        <v>HE 360 M</v>
      </c>
    </row>
    <row r="84" spans="7:10">
      <c r="I84" s="22">
        <f>(IPE!I87*100-2*IPE!E87*IPE!G87)/IPE!I87/100</f>
        <v>0.24616329036218537</v>
      </c>
      <c r="J84" t="str">
        <f>IPE!B87</f>
        <v>HE 400 M</v>
      </c>
    </row>
    <row r="85" spans="7:10">
      <c r="I85" s="22">
        <f>(IPE!I88*100-2*IPE!E88*IPE!G88)/IPE!I88/100</f>
        <v>0.26774001192605845</v>
      </c>
      <c r="J85" t="str">
        <f>IPE!B88</f>
        <v>HE 450 M</v>
      </c>
    </row>
    <row r="86" spans="7:10">
      <c r="I86" s="22">
        <f>(IPE!I89*100-2*IPE!E89*IPE!G89)/IPE!I89/100</f>
        <v>0.28899215800174266</v>
      </c>
      <c r="J86" t="str">
        <f>IPE!B89</f>
        <v>HE 500 M</v>
      </c>
    </row>
    <row r="87" spans="7:10">
      <c r="I87" s="22">
        <f>(IPE!I90*100-2*IPE!E90*IPE!G90)/IPE!I90/100</f>
        <v>0.30925507900677202</v>
      </c>
      <c r="J87" t="str">
        <f>IPE!B90</f>
        <v>HE 550 M</v>
      </c>
    </row>
    <row r="88" spans="7:10">
      <c r="I88" s="22">
        <f>(IPE!I91*100-2*IPE!E91*IPE!G91)/IPE!I91/100</f>
        <v>0.32911740445422055</v>
      </c>
      <c r="J88" t="str">
        <f>IPE!B91</f>
        <v>HE 600 M</v>
      </c>
    </row>
    <row r="89" spans="7:10">
      <c r="I89" s="22">
        <f>(IPE!I92*100-2*IPE!E92*IPE!G92)/IPE!I92/100</f>
        <v>0.34706984211934711</v>
      </c>
      <c r="J89" t="str">
        <f>IPE!B92</f>
        <v>HE 650 M</v>
      </c>
    </row>
    <row r="90" spans="7:10">
      <c r="I90" s="22">
        <f>(IPE!I93*100-2*IPE!E93*IPE!G93)/IPE!I93/100</f>
        <v>0.36501305483028723</v>
      </c>
      <c r="J90" t="str">
        <f>IPE!B93</f>
        <v>HE 700 M</v>
      </c>
    </row>
    <row r="91" spans="7:10">
      <c r="I91" s="22">
        <f>(IPE!I94*100-2*IPE!E94*IPE!G94)/IPE!I94/100</f>
        <v>0.40044521395003707</v>
      </c>
      <c r="J91" t="str">
        <f>IPE!B94</f>
        <v>HE 800 M</v>
      </c>
    </row>
    <row r="92" spans="7:10">
      <c r="I92" s="22">
        <f>(IPE!I95*100-2*IPE!E95*IPE!G95)/IPE!I95/100</f>
        <v>0.42965061378659108</v>
      </c>
      <c r="J92" t="str">
        <f>IPE!B95</f>
        <v>HE 900 M</v>
      </c>
    </row>
    <row r="93" spans="7:10">
      <c r="I93" s="833">
        <f>(IPE!I96*100-2*IPE!E96*IPE!G96)/IPE!I96/100</f>
        <v>0.45610085547050877</v>
      </c>
      <c r="J93" s="2" t="str">
        <f>IPE!B96</f>
        <v>HE 1000 M</v>
      </c>
    </row>
    <row r="94" spans="7:10">
      <c r="G94" t="s">
        <v>2673</v>
      </c>
      <c r="H94" t="e">
        <f>VLOOKUP(I94,I4:J93,2)</f>
        <v>#VALUE!</v>
      </c>
      <c r="I94" s="22" t="e">
        <f>LARGE(I4:I93,1)</f>
        <v>#VALUE!</v>
      </c>
    </row>
    <row r="95" spans="7:10">
      <c r="G95" t="s">
        <v>2674</v>
      </c>
      <c r="H95" t="e">
        <f>VLOOKUP(I95,I4:J93,2)</f>
        <v>#VALUE!</v>
      </c>
      <c r="I95" s="832" t="e">
        <f>SMALL(I4:I93,1)</f>
        <v>#VALUE!</v>
      </c>
    </row>
    <row r="96" spans="7:10">
      <c r="G96" t="s">
        <v>2675</v>
      </c>
      <c r="I96" s="22" t="e">
        <f>AVERAGE(I4:I93)</f>
        <v>#VALUE!</v>
      </c>
    </row>
    <row r="97" spans="9:9">
      <c r="I97" s="22"/>
    </row>
  </sheetData>
  <phoneticPr fontId="0" type="noConversion"/>
  <pageMargins left="0.75" right="0.75" top="1" bottom="1" header="0" footer="0"/>
  <pageSetup paperSize="9" orientation="portrait" horizontalDpi="300" verticalDpi="300" r:id="rId1"/>
  <headerFooter alignWithMargins="0"/>
  <drawing r:id="rId2"/>
  <legacyDrawing r:id="rId3"/>
  <oleObjects>
    <mc:AlternateContent xmlns:mc="http://schemas.openxmlformats.org/markup-compatibility/2006">
      <mc:Choice Requires="x14">
        <oleObject progId="Equation.3" shapeId="2049" r:id="rId4">
          <objectPr defaultSize="0" autoPict="0" r:id="rId5">
            <anchor moveWithCells="1" sizeWithCells="1">
              <from>
                <xdr:col>4</xdr:col>
                <xdr:colOff>114300</xdr:colOff>
                <xdr:row>2</xdr:row>
                <xdr:rowOff>19050</xdr:rowOff>
              </from>
              <to>
                <xdr:col>6</xdr:col>
                <xdr:colOff>114300</xdr:colOff>
                <xdr:row>5</xdr:row>
                <xdr:rowOff>85725</xdr:rowOff>
              </to>
            </anchor>
          </objectPr>
        </oleObject>
      </mc:Choice>
      <mc:Fallback>
        <oleObject progId="Equation.3" shapeId="2049" r:id="rId4"/>
      </mc:Fallback>
    </mc:AlternateContent>
  </oleObjec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2"/>
  <dimension ref="A1:V85"/>
  <sheetViews>
    <sheetView topLeftCell="B19" zoomScaleNormal="100" workbookViewId="0">
      <selection activeCell="B41" sqref="B41"/>
    </sheetView>
  </sheetViews>
  <sheetFormatPr baseColWidth="10" defaultColWidth="11.42578125" defaultRowHeight="12.75"/>
  <cols>
    <col min="1" max="1" width="10.85546875" style="82" customWidth="1"/>
    <col min="2" max="2" width="9.5703125" style="82" customWidth="1"/>
    <col min="3" max="3" width="11.140625" style="82" customWidth="1"/>
    <col min="4" max="4" width="12" style="82" customWidth="1"/>
    <col min="5" max="5" width="8.42578125" style="82" customWidth="1"/>
    <col min="6" max="6" width="9.7109375" style="82" customWidth="1"/>
    <col min="7" max="7" width="8.5703125" style="82" customWidth="1"/>
    <col min="8" max="8" width="8.85546875" style="82" customWidth="1"/>
    <col min="9" max="9" width="8.28515625" style="82" customWidth="1"/>
    <col min="10" max="10" width="7.5703125" style="82" customWidth="1"/>
    <col min="11" max="11" width="8" style="82" customWidth="1"/>
    <col min="12" max="12" width="11.28515625" style="82" customWidth="1"/>
    <col min="13" max="13" width="11" style="82" bestFit="1" customWidth="1"/>
    <col min="14" max="14" width="12.28515625" style="82" customWidth="1"/>
    <col min="15" max="16384" width="11.42578125" style="82"/>
  </cols>
  <sheetData>
    <row r="1" spans="1:17" ht="15.75">
      <c r="C1" s="299"/>
      <c r="D1" s="298" t="s">
        <v>1013</v>
      </c>
      <c r="E1" s="298"/>
      <c r="F1" s="298"/>
      <c r="G1" s="298"/>
      <c r="H1" s="300"/>
      <c r="I1" s="299"/>
    </row>
    <row r="2" spans="1:17">
      <c r="A2" s="230" t="s">
        <v>1014</v>
      </c>
    </row>
    <row r="3" spans="1:17" ht="18.75" thickBot="1">
      <c r="A3" s="294" t="s">
        <v>18</v>
      </c>
      <c r="B3" s="217"/>
      <c r="C3" s="217"/>
      <c r="D3" s="217"/>
      <c r="F3" s="295" t="s">
        <v>1007</v>
      </c>
      <c r="G3" s="217"/>
      <c r="H3" s="217"/>
      <c r="I3" s="217"/>
      <c r="J3" s="217"/>
      <c r="L3" s="311" t="s">
        <v>1003</v>
      </c>
    </row>
    <row r="4" spans="1:17" ht="14.25" thickTop="1">
      <c r="A4" s="218" t="str">
        <f>General!B5</f>
        <v>S275</v>
      </c>
      <c r="B4" s="85" t="s">
        <v>16</v>
      </c>
      <c r="C4" s="216">
        <f>Pandeo!B21</f>
        <v>275</v>
      </c>
      <c r="F4" s="219" t="s">
        <v>26</v>
      </c>
      <c r="G4" s="90">
        <f>General!C33</f>
        <v>5</v>
      </c>
      <c r="H4" s="219" t="s">
        <v>30</v>
      </c>
      <c r="I4" s="103">
        <f>G4</f>
        <v>5</v>
      </c>
      <c r="J4" s="87"/>
      <c r="L4" s="329">
        <f>General!AO13</f>
        <v>42.69</v>
      </c>
    </row>
    <row r="5" spans="1:17" ht="13.5">
      <c r="B5" s="85" t="s">
        <v>17</v>
      </c>
      <c r="C5" s="89">
        <f>General!C5</f>
        <v>261.90476190476187</v>
      </c>
      <c r="D5" s="82" t="s">
        <v>78</v>
      </c>
      <c r="F5" s="219" t="s">
        <v>25</v>
      </c>
      <c r="G5" s="91">
        <f>General!C31</f>
        <v>0.7</v>
      </c>
      <c r="H5" s="219" t="s">
        <v>28</v>
      </c>
      <c r="I5" s="95">
        <f>General!C32</f>
        <v>1</v>
      </c>
      <c r="J5" s="87"/>
    </row>
    <row r="6" spans="1:17" ht="13.5">
      <c r="B6" s="218" t="s">
        <v>24</v>
      </c>
      <c r="C6" s="83">
        <f>IF(General!D5=235,93.9,IF(General!D5=275,86.8,IF(General!D5=355,76.4,67.9)))</f>
        <v>86.8</v>
      </c>
      <c r="D6" s="87"/>
      <c r="F6" s="219" t="s">
        <v>27</v>
      </c>
      <c r="G6" s="104">
        <f>G4*G5*1000</f>
        <v>3500</v>
      </c>
      <c r="H6" s="219" t="s">
        <v>29</v>
      </c>
      <c r="I6" s="104">
        <f>I4*1000*I5</f>
        <v>5000</v>
      </c>
      <c r="J6" s="87"/>
    </row>
    <row r="7" spans="1:17">
      <c r="A7" s="87"/>
      <c r="B7" s="87"/>
      <c r="C7" s="87"/>
      <c r="D7" s="87"/>
      <c r="E7" s="87"/>
      <c r="F7" s="88"/>
      <c r="G7" s="87"/>
      <c r="H7" s="87"/>
      <c r="I7" s="87"/>
      <c r="J7" s="87"/>
    </row>
    <row r="8" spans="1:17" ht="16.5" thickBot="1">
      <c r="A8" s="267" t="s">
        <v>14</v>
      </c>
      <c r="B8" s="93" t="s">
        <v>1050</v>
      </c>
      <c r="C8" s="93" t="s">
        <v>1051</v>
      </c>
      <c r="D8" s="101" t="s">
        <v>1052</v>
      </c>
      <c r="E8" s="87"/>
      <c r="F8" s="309" t="s">
        <v>1005</v>
      </c>
      <c r="G8" s="309" t="s">
        <v>1004</v>
      </c>
      <c r="H8" s="87"/>
      <c r="I8" s="309" t="s">
        <v>1006</v>
      </c>
      <c r="J8" s="87"/>
      <c r="N8" s="95"/>
    </row>
    <row r="9" spans="1:17" ht="16.5" thickTop="1">
      <c r="A9" s="105"/>
      <c r="B9" s="220">
        <f>General!E10</f>
        <v>500</v>
      </c>
      <c r="C9" s="220">
        <f>General!F10</f>
        <v>78</v>
      </c>
      <c r="D9" s="220">
        <f>General!G10</f>
        <v>0</v>
      </c>
      <c r="E9" s="87"/>
      <c r="F9" s="118">
        <f>General!F11</f>
        <v>342.3095238095238</v>
      </c>
      <c r="G9" s="352">
        <f>General!G11</f>
        <v>59.976190476190467</v>
      </c>
      <c r="H9" s="87" t="s">
        <v>999</v>
      </c>
      <c r="I9" s="353">
        <f>General!E11</f>
        <v>2213.0952380952376</v>
      </c>
      <c r="J9" s="87" t="s">
        <v>43</v>
      </c>
    </row>
    <row r="10" spans="1:17">
      <c r="A10" s="105"/>
      <c r="B10" s="87"/>
      <c r="C10" s="87"/>
      <c r="D10" s="87"/>
      <c r="E10" s="87"/>
      <c r="F10" s="88"/>
      <c r="G10" s="87"/>
      <c r="H10" s="87"/>
      <c r="I10" s="87"/>
      <c r="J10" s="87"/>
    </row>
    <row r="11" spans="1:17">
      <c r="A11" s="230" t="s">
        <v>982</v>
      </c>
      <c r="B11" s="229"/>
      <c r="C11" s="229"/>
      <c r="E11" s="87"/>
      <c r="F11" s="88"/>
      <c r="G11" s="87"/>
      <c r="H11" s="221" t="s">
        <v>1008</v>
      </c>
      <c r="I11" s="88"/>
      <c r="J11" s="87"/>
    </row>
    <row r="12" spans="1:17" ht="16.5" thickBot="1">
      <c r="A12" s="267" t="s">
        <v>19</v>
      </c>
      <c r="B12" s="214" t="s">
        <v>971</v>
      </c>
      <c r="C12" s="214" t="s">
        <v>969</v>
      </c>
      <c r="D12" s="215" t="s">
        <v>970</v>
      </c>
      <c r="E12" s="94" t="s">
        <v>21</v>
      </c>
      <c r="F12" s="94" t="s">
        <v>22</v>
      </c>
      <c r="G12" s="94" t="s">
        <v>23</v>
      </c>
      <c r="H12" s="94" t="s">
        <v>972</v>
      </c>
      <c r="I12" s="94" t="s">
        <v>973</v>
      </c>
      <c r="J12" s="225" t="s">
        <v>44</v>
      </c>
    </row>
    <row r="13" spans="1:17" ht="14.25" thickTop="1" thickBot="1">
      <c r="A13" s="281" t="str">
        <f>General!C11</f>
        <v>IPE 400</v>
      </c>
      <c r="B13" s="277">
        <f>General!C52</f>
        <v>84.5</v>
      </c>
      <c r="C13" s="277">
        <f>General!G47</f>
        <v>16.55</v>
      </c>
      <c r="D13" s="277">
        <f>General!G48</f>
        <v>3.95</v>
      </c>
      <c r="E13" s="255">
        <f>General!U13/General!V13</f>
        <v>2.2222222222222223</v>
      </c>
      <c r="F13" s="277">
        <f>General!X13</f>
        <v>13.5</v>
      </c>
      <c r="G13" s="277">
        <f>General!W13</f>
        <v>8.6</v>
      </c>
      <c r="H13" s="97" t="str">
        <f>IF(General!$D$5='D G'!$C$6,P16,P17)</f>
        <v>a</v>
      </c>
      <c r="I13" s="97" t="str">
        <f>IF(General!$D$5='D G'!$C$6,Q16,Q17)</f>
        <v>b</v>
      </c>
      <c r="J13" s="226">
        <f>IF(I17&lt;I20,I17,I20)</f>
        <v>1093.0296998773154</v>
      </c>
    </row>
    <row r="14" spans="1:17">
      <c r="M14" s="83"/>
      <c r="N14" s="262" t="s">
        <v>981</v>
      </c>
      <c r="O14" s="263"/>
      <c r="P14" s="263"/>
      <c r="Q14" s="264"/>
    </row>
    <row r="15" spans="1:17">
      <c r="A15" s="102" t="s">
        <v>47</v>
      </c>
      <c r="B15" s="98"/>
      <c r="C15" s="98"/>
      <c r="D15" s="98"/>
      <c r="E15" s="98"/>
      <c r="F15" s="98"/>
      <c r="G15" s="98"/>
      <c r="H15" s="98"/>
      <c r="I15" s="98"/>
      <c r="J15" s="99"/>
      <c r="K15" s="82" t="s">
        <v>43</v>
      </c>
      <c r="M15" s="86"/>
      <c r="N15" s="265" t="s">
        <v>974</v>
      </c>
      <c r="O15" s="266"/>
      <c r="P15" s="266" t="s">
        <v>972</v>
      </c>
      <c r="Q15" s="268" t="s">
        <v>973</v>
      </c>
    </row>
    <row r="16" spans="1:17" ht="16.5" thickBot="1">
      <c r="A16" s="92"/>
      <c r="B16" s="258" t="str">
        <f>I8</f>
        <v>NRd</v>
      </c>
      <c r="C16" s="222" t="s">
        <v>977</v>
      </c>
      <c r="D16" s="259" t="s">
        <v>1002</v>
      </c>
      <c r="E16" s="223" t="s">
        <v>978</v>
      </c>
      <c r="F16" s="258" t="s">
        <v>50</v>
      </c>
      <c r="G16" s="100"/>
      <c r="H16" s="100" t="s">
        <v>964</v>
      </c>
      <c r="I16" s="228" t="s">
        <v>44</v>
      </c>
      <c r="J16" s="106"/>
      <c r="M16" s="96"/>
      <c r="N16" s="269"/>
      <c r="O16" s="266" t="s">
        <v>70</v>
      </c>
      <c r="P16" s="266" t="str">
        <f>IF(E13&gt;1.2,"a0","a")</f>
        <v>a0</v>
      </c>
      <c r="Q16" s="268" t="str">
        <f>IF(E13&gt;1.2,"a0","a")</f>
        <v>a0</v>
      </c>
    </row>
    <row r="17" spans="1:22" ht="13.5" thickTop="1">
      <c r="A17" s="107"/>
      <c r="B17" s="354">
        <f>I9</f>
        <v>2213.0952380952376</v>
      </c>
      <c r="C17" s="108">
        <f>$G$6/($C$13*10)</f>
        <v>21.148036253776436</v>
      </c>
      <c r="D17" s="109">
        <f>C17/$C$6</f>
        <v>0.24364097066562715</v>
      </c>
      <c r="E17" s="110">
        <f>IF(H13="a0",'Auxiliar Gi'!C7,IF(H13="a",'Auxiliar Gi'!D7,IF(H13="b",'Auxiliar Gi'!E7,IF(H13="c",'Auxiliar Gi'!F7,'Auxiliar Gi'!G7))))</f>
        <v>0.99035686632220854</v>
      </c>
      <c r="F17" s="224">
        <f>E17*B13*$C$5/10</f>
        <v>2191.7540648726017</v>
      </c>
      <c r="G17" s="88" t="s">
        <v>43</v>
      </c>
      <c r="H17" s="83" t="str">
        <f>IF($B$9&lt;=F17,"Sí","¡No¡")</f>
        <v>Sí</v>
      </c>
      <c r="I17" s="227">
        <f>POWER((3.1416/C17),2)*$B$13*21000</f>
        <v>39159.549571222073</v>
      </c>
      <c r="J17" s="99"/>
      <c r="M17" s="96"/>
      <c r="N17" s="265"/>
      <c r="O17" s="266" t="s">
        <v>976</v>
      </c>
      <c r="P17" s="266" t="str">
        <f>IF(E13&gt;1.2,"a","b")</f>
        <v>a</v>
      </c>
      <c r="Q17" s="268" t="str">
        <f>IF(E13&gt;1.2,"b","c")</f>
        <v>b</v>
      </c>
    </row>
    <row r="18" spans="1:22">
      <c r="D18" s="82" t="str">
        <f>IF(D17&gt;=2,"No cumple por esbeltez excesiva","Cumple a esbeltez")</f>
        <v>Cumple a esbeltez</v>
      </c>
      <c r="E18" s="83"/>
      <c r="J18" s="99"/>
      <c r="M18" s="96"/>
      <c r="N18" s="270"/>
      <c r="O18" s="271"/>
      <c r="P18" s="271"/>
      <c r="Q18" s="272"/>
    </row>
    <row r="19" spans="1:22" ht="16.5" thickBot="1">
      <c r="C19" s="222" t="s">
        <v>979</v>
      </c>
      <c r="D19" s="259" t="s">
        <v>1001</v>
      </c>
      <c r="E19" s="223" t="s">
        <v>980</v>
      </c>
      <c r="F19" s="258" t="s">
        <v>1000</v>
      </c>
      <c r="G19" s="100"/>
      <c r="H19" s="100" t="s">
        <v>964</v>
      </c>
      <c r="I19" s="228" t="s">
        <v>44</v>
      </c>
      <c r="M19" s="96"/>
      <c r="N19" s="97"/>
    </row>
    <row r="20" spans="1:22" ht="13.5" thickTop="1">
      <c r="C20" s="108">
        <f>$I$6/($D$13*10)</f>
        <v>126.58227848101266</v>
      </c>
      <c r="D20" s="109">
        <f>C20/$C$6</f>
        <v>1.4583211806568279</v>
      </c>
      <c r="E20" s="355">
        <f>IF(I13="a0",'Auxiliar Gi'!C8,IF(I13="a",'Auxiliar Gi'!D8,IF(I13="b",'Auxiliar Gi'!E8,IF(I13="c",'Auxiliar Gi'!F8,'Auxiliar Gi'!G8))))</f>
        <v>0.35802203582768077</v>
      </c>
      <c r="F20" s="224">
        <f>B17*E20</f>
        <v>792.33686262340291</v>
      </c>
      <c r="G20" s="88" t="s">
        <v>43</v>
      </c>
      <c r="H20" s="213" t="str">
        <f>IF($B$9&lt;=F20,"Sí","¡No¡")</f>
        <v>Sí</v>
      </c>
      <c r="I20" s="227">
        <f>POWER((3.1416/C20),2)*$B$13*21000</f>
        <v>1093.0296998773154</v>
      </c>
      <c r="M20" s="96"/>
      <c r="N20" s="97"/>
    </row>
    <row r="21" spans="1:22" ht="13.5">
      <c r="A21" s="306" t="s">
        <v>3</v>
      </c>
      <c r="B21" s="307">
        <f>IF(General!X13&lt;=16,General!D5,IF(General!X13&lt;40,General!E5,General!F5))</f>
        <v>275</v>
      </c>
    </row>
    <row r="23" spans="1:22">
      <c r="N23" s="87"/>
      <c r="O23" s="87"/>
      <c r="P23" s="87"/>
      <c r="Q23" s="87"/>
      <c r="R23" s="87"/>
    </row>
    <row r="24" spans="1:22" ht="15.75">
      <c r="A24"/>
      <c r="B24" s="297"/>
      <c r="C24" s="298" t="s">
        <v>1009</v>
      </c>
      <c r="D24" s="297"/>
      <c r="E24" s="297"/>
      <c r="F24"/>
      <c r="G24" s="8"/>
      <c r="H24"/>
      <c r="L24" s="1223" t="s">
        <v>2863</v>
      </c>
      <c r="M24" s="1223"/>
      <c r="N24" s="1224"/>
      <c r="O24" s="1224"/>
      <c r="P24" s="1224"/>
      <c r="Q24" s="87"/>
      <c r="R24" s="87"/>
    </row>
    <row r="25" spans="1:22">
      <c r="B25"/>
      <c r="C25"/>
      <c r="D25"/>
      <c r="E25"/>
      <c r="F25"/>
      <c r="G25"/>
      <c r="H25" s="8"/>
      <c r="K25" s="1217" t="s">
        <v>2858</v>
      </c>
      <c r="L25" s="481"/>
      <c r="M25" s="1218" t="str">
        <f>General!E9</f>
        <v>N</v>
      </c>
      <c r="N25" s="1218" t="str">
        <f>General!F9</f>
        <v>My</v>
      </c>
      <c r="O25" s="1218" t="str">
        <f>General!G9</f>
        <v>Mz</v>
      </c>
      <c r="P25" s="1218" t="str">
        <f>General!H9</f>
        <v>Interac.</v>
      </c>
      <c r="Q25" s="482"/>
      <c r="R25" s="87"/>
    </row>
    <row r="26" spans="1:22" ht="16.5" thickBot="1">
      <c r="A26" s="238" t="s">
        <v>1048</v>
      </c>
      <c r="B26" s="233" t="s">
        <v>983</v>
      </c>
      <c r="C26" s="238" t="s">
        <v>1049</v>
      </c>
      <c r="D26" s="239" t="s">
        <v>984</v>
      </c>
      <c r="E26" s="237" t="s">
        <v>985</v>
      </c>
      <c r="F26" s="237" t="s">
        <v>986</v>
      </c>
      <c r="G26" s="239"/>
      <c r="H26" s="235"/>
      <c r="K26" s="323" t="str">
        <f>General!C12</f>
        <v>Clase:</v>
      </c>
      <c r="L26" s="87" t="str">
        <f>General!D12</f>
        <v>(calculada)</v>
      </c>
      <c r="M26" s="87">
        <f>General!E12</f>
        <v>3</v>
      </c>
      <c r="N26" s="87">
        <f>General!F12</f>
        <v>1</v>
      </c>
      <c r="O26" s="87">
        <f>General!G12</f>
        <v>1</v>
      </c>
      <c r="P26" s="87">
        <f>General!H12</f>
        <v>2</v>
      </c>
      <c r="Q26" s="324"/>
      <c r="R26" s="87"/>
    </row>
    <row r="27" spans="1:22" ht="16.5" thickTop="1">
      <c r="A27" s="296">
        <f>General!D22</f>
        <v>1</v>
      </c>
      <c r="B27"/>
      <c r="C27" s="351">
        <f>General!F22</f>
        <v>1.55</v>
      </c>
      <c r="D27" s="351">
        <f>General!C22*A27</f>
        <v>5</v>
      </c>
      <c r="E27" s="236">
        <f>General!I5*1000</f>
        <v>80000</v>
      </c>
      <c r="F27" s="8">
        <f>General!H5*1000</f>
        <v>210000</v>
      </c>
      <c r="G27" s="8"/>
      <c r="H27" s="8"/>
      <c r="K27" s="349"/>
      <c r="L27" s="87" t="s">
        <v>2859</v>
      </c>
      <c r="M27" s="88">
        <f>General!F47</f>
        <v>1307</v>
      </c>
      <c r="N27" s="87" t="s">
        <v>2860</v>
      </c>
      <c r="O27" s="87">
        <f>General!E47</f>
        <v>1156</v>
      </c>
      <c r="P27" s="88" t="s">
        <v>2861</v>
      </c>
      <c r="Q27" s="324">
        <f>IF(N26&lt;=2,M27,O27)</f>
        <v>1307</v>
      </c>
      <c r="R27" s="87"/>
    </row>
    <row r="28" spans="1:22">
      <c r="J28" s="87"/>
      <c r="K28" s="323"/>
      <c r="L28" s="87" t="s">
        <v>16</v>
      </c>
      <c r="M28" s="114">
        <f>C4</f>
        <v>275</v>
      </c>
      <c r="N28" s="87" t="s">
        <v>2862</v>
      </c>
      <c r="O28" s="352">
        <f>D35</f>
        <v>280.86906033792582</v>
      </c>
      <c r="P28" s="87"/>
      <c r="Q28" s="324"/>
      <c r="R28" s="87"/>
      <c r="U28" s="87"/>
      <c r="V28" s="113"/>
    </row>
    <row r="29" spans="1:22">
      <c r="B29" s="230" t="s">
        <v>1010</v>
      </c>
      <c r="C29" s="230"/>
      <c r="D29" s="230"/>
      <c r="E29"/>
      <c r="F29" s="231" t="s">
        <v>995</v>
      </c>
      <c r="G29" s="88"/>
      <c r="H29" s="87"/>
      <c r="I29" s="221"/>
      <c r="K29" s="323"/>
      <c r="L29" s="1219" t="s">
        <v>2858</v>
      </c>
      <c r="M29" s="1222">
        <f>(Q27*M28/O28/1000)^0.5</f>
        <v>1.1312333237768584</v>
      </c>
      <c r="N29" s="261"/>
      <c r="O29" s="87"/>
      <c r="P29" s="87"/>
      <c r="Q29" s="324"/>
      <c r="R29" s="87"/>
    </row>
    <row r="30" spans="1:22" ht="16.5" thickBot="1">
      <c r="B30" s="232" t="s">
        <v>19</v>
      </c>
      <c r="C30" s="215" t="s">
        <v>988</v>
      </c>
      <c r="D30" s="215" t="s">
        <v>987</v>
      </c>
      <c r="E30" s="215" t="s">
        <v>970</v>
      </c>
      <c r="F30" s="215" t="s">
        <v>989</v>
      </c>
      <c r="G30" s="215" t="s">
        <v>990</v>
      </c>
      <c r="H30" s="94" t="s">
        <v>21</v>
      </c>
      <c r="I30" s="94" t="s">
        <v>0</v>
      </c>
      <c r="J30" s="82" t="s">
        <v>1087</v>
      </c>
      <c r="K30" s="323"/>
      <c r="L30" s="87"/>
      <c r="M30" s="114"/>
      <c r="N30" s="260"/>
      <c r="O30" s="87"/>
      <c r="P30" s="260"/>
      <c r="Q30" s="324"/>
      <c r="R30" s="87"/>
    </row>
    <row r="31" spans="1:22" ht="17.25" thickTop="1" thickBot="1">
      <c r="B31" s="281" t="str">
        <f>General!C11</f>
        <v>IPE 400</v>
      </c>
      <c r="C31" s="277">
        <f>General!D48</f>
        <v>1318</v>
      </c>
      <c r="D31" s="277">
        <f>General!AU13</f>
        <v>51.08</v>
      </c>
      <c r="E31" s="277">
        <f>General!G48</f>
        <v>3.95</v>
      </c>
      <c r="F31">
        <f>General!E47</f>
        <v>1156</v>
      </c>
      <c r="G31" s="256">
        <f>C41/10</f>
        <v>4.5674657001700334</v>
      </c>
      <c r="H31" s="255">
        <f>Pandeo!E13</f>
        <v>2.2222222222222223</v>
      </c>
      <c r="I31" s="54">
        <f>IF(H31&gt;2,L36,L35)</f>
        <v>0.34</v>
      </c>
      <c r="J31" s="82" t="str">
        <f>VLOOKUP(I31,Tabla1[[alfa LT]:[curva SEA]],2)</f>
        <v>b</v>
      </c>
      <c r="K31" s="323"/>
      <c r="L31" s="87"/>
      <c r="M31" s="114"/>
      <c r="N31" s="111"/>
      <c r="O31" s="87"/>
      <c r="P31" s="111"/>
      <c r="Q31" s="487"/>
      <c r="R31" s="115"/>
      <c r="S31" s="116"/>
      <c r="T31" s="116"/>
      <c r="U31" s="116"/>
      <c r="V31" s="117"/>
    </row>
    <row r="32" spans="1:22" ht="15.75">
      <c r="G32" s="82" t="s">
        <v>2882</v>
      </c>
      <c r="H32" s="255">
        <f>H31</f>
        <v>2.2222222222222223</v>
      </c>
      <c r="I32" s="54">
        <f>IF(H32&gt;2,N36,N35)</f>
        <v>0.34</v>
      </c>
      <c r="J32" s="82" t="str">
        <f>VLOOKUP(I32,Tabla1[[EC3]:[curva EC3]],2)</f>
        <v>b</v>
      </c>
      <c r="K32" s="489"/>
      <c r="L32" s="84"/>
      <c r="M32" s="1220"/>
      <c r="N32" s="1221"/>
      <c r="O32" s="84"/>
      <c r="P32" s="84"/>
      <c r="Q32" s="490"/>
      <c r="R32" s="87"/>
      <c r="S32" s="84"/>
      <c r="T32" s="84"/>
      <c r="U32" s="84"/>
      <c r="V32" s="84"/>
    </row>
    <row r="33" spans="1:18">
      <c r="A33"/>
      <c r="B33"/>
      <c r="C33"/>
      <c r="D33"/>
      <c r="E33"/>
      <c r="F33"/>
      <c r="G33" s="8"/>
      <c r="H33" s="504" t="s">
        <v>2656</v>
      </c>
      <c r="I33" s="87" t="s">
        <v>2657</v>
      </c>
      <c r="M33" s="114"/>
      <c r="N33" s="87"/>
      <c r="O33" s="87"/>
      <c r="P33" s="87"/>
      <c r="Q33" s="87"/>
      <c r="R33" s="87"/>
    </row>
    <row r="34" spans="1:18" ht="19.5" thickBot="1">
      <c r="A34"/>
      <c r="B34" s="257" t="s">
        <v>991</v>
      </c>
      <c r="C34" s="257" t="s">
        <v>992</v>
      </c>
      <c r="D34" s="257" t="s">
        <v>993</v>
      </c>
      <c r="E34" s="237" t="s">
        <v>994</v>
      </c>
      <c r="F34" s="51" t="s">
        <v>1</v>
      </c>
      <c r="G34" s="53" t="s">
        <v>2</v>
      </c>
      <c r="H34" s="257" t="s">
        <v>998</v>
      </c>
      <c r="J34" s="82" t="s">
        <v>2867</v>
      </c>
      <c r="K34" s="82" t="s">
        <v>21</v>
      </c>
      <c r="L34" s="82" t="s">
        <v>0</v>
      </c>
      <c r="M34" s="82" t="s">
        <v>2868</v>
      </c>
      <c r="N34" s="87" t="s">
        <v>2463</v>
      </c>
      <c r="O34" s="87" t="s">
        <v>2883</v>
      </c>
      <c r="P34" s="87" t="s">
        <v>2887</v>
      </c>
      <c r="Q34" s="87"/>
      <c r="R34" s="87"/>
    </row>
    <row r="35" spans="1:18" ht="16.5" thickTop="1">
      <c r="A35"/>
      <c r="B35" s="108">
        <f>F31*1000*POWER(3.1416,2)*F27/POWER(D27*100/E31,2)*C27/1000000</f>
        <v>231.77403742487263</v>
      </c>
      <c r="C35" s="108">
        <f>SQRT(E27*F27*D31*10000*C31*10000)*3.1416*C27/D27/1000000000</f>
        <v>327.52946241440094</v>
      </c>
      <c r="D35" s="251">
        <f>SQRT(POWER(B35,2)+POWER(C35,2))*General!E25</f>
        <v>280.86906033792582</v>
      </c>
      <c r="E35" s="1">
        <f>SQRT(General!F11*General!C6/Pandeo!D35)</f>
        <v>1.1312333237768584</v>
      </c>
      <c r="F35" s="1">
        <f>0.5*(1+$I$31*(E35-0.2)+POWER(E35,2))</f>
        <v>1.2981540814536852</v>
      </c>
      <c r="G35" s="303">
        <f>IF(1/(F35+SQRT((F35*$F35-$E35*$E35)))&gt;1,1,1/(F35+SQRT((F35*$F35-$E35*$E35))))</f>
        <v>0.51680793128973057</v>
      </c>
      <c r="H35" s="796">
        <f>G35*General!F11</f>
        <v>176.90827686077276</v>
      </c>
      <c r="I35" s="87"/>
      <c r="J35" s="82" t="s">
        <v>2871</v>
      </c>
      <c r="K35" s="82" t="s">
        <v>2869</v>
      </c>
      <c r="L35" s="87">
        <v>0.21</v>
      </c>
      <c r="M35" s="82" t="s">
        <v>33</v>
      </c>
      <c r="N35" s="87">
        <v>0.21</v>
      </c>
      <c r="O35" s="87" t="s">
        <v>33</v>
      </c>
      <c r="P35" s="87" t="s">
        <v>2888</v>
      </c>
      <c r="Q35" s="87"/>
      <c r="R35" s="87"/>
    </row>
    <row r="36" spans="1:18">
      <c r="A36"/>
      <c r="B36" s="86" t="s">
        <v>999</v>
      </c>
      <c r="C36" s="86" t="s">
        <v>999</v>
      </c>
      <c r="D36" s="86" t="s">
        <v>999</v>
      </c>
      <c r="E36" s="86"/>
      <c r="F36" s="86"/>
      <c r="G36" s="86"/>
      <c r="H36" s="86" t="s">
        <v>999</v>
      </c>
      <c r="I36" s="87"/>
      <c r="J36" s="82" t="s">
        <v>2871</v>
      </c>
      <c r="K36" s="1226" t="s">
        <v>2870</v>
      </c>
      <c r="L36" s="87">
        <v>0.34</v>
      </c>
      <c r="M36" s="82" t="s">
        <v>34</v>
      </c>
      <c r="N36" s="82">
        <v>0.34</v>
      </c>
      <c r="O36" s="82" t="s">
        <v>34</v>
      </c>
    </row>
    <row r="37" spans="1:18">
      <c r="A37"/>
      <c r="B37"/>
      <c r="C37"/>
      <c r="D37"/>
      <c r="E37"/>
      <c r="F37"/>
      <c r="G37" s="8"/>
      <c r="H37"/>
      <c r="I37" s="87"/>
      <c r="J37" s="87"/>
    </row>
    <row r="38" spans="1:18">
      <c r="A38"/>
      <c r="B38"/>
      <c r="C38"/>
      <c r="D38"/>
      <c r="E38"/>
      <c r="F38"/>
      <c r="G38" s="8"/>
      <c r="H38"/>
      <c r="I38" s="87"/>
      <c r="J38" s="87"/>
    </row>
    <row r="39" spans="1:18">
      <c r="A39"/>
      <c r="B39"/>
      <c r="C39"/>
      <c r="D39"/>
      <c r="E39"/>
      <c r="F39"/>
      <c r="G39" s="8"/>
      <c r="H39"/>
      <c r="I39" s="87"/>
      <c r="J39" s="87"/>
    </row>
    <row r="40" spans="1:18" ht="15.75">
      <c r="A40"/>
      <c r="B40" s="215" t="s">
        <v>997</v>
      </c>
      <c r="C40" s="215" t="s">
        <v>2493</v>
      </c>
      <c r="D40" s="234" t="s">
        <v>34</v>
      </c>
      <c r="E40" s="234" t="s">
        <v>22</v>
      </c>
      <c r="F40" s="234" t="s">
        <v>996</v>
      </c>
      <c r="G40" s="234" t="s">
        <v>23</v>
      </c>
      <c r="H40"/>
      <c r="I40" s="87"/>
      <c r="J40" s="87"/>
    </row>
    <row r="41" spans="1:18" ht="15">
      <c r="A41" s="302" t="s">
        <v>1015</v>
      </c>
      <c r="B41" s="301">
        <v>50</v>
      </c>
      <c r="C41" s="254">
        <f>SQRT(($C$31*10000/2-$F$41/12*$G$41*$G$41*$G$41*(0.5-B41/300))/(General!$C$52*50-Pandeo!$G$41*Pandeo!$F$41*(0.5-Pandeo!B41/300)))</f>
        <v>45.674657001700332</v>
      </c>
      <c r="D41" s="253">
        <f>General!V13</f>
        <v>180</v>
      </c>
      <c r="E41" s="253">
        <f>General!X13</f>
        <v>13.5</v>
      </c>
      <c r="F41" s="253">
        <f>General!AA13</f>
        <v>373</v>
      </c>
      <c r="G41" s="253">
        <f>General!W13</f>
        <v>8.6</v>
      </c>
      <c r="H41"/>
      <c r="I41" s="87"/>
      <c r="J41" s="87"/>
    </row>
    <row r="42" spans="1:18">
      <c r="A42"/>
      <c r="B42"/>
      <c r="C42" s="254">
        <f>PL!F8</f>
        <v>44.705587266243015</v>
      </c>
      <c r="D42"/>
      <c r="E42"/>
      <c r="F42"/>
      <c r="G42" s="8"/>
      <c r="H42"/>
      <c r="I42" s="87"/>
      <c r="J42" s="87"/>
    </row>
    <row r="43" spans="1:18">
      <c r="A43" s="230" t="s">
        <v>1010</v>
      </c>
      <c r="B43" s="230"/>
      <c r="C43" s="230"/>
      <c r="D43"/>
      <c r="E43" s="231" t="s">
        <v>1011</v>
      </c>
      <c r="F43" s="88"/>
      <c r="G43" s="87"/>
      <c r="H43" s="221"/>
      <c r="I43" s="87"/>
      <c r="J43" s="87"/>
    </row>
    <row r="44" spans="1:18" ht="16.5" thickBot="1">
      <c r="A44" s="232" t="s">
        <v>19</v>
      </c>
      <c r="B44" s="215" t="s">
        <v>988</v>
      </c>
      <c r="C44" s="215" t="s">
        <v>987</v>
      </c>
      <c r="D44" s="215" t="s">
        <v>970</v>
      </c>
      <c r="E44" s="215" t="s">
        <v>989</v>
      </c>
      <c r="F44" s="215" t="s">
        <v>990</v>
      </c>
      <c r="G44" s="94" t="s">
        <v>21</v>
      </c>
      <c r="H44" s="94" t="s">
        <v>0</v>
      </c>
      <c r="I44" s="87"/>
      <c r="J44" s="87"/>
    </row>
    <row r="45" spans="1:18" ht="13.5" thickTop="1">
      <c r="A45"/>
      <c r="B45" t="s">
        <v>1012</v>
      </c>
      <c r="C45" s="252"/>
      <c r="D45"/>
      <c r="E45"/>
      <c r="F45"/>
      <c r="G45" s="8"/>
      <c r="H45"/>
      <c r="I45" s="87"/>
      <c r="J45" s="87"/>
    </row>
    <row r="46" spans="1:18">
      <c r="J46" s="87"/>
    </row>
    <row r="47" spans="1:18" ht="15.75">
      <c r="A47"/>
      <c r="B47" s="297"/>
      <c r="C47" s="298" t="s">
        <v>1055</v>
      </c>
      <c r="D47" s="297"/>
      <c r="E47" s="297"/>
      <c r="F47"/>
      <c r="G47" s="8"/>
      <c r="H47"/>
      <c r="J47" s="87"/>
    </row>
    <row r="48" spans="1:18">
      <c r="J48" s="87"/>
      <c r="K48" s="87"/>
    </row>
    <row r="49" spans="1:11">
      <c r="C49"/>
      <c r="J49" s="87"/>
      <c r="K49" s="87"/>
    </row>
    <row r="50" spans="1:11">
      <c r="I50" s="87"/>
      <c r="J50" s="87"/>
      <c r="K50" s="87"/>
    </row>
    <row r="53" spans="1:11" ht="13.5" thickBot="1">
      <c r="A53" s="93" t="s">
        <v>1050</v>
      </c>
      <c r="B53" s="82">
        <f>B9</f>
        <v>500</v>
      </c>
    </row>
    <row r="54" spans="1:11" ht="15" thickTop="1" thickBot="1">
      <c r="A54" s="258" t="s">
        <v>50</v>
      </c>
      <c r="B54" s="595">
        <f>F17</f>
        <v>2191.7540648726017</v>
      </c>
      <c r="C54" s="489" t="s">
        <v>2494</v>
      </c>
    </row>
    <row r="55" spans="1:11" ht="15" thickTop="1" thickBot="1">
      <c r="A55" s="258" t="s">
        <v>1000</v>
      </c>
      <c r="B55" s="596">
        <f>F20</f>
        <v>792.33686262340291</v>
      </c>
      <c r="C55" s="597">
        <f>MIN(B54:B55)</f>
        <v>792.33686262340291</v>
      </c>
      <c r="D55"/>
      <c r="F55" s="387">
        <f>B53/C55</f>
        <v>0.63104472805230272</v>
      </c>
    </row>
    <row r="56" spans="1:11" ht="14.25" thickTop="1" thickBot="1">
      <c r="A56" s="228" t="s">
        <v>1056</v>
      </c>
      <c r="B56" s="381">
        <f>I17</f>
        <v>39159.549571222073</v>
      </c>
    </row>
    <row r="57" spans="1:11" ht="13.5" thickTop="1">
      <c r="B57" s="380" t="s">
        <v>1060</v>
      </c>
      <c r="C57" s="746">
        <f>1/(1-B53/B56)</f>
        <v>1.0129334150435161</v>
      </c>
    </row>
    <row r="58" spans="1:11">
      <c r="A58" s="384" t="s">
        <v>1058</v>
      </c>
      <c r="B58" s="386">
        <f>General!I37</f>
        <v>0.74</v>
      </c>
      <c r="F58" s="82">
        <f>C57*B58*B59/B60</f>
        <v>0.33049056694122364</v>
      </c>
    </row>
    <row r="59" spans="1:11" ht="13.5" thickBot="1">
      <c r="A59" s="93" t="s">
        <v>1051</v>
      </c>
      <c r="B59" s="380">
        <f>C9</f>
        <v>78</v>
      </c>
      <c r="D59"/>
    </row>
    <row r="60" spans="1:11" ht="17.25" thickTop="1" thickBot="1">
      <c r="A60" s="257" t="s">
        <v>998</v>
      </c>
      <c r="B60" s="382">
        <f>H35</f>
        <v>176.90827686077276</v>
      </c>
    </row>
    <row r="61" spans="1:11" ht="13.5" thickTop="1">
      <c r="B61" s="380"/>
    </row>
    <row r="62" spans="1:11" ht="13.5" thickBot="1">
      <c r="A62" s="228" t="s">
        <v>1057</v>
      </c>
      <c r="B62" s="382">
        <f>I20</f>
        <v>1093.0296998773154</v>
      </c>
      <c r="F62" s="82">
        <f>C63*B64*B65/B66</f>
        <v>0</v>
      </c>
    </row>
    <row r="63" spans="1:11" ht="13.5" thickTop="1">
      <c r="B63" s="380" t="s">
        <v>1061</v>
      </c>
      <c r="C63" s="746">
        <f>1/(1-B53/B62)</f>
        <v>1.8431280930844423</v>
      </c>
    </row>
    <row r="64" spans="1:11">
      <c r="A64" s="384" t="s">
        <v>1059</v>
      </c>
      <c r="B64" s="385">
        <f>General!J37</f>
        <v>0.74</v>
      </c>
      <c r="D64"/>
    </row>
    <row r="65" spans="1:7" ht="13.5" thickBot="1">
      <c r="A65" s="101" t="s">
        <v>1052</v>
      </c>
      <c r="B65" s="82">
        <f>D9</f>
        <v>0</v>
      </c>
    </row>
    <row r="66" spans="1:7" ht="17.25" thickTop="1" thickBot="1">
      <c r="A66" s="309" t="s">
        <v>1004</v>
      </c>
      <c r="B66" s="383">
        <f>G9</f>
        <v>59.976190476190467</v>
      </c>
      <c r="D66" s="82" t="s">
        <v>1062</v>
      </c>
      <c r="F66" s="747">
        <f>F55+F58+F62</f>
        <v>0.9615352949935263</v>
      </c>
      <c r="G66" s="748" t="str">
        <f>IF(F66&gt;1,"No Cumple","OK")</f>
        <v>OK</v>
      </c>
    </row>
    <row r="67" spans="1:7" ht="13.5" thickTop="1">
      <c r="B67" s="82" t="s">
        <v>2669</v>
      </c>
    </row>
    <row r="68" spans="1:7">
      <c r="A68" s="745" t="s">
        <v>2548</v>
      </c>
      <c r="B68" s="745">
        <v>1</v>
      </c>
      <c r="C68" s="745">
        <v>2</v>
      </c>
      <c r="D68" s="745">
        <v>3</v>
      </c>
      <c r="E68" s="745">
        <v>4</v>
      </c>
      <c r="F68" s="745"/>
    </row>
    <row r="69" spans="1:7">
      <c r="A69" s="806" t="s">
        <v>2634</v>
      </c>
      <c r="B69" s="807">
        <f>1+(B84-0.2)*B9/F17</f>
        <v>1.0099557179715244</v>
      </c>
      <c r="C69" s="808">
        <f>B69</f>
        <v>1.0099557179715244</v>
      </c>
      <c r="D69" s="809">
        <f>1+0.6*B84*B53/B54</f>
        <v>1.0333487649783082</v>
      </c>
      <c r="E69" s="810">
        <f>D69</f>
        <v>1.0333487649783082</v>
      </c>
    </row>
    <row r="70" spans="1:7">
      <c r="A70" s="806" t="s">
        <v>2635</v>
      </c>
      <c r="B70" s="811">
        <f>1+(2*B85-0.6)*B9/F20</f>
        <v>1.8834626192732238</v>
      </c>
      <c r="C70" s="808">
        <f>B70</f>
        <v>1.8834626192732238</v>
      </c>
      <c r="D70" s="809">
        <f>1+0.6*B85*B53/B55</f>
        <v>1.3786268368313817</v>
      </c>
      <c r="E70" s="810">
        <f>D70</f>
        <v>1.3786268368313817</v>
      </c>
    </row>
    <row r="71" spans="1:7">
      <c r="A71" s="806" t="s">
        <v>2640</v>
      </c>
      <c r="B71" s="920">
        <f>MINA(B75:C75)</f>
        <v>0.8712153616219791</v>
      </c>
      <c r="C71" s="808">
        <f>B71</f>
        <v>0.8712153616219791</v>
      </c>
      <c r="D71" s="809">
        <f>1-0.05*B85/(B76-0.25)*B53/B55</f>
        <v>0.93560768081098955</v>
      </c>
      <c r="E71" s="810">
        <f>D71</f>
        <v>0.93560768081098955</v>
      </c>
    </row>
    <row r="72" spans="1:7">
      <c r="A72" s="806" t="s">
        <v>2638</v>
      </c>
      <c r="B72" s="806">
        <v>0.6</v>
      </c>
      <c r="C72" s="806">
        <v>0.6</v>
      </c>
      <c r="D72" s="806">
        <v>0.8</v>
      </c>
      <c r="E72" s="806">
        <v>0.8</v>
      </c>
    </row>
    <row r="73" spans="1:7">
      <c r="A73" s="806" t="s">
        <v>2639</v>
      </c>
      <c r="B73" s="806">
        <v>0.6</v>
      </c>
      <c r="C73" s="806">
        <v>0.6</v>
      </c>
      <c r="D73" s="806">
        <v>1</v>
      </c>
      <c r="E73" s="806">
        <v>1</v>
      </c>
    </row>
    <row r="75" spans="1:7">
      <c r="A75" s="812" t="s">
        <v>2636</v>
      </c>
      <c r="B75" s="813">
        <f>1-0.1*B85/(B76-0.25)*B9/F20</f>
        <v>0.8712153616219791</v>
      </c>
      <c r="C75" s="814">
        <f>0.6+B85</f>
        <v>1.6</v>
      </c>
    </row>
    <row r="76" spans="1:7">
      <c r="A76" s="815" t="s">
        <v>2637</v>
      </c>
      <c r="B76" s="828">
        <f>General!K37</f>
        <v>0.74</v>
      </c>
      <c r="D76" s="830"/>
    </row>
    <row r="78" spans="1:7">
      <c r="A78" s="821" t="s">
        <v>2648</v>
      </c>
      <c r="B78" s="831">
        <f>General!J47</f>
        <v>2</v>
      </c>
    </row>
    <row r="79" spans="1:7" ht="14.25">
      <c r="A79" s="822" t="s">
        <v>2649</v>
      </c>
      <c r="B79" s="829">
        <f>HLOOKUP(B78,B68:E71,2)</f>
        <v>1.0099557179715244</v>
      </c>
    </row>
    <row r="80" spans="1:7" ht="14.25">
      <c r="A80" s="822" t="s">
        <v>2650</v>
      </c>
      <c r="B80" s="815">
        <f>HLOOKUP(B78,B68:E71,3)</f>
        <v>1.8834626192732238</v>
      </c>
      <c r="D80" s="815" t="s">
        <v>2641</v>
      </c>
      <c r="E80" s="816">
        <f>B53/B54+B79*B58*B59/B60+B83*B80*B64*B65/B66</f>
        <v>0.55764681638146318</v>
      </c>
      <c r="F80" s="815" t="str">
        <f>IF(E80&gt;1,"No Cumple","OK")</f>
        <v>OK</v>
      </c>
    </row>
    <row r="81" spans="1:6" ht="14.25">
      <c r="A81" s="822" t="s">
        <v>2651</v>
      </c>
      <c r="B81" s="815">
        <f>HLOOKUP(B78,B68:E71,4)</f>
        <v>0.8712153616219791</v>
      </c>
      <c r="D81" s="815" t="s">
        <v>2642</v>
      </c>
      <c r="E81" s="816">
        <f>B53/B55+B81*B59/B60+B80*B64*B65/B66</f>
        <v>1.0151691987235929</v>
      </c>
      <c r="F81" s="815" t="str">
        <f>IF(E81&gt;1,"No Cumple","OK")</f>
        <v>No Cumple</v>
      </c>
    </row>
    <row r="82" spans="1:6" ht="14.25">
      <c r="A82" s="806" t="s">
        <v>2663</v>
      </c>
      <c r="B82" s="815">
        <f>HLOOKUP(B78,B68:E73,5)</f>
        <v>0.6</v>
      </c>
    </row>
    <row r="83" spans="1:6" ht="14.25">
      <c r="A83" s="823" t="s">
        <v>2664</v>
      </c>
      <c r="B83" s="824">
        <f>HLOOKUP(B78,B68:E73,6)</f>
        <v>0.6</v>
      </c>
    </row>
    <row r="84" spans="1:6" ht="16.5">
      <c r="A84" s="825" t="s">
        <v>2667</v>
      </c>
      <c r="B84" s="826">
        <f>IF(C84&gt;1,1,C84)</f>
        <v>0.24364097066562715</v>
      </c>
      <c r="C84" s="827">
        <f>General!F31</f>
        <v>0.24364097066562715</v>
      </c>
      <c r="D84" s="82" t="s">
        <v>2670</v>
      </c>
    </row>
    <row r="85" spans="1:6" ht="16.5">
      <c r="A85" s="825" t="s">
        <v>2668</v>
      </c>
      <c r="B85" s="826">
        <f>IF(C85&gt;1,1,C85)</f>
        <v>1</v>
      </c>
      <c r="C85" s="827">
        <f>General!F32</f>
        <v>1.4583211806568279</v>
      </c>
      <c r="D85" s="82" t="s">
        <v>2671</v>
      </c>
    </row>
  </sheetData>
  <sheetProtection sheet="1" objects="1" scenarios="1" selectLockedCells="1"/>
  <dataConsolidate/>
  <phoneticPr fontId="0" type="noConversion"/>
  <conditionalFormatting sqref="F66">
    <cfRule type="cellIs" dxfId="13" priority="5" operator="greaterThan">
      <formula>1</formula>
    </cfRule>
  </conditionalFormatting>
  <conditionalFormatting sqref="E81">
    <cfRule type="cellIs" dxfId="12" priority="4" operator="greaterThan">
      <formula>1</formula>
    </cfRule>
  </conditionalFormatting>
  <conditionalFormatting sqref="E80">
    <cfRule type="cellIs" dxfId="11" priority="2" operator="greaterThan">
      <formula>1</formula>
    </cfRule>
  </conditionalFormatting>
  <pageMargins left="0.83" right="0.75" top="1" bottom="1" header="7.0000000000000007E-2" footer="0"/>
  <pageSetup paperSize="9" orientation="portrait" horizontalDpi="300" verticalDpi="300" r:id="rId1"/>
  <headerFooter alignWithMargins="0">
    <oddHeader>&amp;L&amp;D&amp;C&amp;"Times New Roman,Normal"&amp;12
&amp;"Times New Roman,Negrita"Aplicación para el cálculo de barras a compresión&amp;"Times New Roman,Normal"
&amp;R&amp;F</oddHeader>
    <oddFooter>&amp;L&amp;"Times New Roman,Negrita"Advertencia:&amp;"Times New Roman,Normal" esta hoja está en fase de prueba. No debe ser utilizada para cálculos profesionales.
Autor: Ignacio Guerra</oddFooter>
  </headerFooter>
  <cellWatches>
    <cellWatch r="K19"/>
  </cellWatches>
  <drawing r:id="rId2"/>
  <legacyDrawing r:id="rId3"/>
  <oleObjects>
    <mc:AlternateContent xmlns:mc="http://schemas.openxmlformats.org/markup-compatibility/2006">
      <mc:Choice Requires="x14">
        <oleObject progId="Equation.3" shapeId="3073" r:id="rId4">
          <objectPr defaultSize="0" autoPict="0" r:id="rId5">
            <anchor moveWithCells="1" sizeWithCells="1">
              <from>
                <xdr:col>15</xdr:col>
                <xdr:colOff>209550</xdr:colOff>
                <xdr:row>7</xdr:row>
                <xdr:rowOff>19050</xdr:rowOff>
              </from>
              <to>
                <xdr:col>17</xdr:col>
                <xdr:colOff>95250</xdr:colOff>
                <xdr:row>10</xdr:row>
                <xdr:rowOff>76200</xdr:rowOff>
              </to>
            </anchor>
          </objectPr>
        </oleObject>
      </mc:Choice>
      <mc:Fallback>
        <oleObject progId="Equation.3" shapeId="3073" r:id="rId4"/>
      </mc:Fallback>
    </mc:AlternateContent>
    <mc:AlternateContent xmlns:mc="http://schemas.openxmlformats.org/markup-compatibility/2006">
      <mc:Choice Requires="x14">
        <oleObject progId="Equation.3" shapeId="3088" r:id="rId6">
          <objectPr defaultSize="0" autoPict="0" r:id="rId7">
            <anchor moveWithCells="1" sizeWithCells="1">
              <from>
                <xdr:col>1</xdr:col>
                <xdr:colOff>95250</xdr:colOff>
                <xdr:row>36</xdr:row>
                <xdr:rowOff>9525</xdr:rowOff>
              </from>
              <to>
                <xdr:col>4</xdr:col>
                <xdr:colOff>133350</xdr:colOff>
                <xdr:row>38</xdr:row>
                <xdr:rowOff>76200</xdr:rowOff>
              </to>
            </anchor>
          </objectPr>
        </oleObject>
      </mc:Choice>
      <mc:Fallback>
        <oleObject progId="Equation.3" shapeId="3088" r:id="rId6"/>
      </mc:Fallback>
    </mc:AlternateContent>
    <mc:AlternateContent xmlns:mc="http://schemas.openxmlformats.org/markup-compatibility/2006">
      <mc:Choice Requires="x14">
        <oleObject progId="Equation.3" shapeId="3089" r:id="rId8">
          <objectPr defaultSize="0" autoPict="0" r:id="rId9">
            <anchor moveWithCells="1" sizeWithCells="1">
              <from>
                <xdr:col>5</xdr:col>
                <xdr:colOff>66675</xdr:colOff>
                <xdr:row>36</xdr:row>
                <xdr:rowOff>9525</xdr:rowOff>
              </from>
              <to>
                <xdr:col>7</xdr:col>
                <xdr:colOff>209550</xdr:colOff>
                <xdr:row>38</xdr:row>
                <xdr:rowOff>95250</xdr:rowOff>
              </to>
            </anchor>
          </objectPr>
        </oleObject>
      </mc:Choice>
      <mc:Fallback>
        <oleObject progId="Equation.3" shapeId="3089" r:id="rId8"/>
      </mc:Fallback>
    </mc:AlternateContent>
    <mc:AlternateContent xmlns:mc="http://schemas.openxmlformats.org/markup-compatibility/2006">
      <mc:Choice Requires="x14">
        <oleObject progId="Equation.3" shapeId="3091" r:id="rId10">
          <objectPr defaultSize="0" autoPict="0" r:id="rId11">
            <anchor moveWithCells="1" sizeWithCells="1">
              <from>
                <xdr:col>1</xdr:col>
                <xdr:colOff>47625</xdr:colOff>
                <xdr:row>47</xdr:row>
                <xdr:rowOff>47625</xdr:rowOff>
              </from>
              <to>
                <xdr:col>5</xdr:col>
                <xdr:colOff>352425</xdr:colOff>
                <xdr:row>51</xdr:row>
                <xdr:rowOff>38100</xdr:rowOff>
              </to>
            </anchor>
          </objectPr>
        </oleObject>
      </mc:Choice>
      <mc:Fallback>
        <oleObject progId="Equation.3" shapeId="3091" r:id="rId10"/>
      </mc:Fallback>
    </mc:AlternateContent>
    <mc:AlternateContent xmlns:mc="http://schemas.openxmlformats.org/markup-compatibility/2006">
      <mc:Choice Requires="x14">
        <oleObject progId="Equation.3" shapeId="3092" r:id="rId12">
          <objectPr defaultSize="0" autoPict="0" r:id="rId13">
            <anchor moveWithCells="1" sizeWithCells="1">
              <from>
                <xdr:col>3</xdr:col>
                <xdr:colOff>476250</xdr:colOff>
                <xdr:row>53</xdr:row>
                <xdr:rowOff>57150</xdr:rowOff>
              </from>
              <to>
                <xdr:col>4</xdr:col>
                <xdr:colOff>285750</xdr:colOff>
                <xdr:row>55</xdr:row>
                <xdr:rowOff>95250</xdr:rowOff>
              </to>
            </anchor>
          </objectPr>
        </oleObject>
      </mc:Choice>
      <mc:Fallback>
        <oleObject progId="Equation.3" shapeId="3092" r:id="rId12"/>
      </mc:Fallback>
    </mc:AlternateContent>
    <mc:AlternateContent xmlns:mc="http://schemas.openxmlformats.org/markup-compatibility/2006">
      <mc:Choice Requires="x14">
        <oleObject progId="Equation.3" shapeId="3093" r:id="rId14">
          <objectPr defaultSize="0" autoPict="0" r:id="rId15">
            <anchor moveWithCells="1" sizeWithCells="1">
              <from>
                <xdr:col>2</xdr:col>
                <xdr:colOff>419100</xdr:colOff>
                <xdr:row>56</xdr:row>
                <xdr:rowOff>19050</xdr:rowOff>
              </from>
              <to>
                <xdr:col>4</xdr:col>
                <xdr:colOff>323850</xdr:colOff>
                <xdr:row>59</xdr:row>
                <xdr:rowOff>123825</xdr:rowOff>
              </to>
            </anchor>
          </objectPr>
        </oleObject>
      </mc:Choice>
      <mc:Fallback>
        <oleObject progId="Equation.3" shapeId="3093" r:id="rId14"/>
      </mc:Fallback>
    </mc:AlternateContent>
    <mc:AlternateContent xmlns:mc="http://schemas.openxmlformats.org/markup-compatibility/2006">
      <mc:Choice Requires="x14">
        <oleObject progId="Equation.3" shapeId="3094" r:id="rId16">
          <objectPr defaultSize="0" autoPict="0" r:id="rId17">
            <anchor moveWithCells="1" sizeWithCells="1">
              <from>
                <xdr:col>2</xdr:col>
                <xdr:colOff>438150</xdr:colOff>
                <xdr:row>60</xdr:row>
                <xdr:rowOff>19050</xdr:rowOff>
              </from>
              <to>
                <xdr:col>4</xdr:col>
                <xdr:colOff>323850</xdr:colOff>
                <xdr:row>64</xdr:row>
                <xdr:rowOff>0</xdr:rowOff>
              </to>
            </anchor>
          </objectPr>
        </oleObject>
      </mc:Choice>
      <mc:Fallback>
        <oleObject progId="Equation.3" shapeId="3094" r:id="rId16"/>
      </mc:Fallback>
    </mc:AlternateContent>
  </oleObjects>
  <tableParts count="1">
    <tablePart r:id="rId18"/>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3"/>
  <dimension ref="A2:U169"/>
  <sheetViews>
    <sheetView zoomScale="140" zoomScaleNormal="140" workbookViewId="0">
      <selection activeCell="D31" sqref="D31"/>
    </sheetView>
  </sheetViews>
  <sheetFormatPr baseColWidth="10" defaultRowHeight="12.75"/>
  <cols>
    <col min="1" max="1" width="11.42578125" customWidth="1"/>
    <col min="2" max="2" width="12.7109375" customWidth="1"/>
    <col min="3" max="3" width="11" customWidth="1"/>
    <col min="4" max="4" width="9.7109375" customWidth="1"/>
    <col min="5" max="5" width="10.42578125" customWidth="1"/>
    <col min="6" max="6" width="9" customWidth="1"/>
    <col min="7" max="7" width="9.28515625" style="8" customWidth="1"/>
    <col min="8" max="8" width="10.85546875" customWidth="1"/>
  </cols>
  <sheetData>
    <row r="2" spans="1:20">
      <c r="A2" s="566" t="s">
        <v>2486</v>
      </c>
      <c r="B2" s="567"/>
      <c r="C2" s="568"/>
      <c r="D2" s="568"/>
      <c r="E2" s="568"/>
      <c r="F2" s="568"/>
      <c r="G2" s="569"/>
      <c r="H2" s="568"/>
      <c r="I2" s="570"/>
    </row>
    <row r="3" spans="1:20">
      <c r="A3" s="552"/>
      <c r="B3" s="553"/>
      <c r="C3" s="553"/>
      <c r="D3" s="553"/>
      <c r="E3" s="553"/>
      <c r="F3" s="553"/>
      <c r="G3" s="554"/>
      <c r="H3" s="553"/>
      <c r="I3" s="555"/>
    </row>
    <row r="4" spans="1:20">
      <c r="A4" s="556" t="s">
        <v>2487</v>
      </c>
      <c r="B4" s="554">
        <f>General!E10</f>
        <v>500</v>
      </c>
      <c r="C4" s="553"/>
      <c r="D4" s="553"/>
      <c r="E4" s="553"/>
      <c r="F4" s="553"/>
      <c r="G4" s="554"/>
      <c r="H4" s="553"/>
      <c r="I4" s="555"/>
    </row>
    <row r="5" spans="1:20">
      <c r="A5" s="552"/>
      <c r="B5" s="554" t="str">
        <f>General!D51</f>
        <v>h</v>
      </c>
      <c r="C5" s="554" t="str">
        <f>General!E51</f>
        <v>b</v>
      </c>
      <c r="D5" s="554" t="str">
        <f>General!F51</f>
        <v>hi</v>
      </c>
      <c r="E5" s="554" t="str">
        <f>General!G51</f>
        <v>d</v>
      </c>
      <c r="F5" s="554" t="str">
        <f>General!H51</f>
        <v>tw</v>
      </c>
      <c r="G5" s="554" t="str">
        <f>General!I51</f>
        <v>tf</v>
      </c>
      <c r="H5" s="554" t="s">
        <v>17</v>
      </c>
      <c r="I5" s="555"/>
    </row>
    <row r="6" spans="1:20">
      <c r="A6" s="552"/>
      <c r="B6" s="554">
        <f>General!D52</f>
        <v>400</v>
      </c>
      <c r="C6" s="554">
        <f>General!E52</f>
        <v>180</v>
      </c>
      <c r="D6" s="554">
        <f>General!F52</f>
        <v>373</v>
      </c>
      <c r="E6" s="554">
        <f>General!G52</f>
        <v>331</v>
      </c>
      <c r="F6" s="554">
        <f>General!H52</f>
        <v>8.6</v>
      </c>
      <c r="G6" s="554">
        <f>General!I52</f>
        <v>13.5</v>
      </c>
      <c r="H6" s="557">
        <f>General!C5</f>
        <v>261.90476190476187</v>
      </c>
      <c r="I6" s="555"/>
    </row>
    <row r="7" spans="1:20" ht="15.75">
      <c r="A7" s="552"/>
      <c r="B7" s="553"/>
      <c r="C7" s="553"/>
      <c r="D7" s="553"/>
      <c r="E7" s="553"/>
      <c r="F7" s="553"/>
      <c r="G7" s="554"/>
      <c r="H7" s="553"/>
      <c r="I7" s="558"/>
      <c r="J7" s="82"/>
      <c r="L7" s="13"/>
      <c r="M7" s="13"/>
      <c r="N7" s="13"/>
      <c r="O7" s="13"/>
      <c r="P7" s="13"/>
      <c r="Q7" s="13"/>
      <c r="R7" s="13"/>
      <c r="S7" s="20"/>
      <c r="T7" s="241"/>
    </row>
    <row r="8" spans="1:20" ht="15.75">
      <c r="A8" s="552"/>
      <c r="B8" s="554" t="s">
        <v>2488</v>
      </c>
      <c r="C8" s="559">
        <f>B4*1000/H6/F6</f>
        <v>221.98731501057085</v>
      </c>
      <c r="D8" s="553" t="s">
        <v>2489</v>
      </c>
      <c r="E8" s="550" t="s">
        <v>2491</v>
      </c>
      <c r="F8" s="551">
        <f>(G6*C6^3/12/(G6*C6+C10*F6/3))^0.5</f>
        <v>44.705587266243015</v>
      </c>
      <c r="G8" s="554" t="s">
        <v>77</v>
      </c>
      <c r="H8" s="553"/>
      <c r="I8" s="560"/>
      <c r="J8" s="88"/>
      <c r="L8" s="13"/>
      <c r="M8" s="242"/>
      <c r="N8" s="242"/>
      <c r="O8" s="242"/>
      <c r="P8" s="20"/>
      <c r="Q8" s="13"/>
      <c r="R8" s="13"/>
      <c r="S8" s="13"/>
      <c r="T8" s="243"/>
    </row>
    <row r="9" spans="1:20" ht="15.75">
      <c r="A9" s="552"/>
      <c r="B9" s="538" t="s">
        <v>2488</v>
      </c>
      <c r="C9" s="559">
        <f>IF(C8&gt;D6,D6,C8)</f>
        <v>221.98731501057085</v>
      </c>
      <c r="D9" s="553"/>
      <c r="E9" s="553" t="s">
        <v>2492</v>
      </c>
      <c r="F9" s="554">
        <f>General!G48*10</f>
        <v>39.5</v>
      </c>
      <c r="G9" s="554" t="s">
        <v>77</v>
      </c>
      <c r="H9" s="553"/>
      <c r="I9" s="560"/>
      <c r="J9" s="88"/>
      <c r="L9" s="13"/>
      <c r="M9" s="242"/>
      <c r="N9" s="242"/>
      <c r="O9" s="244"/>
      <c r="P9" s="13"/>
      <c r="Q9" s="13"/>
      <c r="R9" s="13"/>
      <c r="S9" s="13"/>
      <c r="T9" s="245"/>
    </row>
    <row r="10" spans="1:20" ht="15.75">
      <c r="A10" s="552"/>
      <c r="B10" s="553" t="s">
        <v>2490</v>
      </c>
      <c r="C10" s="561">
        <f>(D6+C9)/2</f>
        <v>297.49365750528546</v>
      </c>
      <c r="D10" s="553"/>
      <c r="E10" s="553"/>
      <c r="F10" s="553"/>
      <c r="G10" s="554"/>
      <c r="H10" s="553"/>
      <c r="I10" s="560"/>
      <c r="J10" s="88"/>
      <c r="L10" s="13"/>
      <c r="M10" s="13"/>
      <c r="N10" s="13"/>
      <c r="O10" s="240"/>
      <c r="P10" s="240"/>
      <c r="Q10" s="240"/>
      <c r="R10" s="246"/>
      <c r="S10" s="245"/>
      <c r="T10" s="247"/>
    </row>
    <row r="11" spans="1:20">
      <c r="A11" s="562"/>
      <c r="B11" s="563"/>
      <c r="C11" s="563"/>
      <c r="D11" s="563"/>
      <c r="E11" s="563"/>
      <c r="F11" s="563"/>
      <c r="G11" s="564"/>
      <c r="H11" s="563"/>
      <c r="I11" s="565"/>
      <c r="J11" s="87"/>
      <c r="L11" s="13"/>
      <c r="M11" s="13"/>
      <c r="N11" s="13"/>
      <c r="S11" s="245"/>
      <c r="T11" s="247"/>
    </row>
    <row r="12" spans="1:20" ht="15.75">
      <c r="L12" s="13"/>
      <c r="M12" s="13"/>
      <c r="O12" s="13"/>
      <c r="P12" s="13"/>
      <c r="Q12" s="13"/>
      <c r="R12" s="240"/>
      <c r="S12" s="245"/>
      <c r="T12" s="13"/>
    </row>
    <row r="13" spans="1:20" ht="15.75">
      <c r="A13" s="477" t="s">
        <v>2495</v>
      </c>
      <c r="B13" s="477"/>
      <c r="C13" s="477"/>
      <c r="D13" s="477"/>
      <c r="E13" s="477"/>
      <c r="F13" s="477"/>
      <c r="G13" s="512"/>
      <c r="H13" s="477"/>
      <c r="I13" s="513"/>
      <c r="J13" s="513"/>
      <c r="L13" s="13"/>
      <c r="M13" s="13"/>
      <c r="N13" s="13"/>
      <c r="O13" s="13"/>
      <c r="P13" s="13"/>
      <c r="Q13" s="240"/>
      <c r="R13" s="246"/>
      <c r="S13" s="245"/>
      <c r="T13" s="13"/>
    </row>
    <row r="14" spans="1:20" ht="15.75">
      <c r="A14" s="504" t="s">
        <v>2497</v>
      </c>
      <c r="B14" s="546" t="str">
        <f>General!C11</f>
        <v>IPE 400</v>
      </c>
      <c r="C14" s="537" t="s">
        <v>2548</v>
      </c>
      <c r="D14" s="546">
        <f>Q65</f>
        <v>0</v>
      </c>
      <c r="E14" s="573">
        <f>C53</f>
        <v>0</v>
      </c>
      <c r="I14" s="86"/>
      <c r="J14" s="304"/>
      <c r="L14" s="248"/>
      <c r="M14" s="248"/>
      <c r="N14" s="248"/>
      <c r="O14" s="13"/>
      <c r="P14" s="13"/>
      <c r="Q14" s="240"/>
      <c r="R14" s="246"/>
      <c r="S14" s="245"/>
      <c r="T14" s="13"/>
    </row>
    <row r="15" spans="1:20" ht="17.25">
      <c r="A15" s="504" t="s">
        <v>2496</v>
      </c>
      <c r="B15" s="511">
        <f>General!D5</f>
        <v>275</v>
      </c>
      <c r="C15" s="547" t="s">
        <v>2500</v>
      </c>
      <c r="D15" s="514">
        <f>General!C5</f>
        <v>261.90476190476187</v>
      </c>
      <c r="G15" s="515">
        <f>SQRT(235/B15)</f>
        <v>0.92441627773717538</v>
      </c>
      <c r="I15" s="13"/>
      <c r="J15" s="13"/>
      <c r="L15" s="13"/>
      <c r="M15" s="249"/>
      <c r="N15" s="245"/>
      <c r="O15" s="13"/>
      <c r="P15" s="13"/>
      <c r="Q15" s="240"/>
      <c r="R15" s="246"/>
      <c r="S15" s="245"/>
      <c r="T15" s="13"/>
    </row>
    <row r="16" spans="1:20" ht="15.75">
      <c r="L16" s="13"/>
      <c r="M16" s="249"/>
      <c r="N16" s="245"/>
      <c r="O16" s="13"/>
      <c r="P16" s="13"/>
      <c r="Q16" s="240"/>
      <c r="R16" s="246"/>
      <c r="S16" s="245"/>
      <c r="T16" s="13"/>
    </row>
    <row r="17" spans="1:20" ht="15.75">
      <c r="A17" s="442" t="s">
        <v>1118</v>
      </c>
      <c r="B17" s="412" t="s">
        <v>85</v>
      </c>
      <c r="C17" s="421" t="s">
        <v>81</v>
      </c>
      <c r="D17" s="421" t="s">
        <v>34</v>
      </c>
      <c r="E17" s="421" t="s">
        <v>1123</v>
      </c>
      <c r="F17" s="421" t="s">
        <v>36</v>
      </c>
      <c r="G17" s="421" t="s">
        <v>1124</v>
      </c>
      <c r="H17" s="421" t="s">
        <v>1125</v>
      </c>
      <c r="I17" s="422" t="s">
        <v>84</v>
      </c>
      <c r="J17" s="443" t="s">
        <v>1117</v>
      </c>
      <c r="L17" s="13"/>
      <c r="M17" s="249"/>
      <c r="N17" s="245"/>
      <c r="O17" s="13"/>
      <c r="P17" s="13"/>
      <c r="Q17" s="240"/>
      <c r="R17" s="246"/>
      <c r="S17" s="245"/>
      <c r="T17" s="13"/>
    </row>
    <row r="18" spans="1:20" ht="15.75">
      <c r="A18" s="444" t="s">
        <v>77</v>
      </c>
      <c r="B18" s="88">
        <f>General!C52</f>
        <v>84.5</v>
      </c>
      <c r="C18" s="88">
        <f>General!D52</f>
        <v>400</v>
      </c>
      <c r="D18" s="88">
        <f>General!E52</f>
        <v>180</v>
      </c>
      <c r="E18" s="88">
        <f>General!F52</f>
        <v>373</v>
      </c>
      <c r="F18" s="88">
        <f>General!G52</f>
        <v>331</v>
      </c>
      <c r="G18" s="88">
        <f>General!H52</f>
        <v>8.6</v>
      </c>
      <c r="H18" s="88">
        <f>General!I52</f>
        <v>13.5</v>
      </c>
      <c r="I18" s="88">
        <f>General!J52</f>
        <v>21</v>
      </c>
      <c r="J18" s="88">
        <f>General!K52</f>
        <v>66.3</v>
      </c>
      <c r="L18" s="13"/>
      <c r="M18" s="249"/>
      <c r="N18" s="245"/>
      <c r="O18" s="13"/>
      <c r="P18" s="13"/>
      <c r="Q18" s="240"/>
      <c r="R18" s="246"/>
      <c r="S18" s="245"/>
      <c r="T18" s="13"/>
    </row>
    <row r="19" spans="1:20" ht="17.25" thickBot="1">
      <c r="A19" s="446"/>
      <c r="B19" s="447" t="s">
        <v>1114</v>
      </c>
      <c r="C19" s="448" t="s">
        <v>77</v>
      </c>
      <c r="D19" s="448" t="s">
        <v>77</v>
      </c>
      <c r="E19" s="448" t="s">
        <v>77</v>
      </c>
      <c r="F19" s="448" t="s">
        <v>77</v>
      </c>
      <c r="G19" s="448" t="s">
        <v>77</v>
      </c>
      <c r="H19" s="448" t="s">
        <v>77</v>
      </c>
      <c r="I19" s="448" t="s">
        <v>77</v>
      </c>
      <c r="J19" s="449" t="s">
        <v>105</v>
      </c>
      <c r="L19" s="13"/>
      <c r="M19" s="249"/>
      <c r="N19" s="245"/>
      <c r="O19" s="13"/>
      <c r="P19" s="13"/>
      <c r="Q19" s="240"/>
      <c r="R19" s="246"/>
      <c r="S19" s="245"/>
      <c r="T19" s="13"/>
    </row>
    <row r="20" spans="1:20" ht="15.75">
      <c r="L20" s="13"/>
      <c r="M20" s="249"/>
      <c r="N20" s="245"/>
      <c r="O20" s="13"/>
      <c r="P20" s="13"/>
      <c r="Q20" s="240"/>
      <c r="R20" s="246"/>
      <c r="S20" s="245"/>
      <c r="T20" s="13"/>
    </row>
    <row r="21" spans="1:20" ht="18.75">
      <c r="A21" s="439"/>
      <c r="B21" s="412" t="s">
        <v>1112</v>
      </c>
      <c r="C21" s="414" t="s">
        <v>1108</v>
      </c>
      <c r="D21" s="414" t="s">
        <v>1110</v>
      </c>
      <c r="E21" s="414" t="s">
        <v>1111</v>
      </c>
      <c r="F21" s="414" t="s">
        <v>1109</v>
      </c>
      <c r="G21" s="414" t="s">
        <v>1129</v>
      </c>
      <c r="H21" s="414" t="s">
        <v>1128</v>
      </c>
      <c r="I21" s="415" t="s">
        <v>965</v>
      </c>
      <c r="J21" s="440" t="s">
        <v>966</v>
      </c>
      <c r="L21" s="13"/>
      <c r="M21" s="249"/>
      <c r="N21" s="245"/>
      <c r="O21" s="13"/>
      <c r="P21" s="13"/>
      <c r="Q21" s="240"/>
      <c r="R21" s="246"/>
      <c r="S21" s="245"/>
      <c r="T21" s="13"/>
    </row>
    <row r="22" spans="1:20" ht="15.75">
      <c r="A22" s="435" t="s">
        <v>1103</v>
      </c>
      <c r="B22" s="310">
        <f>General!C47</f>
        <v>41.81</v>
      </c>
      <c r="C22" s="310">
        <f>General!D47</f>
        <v>23130</v>
      </c>
      <c r="D22" s="310">
        <f>General!E47</f>
        <v>1156</v>
      </c>
      <c r="E22" s="310">
        <f>General!F47</f>
        <v>1307</v>
      </c>
      <c r="F22" s="310">
        <f>General!G47</f>
        <v>16.55</v>
      </c>
      <c r="G22" s="310">
        <f>General!H47</f>
        <v>51.08</v>
      </c>
      <c r="H22" s="310">
        <f>General!I47</f>
        <v>490</v>
      </c>
      <c r="I22" s="310">
        <f>General!J47</f>
        <v>2</v>
      </c>
      <c r="J22" s="310">
        <f>General!K47</f>
        <v>1</v>
      </c>
      <c r="L22" s="13"/>
      <c r="M22" s="249"/>
      <c r="N22" s="245"/>
      <c r="O22" s="13"/>
      <c r="P22" s="13"/>
      <c r="Q22" s="240"/>
      <c r="R22" s="246"/>
      <c r="S22" s="245"/>
      <c r="T22" s="13"/>
    </row>
    <row r="23" spans="1:20" ht="15.75">
      <c r="A23" s="435" t="str">
        <f>General!B48</f>
        <v>Eje Z</v>
      </c>
      <c r="B23" s="518">
        <f>General!C48</f>
        <v>42.69</v>
      </c>
      <c r="C23" s="518">
        <f>General!D48</f>
        <v>1318</v>
      </c>
      <c r="D23" s="518">
        <f>General!E48</f>
        <v>146.4</v>
      </c>
      <c r="E23" s="518">
        <f>General!F48</f>
        <v>229</v>
      </c>
      <c r="F23" s="518">
        <f>General!G48</f>
        <v>3.95</v>
      </c>
      <c r="L23" s="13"/>
      <c r="M23" s="848" t="s">
        <v>2677</v>
      </c>
      <c r="N23" s="848" t="s">
        <v>2677</v>
      </c>
      <c r="O23" s="13"/>
      <c r="P23" s="13"/>
      <c r="Q23" s="240"/>
      <c r="R23" s="246"/>
      <c r="S23" s="245"/>
      <c r="T23" s="13"/>
    </row>
    <row r="24" spans="1:20" ht="15.75">
      <c r="A24" s="435"/>
      <c r="B24" s="416" t="s">
        <v>1114</v>
      </c>
      <c r="C24" s="416" t="s">
        <v>1115</v>
      </c>
      <c r="D24" s="416" t="s">
        <v>1116</v>
      </c>
      <c r="E24" s="416" t="s">
        <v>1116</v>
      </c>
      <c r="F24" s="416" t="s">
        <v>76</v>
      </c>
      <c r="G24" s="86" t="s">
        <v>1115</v>
      </c>
      <c r="H24" s="86" t="s">
        <v>1119</v>
      </c>
      <c r="I24" s="87"/>
      <c r="L24" s="13"/>
      <c r="M24" s="849" t="s">
        <v>2507</v>
      </c>
      <c r="N24" s="519" t="s">
        <v>2516</v>
      </c>
      <c r="O24" s="13"/>
      <c r="P24" s="13"/>
      <c r="Q24" s="240"/>
      <c r="R24" s="246"/>
      <c r="S24" s="245"/>
      <c r="T24" s="13"/>
    </row>
    <row r="25" spans="1:20" ht="15.75">
      <c r="H25" s="576"/>
      <c r="I25" s="577"/>
      <c r="J25" s="578"/>
      <c r="L25" s="13"/>
      <c r="M25" s="849" t="s">
        <v>2549</v>
      </c>
      <c r="N25" s="519" t="s">
        <v>2517</v>
      </c>
      <c r="O25" s="249"/>
      <c r="P25" s="13"/>
      <c r="Q25" s="240"/>
      <c r="R25" s="246"/>
      <c r="S25" s="245"/>
      <c r="T25" s="13"/>
    </row>
    <row r="26" spans="1:20" ht="18.75">
      <c r="A26" t="s">
        <v>2498</v>
      </c>
      <c r="C26" s="24" t="s">
        <v>2506</v>
      </c>
      <c r="E26" s="453" t="s">
        <v>1066</v>
      </c>
      <c r="F26" s="412" t="s">
        <v>1067</v>
      </c>
      <c r="G26" s="412" t="s">
        <v>1068</v>
      </c>
      <c r="H26" s="579"/>
      <c r="I26" s="549"/>
      <c r="J26" s="580"/>
      <c r="K26" s="525"/>
      <c r="L26" s="13"/>
      <c r="N26" s="519" t="s">
        <v>2518</v>
      </c>
      <c r="O26" s="249"/>
      <c r="P26" s="13"/>
      <c r="Q26" s="240"/>
      <c r="R26" s="246"/>
      <c r="S26" s="245"/>
      <c r="T26" s="13"/>
    </row>
    <row r="27" spans="1:20" ht="15.75">
      <c r="E27" s="548">
        <f>General!E10*E31</f>
        <v>500</v>
      </c>
      <c r="F27" s="548">
        <f>General!F10</f>
        <v>78</v>
      </c>
      <c r="G27" s="548">
        <f>General!G10</f>
        <v>0</v>
      </c>
      <c r="H27" s="581"/>
      <c r="I27" s="582"/>
      <c r="J27" s="583"/>
      <c r="L27" s="13"/>
      <c r="N27" s="519" t="s">
        <v>2745</v>
      </c>
      <c r="O27" s="249"/>
      <c r="P27" s="13"/>
      <c r="Q27" s="240"/>
      <c r="R27" s="246"/>
      <c r="S27" s="245"/>
      <c r="T27" s="13"/>
    </row>
    <row r="28" spans="1:20" ht="15.75">
      <c r="D28" s="517"/>
      <c r="E28" s="571" t="s">
        <v>2552</v>
      </c>
      <c r="H28" s="575"/>
      <c r="L28" s="13"/>
      <c r="N28" s="245"/>
      <c r="O28" s="249"/>
      <c r="P28" s="13"/>
      <c r="Q28" s="240"/>
      <c r="R28" s="246"/>
      <c r="S28" s="245"/>
      <c r="T28" s="13"/>
    </row>
    <row r="29" spans="1:20" ht="16.5" thickBot="1">
      <c r="L29" s="13"/>
      <c r="N29" s="245"/>
      <c r="O29" s="250"/>
      <c r="P29" s="13"/>
      <c r="Q29" s="240"/>
      <c r="R29" s="246"/>
      <c r="S29" s="245"/>
      <c r="T29" s="13"/>
    </row>
    <row r="30" spans="1:20" ht="15.75">
      <c r="A30" s="924"/>
      <c r="B30" s="925" t="s">
        <v>2754</v>
      </c>
      <c r="C30" s="926"/>
      <c r="D30" s="926"/>
      <c r="E30" s="926"/>
      <c r="F30" s="926"/>
      <c r="G30" s="927"/>
      <c r="H30" s="926"/>
      <c r="I30" s="926"/>
      <c r="J30" s="928"/>
      <c r="L30" s="13"/>
      <c r="N30" s="245"/>
      <c r="O30" s="250"/>
      <c r="P30" s="13"/>
      <c r="Q30" s="240"/>
      <c r="R30" s="246"/>
      <c r="S30" s="245"/>
      <c r="T30" s="13"/>
    </row>
    <row r="31" spans="1:20" ht="15.75">
      <c r="A31" s="929"/>
      <c r="B31" s="857" t="s">
        <v>2487</v>
      </c>
      <c r="C31" s="7">
        <f>General!E10*1000</f>
        <v>500000</v>
      </c>
      <c r="D31" s="909" t="s">
        <v>2549</v>
      </c>
      <c r="E31" s="930">
        <f>IF(D31=M24,-1,1)</f>
        <v>1</v>
      </c>
      <c r="F31" s="7"/>
      <c r="G31" s="48"/>
      <c r="H31" s="851"/>
      <c r="I31" s="907" t="s">
        <v>2678</v>
      </c>
      <c r="J31" s="931">
        <f>(235/B15)^0.5</f>
        <v>0.92441627773717538</v>
      </c>
      <c r="L31" s="13"/>
      <c r="N31" s="245"/>
      <c r="O31" s="250"/>
      <c r="P31" s="13"/>
      <c r="Q31" s="240"/>
      <c r="R31" s="246"/>
      <c r="S31" s="245"/>
      <c r="T31" s="13"/>
    </row>
    <row r="32" spans="1:20" ht="15.75">
      <c r="A32" s="932" t="s">
        <v>2679</v>
      </c>
      <c r="B32" s="513"/>
      <c r="C32" s="7">
        <f>C31*E31</f>
        <v>500000</v>
      </c>
      <c r="D32" s="513"/>
      <c r="E32" s="513"/>
      <c r="F32" s="513"/>
      <c r="G32" s="856"/>
      <c r="H32" s="513"/>
      <c r="I32" s="513"/>
      <c r="J32" s="933"/>
      <c r="L32" s="13"/>
      <c r="N32" s="245"/>
      <c r="O32" s="250"/>
      <c r="P32" s="13"/>
      <c r="Q32" s="240"/>
      <c r="R32" s="246"/>
      <c r="S32" s="245"/>
      <c r="T32" s="13"/>
    </row>
    <row r="33" spans="1:20" ht="15.75">
      <c r="A33" s="929"/>
      <c r="B33" s="851" t="s">
        <v>2680</v>
      </c>
      <c r="C33" s="7">
        <f>F18</f>
        <v>331</v>
      </c>
      <c r="D33" s="851" t="s">
        <v>77</v>
      </c>
      <c r="E33" s="851" t="s">
        <v>2681</v>
      </c>
      <c r="F33" s="7">
        <f>G18</f>
        <v>8.6</v>
      </c>
      <c r="G33" s="852" t="s">
        <v>77</v>
      </c>
      <c r="H33" s="7"/>
      <c r="I33" s="7"/>
      <c r="J33" s="934"/>
      <c r="L33" s="13"/>
      <c r="N33" s="245"/>
      <c r="O33" s="250"/>
      <c r="P33" s="13"/>
      <c r="Q33" s="240"/>
      <c r="R33" s="246"/>
      <c r="S33" s="245"/>
      <c r="T33" s="13"/>
    </row>
    <row r="34" spans="1:20" ht="15.75">
      <c r="A34" s="929"/>
      <c r="B34" s="853" t="s">
        <v>2682</v>
      </c>
      <c r="C34" s="908">
        <f>C33/F33</f>
        <v>38.488372093023258</v>
      </c>
      <c r="D34" s="7"/>
      <c r="E34" s="7"/>
      <c r="F34" s="7"/>
      <c r="G34" s="48"/>
      <c r="H34" s="7"/>
      <c r="I34" s="7"/>
      <c r="J34" s="934"/>
      <c r="L34" s="13"/>
      <c r="N34" s="245"/>
      <c r="O34" s="250"/>
      <c r="P34" s="13"/>
      <c r="Q34" s="240"/>
      <c r="R34" s="246"/>
      <c r="S34" s="245"/>
      <c r="T34" s="13"/>
    </row>
    <row r="35" spans="1:20" ht="15.75">
      <c r="A35" s="935" t="s">
        <v>2550</v>
      </c>
      <c r="B35" s="853" t="s">
        <v>2683</v>
      </c>
      <c r="C35" s="7">
        <f>C32/B15/G18</f>
        <v>211.41649048625794</v>
      </c>
      <c r="D35" s="851" t="s">
        <v>77</v>
      </c>
      <c r="E35" s="7"/>
      <c r="F35" s="7"/>
      <c r="G35" s="48"/>
      <c r="H35" s="7"/>
      <c r="I35" s="7"/>
      <c r="J35" s="934"/>
      <c r="L35" s="13"/>
      <c r="N35" s="245"/>
      <c r="O35" s="250"/>
      <c r="P35" s="13"/>
      <c r="Q35" s="240"/>
      <c r="R35" s="246"/>
      <c r="S35" s="245"/>
      <c r="T35" s="13"/>
    </row>
    <row r="36" spans="1:20" ht="15.75">
      <c r="A36" s="929"/>
      <c r="B36" s="853" t="s">
        <v>2684</v>
      </c>
      <c r="C36" s="881">
        <f>(C33+C35)/2/C33</f>
        <v>0.81936025753211184</v>
      </c>
      <c r="D36" s="853" t="s">
        <v>2732</v>
      </c>
      <c r="E36" s="7">
        <f>IF(C36&lt;0,0,C36)</f>
        <v>0.81936025753211184</v>
      </c>
      <c r="F36" s="853" t="s">
        <v>2684</v>
      </c>
      <c r="G36" s="48">
        <f>IF(E36&gt;1,1,E36)</f>
        <v>0.81936025753211184</v>
      </c>
      <c r="H36" s="7"/>
      <c r="I36" s="7"/>
      <c r="J36" s="934"/>
      <c r="L36" s="13"/>
      <c r="N36" s="245"/>
      <c r="O36" s="250"/>
      <c r="P36" s="13"/>
      <c r="Q36" s="240"/>
      <c r="R36" s="246"/>
      <c r="S36" s="245"/>
      <c r="T36" s="13"/>
    </row>
    <row r="37" spans="1:20" ht="15.75">
      <c r="A37" s="929"/>
      <c r="B37" s="7"/>
      <c r="C37" s="7"/>
      <c r="D37" s="7"/>
      <c r="E37" s="7"/>
      <c r="F37" s="7"/>
      <c r="G37" s="48"/>
      <c r="H37" s="851" t="s">
        <v>2686</v>
      </c>
      <c r="I37" s="852" t="s">
        <v>2690</v>
      </c>
      <c r="J37" s="936" t="s">
        <v>2693</v>
      </c>
      <c r="L37" s="13"/>
      <c r="N37" s="245"/>
      <c r="O37" s="250"/>
      <c r="P37" s="13"/>
      <c r="Q37" s="240"/>
      <c r="R37" s="246"/>
      <c r="S37" s="245"/>
      <c r="T37" s="13"/>
    </row>
    <row r="38" spans="1:20" ht="15.75">
      <c r="A38" s="929"/>
      <c r="B38" s="7"/>
      <c r="C38" s="7"/>
      <c r="D38" s="7"/>
      <c r="E38" s="851" t="s">
        <v>2685</v>
      </c>
      <c r="F38" s="854" t="str">
        <f>IF(G36&gt;0.5,I37,IF(G36=0.5,I38,I39))</f>
        <v>F+Compr.</v>
      </c>
      <c r="G38" s="48"/>
      <c r="H38" s="851" t="s">
        <v>2687</v>
      </c>
      <c r="I38" s="851" t="s">
        <v>2688</v>
      </c>
      <c r="J38" s="936" t="s">
        <v>2694</v>
      </c>
      <c r="L38" s="13"/>
      <c r="N38" s="245"/>
      <c r="O38" s="250"/>
      <c r="P38" s="13"/>
      <c r="Q38" s="240"/>
      <c r="R38" s="246"/>
      <c r="S38" s="245"/>
      <c r="T38" s="13"/>
    </row>
    <row r="39" spans="1:20" ht="15.75">
      <c r="A39" s="929"/>
      <c r="B39" s="723" t="s">
        <v>2691</v>
      </c>
      <c r="C39" s="7">
        <f>2*C32/(B18*100*B15)-1</f>
        <v>-0.56966110812264659</v>
      </c>
      <c r="D39" s="7"/>
      <c r="E39" s="851" t="s">
        <v>2692</v>
      </c>
      <c r="F39" s="854" t="str">
        <f>IF(C39&gt;-1,I37,IF(C39=-1,I38,I39))</f>
        <v>F+Compr.</v>
      </c>
      <c r="G39" s="48"/>
      <c r="H39" s="851" t="s">
        <v>2707</v>
      </c>
      <c r="I39" s="851" t="s">
        <v>2689</v>
      </c>
      <c r="J39" s="937" t="s">
        <v>2695</v>
      </c>
      <c r="L39" s="13"/>
      <c r="N39" s="245"/>
      <c r="O39" s="250"/>
      <c r="P39" s="13"/>
      <c r="Q39" s="240"/>
      <c r="R39" s="246"/>
      <c r="S39" s="245"/>
      <c r="T39" s="13"/>
    </row>
    <row r="40" spans="1:20" ht="15.75">
      <c r="A40" s="929"/>
      <c r="B40" s="723" t="s">
        <v>2696</v>
      </c>
      <c r="C40" s="7">
        <f>J31/(13*G36-1)</f>
        <v>9.5777725440675282E-2</v>
      </c>
      <c r="D40" s="7"/>
      <c r="E40" s="7"/>
      <c r="F40" s="7"/>
      <c r="G40" s="48"/>
      <c r="H40" s="7"/>
      <c r="I40" s="7"/>
      <c r="J40" s="934"/>
      <c r="L40" s="13"/>
      <c r="N40" s="245"/>
      <c r="O40" s="250"/>
      <c r="P40" s="13"/>
      <c r="Q40" s="240"/>
      <c r="R40" s="246"/>
      <c r="S40" s="245"/>
      <c r="T40" s="13"/>
    </row>
    <row r="41" spans="1:20" ht="15.75">
      <c r="A41" s="929"/>
      <c r="B41" s="723" t="s">
        <v>2697</v>
      </c>
      <c r="C41" s="7">
        <f>J31/G36</f>
        <v>1.1282171294486372</v>
      </c>
      <c r="D41" s="7"/>
      <c r="E41" s="7"/>
      <c r="F41" s="7"/>
      <c r="G41" s="48"/>
      <c r="H41" s="7"/>
      <c r="I41" s="7"/>
      <c r="J41" s="934"/>
      <c r="L41" s="13"/>
      <c r="N41" s="245"/>
      <c r="O41" s="250"/>
      <c r="P41" s="13"/>
      <c r="Q41" s="240"/>
      <c r="R41" s="246"/>
      <c r="S41" s="245"/>
      <c r="T41" s="13"/>
    </row>
    <row r="42" spans="1:20" ht="15.75">
      <c r="A42" s="929"/>
      <c r="B42" s="723" t="s">
        <v>2698</v>
      </c>
      <c r="C42" s="7">
        <f>J31/(0.67+0.33*C39)</f>
        <v>1.9178290073359026</v>
      </c>
      <c r="D42" s="7"/>
      <c r="E42" s="7"/>
      <c r="F42" s="7"/>
      <c r="G42" s="48"/>
      <c r="H42" s="7"/>
      <c r="I42" s="7"/>
      <c r="J42" s="934"/>
      <c r="L42" s="13"/>
      <c r="N42" s="245"/>
      <c r="O42" s="250"/>
      <c r="P42" s="13"/>
      <c r="Q42" s="240"/>
      <c r="R42" s="246"/>
      <c r="S42" s="245"/>
      <c r="T42" s="13"/>
    </row>
    <row r="43" spans="1:20">
      <c r="A43" s="938" t="s">
        <v>2510</v>
      </c>
      <c r="B43" s="939"/>
      <c r="C43" s="940" t="s">
        <v>2540</v>
      </c>
      <c r="D43" s="941" t="s">
        <v>2516</v>
      </c>
      <c r="E43" s="939"/>
      <c r="F43" s="941" t="s">
        <v>2517</v>
      </c>
      <c r="G43" s="939"/>
      <c r="H43" s="941" t="s">
        <v>2518</v>
      </c>
      <c r="I43" s="939"/>
      <c r="J43" s="942" t="s">
        <v>2700</v>
      </c>
    </row>
    <row r="44" spans="1:20" ht="15.75">
      <c r="A44" s="943" t="s">
        <v>2511</v>
      </c>
      <c r="B44" s="851"/>
      <c r="C44" s="529" t="s">
        <v>2513</v>
      </c>
      <c r="D44" s="851" t="s">
        <v>2519</v>
      </c>
      <c r="E44" s="3">
        <f>33*G15</f>
        <v>30.505737165326789</v>
      </c>
      <c r="F44" s="851" t="s">
        <v>2520</v>
      </c>
      <c r="G44" s="3">
        <f>38*G15</f>
        <v>35.127818554012663</v>
      </c>
      <c r="H44" s="851" t="s">
        <v>2521</v>
      </c>
      <c r="I44" s="519">
        <f>42*G15</f>
        <v>38.825483664961368</v>
      </c>
      <c r="J44" s="934" t="str">
        <f>IF($C$34&lt;=E44,"Clase 1",IF($C$34&lt;=G44,"Clase 2",IF($C$34&lt;=I44,"Clase 3","Clase 4")))</f>
        <v>Clase 3</v>
      </c>
    </row>
    <row r="45" spans="1:20" ht="15.75">
      <c r="A45" s="943" t="s">
        <v>2512</v>
      </c>
      <c r="B45" s="851"/>
      <c r="C45" s="530" t="s">
        <v>965</v>
      </c>
      <c r="D45" s="851" t="s">
        <v>2522</v>
      </c>
      <c r="E45" s="3">
        <f>72*J31</f>
        <v>66.557971997076635</v>
      </c>
      <c r="F45" s="852" t="s">
        <v>2523</v>
      </c>
      <c r="G45" s="3">
        <f>83*J31</f>
        <v>76.726551052185556</v>
      </c>
      <c r="H45" s="851" t="s">
        <v>2524</v>
      </c>
      <c r="I45" s="3">
        <f>124*J31</f>
        <v>114.62761843940974</v>
      </c>
      <c r="J45" s="934" t="str">
        <f>IF($C$34&lt;=E45,"Clase 1",IF($C$34&lt;=G45,"Clase 2",IF($C$34&lt;=I45,"Clase 3","Clase 4")))</f>
        <v>Clase 1</v>
      </c>
    </row>
    <row r="46" spans="1:20">
      <c r="A46" s="929"/>
      <c r="B46" s="7"/>
      <c r="C46" s="530" t="s">
        <v>2514</v>
      </c>
      <c r="D46" s="883" t="s">
        <v>2525</v>
      </c>
      <c r="E46" s="3">
        <f>396*C40</f>
        <v>37.927979274507415</v>
      </c>
      <c r="F46" s="883" t="s">
        <v>2526</v>
      </c>
      <c r="G46" s="3">
        <f>456*C40</f>
        <v>43.674642800947929</v>
      </c>
      <c r="H46" s="883" t="s">
        <v>2527</v>
      </c>
      <c r="I46" s="3">
        <f>42*C42</f>
        <v>80.548818308107911</v>
      </c>
      <c r="J46" s="934" t="str">
        <f>IF($C$34&lt;=E46,"Clase 1",IF($C$34&lt;=G46,"Clase 2",IF($C$34&lt;=I46,"Clase 3","Clase 4")))</f>
        <v>Clase 2</v>
      </c>
    </row>
    <row r="47" spans="1:20">
      <c r="A47" s="929"/>
      <c r="B47" s="7"/>
      <c r="C47" s="531" t="s">
        <v>2515</v>
      </c>
      <c r="D47" s="883" t="s">
        <v>2528</v>
      </c>
      <c r="E47" s="3">
        <f>36*C41</f>
        <v>40.615816660150941</v>
      </c>
      <c r="F47" s="883" t="s">
        <v>2529</v>
      </c>
      <c r="G47" s="3">
        <f>41.5*C41</f>
        <v>46.821010872118443</v>
      </c>
      <c r="H47" s="883" t="s">
        <v>2530</v>
      </c>
      <c r="I47" s="855">
        <f>62*J31*(1-C39)*SQRT(-C39)</f>
        <v>67.90057572793296</v>
      </c>
      <c r="J47" s="934" t="str">
        <f>IF($C$34&lt;=E47,"Clase 1",IF($C$34&lt;=G47,"Clase 2","Clase 3 o 4"))</f>
        <v>Clase 1</v>
      </c>
      <c r="K47" s="504" t="s">
        <v>2699</v>
      </c>
    </row>
    <row r="48" spans="1:20">
      <c r="A48" s="929"/>
      <c r="B48" s="7"/>
      <c r="C48" s="7"/>
      <c r="D48" s="944"/>
      <c r="E48" s="7"/>
      <c r="F48" s="48"/>
      <c r="G48" s="48"/>
      <c r="H48" s="48"/>
      <c r="I48" s="7"/>
      <c r="J48" s="934"/>
    </row>
    <row r="49" spans="1:21">
      <c r="A49" s="932" t="s">
        <v>2701</v>
      </c>
      <c r="B49" s="513"/>
      <c r="C49" s="513"/>
      <c r="D49" s="513"/>
      <c r="E49" s="513"/>
      <c r="F49" s="513"/>
      <c r="G49" s="856"/>
      <c r="H49" s="513"/>
      <c r="I49" s="513"/>
      <c r="J49" s="933"/>
    </row>
    <row r="50" spans="1:21">
      <c r="A50" s="929"/>
      <c r="B50" s="851" t="s">
        <v>2702</v>
      </c>
      <c r="C50" s="7">
        <f>(D18-G18-2*I18)/2</f>
        <v>64.7</v>
      </c>
      <c r="D50" s="851" t="s">
        <v>77</v>
      </c>
      <c r="E50" s="851" t="s">
        <v>2728</v>
      </c>
      <c r="F50" s="945">
        <f>C50*I54</f>
        <v>64.7</v>
      </c>
      <c r="G50" s="48"/>
      <c r="H50" s="7"/>
      <c r="I50" s="7"/>
      <c r="J50" s="934"/>
    </row>
    <row r="51" spans="1:21">
      <c r="A51" s="929"/>
      <c r="B51" s="851" t="s">
        <v>2703</v>
      </c>
      <c r="C51" s="7">
        <f>H18</f>
        <v>13.5</v>
      </c>
      <c r="D51" s="852" t="s">
        <v>77</v>
      </c>
      <c r="E51" s="7"/>
      <c r="F51" s="7"/>
      <c r="G51" s="48"/>
      <c r="H51" s="880" t="s">
        <v>2729</v>
      </c>
      <c r="I51" s="881">
        <v>100</v>
      </c>
      <c r="J51" s="934"/>
    </row>
    <row r="52" spans="1:21">
      <c r="A52" s="929"/>
      <c r="B52" s="853" t="s">
        <v>2682</v>
      </c>
      <c r="C52" s="7">
        <f>C50/C51</f>
        <v>4.7925925925925927</v>
      </c>
      <c r="D52" s="7"/>
      <c r="E52" s="7"/>
      <c r="F52" s="48"/>
      <c r="G52" s="48"/>
      <c r="H52" s="48"/>
      <c r="I52" s="7"/>
      <c r="J52" s="934"/>
      <c r="K52" s="13"/>
      <c r="L52" s="13"/>
      <c r="M52" s="13"/>
      <c r="N52" s="13"/>
      <c r="O52" s="13"/>
      <c r="P52" s="13"/>
      <c r="Q52" s="13"/>
      <c r="R52" s="13"/>
      <c r="S52" s="13"/>
      <c r="T52" s="13"/>
      <c r="U52" s="13"/>
    </row>
    <row r="53" spans="1:21">
      <c r="A53" s="946" t="s">
        <v>2550</v>
      </c>
      <c r="B53" s="7"/>
      <c r="C53" s="7"/>
      <c r="D53" s="7"/>
      <c r="E53" s="7"/>
      <c r="F53" s="48"/>
      <c r="G53" s="48"/>
      <c r="H53" s="48"/>
      <c r="I53" s="7"/>
      <c r="J53" s="934"/>
      <c r="K53" s="13"/>
      <c r="L53" s="13"/>
      <c r="M53" s="13"/>
      <c r="N53" s="13"/>
      <c r="O53" s="13"/>
      <c r="P53" s="13"/>
      <c r="Q53" s="13"/>
      <c r="R53" s="13"/>
      <c r="S53" s="13"/>
      <c r="T53" s="13"/>
      <c r="U53" s="13"/>
    </row>
    <row r="54" spans="1:21">
      <c r="A54" s="943" t="s">
        <v>2731</v>
      </c>
      <c r="B54" s="853" t="s">
        <v>2684</v>
      </c>
      <c r="C54" s="851" t="s">
        <v>2704</v>
      </c>
      <c r="D54" s="851"/>
      <c r="E54" s="7">
        <f>(B18*100-C31/B15)/4/C50/H18</f>
        <v>1.8981676632372151</v>
      </c>
      <c r="F54" s="883" t="str">
        <f>IF(I54&gt;=1,"Panel totalmente comprimido","OK")</f>
        <v>Panel totalmente comprimido</v>
      </c>
      <c r="G54" s="48"/>
      <c r="H54" s="884" t="s">
        <v>2733</v>
      </c>
      <c r="I54" s="884">
        <f>E55</f>
        <v>1</v>
      </c>
      <c r="J54" s="934"/>
      <c r="K54" s="13"/>
      <c r="L54" s="13"/>
      <c r="M54" s="13"/>
      <c r="N54" s="13"/>
      <c r="O54" s="13"/>
      <c r="P54" s="13"/>
      <c r="Q54" s="13"/>
      <c r="R54" s="20"/>
      <c r="S54" s="13"/>
      <c r="T54" s="13"/>
      <c r="U54" s="13"/>
    </row>
    <row r="55" spans="1:21">
      <c r="A55" s="929"/>
      <c r="B55" s="853" t="s">
        <v>2732</v>
      </c>
      <c r="C55" s="7">
        <f>IF(E54&lt;0,0,E54)</f>
        <v>1.8981676632372151</v>
      </c>
      <c r="D55" s="853" t="s">
        <v>2684</v>
      </c>
      <c r="E55" s="7">
        <f>IF(C55&gt;1,1,C55)</f>
        <v>1</v>
      </c>
      <c r="F55" s="7"/>
      <c r="G55" s="48"/>
      <c r="H55" s="851"/>
      <c r="I55" s="7"/>
      <c r="J55" s="934"/>
      <c r="K55" s="13"/>
      <c r="L55" s="13"/>
      <c r="M55" s="13"/>
      <c r="N55" s="13"/>
      <c r="O55" s="13"/>
      <c r="P55" s="13"/>
      <c r="Q55" s="13"/>
      <c r="R55" s="20"/>
      <c r="S55" s="13"/>
      <c r="T55" s="13"/>
      <c r="U55" s="13"/>
    </row>
    <row r="56" spans="1:21">
      <c r="A56" s="929"/>
      <c r="B56" s="7"/>
      <c r="C56" s="7"/>
      <c r="D56" s="7"/>
      <c r="E56" s="7"/>
      <c r="F56" s="7"/>
      <c r="G56" s="48"/>
      <c r="H56" s="7"/>
      <c r="I56" s="7"/>
      <c r="J56" s="934"/>
      <c r="K56" s="13"/>
      <c r="L56" s="898"/>
      <c r="M56" s="13"/>
      <c r="N56" s="13"/>
      <c r="O56" s="899"/>
      <c r="P56" s="13"/>
      <c r="Q56" s="13"/>
      <c r="R56" s="20"/>
      <c r="S56" s="13"/>
      <c r="T56" s="13"/>
      <c r="U56" s="13"/>
    </row>
    <row r="57" spans="1:21">
      <c r="A57" s="943" t="s">
        <v>2730</v>
      </c>
      <c r="B57" s="885" t="s">
        <v>2705</v>
      </c>
      <c r="C57" s="851" t="s">
        <v>2706</v>
      </c>
      <c r="D57" s="7"/>
      <c r="E57" s="881">
        <f>1.0001-I54</f>
        <v>9.9999999999988987E-5</v>
      </c>
      <c r="F57" s="882" t="s">
        <v>2734</v>
      </c>
      <c r="G57" s="886"/>
      <c r="H57" s="881"/>
      <c r="I57" s="881"/>
      <c r="J57" s="947"/>
      <c r="K57" s="13"/>
      <c r="L57" s="13"/>
      <c r="M57" s="13"/>
      <c r="N57" s="13"/>
      <c r="O57" s="13"/>
      <c r="P57" s="13"/>
      <c r="Q57" s="13"/>
      <c r="R57" s="20"/>
      <c r="S57" s="13"/>
      <c r="T57" s="13"/>
      <c r="U57" s="13"/>
    </row>
    <row r="58" spans="1:21">
      <c r="A58" s="929"/>
      <c r="B58" s="7"/>
      <c r="C58" s="7"/>
      <c r="D58" s="7"/>
      <c r="E58" s="7"/>
      <c r="F58" s="7"/>
      <c r="G58" s="48"/>
      <c r="H58" s="7"/>
      <c r="I58" s="858" t="s">
        <v>2690</v>
      </c>
      <c r="J58" s="936" t="s">
        <v>2693</v>
      </c>
      <c r="K58" s="13"/>
      <c r="L58" s="13"/>
      <c r="M58" s="13"/>
      <c r="N58" s="13"/>
      <c r="O58" s="13"/>
      <c r="P58" s="13"/>
      <c r="Q58" s="13"/>
      <c r="R58" s="20"/>
      <c r="S58" s="13"/>
      <c r="T58" s="13"/>
      <c r="U58" s="13"/>
    </row>
    <row r="59" spans="1:21" ht="15">
      <c r="A59" s="929"/>
      <c r="B59" s="723" t="s">
        <v>2691</v>
      </c>
      <c r="C59" s="851" t="s">
        <v>2708</v>
      </c>
      <c r="D59" s="7"/>
      <c r="E59" s="7">
        <f>2*C32/(B18*100*B15)-1</f>
        <v>-0.56966110812264659</v>
      </c>
      <c r="F59" s="860"/>
      <c r="G59" s="861"/>
      <c r="H59" s="860"/>
      <c r="I59" s="859" t="s">
        <v>2688</v>
      </c>
      <c r="J59" s="936" t="s">
        <v>2694</v>
      </c>
      <c r="K59" s="13"/>
      <c r="L59" s="13"/>
      <c r="M59" s="13"/>
      <c r="N59" s="13"/>
      <c r="O59" s="13"/>
      <c r="P59" s="13"/>
      <c r="Q59" s="13"/>
      <c r="R59" s="20"/>
      <c r="S59" s="13"/>
      <c r="T59" s="13"/>
      <c r="U59" s="13"/>
    </row>
    <row r="60" spans="1:21">
      <c r="A60" s="929"/>
      <c r="B60" s="7"/>
      <c r="C60" s="7"/>
      <c r="D60" s="7"/>
      <c r="E60" s="7"/>
      <c r="F60" s="7"/>
      <c r="G60" s="852" t="s">
        <v>2716</v>
      </c>
      <c r="H60" s="851" t="s">
        <v>2726</v>
      </c>
      <c r="I60" s="859" t="s">
        <v>2689</v>
      </c>
      <c r="J60" s="937" t="s">
        <v>2695</v>
      </c>
      <c r="K60" s="13"/>
      <c r="L60" s="13"/>
      <c r="M60" s="13"/>
      <c r="N60" s="13"/>
      <c r="O60" s="13"/>
      <c r="P60" s="900"/>
      <c r="Q60" s="900"/>
      <c r="R60" s="900"/>
      <c r="S60" s="900"/>
      <c r="T60" s="900"/>
      <c r="U60" s="898"/>
    </row>
    <row r="61" spans="1:21" ht="15">
      <c r="A61" s="929"/>
      <c r="B61" s="853" t="s">
        <v>2709</v>
      </c>
      <c r="C61" s="723" t="s">
        <v>2710</v>
      </c>
      <c r="D61" s="7"/>
      <c r="E61" s="866">
        <f>0.57-0.21*E59+0.07*E59^2</f>
        <v>0.71234479717328225</v>
      </c>
      <c r="F61" s="862"/>
      <c r="G61" s="863" t="s">
        <v>2713</v>
      </c>
      <c r="H61" s="865">
        <f>IF(E59&gt;=-3,E59)</f>
        <v>-0.56966110812264659</v>
      </c>
      <c r="I61" s="867">
        <f>IF(H61&lt;=1,E61)</f>
        <v>0.71234479717328225</v>
      </c>
      <c r="J61" s="934"/>
      <c r="K61" s="13"/>
      <c r="L61" s="13"/>
      <c r="M61" s="13"/>
      <c r="N61" s="13"/>
      <c r="O61" s="13"/>
      <c r="P61" s="667"/>
      <c r="Q61" s="20"/>
      <c r="R61" s="667"/>
      <c r="S61" s="20"/>
      <c r="T61" s="667"/>
      <c r="U61" s="13"/>
    </row>
    <row r="62" spans="1:21" ht="14.25">
      <c r="A62" s="929"/>
      <c r="B62" s="723" t="s">
        <v>2723</v>
      </c>
      <c r="C62" s="723" t="s">
        <v>2711</v>
      </c>
      <c r="D62" s="7"/>
      <c r="E62" s="866">
        <f>0.578/(0.34+E59)</f>
        <v>-2.51675176839837</v>
      </c>
      <c r="F62" s="862"/>
      <c r="G62" s="863" t="s">
        <v>2714</v>
      </c>
      <c r="H62" s="865" t="b">
        <f>IF(E59&gt;=0,E59)</f>
        <v>0</v>
      </c>
      <c r="I62" s="867" t="b">
        <f>IF(H62&lt;=1,E62)</f>
        <v>0</v>
      </c>
      <c r="J62" s="934"/>
      <c r="K62" s="13"/>
      <c r="L62" s="13"/>
      <c r="M62" s="13"/>
      <c r="N62" s="13"/>
      <c r="O62" s="13"/>
      <c r="P62" s="20"/>
      <c r="Q62" s="20"/>
      <c r="R62" s="20"/>
      <c r="S62" s="20"/>
      <c r="T62" s="20"/>
      <c r="U62" s="13"/>
    </row>
    <row r="63" spans="1:21" ht="14.25">
      <c r="A63" s="929"/>
      <c r="B63" s="723" t="s">
        <v>2723</v>
      </c>
      <c r="C63" s="851" t="s">
        <v>2712</v>
      </c>
      <c r="D63" s="7"/>
      <c r="E63" s="866">
        <f>1.7-5*E59+17.1*E59^2</f>
        <v>10.097491146251855</v>
      </c>
      <c r="F63" s="862"/>
      <c r="G63" s="863" t="s">
        <v>2715</v>
      </c>
      <c r="H63" s="865" t="b">
        <f>IF(E59&lt;=-1,E59)</f>
        <v>0</v>
      </c>
      <c r="I63" s="867" t="str">
        <f>IF(H63&lt;=0,E63,"Falso")</f>
        <v>Falso</v>
      </c>
      <c r="J63" s="934"/>
      <c r="K63" s="13"/>
      <c r="L63" s="13"/>
      <c r="M63" s="13"/>
      <c r="N63" s="13"/>
      <c r="O63" s="13"/>
      <c r="P63" s="20"/>
      <c r="Q63" s="20"/>
      <c r="R63" s="20"/>
      <c r="S63" s="20"/>
      <c r="T63" s="20"/>
      <c r="U63" s="20"/>
    </row>
    <row r="64" spans="1:21">
      <c r="A64" s="929"/>
      <c r="B64" s="7"/>
      <c r="C64" s="7"/>
      <c r="D64" s="7"/>
      <c r="E64" s="7"/>
      <c r="F64" s="7"/>
      <c r="G64" s="48"/>
      <c r="H64" s="7"/>
      <c r="I64" s="7"/>
      <c r="J64" s="934"/>
      <c r="K64" s="13"/>
      <c r="L64" s="13"/>
      <c r="M64" s="13"/>
      <c r="N64" s="13"/>
      <c r="O64" s="13"/>
      <c r="P64" s="13"/>
      <c r="Q64" s="13"/>
      <c r="R64" s="20"/>
      <c r="S64" s="13"/>
      <c r="T64" s="13"/>
      <c r="U64" s="13"/>
    </row>
    <row r="65" spans="1:21" ht="15">
      <c r="A65" s="929"/>
      <c r="B65" s="7"/>
      <c r="C65" s="7"/>
      <c r="D65" s="7"/>
      <c r="E65" s="7"/>
      <c r="F65" s="7"/>
      <c r="G65" s="48"/>
      <c r="H65" s="7"/>
      <c r="I65" s="7"/>
      <c r="J65" s="934"/>
      <c r="K65" s="13"/>
      <c r="L65" s="901"/>
      <c r="M65" s="901"/>
      <c r="N65" s="901"/>
      <c r="O65" s="901"/>
      <c r="P65" s="13"/>
      <c r="Q65" s="902"/>
      <c r="R65" s="667"/>
      <c r="S65" s="13"/>
      <c r="T65" s="13"/>
      <c r="U65" s="13"/>
    </row>
    <row r="66" spans="1:21">
      <c r="A66" s="938" t="s">
        <v>2510</v>
      </c>
      <c r="B66" s="939"/>
      <c r="C66" s="875" t="s">
        <v>2516</v>
      </c>
      <c r="D66" s="876"/>
      <c r="E66" s="877" t="s">
        <v>2517</v>
      </c>
      <c r="F66" s="878"/>
      <c r="G66" s="879"/>
      <c r="H66" s="875" t="s">
        <v>2518</v>
      </c>
      <c r="I66" s="876"/>
      <c r="J66" s="948" t="s">
        <v>2700</v>
      </c>
      <c r="K66" s="13"/>
      <c r="L66" s="13"/>
      <c r="M66" s="13"/>
      <c r="N66" s="13"/>
      <c r="O66" s="13"/>
      <c r="P66" s="13"/>
      <c r="Q66" s="13"/>
      <c r="R66" s="20"/>
      <c r="S66" s="13"/>
      <c r="T66" s="13"/>
      <c r="U66" s="13"/>
    </row>
    <row r="67" spans="1:21" ht="16.5">
      <c r="A67" s="943" t="s">
        <v>2717</v>
      </c>
      <c r="B67" s="851"/>
      <c r="C67" s="949" t="s">
        <v>2543</v>
      </c>
      <c r="D67" s="872">
        <f>9*$J$31</f>
        <v>8.3197464996345794</v>
      </c>
      <c r="E67" s="941" t="s">
        <v>2544</v>
      </c>
      <c r="F67" s="873">
        <f>10*$J$31</f>
        <v>9.2441627773717538</v>
      </c>
      <c r="G67" s="950"/>
      <c r="H67" s="949" t="s">
        <v>2545</v>
      </c>
      <c r="I67" s="874">
        <f>14*$J$31</f>
        <v>12.941827888320455</v>
      </c>
      <c r="J67" s="934" t="str">
        <f>IF($C$52&lt;=D67,"Clase 1",IF($C$52&lt;=F67,"Clase 2",IF($C$505&lt;=I67,"Clase 3","Clase 4")))</f>
        <v>Clase 1</v>
      </c>
      <c r="K67" s="13"/>
      <c r="L67" s="723"/>
      <c r="M67" s="13"/>
      <c r="N67" s="20"/>
      <c r="O67" s="13"/>
      <c r="P67" s="13"/>
      <c r="Q67" s="13"/>
      <c r="R67" s="20"/>
      <c r="S67" s="13"/>
      <c r="T67" s="13"/>
      <c r="U67" s="13"/>
    </row>
    <row r="68" spans="1:21" ht="20.25">
      <c r="A68" s="943" t="s">
        <v>2720</v>
      </c>
      <c r="B68" s="851"/>
      <c r="C68" s="949" t="s">
        <v>2718</v>
      </c>
      <c r="D68" s="868">
        <f>9*$J$31/I54</f>
        <v>8.3197464996345794</v>
      </c>
      <c r="E68" s="941" t="s">
        <v>2719</v>
      </c>
      <c r="F68" s="871">
        <f>10*$J$31/I54</f>
        <v>9.2441627773717538</v>
      </c>
      <c r="G68" s="870" t="s">
        <v>2713</v>
      </c>
      <c r="H68" s="951" t="s">
        <v>2724</v>
      </c>
      <c r="I68" s="869">
        <f>$J$31*21*I61^0.5</f>
        <v>16.384455277660216</v>
      </c>
      <c r="J68" s="934" t="str">
        <f>IF($C$52&lt;=D68,"Clase 1",IF($C$52&lt;=F68,"Clase 2",IF($C$505&lt;=I68,"Clase 3","Clase 4")))</f>
        <v>Clase 1</v>
      </c>
      <c r="K68" s="13"/>
      <c r="L68" s="723"/>
      <c r="M68" s="13"/>
      <c r="N68" s="20"/>
      <c r="O68" s="13"/>
      <c r="P68" s="13"/>
      <c r="Q68" s="13"/>
      <c r="R68" s="20"/>
      <c r="S68" s="13"/>
      <c r="T68" s="13"/>
      <c r="U68" s="13"/>
    </row>
    <row r="69" spans="1:21" ht="20.25">
      <c r="A69" s="952" t="s">
        <v>2721</v>
      </c>
      <c r="B69" s="7"/>
      <c r="C69" s="953" t="s">
        <v>2727</v>
      </c>
      <c r="D69" s="868">
        <f>9*$J$31/(E57^1.5)</f>
        <v>8319746.4996359646</v>
      </c>
      <c r="E69" s="941" t="s">
        <v>2722</v>
      </c>
      <c r="F69" s="871">
        <f>10*$J$31/(E57^1.5)</f>
        <v>9244162.7773732934</v>
      </c>
      <c r="G69" s="870" t="s">
        <v>2714</v>
      </c>
      <c r="H69" s="951" t="s">
        <v>2725</v>
      </c>
      <c r="I69" s="869">
        <f>$J$31*21*I62^0.5</f>
        <v>0</v>
      </c>
      <c r="J69" s="934" t="str">
        <f>IF($C$52&lt;=D69,"Clase 1",IF($C$52&lt;=F69,"Clase 2",IF($C$505&lt;=I69,"Clase 3","Clase 4")))</f>
        <v>Clase 1</v>
      </c>
      <c r="K69" s="13"/>
      <c r="L69" s="723"/>
      <c r="M69" s="13"/>
      <c r="N69" s="13"/>
      <c r="O69" s="13"/>
      <c r="P69" s="13"/>
      <c r="Q69" s="13"/>
      <c r="R69" s="20"/>
      <c r="S69" s="13"/>
      <c r="T69" s="13"/>
      <c r="U69" s="13"/>
    </row>
    <row r="70" spans="1:21" ht="20.25">
      <c r="A70" s="929"/>
      <c r="B70" s="7"/>
      <c r="C70" s="883"/>
      <c r="D70" s="3"/>
      <c r="E70" s="883"/>
      <c r="F70" s="3"/>
      <c r="G70" s="870" t="s">
        <v>2715</v>
      </c>
      <c r="H70" s="951" t="s">
        <v>2725</v>
      </c>
      <c r="I70" s="869">
        <f>$J$31*21*E63^0.5</f>
        <v>61.686995681035079</v>
      </c>
      <c r="J70" s="934" t="str">
        <f>IF($C$52&lt;=I70,"Clase 3","Clase 4")</f>
        <v>Clase 3</v>
      </c>
      <c r="K70" s="13"/>
      <c r="L70" s="13"/>
      <c r="M70" s="13"/>
      <c r="N70" s="13"/>
      <c r="O70" s="13"/>
      <c r="P70" s="13"/>
      <c r="Q70" s="13"/>
      <c r="R70" s="20"/>
      <c r="S70" s="13"/>
      <c r="T70" s="13"/>
      <c r="U70" s="13"/>
    </row>
    <row r="71" spans="1:21">
      <c r="A71" s="954" t="s">
        <v>2735</v>
      </c>
      <c r="B71" s="881"/>
      <c r="C71" s="881"/>
      <c r="D71" s="881"/>
      <c r="E71" s="881"/>
      <c r="F71" s="881"/>
      <c r="G71" s="886"/>
      <c r="H71" s="881"/>
      <c r="I71" s="881"/>
      <c r="J71" s="947"/>
      <c r="K71" s="13"/>
      <c r="L71" s="898"/>
      <c r="M71" s="898"/>
      <c r="N71" s="898"/>
      <c r="O71" s="903"/>
      <c r="P71" s="903"/>
      <c r="Q71" s="903"/>
      <c r="R71" s="900"/>
      <c r="S71" s="898"/>
      <c r="T71" s="898"/>
      <c r="U71" s="898"/>
    </row>
    <row r="72" spans="1:21">
      <c r="A72" s="929"/>
      <c r="B72" s="7"/>
      <c r="C72" s="7"/>
      <c r="D72" s="7"/>
      <c r="E72" s="7"/>
      <c r="F72" s="7"/>
      <c r="G72" s="48"/>
      <c r="H72" s="7"/>
      <c r="I72" s="7"/>
      <c r="J72" s="934"/>
      <c r="K72" s="13"/>
      <c r="L72" s="13"/>
      <c r="M72" s="13"/>
      <c r="N72" s="13"/>
      <c r="O72" s="13"/>
      <c r="P72" s="13"/>
      <c r="Q72" s="13"/>
      <c r="R72" s="20"/>
      <c r="S72" s="13"/>
      <c r="T72" s="13"/>
      <c r="U72" s="13"/>
    </row>
    <row r="73" spans="1:21">
      <c r="A73" s="938" t="s">
        <v>2510</v>
      </c>
      <c r="B73" s="955"/>
      <c r="C73" s="864" t="s">
        <v>2736</v>
      </c>
      <c r="D73" s="864" t="s">
        <v>2737</v>
      </c>
      <c r="E73" s="894" t="s">
        <v>2736</v>
      </c>
      <c r="F73" s="894" t="s">
        <v>2737</v>
      </c>
      <c r="G73" s="895" t="s">
        <v>2738</v>
      </c>
      <c r="H73" s="864" t="s">
        <v>2739</v>
      </c>
      <c r="I73" s="864"/>
      <c r="J73" s="956"/>
      <c r="K73" s="13"/>
      <c r="L73" s="898"/>
      <c r="M73" s="723"/>
      <c r="N73" s="13"/>
      <c r="O73" s="13"/>
      <c r="P73" s="13"/>
      <c r="Q73" s="13"/>
      <c r="R73" s="20"/>
      <c r="S73" s="13"/>
      <c r="T73" s="13"/>
      <c r="U73" s="13"/>
    </row>
    <row r="74" spans="1:21" ht="13.5">
      <c r="A74" s="957" t="s">
        <v>2740</v>
      </c>
      <c r="B74" s="7"/>
      <c r="C74" s="7" t="str">
        <f>J44</f>
        <v>Clase 3</v>
      </c>
      <c r="D74" s="7" t="str">
        <f>J67</f>
        <v>Clase 1</v>
      </c>
      <c r="E74" s="7">
        <f t="shared" ref="E74:F77" si="0">IF(C74=$N$24,1,IF(C74=$N$25,2,IF(C74=$N$26,3,IF(C74=$N$27,4,))))</f>
        <v>3</v>
      </c>
      <c r="F74" s="7">
        <f t="shared" si="0"/>
        <v>1</v>
      </c>
      <c r="G74" s="896">
        <f>MAX(E74:F74)</f>
        <v>3</v>
      </c>
      <c r="H74" s="897" t="s">
        <v>2749</v>
      </c>
      <c r="I74" s="7"/>
      <c r="J74" s="934"/>
      <c r="K74" s="13"/>
      <c r="L74" s="13"/>
      <c r="M74" s="13"/>
      <c r="N74" s="13"/>
      <c r="O74" s="13"/>
      <c r="P74" s="13"/>
      <c r="Q74" s="13"/>
      <c r="R74" s="20"/>
      <c r="S74" s="13"/>
      <c r="T74" s="13"/>
      <c r="U74" s="13"/>
    </row>
    <row r="75" spans="1:21">
      <c r="A75" s="957" t="s">
        <v>2741</v>
      </c>
      <c r="B75" s="7"/>
      <c r="C75" s="7" t="str">
        <f>J45</f>
        <v>Clase 1</v>
      </c>
      <c r="D75" s="7" t="str">
        <f>J67</f>
        <v>Clase 1</v>
      </c>
      <c r="E75" s="7">
        <f t="shared" si="0"/>
        <v>1</v>
      </c>
      <c r="F75" s="7">
        <f t="shared" si="0"/>
        <v>1</v>
      </c>
      <c r="G75" s="896">
        <f t="shared" ref="G75:G80" si="1">MAX(E75:F75)</f>
        <v>1</v>
      </c>
      <c r="H75" s="897" t="s">
        <v>2750</v>
      </c>
      <c r="I75" s="7"/>
      <c r="J75" s="934"/>
      <c r="K75" s="13"/>
      <c r="L75" s="723"/>
      <c r="M75" s="723"/>
      <c r="N75" s="13"/>
      <c r="O75" s="13"/>
      <c r="P75" s="13"/>
      <c r="Q75" s="13"/>
      <c r="R75" s="20"/>
      <c r="S75" s="13"/>
      <c r="T75" s="13"/>
      <c r="U75" s="13"/>
    </row>
    <row r="76" spans="1:21">
      <c r="A76" s="958" t="s">
        <v>2742</v>
      </c>
      <c r="B76" s="7"/>
      <c r="C76" s="7" t="str">
        <f>J46</f>
        <v>Clase 2</v>
      </c>
      <c r="D76" s="7" t="str">
        <f>D75</f>
        <v>Clase 1</v>
      </c>
      <c r="E76" s="7">
        <f t="shared" si="0"/>
        <v>2</v>
      </c>
      <c r="F76" s="7">
        <f t="shared" si="0"/>
        <v>1</v>
      </c>
      <c r="G76" s="896">
        <f t="shared" si="1"/>
        <v>2</v>
      </c>
      <c r="H76" s="898" t="s">
        <v>2751</v>
      </c>
      <c r="I76" s="7"/>
      <c r="J76" s="934"/>
      <c r="K76" s="13"/>
      <c r="L76" s="13"/>
      <c r="M76" s="13"/>
      <c r="N76" s="13"/>
      <c r="O76" s="13"/>
      <c r="P76" s="13"/>
      <c r="Q76" s="13"/>
      <c r="R76" s="20"/>
      <c r="S76" s="13"/>
      <c r="T76" s="13"/>
      <c r="U76" s="13"/>
    </row>
    <row r="77" spans="1:21">
      <c r="A77" s="958" t="s">
        <v>2743</v>
      </c>
      <c r="B77" s="7"/>
      <c r="C77" s="7" t="str">
        <f>J47</f>
        <v>Clase 1</v>
      </c>
      <c r="D77" s="7" t="str">
        <f>D76</f>
        <v>Clase 1</v>
      </c>
      <c r="E77" s="7">
        <f t="shared" si="0"/>
        <v>1</v>
      </c>
      <c r="F77" s="7">
        <f t="shared" si="0"/>
        <v>1</v>
      </c>
      <c r="G77" s="896">
        <f t="shared" si="1"/>
        <v>1</v>
      </c>
      <c r="H77" s="723" t="s">
        <v>2752</v>
      </c>
      <c r="I77" s="7"/>
      <c r="J77" s="934"/>
      <c r="K77" s="13"/>
      <c r="L77" s="13"/>
      <c r="M77" s="13"/>
      <c r="N77" s="13"/>
      <c r="O77" s="13"/>
      <c r="P77" s="13"/>
      <c r="Q77" s="13"/>
      <c r="R77" s="20"/>
      <c r="S77" s="13"/>
      <c r="T77" s="13"/>
      <c r="U77" s="13"/>
    </row>
    <row r="78" spans="1:21">
      <c r="A78" s="958" t="s">
        <v>2744</v>
      </c>
      <c r="B78" s="7"/>
      <c r="C78" s="7"/>
      <c r="D78" s="7" t="str">
        <f>D77</f>
        <v>Clase 1</v>
      </c>
      <c r="E78" s="7"/>
      <c r="F78" s="7">
        <f>IF(D78=$N$24,1,IF(D78=$N$25,2,IF(D78=$N$26,3,IF(D78=$N$27,4,))))</f>
        <v>1</v>
      </c>
      <c r="G78" s="896">
        <f t="shared" si="1"/>
        <v>1</v>
      </c>
      <c r="H78" s="898" t="s">
        <v>2753</v>
      </c>
      <c r="I78" s="7"/>
      <c r="J78" s="934"/>
      <c r="K78" s="13"/>
      <c r="L78" s="13"/>
      <c r="M78" s="13"/>
      <c r="N78" s="13"/>
      <c r="O78" s="13"/>
      <c r="P78" s="723"/>
      <c r="Q78" s="13"/>
      <c r="R78" s="723"/>
      <c r="S78" s="13"/>
      <c r="T78" s="723"/>
      <c r="U78" s="13"/>
    </row>
    <row r="79" spans="1:21">
      <c r="A79" s="957" t="s">
        <v>2720</v>
      </c>
      <c r="B79" s="7"/>
      <c r="C79" s="7"/>
      <c r="D79" s="7" t="str">
        <f>J68</f>
        <v>Clase 1</v>
      </c>
      <c r="E79" s="7"/>
      <c r="F79" s="7">
        <f>IF(D79=$N$24,1,IF(D79=$N$25,2,IF(D79=$N$26,3,IF(D79=$N$27,4,))))</f>
        <v>1</v>
      </c>
      <c r="G79" s="896">
        <f t="shared" si="1"/>
        <v>1</v>
      </c>
      <c r="H79" s="7"/>
      <c r="I79" s="7"/>
      <c r="J79" s="934"/>
      <c r="K79" s="13"/>
      <c r="L79" s="723"/>
      <c r="M79" s="13"/>
      <c r="N79" s="13"/>
      <c r="O79" s="13"/>
      <c r="P79" s="904"/>
      <c r="Q79" s="899"/>
      <c r="R79" s="904"/>
      <c r="S79" s="899"/>
      <c r="T79" s="904"/>
      <c r="U79" s="13"/>
    </row>
    <row r="80" spans="1:21">
      <c r="A80" s="959" t="s">
        <v>2721</v>
      </c>
      <c r="B80" s="7"/>
      <c r="C80" s="7"/>
      <c r="D80" s="7" t="str">
        <f>J69</f>
        <v>Clase 1</v>
      </c>
      <c r="E80" s="960"/>
      <c r="F80" s="7">
        <f>IF(D80=$N$24,1,IF(D80=$N$25,2,IF(D80=$N$26,3,IF(D80=$N$27,4,))))</f>
        <v>1</v>
      </c>
      <c r="G80" s="896">
        <f t="shared" si="1"/>
        <v>1</v>
      </c>
      <c r="H80" s="7"/>
      <c r="I80" s="7"/>
      <c r="J80" s="934"/>
      <c r="K80" s="13"/>
      <c r="L80" s="13"/>
      <c r="M80" s="13"/>
      <c r="N80" s="20"/>
      <c r="O80" s="13"/>
      <c r="P80" s="899"/>
      <c r="Q80" s="899"/>
      <c r="R80" s="899"/>
      <c r="S80" s="899"/>
      <c r="T80" s="899"/>
      <c r="U80" s="13"/>
    </row>
    <row r="81" spans="1:21">
      <c r="A81" s="929"/>
      <c r="B81" s="7"/>
      <c r="C81" s="7"/>
      <c r="D81" s="7"/>
      <c r="E81" s="7"/>
      <c r="F81" s="7"/>
      <c r="G81" s="48"/>
      <c r="H81" s="7"/>
      <c r="I81" s="7"/>
      <c r="J81" s="934"/>
      <c r="K81" s="13"/>
      <c r="L81" s="13"/>
      <c r="M81" s="13"/>
      <c r="N81" s="13"/>
      <c r="O81" s="13"/>
      <c r="P81" s="13"/>
      <c r="Q81" s="13"/>
      <c r="R81" s="20"/>
      <c r="S81" s="13"/>
      <c r="T81" s="13"/>
      <c r="U81" s="13"/>
    </row>
    <row r="82" spans="1:21" ht="13.5" thickBot="1">
      <c r="A82" s="961"/>
      <c r="B82" s="962"/>
      <c r="C82" s="962"/>
      <c r="D82" s="962"/>
      <c r="E82" s="962"/>
      <c r="F82" s="962"/>
      <c r="G82" s="963"/>
      <c r="H82" s="962"/>
      <c r="I82" s="962"/>
      <c r="J82" s="964"/>
      <c r="K82" s="13"/>
      <c r="L82" s="905"/>
      <c r="M82" s="906"/>
      <c r="N82" s="906"/>
      <c r="O82" s="13"/>
      <c r="P82" s="13"/>
      <c r="Q82" s="13"/>
      <c r="R82" s="20"/>
      <c r="S82" s="13"/>
      <c r="T82" s="13"/>
      <c r="U82" s="13"/>
    </row>
    <row r="83" spans="1:21">
      <c r="A83" s="349"/>
      <c r="B83" s="7"/>
      <c r="C83" s="7"/>
      <c r="D83" s="7"/>
      <c r="E83" s="7"/>
      <c r="F83" s="7"/>
      <c r="G83" s="48"/>
      <c r="H83" s="7"/>
      <c r="I83" s="7"/>
      <c r="J83" s="7"/>
      <c r="K83" s="13"/>
      <c r="L83" s="13"/>
      <c r="M83" s="13"/>
      <c r="N83" s="13"/>
      <c r="O83" s="13"/>
      <c r="P83" s="13"/>
      <c r="Q83" s="13"/>
      <c r="R83" s="20"/>
      <c r="S83" s="13"/>
      <c r="T83" s="13"/>
      <c r="U83" s="13"/>
    </row>
    <row r="84" spans="1:21">
      <c r="A84" s="349"/>
      <c r="B84" s="7"/>
      <c r="C84" s="7"/>
      <c r="D84" s="7"/>
      <c r="E84" s="7"/>
      <c r="F84" s="7"/>
      <c r="G84" s="48"/>
      <c r="H84" s="7"/>
      <c r="I84" s="7"/>
      <c r="J84" s="7"/>
      <c r="K84" s="13"/>
      <c r="L84" s="13"/>
      <c r="M84" s="13"/>
      <c r="N84" s="13"/>
      <c r="O84" s="13"/>
      <c r="P84" s="13"/>
      <c r="Q84" s="13"/>
      <c r="R84" s="20"/>
      <c r="S84" s="13"/>
      <c r="T84" s="13"/>
      <c r="U84" s="13"/>
    </row>
    <row r="85" spans="1:21">
      <c r="A85" s="349"/>
      <c r="B85" s="7"/>
      <c r="C85" s="7"/>
      <c r="D85" s="7"/>
      <c r="E85" s="7"/>
      <c r="F85" s="7"/>
      <c r="G85" s="48"/>
      <c r="H85" s="7"/>
      <c r="I85" s="7"/>
      <c r="J85" s="7"/>
      <c r="K85" s="13"/>
      <c r="L85" s="13"/>
      <c r="M85" s="13"/>
      <c r="N85" s="13"/>
      <c r="O85" s="13"/>
      <c r="P85" s="13"/>
      <c r="Q85" s="13"/>
      <c r="R85" s="20"/>
      <c r="S85" s="13"/>
      <c r="T85" s="13"/>
      <c r="U85" s="13"/>
    </row>
    <row r="86" spans="1:21">
      <c r="A86" s="850"/>
      <c r="B86" s="2"/>
      <c r="C86" s="2"/>
      <c r="D86" s="2"/>
      <c r="E86" s="2"/>
      <c r="F86" s="2"/>
      <c r="G86" s="55"/>
      <c r="H86" s="2"/>
      <c r="I86" s="2"/>
      <c r="J86" s="2"/>
      <c r="K86" s="13"/>
      <c r="L86" s="13"/>
      <c r="M86" s="723"/>
      <c r="N86" s="13"/>
      <c r="O86" s="13"/>
      <c r="P86" s="13"/>
      <c r="Q86" s="13"/>
      <c r="R86" s="20"/>
      <c r="S86" s="13"/>
      <c r="T86" s="13"/>
      <c r="U86" s="13"/>
    </row>
    <row r="87" spans="1:21">
      <c r="K87" s="13"/>
      <c r="L87" s="13"/>
      <c r="M87" s="13"/>
      <c r="N87" s="13"/>
      <c r="O87" s="13"/>
      <c r="P87" s="13"/>
      <c r="Q87" s="13"/>
      <c r="R87" s="20"/>
      <c r="S87" s="13"/>
      <c r="T87" s="13"/>
      <c r="U87" s="13"/>
    </row>
    <row r="88" spans="1:21">
      <c r="A88" s="966" t="s">
        <v>2758</v>
      </c>
      <c r="B88" s="967"/>
      <c r="C88" s="967"/>
      <c r="D88" s="967"/>
      <c r="E88" s="967"/>
      <c r="F88" s="967"/>
      <c r="G88" s="968"/>
      <c r="H88" s="967"/>
      <c r="I88" s="967"/>
      <c r="K88" s="252" t="s">
        <v>2775</v>
      </c>
      <c r="P88" s="8"/>
      <c r="Q88" s="13"/>
      <c r="R88" s="13"/>
      <c r="S88" s="13"/>
      <c r="T88" s="13"/>
      <c r="U88" s="13"/>
    </row>
    <row r="89" spans="1:21" ht="13.5" thickBot="1">
      <c r="A89" s="973"/>
      <c r="B89" s="974"/>
      <c r="C89" s="974"/>
      <c r="D89" s="975"/>
      <c r="E89" s="975"/>
      <c r="F89" s="975"/>
      <c r="G89" s="976"/>
      <c r="H89" s="975"/>
      <c r="I89" s="977"/>
      <c r="K89" s="1115"/>
      <c r="L89" s="1116"/>
      <c r="M89" s="1116"/>
      <c r="N89" s="1116"/>
      <c r="O89" s="1116"/>
      <c r="P89" s="1117"/>
    </row>
    <row r="90" spans="1:21" ht="13.5" thickBot="1">
      <c r="A90" s="978"/>
      <c r="B90" s="965">
        <f>C31/5740/B18</f>
        <v>1.0308640702636949</v>
      </c>
      <c r="C90" s="7"/>
      <c r="D90" s="7"/>
      <c r="E90" s="7"/>
      <c r="F90" s="7"/>
      <c r="G90" s="48"/>
      <c r="H90" s="7"/>
      <c r="I90" s="979"/>
      <c r="K90" s="1118"/>
      <c r="L90" s="7"/>
      <c r="M90" s="7"/>
      <c r="N90" s="7"/>
      <c r="O90" t="s">
        <v>2878</v>
      </c>
      <c r="P90" s="1119"/>
    </row>
    <row r="91" spans="1:21">
      <c r="A91" s="980"/>
      <c r="B91" s="969"/>
      <c r="C91" s="851"/>
      <c r="D91" s="7"/>
      <c r="E91" s="7"/>
      <c r="F91" s="7"/>
      <c r="G91" s="48"/>
      <c r="H91" s="1107">
        <f>(B90+B93*B96*B100)^0.5</f>
        <v>1.1529339401918015</v>
      </c>
      <c r="I91" s="979"/>
      <c r="K91" s="1118"/>
      <c r="L91" s="7"/>
      <c r="M91" s="7"/>
      <c r="N91" s="7" t="s">
        <v>2872</v>
      </c>
      <c r="O91" t="s">
        <v>1048</v>
      </c>
      <c r="P91" s="1230">
        <v>1</v>
      </c>
      <c r="Q91" s="504" t="s">
        <v>2880</v>
      </c>
    </row>
    <row r="92" spans="1:21" ht="13.5" thickBot="1">
      <c r="A92" s="978"/>
      <c r="B92" s="970"/>
      <c r="C92" s="7"/>
      <c r="D92" s="7"/>
      <c r="E92" s="7"/>
      <c r="F92" s="7"/>
      <c r="G92" s="48"/>
      <c r="H92" s="7"/>
      <c r="I92" s="979"/>
      <c r="K92" s="1118"/>
      <c r="L92" s="7"/>
      <c r="M92" s="7"/>
      <c r="N92" s="7"/>
      <c r="O92" t="s">
        <v>2879</v>
      </c>
      <c r="P92" s="1230">
        <v>0.2</v>
      </c>
    </row>
    <row r="93" spans="1:21" ht="16.5" thickBot="1">
      <c r="A93" s="978"/>
      <c r="B93" s="965">
        <f>1/(756*General!F22^2)</f>
        <v>5.5057287107235068E-4</v>
      </c>
      <c r="C93" s="7"/>
      <c r="D93" s="7"/>
      <c r="E93" s="7"/>
      <c r="F93" s="7"/>
      <c r="G93" s="48"/>
      <c r="H93" s="7"/>
      <c r="I93" s="979"/>
      <c r="K93" s="1107">
        <f>L95*L96/L97*(L98*N95*L99*N96)^0.5</f>
        <v>327528696.50983453</v>
      </c>
      <c r="L93" s="1110" t="s">
        <v>2774</v>
      </c>
      <c r="M93" s="1107">
        <f>(1+L96^2*L98*N97/(L97^2*L99*N96))^0.5</f>
        <v>1.4121294300052722</v>
      </c>
      <c r="N93" s="1111" t="s">
        <v>2811</v>
      </c>
      <c r="O93" s="1112">
        <f>K93*M93/1000000*General!E26</f>
        <v>462.51291151280242</v>
      </c>
      <c r="P93" s="1119" t="s">
        <v>999</v>
      </c>
    </row>
    <row r="94" spans="1:21">
      <c r="A94" s="978"/>
      <c r="B94" s="970"/>
      <c r="C94" s="7"/>
      <c r="D94" s="7"/>
      <c r="E94" s="7"/>
      <c r="F94" s="7"/>
      <c r="G94" s="48"/>
      <c r="H94" s="7"/>
      <c r="I94" s="979"/>
      <c r="K94" s="1118"/>
      <c r="L94" s="1114"/>
      <c r="M94" s="7"/>
      <c r="N94" s="1107"/>
      <c r="O94" s="7"/>
      <c r="P94" s="1119"/>
    </row>
    <row r="95" spans="1:21">
      <c r="A95" s="978"/>
      <c r="B95" s="970"/>
      <c r="C95" s="7"/>
      <c r="D95" s="7"/>
      <c r="E95" s="7"/>
      <c r="F95" s="7"/>
      <c r="G95" s="48"/>
      <c r="H95" s="7"/>
      <c r="I95" s="979"/>
      <c r="K95" s="1120" t="s">
        <v>2767</v>
      </c>
      <c r="L95" s="1108">
        <f>General!F22</f>
        <v>1.55</v>
      </c>
      <c r="M95" s="1101" t="s">
        <v>2771</v>
      </c>
      <c r="N95" s="1107">
        <f>C23*10000</f>
        <v>13180000</v>
      </c>
      <c r="O95" s="7"/>
      <c r="P95" s="1110">
        <f>(General!F11*General!C6/O93)^0.5</f>
        <v>0.88154037946467867</v>
      </c>
    </row>
    <row r="96" spans="1:21">
      <c r="A96" s="978"/>
      <c r="B96" s="1130">
        <f>B103/(B18*G22*1000000)</f>
        <v>395.77064402978516</v>
      </c>
      <c r="C96" s="7"/>
      <c r="D96" s="7"/>
      <c r="E96" s="7"/>
      <c r="F96" s="7"/>
      <c r="G96" s="48"/>
      <c r="H96" s="1107">
        <f>380*F23/H91</f>
        <v>1301.8959262750946</v>
      </c>
      <c r="I96" s="981" t="s">
        <v>77</v>
      </c>
      <c r="K96" s="1120" t="s">
        <v>2768</v>
      </c>
      <c r="L96" s="1108">
        <f>PI()</f>
        <v>3.1415926535897931</v>
      </c>
      <c r="M96" s="1101" t="s">
        <v>2772</v>
      </c>
      <c r="N96" s="1109">
        <f>G22*10000</f>
        <v>510800</v>
      </c>
      <c r="O96" s="7"/>
      <c r="P96" s="1119"/>
    </row>
    <row r="97" spans="1:16">
      <c r="A97" s="978"/>
      <c r="B97" s="970"/>
      <c r="C97" s="7"/>
      <c r="D97" s="7"/>
      <c r="E97" s="7"/>
      <c r="F97" s="7"/>
      <c r="G97" s="48"/>
      <c r="H97" s="7"/>
      <c r="I97" s="979"/>
      <c r="K97" s="1120" t="s">
        <v>2769</v>
      </c>
      <c r="L97" s="1108">
        <f>General!E22*1000</f>
        <v>5000</v>
      </c>
      <c r="M97" s="1101" t="s">
        <v>2773</v>
      </c>
      <c r="N97" s="1107">
        <f>1000000000*H22</f>
        <v>490000000000</v>
      </c>
      <c r="O97" s="86" t="s">
        <v>2808</v>
      </c>
      <c r="P97" s="1107">
        <f>Pandeo!I31</f>
        <v>0.34</v>
      </c>
    </row>
    <row r="98" spans="1:16" ht="15.75">
      <c r="A98" s="978"/>
      <c r="B98" s="970"/>
      <c r="C98" s="7"/>
      <c r="D98" s="7"/>
      <c r="E98" s="7"/>
      <c r="F98" s="7"/>
      <c r="G98" s="48"/>
      <c r="H98" s="7"/>
      <c r="I98" s="979"/>
      <c r="K98" s="1120" t="s">
        <v>2770</v>
      </c>
      <c r="L98" s="1108">
        <f>General!H5*1000</f>
        <v>210000</v>
      </c>
      <c r="M98" s="852" t="s">
        <v>2807</v>
      </c>
      <c r="N98" s="1110" t="str">
        <f>General!I22</f>
        <v>b</v>
      </c>
      <c r="O98" s="1102" t="s">
        <v>2809</v>
      </c>
      <c r="P98" s="1107">
        <f>0.5*(1+P97*(P95-P92)+P91*P95^2)</f>
        <v>1.0044185848223601</v>
      </c>
    </row>
    <row r="99" spans="1:16" ht="18.75">
      <c r="A99" s="978"/>
      <c r="B99" s="970"/>
      <c r="C99" s="7"/>
      <c r="D99" s="7"/>
      <c r="E99" s="7"/>
      <c r="F99" s="7"/>
      <c r="G99" s="48"/>
      <c r="H99" s="7"/>
      <c r="I99" s="979"/>
      <c r="K99" s="1120" t="s">
        <v>79</v>
      </c>
      <c r="L99" s="1108">
        <f>General!I5*1000</f>
        <v>80000</v>
      </c>
      <c r="M99" s="241" t="s">
        <v>2810</v>
      </c>
      <c r="N99" s="1107">
        <f>IF(1/(P98+(P98^2-P91*P95^2)^0.5)&gt;1,1,1/(P98+(P98^2-P91*P95^2)^0.5))</f>
        <v>0.67303094911550665</v>
      </c>
      <c r="O99" s="1111" t="s">
        <v>2812</v>
      </c>
      <c r="P99" s="1113">
        <f>N99*General!F11</f>
        <v>230.38490370080092</v>
      </c>
    </row>
    <row r="100" spans="1:16">
      <c r="A100" s="978"/>
      <c r="B100" s="1130">
        <f>(General!D5/235)^2</f>
        <v>1.3693979176097781</v>
      </c>
      <c r="C100" s="7"/>
      <c r="D100" s="7"/>
      <c r="E100" s="7"/>
      <c r="F100" s="7"/>
      <c r="G100" s="48"/>
      <c r="H100" s="7"/>
      <c r="I100" s="979"/>
      <c r="M100" s="1237" t="s">
        <v>2884</v>
      </c>
      <c r="N100">
        <f>1/P95^2</f>
        <v>1.2868134145170824</v>
      </c>
    </row>
    <row r="101" spans="1:16">
      <c r="A101" s="978"/>
      <c r="B101" s="945"/>
      <c r="C101" s="7"/>
      <c r="D101" s="7"/>
      <c r="E101" s="7"/>
      <c r="F101" s="7"/>
      <c r="G101" s="48"/>
      <c r="H101" s="7"/>
      <c r="I101" s="979"/>
      <c r="K101" s="1121"/>
      <c r="L101" s="1122"/>
      <c r="M101" s="1122"/>
      <c r="N101" s="1122"/>
      <c r="O101" s="1122"/>
      <c r="P101" s="1123"/>
    </row>
    <row r="102" spans="1:16">
      <c r="A102" s="978"/>
      <c r="B102" s="945"/>
      <c r="C102" s="7"/>
      <c r="D102" s="7"/>
      <c r="E102" s="7"/>
      <c r="F102" s="7"/>
      <c r="G102" s="48"/>
      <c r="H102" s="7"/>
      <c r="I102" s="979"/>
    </row>
    <row r="103" spans="1:16">
      <c r="A103" s="978"/>
      <c r="B103" s="1131">
        <f>(General!F11*1000000/General!C5)^2</f>
        <v>1708249000000.0005</v>
      </c>
      <c r="C103" s="7"/>
      <c r="D103" s="7"/>
      <c r="E103" s="7"/>
      <c r="F103" s="7"/>
      <c r="G103" s="48"/>
      <c r="H103" s="7"/>
      <c r="I103" s="979"/>
    </row>
    <row r="104" spans="1:16">
      <c r="A104" s="978"/>
      <c r="B104" s="945"/>
      <c r="C104" s="7"/>
      <c r="D104" s="7"/>
      <c r="E104" s="7"/>
      <c r="F104" s="7"/>
      <c r="G104" s="48"/>
      <c r="H104" s="7"/>
      <c r="I104" s="979"/>
    </row>
    <row r="105" spans="1:16">
      <c r="A105" s="978" t="s">
        <v>2761</v>
      </c>
      <c r="B105" s="945"/>
      <c r="C105" s="7"/>
      <c r="D105" s="7"/>
      <c r="E105" s="7"/>
      <c r="F105" s="7"/>
      <c r="G105" s="971" t="s">
        <v>2762</v>
      </c>
      <c r="H105" s="1124">
        <f>0.21*F23*General!K5*(General!F22)^0.5/(General!F11*1000/General!C5/General!F47)^0.5/100</f>
        <v>0.89640024099494753</v>
      </c>
      <c r="I105" s="982" t="s">
        <v>2765</v>
      </c>
    </row>
    <row r="106" spans="1:16">
      <c r="A106" s="978"/>
      <c r="B106" s="945"/>
      <c r="C106" s="7"/>
      <c r="D106" s="7"/>
      <c r="E106" s="7"/>
      <c r="F106" s="7"/>
      <c r="G106" s="48"/>
      <c r="H106" s="7"/>
      <c r="I106" s="979"/>
    </row>
    <row r="107" spans="1:16">
      <c r="A107" s="978"/>
      <c r="B107" s="945"/>
      <c r="C107" s="7"/>
      <c r="D107" s="7"/>
      <c r="E107" s="7"/>
      <c r="F107" s="7"/>
      <c r="G107" s="48"/>
      <c r="H107" s="7"/>
      <c r="I107" s="979"/>
    </row>
    <row r="108" spans="1:16">
      <c r="A108" s="978"/>
      <c r="B108" s="945"/>
      <c r="C108" s="7"/>
      <c r="D108" s="7"/>
      <c r="E108" s="7"/>
      <c r="F108" s="7"/>
      <c r="G108" s="48"/>
      <c r="H108" s="7"/>
      <c r="I108" s="979"/>
    </row>
    <row r="109" spans="1:16">
      <c r="A109" s="978"/>
      <c r="B109" s="945"/>
      <c r="C109" s="7"/>
      <c r="D109" s="7"/>
      <c r="E109" s="7"/>
      <c r="F109" s="7"/>
      <c r="G109" s="48"/>
      <c r="H109" s="7"/>
      <c r="I109" s="979"/>
    </row>
    <row r="110" spans="1:16">
      <c r="A110" s="978"/>
      <c r="B110" s="945"/>
      <c r="C110" s="7"/>
      <c r="D110" s="7"/>
      <c r="E110" s="7"/>
      <c r="F110" s="7"/>
      <c r="G110" s="48"/>
      <c r="H110" s="7"/>
      <c r="I110" s="979"/>
    </row>
    <row r="111" spans="1:16">
      <c r="A111" s="978"/>
      <c r="B111" s="945"/>
      <c r="C111" s="7"/>
      <c r="D111" s="7"/>
      <c r="E111" s="7"/>
      <c r="F111" s="7"/>
      <c r="G111" s="48"/>
      <c r="H111" s="7"/>
      <c r="I111" s="979"/>
    </row>
    <row r="112" spans="1:16">
      <c r="A112" s="978"/>
      <c r="B112" s="972" t="s">
        <v>2776</v>
      </c>
      <c r="C112" s="7"/>
      <c r="D112" s="7"/>
      <c r="E112" s="7"/>
      <c r="F112" s="7"/>
      <c r="G112" s="48"/>
      <c r="H112" s="7"/>
      <c r="I112" s="979"/>
    </row>
    <row r="113" spans="1:10">
      <c r="A113" s="978"/>
      <c r="B113" s="1125" t="s">
        <v>2764</v>
      </c>
      <c r="C113" s="1126" t="s">
        <v>2763</v>
      </c>
      <c r="D113" s="1132" t="s">
        <v>2762</v>
      </c>
      <c r="E113" s="1128">
        <f>40*F23/100</f>
        <v>1.58</v>
      </c>
      <c r="F113" s="1127" t="s">
        <v>2765</v>
      </c>
      <c r="G113" s="1129"/>
      <c r="H113" s="7"/>
      <c r="I113" s="979"/>
    </row>
    <row r="114" spans="1:10">
      <c r="A114" s="983"/>
      <c r="B114" s="984"/>
      <c r="C114" s="985"/>
      <c r="D114" s="985"/>
      <c r="E114" s="985"/>
      <c r="F114" s="985"/>
      <c r="G114" s="986"/>
      <c r="H114" s="985"/>
      <c r="I114" s="987"/>
    </row>
    <row r="116" spans="1:10">
      <c r="A116" s="988" t="s">
        <v>2780</v>
      </c>
      <c r="B116" s="989"/>
      <c r="C116" s="989"/>
      <c r="D116" s="988" t="s">
        <v>2781</v>
      </c>
      <c r="E116" s="989"/>
      <c r="F116" s="989"/>
      <c r="G116" s="990"/>
      <c r="H116" s="989"/>
      <c r="I116" s="989"/>
    </row>
    <row r="117" spans="1:10" ht="15">
      <c r="A117" s="992" t="s">
        <v>2782</v>
      </c>
      <c r="B117" s="993">
        <f>General!E10</f>
        <v>500</v>
      </c>
      <c r="C117" s="993"/>
      <c r="D117" s="1041">
        <f>General!F31</f>
        <v>0.24364097066562715</v>
      </c>
    </row>
    <row r="118" spans="1:10" ht="15">
      <c r="A118" s="992" t="s">
        <v>2783</v>
      </c>
      <c r="B118" s="994">
        <f>General!J31</f>
        <v>2191.7540648726017</v>
      </c>
      <c r="C118" s="993"/>
      <c r="D118" s="1042">
        <f>General!F32</f>
        <v>1.4583211806568279</v>
      </c>
      <c r="I118" s="1039" t="s">
        <v>47</v>
      </c>
      <c r="J118" s="1039"/>
    </row>
    <row r="119" spans="1:10" ht="15">
      <c r="A119" s="992" t="s">
        <v>2784</v>
      </c>
      <c r="B119" s="994">
        <f>General!J32</f>
        <v>792.33686262340291</v>
      </c>
      <c r="C119" s="993"/>
      <c r="D119" s="1043">
        <f>General!K37</f>
        <v>0.74</v>
      </c>
      <c r="F119" s="991"/>
      <c r="G119" s="506" t="s">
        <v>2785</v>
      </c>
      <c r="H119" s="477"/>
      <c r="I119" s="542"/>
      <c r="J119" s="542"/>
    </row>
    <row r="120" spans="1:10" ht="15">
      <c r="A120" s="993"/>
      <c r="B120" s="993">
        <f>General!I37</f>
        <v>0.74</v>
      </c>
      <c r="C120" s="993"/>
      <c r="D120" s="1043">
        <f>General!J37</f>
        <v>0.74</v>
      </c>
      <c r="I120" s="1037">
        <f>IF(D118&lt;0.4,I122,I121)</f>
        <v>0.8712153616219791</v>
      </c>
      <c r="J120" s="1037">
        <f>IF(B127&lt;=2,B126,D126)</f>
        <v>1.3937623382621855</v>
      </c>
    </row>
    <row r="121" spans="1:10">
      <c r="A121" s="1035" t="s">
        <v>2548</v>
      </c>
      <c r="B121" s="1036" t="s">
        <v>2795</v>
      </c>
      <c r="C121" s="1036"/>
      <c r="D121" s="988" t="s">
        <v>2796</v>
      </c>
      <c r="I121" s="1038">
        <f>IF(B127=1,B124,IF(B127=2,B124,D124))</f>
        <v>0.8712153616219791</v>
      </c>
    </row>
    <row r="122" spans="1:10">
      <c r="A122" s="1033" t="s">
        <v>2791</v>
      </c>
      <c r="B122" s="993">
        <f>E133</f>
        <v>0.74736723129892801</v>
      </c>
      <c r="D122" s="993">
        <f>J133</f>
        <v>0.76467808608394805</v>
      </c>
      <c r="I122" s="1038">
        <f>IF(B127=1,B125,IF(B127=2,B125,D125))</f>
        <v>0.81219063411010184</v>
      </c>
    </row>
    <row r="123" spans="1:10">
      <c r="A123" s="1033" t="s">
        <v>2792</v>
      </c>
      <c r="B123" s="999">
        <f>E138</f>
        <v>0.83625740295731132</v>
      </c>
      <c r="D123" s="993">
        <f>J138</f>
        <v>1.0201838592552224</v>
      </c>
      <c r="F123" s="991"/>
      <c r="G123" s="506" t="s">
        <v>2786</v>
      </c>
      <c r="H123" s="477"/>
      <c r="I123" s="542"/>
      <c r="J123" s="542"/>
    </row>
    <row r="124" spans="1:10" ht="14.25">
      <c r="A124" s="1033" t="s">
        <v>2793</v>
      </c>
      <c r="B124" s="1069">
        <f>E144</f>
        <v>0.8712153616219791</v>
      </c>
      <c r="C124" s="1067"/>
      <c r="D124" s="1067">
        <f>J148</f>
        <v>0.93560768081098955</v>
      </c>
      <c r="I124" s="1037">
        <f>IF(B127=1,B122,IF(B127=2,B122,D122))</f>
        <v>0.74736723129892801</v>
      </c>
      <c r="J124" s="1037">
        <f>IF(B127=1,B123,IF(B127=2,B123,D123))</f>
        <v>0.83625740295731132</v>
      </c>
    </row>
    <row r="125" spans="1:10">
      <c r="A125" s="1033" t="s">
        <v>2793</v>
      </c>
      <c r="B125" s="1069">
        <f>E150</f>
        <v>0.81219063411010184</v>
      </c>
      <c r="C125" s="1067"/>
      <c r="D125" s="1067">
        <f>D124</f>
        <v>0.93560768081098955</v>
      </c>
    </row>
    <row r="126" spans="1:10">
      <c r="A126" s="1033" t="s">
        <v>2794</v>
      </c>
      <c r="B126" s="1068">
        <f>E156</f>
        <v>1.3937623382621855</v>
      </c>
      <c r="D126" s="993">
        <f>J156</f>
        <v>1.0201838592552224</v>
      </c>
    </row>
    <row r="127" spans="1:10">
      <c r="A127" s="1034" t="s">
        <v>2790</v>
      </c>
      <c r="B127" s="1040">
        <f>General!H12</f>
        <v>2</v>
      </c>
    </row>
    <row r="128" spans="1:10">
      <c r="B128" s="252"/>
      <c r="D128" s="504"/>
      <c r="E128" s="995" t="s">
        <v>2777</v>
      </c>
      <c r="F128" s="504"/>
      <c r="G128" s="995" t="s">
        <v>2778</v>
      </c>
    </row>
    <row r="129" spans="1:10" ht="13.5" thickBot="1">
      <c r="B129" s="252"/>
    </row>
    <row r="130" spans="1:10">
      <c r="A130" s="1000"/>
      <c r="B130" s="1011"/>
      <c r="C130" s="1012" t="s">
        <v>2779</v>
      </c>
      <c r="D130" s="1011"/>
      <c r="E130" s="1011"/>
      <c r="F130" s="1001"/>
      <c r="G130" s="1013"/>
      <c r="H130" s="1014"/>
      <c r="I130" s="1014"/>
      <c r="J130" s="1015"/>
    </row>
    <row r="131" spans="1:10">
      <c r="A131" s="929"/>
      <c r="B131" s="997"/>
      <c r="C131" s="997"/>
      <c r="D131" s="997"/>
      <c r="E131" s="997"/>
      <c r="F131" s="7"/>
      <c r="G131" s="554"/>
      <c r="H131" s="553"/>
      <c r="I131" s="553"/>
      <c r="J131" s="1016"/>
    </row>
    <row r="132" spans="1:10">
      <c r="A132" s="1017"/>
      <c r="B132" s="997"/>
      <c r="C132" s="997"/>
      <c r="D132" s="997">
        <f>B120*(1+(D117-0.2)*B117/B118)</f>
        <v>0.74736723129892801</v>
      </c>
      <c r="E132" s="997"/>
      <c r="F132" s="7"/>
      <c r="G132" s="554"/>
      <c r="H132" s="553"/>
      <c r="I132" s="553">
        <f>B120*(1+0.6*D117*B117/B118)</f>
        <v>0.76467808608394805</v>
      </c>
      <c r="J132" s="1016"/>
    </row>
    <row r="133" spans="1:10">
      <c r="A133" s="929"/>
      <c r="B133" s="997"/>
      <c r="C133" s="997"/>
      <c r="D133" s="1146" t="s">
        <v>2787</v>
      </c>
      <c r="E133" s="1006">
        <f>MIN(D132,D134)</f>
        <v>0.74736723129892801</v>
      </c>
      <c r="F133" s="7"/>
      <c r="G133" s="554"/>
      <c r="H133" s="553"/>
      <c r="I133" s="1146" t="s">
        <v>2787</v>
      </c>
      <c r="J133" s="1007">
        <f>MIN(I132,I134)</f>
        <v>0.76467808608394805</v>
      </c>
    </row>
    <row r="134" spans="1:10">
      <c r="A134" s="929"/>
      <c r="B134" s="997"/>
      <c r="C134" s="997"/>
      <c r="D134" s="997">
        <f>B120*(1+0.8*B117/B118)</f>
        <v>0.87505164869727547</v>
      </c>
      <c r="E134" s="997"/>
      <c r="F134" s="7"/>
      <c r="G134" s="554"/>
      <c r="H134" s="553"/>
      <c r="I134" s="553">
        <f>B120*(1+0.6*B117/B118)</f>
        <v>0.84128873652295644</v>
      </c>
      <c r="J134" s="1016"/>
    </row>
    <row r="135" spans="1:10" ht="13.5" thickBot="1">
      <c r="A135" s="1004"/>
      <c r="B135" s="1018"/>
      <c r="C135" s="1018"/>
      <c r="D135" s="1018"/>
      <c r="E135" s="1018"/>
      <c r="F135" s="1005"/>
      <c r="G135" s="1019"/>
      <c r="H135" s="1020"/>
      <c r="I135" s="1020"/>
      <c r="J135" s="1021"/>
    </row>
    <row r="136" spans="1:10" ht="13.5" thickBot="1"/>
    <row r="137" spans="1:10">
      <c r="A137" s="1000"/>
      <c r="B137" s="1011"/>
      <c r="C137" s="1011"/>
      <c r="D137" s="1011"/>
      <c r="E137" s="1011"/>
      <c r="F137" s="1001"/>
      <c r="G137" s="1013"/>
      <c r="H137" s="1014"/>
      <c r="I137" s="1014"/>
      <c r="J137" s="1015"/>
    </row>
    <row r="138" spans="1:10">
      <c r="A138" s="1022"/>
      <c r="B138" s="1145"/>
      <c r="C138" s="1145"/>
      <c r="D138" s="1145"/>
      <c r="E138" s="1006">
        <f>0.6*E156</f>
        <v>0.83625740295731132</v>
      </c>
      <c r="F138" s="998"/>
      <c r="G138" s="1133"/>
      <c r="H138" s="1134"/>
      <c r="I138" s="1134"/>
      <c r="J138" s="1007">
        <f>J156</f>
        <v>1.0201838592552224</v>
      </c>
    </row>
    <row r="139" spans="1:10" ht="13.5" thickBot="1">
      <c r="A139" s="1004"/>
      <c r="B139" s="1018"/>
      <c r="C139" s="1018"/>
      <c r="D139" s="1018"/>
      <c r="E139" s="1018"/>
      <c r="F139" s="1005"/>
      <c r="G139" s="1019"/>
      <c r="H139" s="1020"/>
      <c r="I139" s="1020"/>
      <c r="J139" s="1021"/>
    </row>
    <row r="140" spans="1:10">
      <c r="A140" s="1000"/>
      <c r="B140" s="1001"/>
      <c r="C140" s="1001"/>
      <c r="D140" s="1001"/>
      <c r="E140" s="1001"/>
      <c r="F140" s="1001"/>
      <c r="G140" s="1002"/>
      <c r="H140" s="1001"/>
      <c r="I140" s="1001"/>
      <c r="J140" s="1003"/>
    </row>
    <row r="141" spans="1:10">
      <c r="A141" s="929"/>
      <c r="B141" s="7"/>
      <c r="C141" s="996" t="s">
        <v>2788</v>
      </c>
      <c r="D141" s="7"/>
      <c r="E141" s="7"/>
      <c r="F141" s="7"/>
      <c r="G141" s="48"/>
      <c r="H141" s="7"/>
      <c r="I141" s="7"/>
      <c r="J141" s="934"/>
    </row>
    <row r="142" spans="1:10">
      <c r="A142" s="929"/>
      <c r="B142" s="997"/>
      <c r="C142" s="997"/>
      <c r="D142" s="997"/>
      <c r="E142" s="997"/>
      <c r="F142" s="7"/>
      <c r="G142" s="554"/>
      <c r="H142" s="553"/>
      <c r="I142" s="553"/>
      <c r="J142" s="1016"/>
    </row>
    <row r="143" spans="1:10">
      <c r="A143" s="929"/>
      <c r="B143" s="997"/>
      <c r="C143" s="997"/>
      <c r="D143" s="1144">
        <f>(1-0.1*D118/(D119-0.25)*B117/B119)</f>
        <v>0.81219063411010184</v>
      </c>
      <c r="E143" s="997"/>
      <c r="F143" s="7"/>
      <c r="G143" s="554"/>
      <c r="H143" s="553"/>
      <c r="I143" s="553"/>
      <c r="J143" s="1016"/>
    </row>
    <row r="144" spans="1:10">
      <c r="A144" s="1023"/>
      <c r="B144" s="997"/>
      <c r="C144" s="997"/>
      <c r="D144" s="1146" t="s">
        <v>2789</v>
      </c>
      <c r="E144" s="1006">
        <f>MAX(D143,D145)</f>
        <v>0.8712153616219791</v>
      </c>
      <c r="F144" s="7"/>
      <c r="G144" s="554"/>
      <c r="H144" s="553"/>
      <c r="I144" s="553"/>
      <c r="J144" s="1016"/>
    </row>
    <row r="145" spans="1:10">
      <c r="A145" s="929"/>
      <c r="B145" s="997"/>
      <c r="C145" s="997"/>
      <c r="D145" s="1144">
        <f>1-0.1/(D119-0.25)*B117/B119</f>
        <v>0.8712153616219791</v>
      </c>
      <c r="E145" s="997"/>
      <c r="F145" s="7"/>
      <c r="G145" s="554"/>
      <c r="H145" s="553"/>
      <c r="I145" s="553"/>
      <c r="J145" s="1016"/>
    </row>
    <row r="146" spans="1:10">
      <c r="A146" s="929"/>
      <c r="B146" s="997"/>
      <c r="C146" s="997"/>
      <c r="D146" s="997"/>
      <c r="E146" s="997"/>
      <c r="F146" s="7"/>
      <c r="G146" s="554"/>
      <c r="H146" s="553"/>
      <c r="I146" s="553"/>
      <c r="J146" s="1016"/>
    </row>
    <row r="147" spans="1:10">
      <c r="A147" s="929"/>
      <c r="B147" s="7"/>
      <c r="C147" s="7"/>
      <c r="D147" s="7"/>
      <c r="E147" s="7"/>
      <c r="F147" s="7"/>
      <c r="G147" s="554"/>
      <c r="H147" s="553"/>
      <c r="I147" s="1135">
        <f>1-0.05/(D119-0.25)*B117/B119</f>
        <v>0.93560768081098955</v>
      </c>
      <c r="J147" s="1016"/>
    </row>
    <row r="148" spans="1:10">
      <c r="A148" s="929"/>
      <c r="B148" s="7"/>
      <c r="C148" s="7"/>
      <c r="D148" s="7"/>
      <c r="E148" s="7"/>
      <c r="F148" s="7"/>
      <c r="G148" s="554"/>
      <c r="H148" s="553"/>
      <c r="I148" s="1146" t="s">
        <v>2789</v>
      </c>
      <c r="J148" s="1007">
        <f>MAX(I147,I149)</f>
        <v>0.93560768081098955</v>
      </c>
    </row>
    <row r="149" spans="1:10">
      <c r="A149" s="929"/>
      <c r="B149" s="997"/>
      <c r="C149" s="997"/>
      <c r="D149" s="1155">
        <f>0.6+D118</f>
        <v>2.058321180656828</v>
      </c>
      <c r="E149" s="997"/>
      <c r="F149" s="7"/>
      <c r="G149" s="554"/>
      <c r="H149" s="553"/>
      <c r="I149" s="1135">
        <f>1-0.05*D118/(D119-0.25)*B117/B119</f>
        <v>0.90609531705505097</v>
      </c>
      <c r="J149" s="1016"/>
    </row>
    <row r="150" spans="1:10">
      <c r="A150" s="1023"/>
      <c r="B150" s="997"/>
      <c r="C150" s="997"/>
      <c r="D150" s="1146" t="s">
        <v>2787</v>
      </c>
      <c r="E150" s="1006">
        <f>MIN(D149,D151)</f>
        <v>0.81219063411010184</v>
      </c>
      <c r="F150" s="7"/>
      <c r="G150" s="554"/>
      <c r="H150" s="553"/>
      <c r="I150" s="553"/>
      <c r="J150" s="1016"/>
    </row>
    <row r="151" spans="1:10">
      <c r="A151" s="929"/>
      <c r="B151" s="997"/>
      <c r="C151" s="997"/>
      <c r="D151" s="1144">
        <f>1-0.1*D118/(D119-0.25)*B117/B119</f>
        <v>0.81219063411010184</v>
      </c>
      <c r="E151" s="997"/>
      <c r="F151" s="7"/>
      <c r="G151" s="554"/>
      <c r="H151" s="553"/>
      <c r="I151" s="553"/>
      <c r="J151" s="1016"/>
    </row>
    <row r="152" spans="1:10" ht="13.5" thickBot="1">
      <c r="A152" s="1004"/>
      <c r="B152" s="1018"/>
      <c r="C152" s="1018"/>
      <c r="D152" s="1018"/>
      <c r="E152" s="1018"/>
      <c r="F152" s="1005"/>
      <c r="G152" s="1019"/>
      <c r="H152" s="1020"/>
      <c r="I152" s="1020"/>
      <c r="J152" s="1021"/>
    </row>
    <row r="153" spans="1:10" ht="13.5" thickBot="1"/>
    <row r="154" spans="1:10">
      <c r="A154" s="1008"/>
      <c r="B154" s="1140"/>
      <c r="C154" s="1140"/>
      <c r="D154" s="1140"/>
      <c r="E154" s="1140"/>
      <c r="F154" s="1031"/>
      <c r="G154" s="1030"/>
      <c r="H154" s="1029"/>
      <c r="I154" s="1029"/>
      <c r="J154" s="1136"/>
    </row>
    <row r="155" spans="1:10">
      <c r="A155" s="935"/>
      <c r="B155" s="1141"/>
      <c r="C155" s="1141"/>
      <c r="D155" s="1142">
        <f>D120*(1+(2*D118-0.6)*B117/B119)</f>
        <v>1.8218096621783191</v>
      </c>
      <c r="E155" s="1141"/>
      <c r="F155" s="898"/>
      <c r="G155" s="1026"/>
      <c r="H155" s="1024"/>
      <c r="I155" s="1025">
        <f>D120*(1+0.6*D118*B117/B119)</f>
        <v>1.1485980564300624</v>
      </c>
      <c r="J155" s="1137"/>
    </row>
    <row r="156" spans="1:10">
      <c r="A156" s="938"/>
      <c r="B156" s="1141"/>
      <c r="C156" s="1141"/>
      <c r="D156" s="1139" t="s">
        <v>2787</v>
      </c>
      <c r="E156" s="1006">
        <f>MIN(D155,D157)</f>
        <v>1.3937623382621855</v>
      </c>
      <c r="F156" s="898"/>
      <c r="G156" s="1026"/>
      <c r="H156" s="1024"/>
      <c r="I156" s="1139" t="s">
        <v>2787</v>
      </c>
      <c r="J156" s="1009">
        <f>MIN(I155,I157)</f>
        <v>1.0201838592552224</v>
      </c>
    </row>
    <row r="157" spans="1:10">
      <c r="A157" s="935"/>
      <c r="B157" s="1141"/>
      <c r="C157" s="1141"/>
      <c r="D157" s="1142">
        <f>D120*(1+1.4*B117/B119)</f>
        <v>1.3937623382621855</v>
      </c>
      <c r="E157" s="1141"/>
      <c r="F157" s="898"/>
      <c r="G157" s="1026"/>
      <c r="H157" s="1024"/>
      <c r="I157" s="1025">
        <f>D120*(1+0.6*B117/B119)</f>
        <v>1.0201838592552224</v>
      </c>
      <c r="J157" s="1137"/>
    </row>
    <row r="158" spans="1:10" ht="13.5" thickBot="1">
      <c r="A158" s="1010"/>
      <c r="B158" s="1143"/>
      <c r="C158" s="1143"/>
      <c r="D158" s="1143"/>
      <c r="E158" s="1143"/>
      <c r="F158" s="1032"/>
      <c r="G158" s="1028"/>
      <c r="H158" s="1027"/>
      <c r="I158" s="1027"/>
      <c r="J158" s="1138"/>
    </row>
    <row r="160" spans="1:10">
      <c r="F160" s="8"/>
      <c r="G160"/>
    </row>
    <row r="161" spans="1:10">
      <c r="B161" s="8"/>
      <c r="D161" s="1039" t="s">
        <v>47</v>
      </c>
      <c r="E161" s="1039"/>
      <c r="F161" s="8"/>
      <c r="G161" s="542"/>
      <c r="I161" s="542"/>
    </row>
    <row r="162" spans="1:10">
      <c r="A162" s="991"/>
      <c r="B162" s="506" t="s">
        <v>2785</v>
      </c>
      <c r="C162" s="477"/>
      <c r="D162" s="504" t="s">
        <v>2798</v>
      </c>
      <c r="F162" s="8"/>
      <c r="G162"/>
    </row>
    <row r="163" spans="1:10" ht="14.25">
      <c r="B163" s="8"/>
      <c r="D163" s="1047">
        <f>F163+G163*H163+I163*J163</f>
        <v>0.9260067551422666</v>
      </c>
      <c r="E163" s="1046" t="s">
        <v>2797</v>
      </c>
      <c r="F163" s="1044">
        <f>B117/B119</f>
        <v>0.63104472805230272</v>
      </c>
      <c r="G163" s="1045">
        <f>I120</f>
        <v>0.8712153616219791</v>
      </c>
      <c r="H163" s="1045">
        <f>General!K26</f>
        <v>0.33856385009192264</v>
      </c>
      <c r="I163" s="1045">
        <f>J120</f>
        <v>1.3937623382621855</v>
      </c>
      <c r="J163" s="993">
        <f>General!G13</f>
        <v>0</v>
      </c>
    </row>
    <row r="164" spans="1:10">
      <c r="B164" s="8"/>
      <c r="D164" s="1038"/>
      <c r="F164" s="8"/>
      <c r="G164"/>
    </row>
    <row r="165" spans="1:10">
      <c r="B165" s="8"/>
      <c r="D165" s="1038"/>
      <c r="F165" s="8"/>
      <c r="G165"/>
    </row>
    <row r="166" spans="1:10">
      <c r="A166" s="991"/>
      <c r="B166" s="506" t="s">
        <v>2786</v>
      </c>
      <c r="C166" s="477"/>
      <c r="D166" s="504" t="s">
        <v>2798</v>
      </c>
      <c r="F166" s="8"/>
      <c r="G166" s="542"/>
      <c r="I166" s="542"/>
    </row>
    <row r="167" spans="1:10" ht="14.25">
      <c r="B167" s="8"/>
      <c r="D167" s="1047">
        <f>F167+G167*H167+I167*J167</f>
        <v>0.48115931222271946</v>
      </c>
      <c r="E167" s="1046" t="s">
        <v>2797</v>
      </c>
      <c r="F167" s="1044">
        <f>B117/B118</f>
        <v>0.22812778496161387</v>
      </c>
      <c r="G167" s="1045">
        <f>I124</f>
        <v>0.74736723129892801</v>
      </c>
      <c r="H167" s="1045">
        <f>H163</f>
        <v>0.33856385009192264</v>
      </c>
      <c r="I167" s="1045">
        <f>J124</f>
        <v>0.83625740295731132</v>
      </c>
      <c r="J167" s="993">
        <f>J163</f>
        <v>0</v>
      </c>
    </row>
    <row r="168" spans="1:10">
      <c r="B168" s="8"/>
      <c r="F168" s="8"/>
      <c r="G168"/>
    </row>
    <row r="169" spans="1:10">
      <c r="B169" s="8"/>
      <c r="F169" s="8"/>
      <c r="G169"/>
    </row>
  </sheetData>
  <sheetProtection sheet="1" selectLockedCells="1"/>
  <phoneticPr fontId="0" type="noConversion"/>
  <conditionalFormatting sqref="C32">
    <cfRule type="cellIs" dxfId="3" priority="2" operator="lessThan">
      <formula>0</formula>
    </cfRule>
    <cfRule type="cellIs" dxfId="2" priority="3" operator="lessThan">
      <formula>-246700</formula>
    </cfRule>
  </conditionalFormatting>
  <dataValidations count="1">
    <dataValidation type="list" allowBlank="1" showInputMessage="1" showErrorMessage="1" sqref="D31" xr:uid="{00000000-0002-0000-0200-000000000000}">
      <formula1>$M$24:$M$25</formula1>
    </dataValidation>
  </dataValidations>
  <pageMargins left="0.75" right="0.75" top="1" bottom="1" header="0" footer="0"/>
  <pageSetup paperSize="9" orientation="portrait" horizontalDpi="300" verticalDpi="300" r:id="rId1"/>
  <headerFooter alignWithMargins="0">
    <oddHeader>&amp;L&amp;8&amp;F&amp;C
COMPROBACIÓN A PANDEO LATERAL SEGÚN EL CTE&amp;R&amp;8&amp;D</oddHeader>
    <oddFooter>&amp;LAutor: Ignacio Guerra</oddFooter>
  </headerFooter>
  <drawing r:id="rId2"/>
  <legacyDrawing r:id="rId3"/>
  <oleObjects>
    <mc:AlternateContent xmlns:mc="http://schemas.openxmlformats.org/markup-compatibility/2006">
      <mc:Choice Requires="x14">
        <oleObject progId="Equation.3" shapeId="3" r:id="rId4">
          <objectPr defaultSize="0" autoPict="0" r:id="rId5">
            <anchor moveWithCells="1" sizeWithCells="1">
              <from>
                <xdr:col>0</xdr:col>
                <xdr:colOff>209550</xdr:colOff>
                <xdr:row>105</xdr:row>
                <xdr:rowOff>104775</xdr:rowOff>
              </from>
              <to>
                <xdr:col>2</xdr:col>
                <xdr:colOff>419100</xdr:colOff>
                <xdr:row>110</xdr:row>
                <xdr:rowOff>19050</xdr:rowOff>
              </to>
            </anchor>
          </objectPr>
        </oleObject>
      </mc:Choice>
      <mc:Fallback>
        <oleObject progId="Equation.3" shapeId="12310" r:id="rId4"/>
      </mc:Fallback>
    </mc:AlternateContent>
    <mc:AlternateContent xmlns:mc="http://schemas.openxmlformats.org/markup-compatibility/2006">
      <mc:Choice Requires="x14">
        <oleObject progId="Equation.3" shapeId="4" r:id="rId6">
          <objectPr defaultSize="0" autoPict="0" r:id="rId7">
            <anchor moveWithCells="1" sizeWithCells="1">
              <from>
                <xdr:col>9</xdr:col>
                <xdr:colOff>723900</xdr:colOff>
                <xdr:row>88</xdr:row>
                <xdr:rowOff>133350</xdr:rowOff>
              </from>
              <to>
                <xdr:col>13</xdr:col>
                <xdr:colOff>57150</xdr:colOff>
                <xdr:row>91</xdr:row>
                <xdr:rowOff>142875</xdr:rowOff>
              </to>
            </anchor>
          </objectPr>
        </oleObject>
      </mc:Choice>
      <mc:Fallback>
        <oleObject progId="Equation.3" shapeId="12311" r:id="rId6"/>
      </mc:Fallback>
    </mc:AlternateContent>
    <mc:AlternateContent xmlns:mc="http://schemas.openxmlformats.org/markup-compatibility/2006">
      <mc:Choice Requires="x14">
        <oleObject progId="Equation.3" shapeId="5" r:id="rId8">
          <objectPr defaultSize="0" autoPict="0" r:id="rId9">
            <anchor moveWithCells="1">
              <from>
                <xdr:col>14</xdr:col>
                <xdr:colOff>123825</xdr:colOff>
                <xdr:row>93</xdr:row>
                <xdr:rowOff>114300</xdr:rowOff>
              </from>
              <to>
                <xdr:col>14</xdr:col>
                <xdr:colOff>733425</xdr:colOff>
                <xdr:row>95</xdr:row>
                <xdr:rowOff>47625</xdr:rowOff>
              </to>
            </anchor>
          </objectPr>
        </oleObject>
      </mc:Choice>
      <mc:Fallback>
        <oleObject progId="Equation.3" shapeId="12312" r:id="rId8"/>
      </mc:Fallback>
    </mc:AlternateContent>
  </oleObjec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Hoja4"/>
  <dimension ref="B3:M43"/>
  <sheetViews>
    <sheetView topLeftCell="C1" workbookViewId="0">
      <selection activeCell="B44" sqref="B44"/>
    </sheetView>
  </sheetViews>
  <sheetFormatPr baseColWidth="10" defaultRowHeight="12.75"/>
  <sheetData>
    <row r="3" spans="2:13" ht="13.5" thickBot="1">
      <c r="B3" s="46" t="s">
        <v>38</v>
      </c>
      <c r="C3" s="24" t="s">
        <v>41</v>
      </c>
      <c r="D3" s="24"/>
      <c r="E3" s="24"/>
      <c r="F3" s="24"/>
      <c r="G3" s="24"/>
      <c r="I3" t="s">
        <v>40</v>
      </c>
    </row>
    <row r="4" spans="2:13" ht="13.5" thickBot="1">
      <c r="C4" s="36"/>
      <c r="D4" s="37" t="s">
        <v>42</v>
      </c>
      <c r="E4" s="38"/>
      <c r="F4" s="38"/>
      <c r="G4" s="39"/>
      <c r="I4" s="32"/>
      <c r="J4" s="33"/>
      <c r="K4" s="34" t="s">
        <v>37</v>
      </c>
      <c r="L4" s="33"/>
      <c r="M4" s="35"/>
    </row>
    <row r="5" spans="2:13">
      <c r="B5" s="3" t="s">
        <v>31</v>
      </c>
      <c r="C5" s="27" t="s">
        <v>32</v>
      </c>
      <c r="D5" s="29" t="s">
        <v>33</v>
      </c>
      <c r="E5" s="27" t="s">
        <v>34</v>
      </c>
      <c r="F5" s="29" t="s">
        <v>35</v>
      </c>
      <c r="G5" s="27" t="s">
        <v>36</v>
      </c>
      <c r="I5" s="8" t="s">
        <v>32</v>
      </c>
      <c r="J5" s="8" t="s">
        <v>33</v>
      </c>
      <c r="K5" s="8" t="s">
        <v>34</v>
      </c>
      <c r="L5" s="8" t="s">
        <v>35</v>
      </c>
      <c r="M5" s="8" t="s">
        <v>36</v>
      </c>
    </row>
    <row r="6" spans="2:13" ht="13.5" thickBot="1">
      <c r="B6" s="21" t="s">
        <v>39</v>
      </c>
      <c r="C6" s="28">
        <v>0.13</v>
      </c>
      <c r="D6" s="30">
        <v>0.21</v>
      </c>
      <c r="E6" s="28">
        <v>0.34</v>
      </c>
      <c r="F6" s="30">
        <v>0.49</v>
      </c>
      <c r="G6" s="28">
        <v>0.76</v>
      </c>
      <c r="I6" s="23">
        <v>0.13</v>
      </c>
      <c r="J6" s="23">
        <v>0.21</v>
      </c>
      <c r="K6" s="23">
        <v>0.34</v>
      </c>
      <c r="L6" s="23">
        <v>0.49</v>
      </c>
      <c r="M6" s="23">
        <v>0.76</v>
      </c>
    </row>
    <row r="7" spans="2:13" ht="14.25" thickTop="1" thickBot="1">
      <c r="B7" s="31">
        <f>Pandeo!D17</f>
        <v>0.24364097066562715</v>
      </c>
      <c r="C7" s="40">
        <f>1/(I7+SQRT(I7*I7-POWER($B7,2)))</f>
        <v>0.99400705919390786</v>
      </c>
      <c r="D7" s="40">
        <f>1/(J7+SQRT(J7*J7-POWER($B7,2)))</f>
        <v>0.99035686632220854</v>
      </c>
      <c r="E7" s="40">
        <f>1/(K7+SQRT(K7*K7-POWER($B7,2)))</f>
        <v>0.98448561089561826</v>
      </c>
      <c r="F7" s="40">
        <f>1/(L7+SQRT(L7*L7-POWER($B7,2)))</f>
        <v>0.97780217051741969</v>
      </c>
      <c r="G7" s="41">
        <f>1/(M7+SQRT(M7*M7-POWER($B7,2)))</f>
        <v>0.96601114171165148</v>
      </c>
      <c r="I7" s="22">
        <f>0.5*(1+C$6*($B7-0.2)+POWER($B7,2))</f>
        <v>0.53251712438671028</v>
      </c>
      <c r="J7" s="22">
        <f>0.5*(1+D$6*($B7-0.2)+POWER($B7,2))</f>
        <v>0.53426276321333532</v>
      </c>
      <c r="K7" s="22">
        <f>0.5*(1+E$6*($B7-0.2)+POWER($B7,2))</f>
        <v>0.53709942630660112</v>
      </c>
      <c r="L7" s="22">
        <f>0.5*(1+F$6*($B7-0.2)+POWER($B7,2))</f>
        <v>0.54037249910652319</v>
      </c>
      <c r="M7" s="22">
        <f>0.5*(1+G$6*($B7-0.2)+POWER($B7,2))</f>
        <v>0.54626403014638281</v>
      </c>
    </row>
    <row r="8" spans="2:13" ht="13.5" thickBot="1">
      <c r="B8" s="31">
        <f>Pandeo!D20</f>
        <v>1.4583211806568279</v>
      </c>
      <c r="C8" s="42">
        <f>1/(I8+SQRT(I8*I8-B8*B8))</f>
        <v>0.41552744000669622</v>
      </c>
      <c r="D8" s="42">
        <f t="shared" ref="D8:D43" si="0">1/(J8+SQRT(J8*J8-POWER($B8,2)))</f>
        <v>0.39057854987000062</v>
      </c>
      <c r="E8" s="42">
        <f t="shared" ref="E8:E43" si="1">1/(K8+SQRT(K8*K8-POWER($B8,2)))</f>
        <v>0.35802203582768077</v>
      </c>
      <c r="F8" s="42">
        <f t="shared" ref="F8:F43" si="2">1/(L8+SQRT(L8*L8-POWER($B8,2)))</f>
        <v>0.3284276342927126</v>
      </c>
      <c r="G8" s="43">
        <f t="shared" ref="G8:G43" si="3">1/(M8+SQRT(M8*M8-POWER($B8,2)))</f>
        <v>0.28817004269781976</v>
      </c>
      <c r="I8" s="22">
        <f t="shared" ref="I8:I43" si="4">0.5*(1+C$6*(B8-0.2)+POWER(B8,2))</f>
        <v>1.645141209718856</v>
      </c>
      <c r="J8" s="22">
        <f t="shared" ref="J8:J43" si="5">0.5*(1+D$6*($B8-0.2)+POWER($B8,2))</f>
        <v>1.6954740569451292</v>
      </c>
      <c r="K8" s="22">
        <f t="shared" ref="K8:K43" si="6">0.5*(1+E$6*($B8-0.2)+POWER($B8,2))</f>
        <v>1.777264933687823</v>
      </c>
      <c r="L8" s="22">
        <f t="shared" ref="L8:L43" si="7">0.5*(1+F$6*($B8-0.2)+POWER($B8,2))</f>
        <v>1.8716390222370851</v>
      </c>
      <c r="M8" s="22">
        <f t="shared" ref="M8:M43" si="8">0.5*(1+G$6*($B8-0.2)+POWER($B8,2))</f>
        <v>2.0415123816257568</v>
      </c>
    </row>
    <row r="9" spans="2:13">
      <c r="B9" s="25">
        <v>0.3</v>
      </c>
      <c r="C9" s="42">
        <f>1/(I9+SQRT(I9*I9-POWER($B9,2)))</f>
        <v>0.98593478302229332</v>
      </c>
      <c r="D9" s="42">
        <f t="shared" si="0"/>
        <v>0.97749258061596089</v>
      </c>
      <c r="E9" s="42">
        <f t="shared" si="1"/>
        <v>0.96410588440475919</v>
      </c>
      <c r="F9" s="42">
        <f t="shared" si="2"/>
        <v>0.94914779479631584</v>
      </c>
      <c r="G9" s="43">
        <f t="shared" si="3"/>
        <v>0.9234556924859556</v>
      </c>
      <c r="I9" s="22">
        <f t="shared" si="4"/>
        <v>0.55149999999999999</v>
      </c>
      <c r="J9" s="22">
        <f t="shared" si="5"/>
        <v>0.55549999999999999</v>
      </c>
      <c r="K9" s="22">
        <f t="shared" si="6"/>
        <v>0.56200000000000006</v>
      </c>
      <c r="L9" s="22">
        <f t="shared" si="7"/>
        <v>0.56950000000000001</v>
      </c>
      <c r="M9" s="22">
        <f t="shared" si="8"/>
        <v>0.58300000000000007</v>
      </c>
    </row>
    <row r="10" spans="2:13">
      <c r="B10" s="25">
        <v>0.35</v>
      </c>
      <c r="C10" s="42">
        <f>1/(I10+SQRT(I10*I10-POWER($B10,2)))</f>
        <v>0.97832502902445007</v>
      </c>
      <c r="D10" s="42">
        <f t="shared" si="0"/>
        <v>0.96550687297793236</v>
      </c>
      <c r="E10" s="42">
        <f t="shared" si="1"/>
        <v>0.94546507497131482</v>
      </c>
      <c r="F10" s="42">
        <f t="shared" si="2"/>
        <v>0.92346741480864236</v>
      </c>
      <c r="G10" s="43">
        <f t="shared" si="3"/>
        <v>0.88661118052132049</v>
      </c>
      <c r="I10" s="22">
        <f t="shared" si="4"/>
        <v>0.57100000000000006</v>
      </c>
      <c r="J10" s="22">
        <f t="shared" si="5"/>
        <v>0.57700000000000007</v>
      </c>
      <c r="K10" s="22">
        <f t="shared" si="6"/>
        <v>0.58674999999999999</v>
      </c>
      <c r="L10" s="22">
        <f t="shared" si="7"/>
        <v>0.59799999999999998</v>
      </c>
      <c r="M10" s="22">
        <f t="shared" si="8"/>
        <v>0.61824999999999997</v>
      </c>
    </row>
    <row r="11" spans="2:13">
      <c r="B11" s="25">
        <v>0.4</v>
      </c>
      <c r="C11" s="42">
        <f t="shared" ref="C11:C43" si="9">1/(I11+SQRT(I11*I11-B11*B11))</f>
        <v>0.97014162084174738</v>
      </c>
      <c r="D11" s="42">
        <f t="shared" si="0"/>
        <v>0.95278534666477388</v>
      </c>
      <c r="E11" s="42">
        <f t="shared" si="1"/>
        <v>0.92607315908505083</v>
      </c>
      <c r="F11" s="42">
        <f t="shared" si="2"/>
        <v>0.89732077167248336</v>
      </c>
      <c r="G11" s="43">
        <f t="shared" si="3"/>
        <v>0.8503846381456156</v>
      </c>
      <c r="I11" s="22">
        <f t="shared" si="4"/>
        <v>0.59299999999999997</v>
      </c>
      <c r="J11" s="22">
        <f t="shared" si="5"/>
        <v>0.60099999999999998</v>
      </c>
      <c r="K11" s="22">
        <f t="shared" si="6"/>
        <v>0.6140000000000001</v>
      </c>
      <c r="L11" s="22">
        <f t="shared" si="7"/>
        <v>0.629</v>
      </c>
      <c r="M11" s="22">
        <f t="shared" si="8"/>
        <v>0.65600000000000014</v>
      </c>
    </row>
    <row r="12" spans="2:13">
      <c r="B12" s="25">
        <v>0.45</v>
      </c>
      <c r="C12" s="42">
        <f t="shared" si="9"/>
        <v>0.96121046644868513</v>
      </c>
      <c r="D12" s="42">
        <f t="shared" si="0"/>
        <v>0.93911833170667225</v>
      </c>
      <c r="E12" s="42">
        <f t="shared" si="1"/>
        <v>0.90572224341724761</v>
      </c>
      <c r="F12" s="42">
        <f t="shared" si="2"/>
        <v>0.87053699521275008</v>
      </c>
      <c r="G12" s="43">
        <f t="shared" si="3"/>
        <v>0.81464052866506065</v>
      </c>
      <c r="I12" s="22">
        <f t="shared" si="4"/>
        <v>0.61749999999999994</v>
      </c>
      <c r="J12" s="22">
        <f t="shared" si="5"/>
        <v>0.62749999999999995</v>
      </c>
      <c r="K12" s="22">
        <f t="shared" si="6"/>
        <v>0.64375000000000004</v>
      </c>
      <c r="L12" s="22">
        <f t="shared" si="7"/>
        <v>0.66250000000000009</v>
      </c>
      <c r="M12" s="22">
        <f t="shared" si="8"/>
        <v>0.69625000000000004</v>
      </c>
    </row>
    <row r="13" spans="2:13">
      <c r="B13" s="25">
        <v>0.5</v>
      </c>
      <c r="C13" s="44">
        <f t="shared" si="9"/>
        <v>0.95132117490882684</v>
      </c>
      <c r="D13" s="44">
        <f t="shared" si="0"/>
        <v>0.92427264228372952</v>
      </c>
      <c r="E13" s="44">
        <f t="shared" si="1"/>
        <v>0.88421539736154475</v>
      </c>
      <c r="F13" s="44">
        <f t="shared" si="2"/>
        <v>0.84299103026152122</v>
      </c>
      <c r="G13" s="45">
        <f t="shared" si="3"/>
        <v>0.77931995920392561</v>
      </c>
      <c r="I13" s="22">
        <f t="shared" si="4"/>
        <v>0.64449999999999996</v>
      </c>
      <c r="J13" s="22">
        <f t="shared" si="5"/>
        <v>0.65649999999999997</v>
      </c>
      <c r="K13" s="22">
        <f t="shared" si="6"/>
        <v>0.67600000000000005</v>
      </c>
      <c r="L13" s="22">
        <f t="shared" si="7"/>
        <v>0.69850000000000001</v>
      </c>
      <c r="M13" s="22">
        <f t="shared" si="8"/>
        <v>0.73899999999999999</v>
      </c>
    </row>
    <row r="14" spans="2:13">
      <c r="B14" s="25">
        <v>0.55000000000000004</v>
      </c>
      <c r="C14" s="42">
        <f t="shared" si="9"/>
        <v>0.94021687954396604</v>
      </c>
      <c r="D14" s="42">
        <f t="shared" si="0"/>
        <v>0.9079907580212393</v>
      </c>
      <c r="E14" s="42">
        <f t="shared" si="1"/>
        <v>0.86137546860180547</v>
      </c>
      <c r="F14" s="42">
        <f t="shared" si="2"/>
        <v>0.81461068211070842</v>
      </c>
      <c r="G14" s="43">
        <f t="shared" si="3"/>
        <v>0.7444298144494621</v>
      </c>
      <c r="I14" s="22">
        <f t="shared" si="4"/>
        <v>0.67400000000000004</v>
      </c>
      <c r="J14" s="22">
        <f t="shared" si="5"/>
        <v>0.68800000000000006</v>
      </c>
      <c r="K14" s="22">
        <f t="shared" si="6"/>
        <v>0.71074999999999999</v>
      </c>
      <c r="L14" s="22">
        <f t="shared" si="7"/>
        <v>0.73699999999999999</v>
      </c>
      <c r="M14" s="22">
        <f t="shared" si="8"/>
        <v>0.78425</v>
      </c>
    </row>
    <row r="15" spans="2:13">
      <c r="B15" s="25">
        <v>0.6</v>
      </c>
      <c r="C15" s="42">
        <f t="shared" si="9"/>
        <v>0.92758365025403311</v>
      </c>
      <c r="D15" s="42">
        <f t="shared" si="0"/>
        <v>0.88999501993143471</v>
      </c>
      <c r="E15" s="42">
        <f t="shared" si="1"/>
        <v>0.83705914889797295</v>
      </c>
      <c r="F15" s="42">
        <f t="shared" si="2"/>
        <v>0.78538459148952455</v>
      </c>
      <c r="G15" s="43">
        <f t="shared" si="3"/>
        <v>0.71003122861821788</v>
      </c>
      <c r="I15" s="22">
        <f t="shared" si="4"/>
        <v>0.70599999999999996</v>
      </c>
      <c r="J15" s="22">
        <f t="shared" si="5"/>
        <v>0.72199999999999998</v>
      </c>
      <c r="K15" s="22">
        <f t="shared" si="6"/>
        <v>0.748</v>
      </c>
      <c r="L15" s="22">
        <f t="shared" si="7"/>
        <v>0.77800000000000002</v>
      </c>
      <c r="M15" s="22">
        <f t="shared" si="8"/>
        <v>0.83200000000000007</v>
      </c>
    </row>
    <row r="16" spans="2:13">
      <c r="B16" s="25">
        <v>0.65</v>
      </c>
      <c r="C16" s="42">
        <f t="shared" si="9"/>
        <v>0.91304214604410339</v>
      </c>
      <c r="D16" s="42">
        <f t="shared" si="0"/>
        <v>0.87000031975448378</v>
      </c>
      <c r="E16" s="42">
        <f t="shared" si="1"/>
        <v>0.81117595450552937</v>
      </c>
      <c r="F16" s="42">
        <f t="shared" si="2"/>
        <v>0.75536876690168331</v>
      </c>
      <c r="G16" s="43">
        <f t="shared" si="3"/>
        <v>0.67622658696353577</v>
      </c>
      <c r="I16" s="22">
        <f t="shared" si="4"/>
        <v>0.74050000000000005</v>
      </c>
      <c r="J16" s="22">
        <f t="shared" si="5"/>
        <v>0.75850000000000006</v>
      </c>
      <c r="K16" s="22">
        <f t="shared" si="6"/>
        <v>0.78775000000000006</v>
      </c>
      <c r="L16" s="22">
        <f t="shared" si="7"/>
        <v>0.82150000000000001</v>
      </c>
      <c r="M16" s="22">
        <f t="shared" si="8"/>
        <v>0.88225000000000009</v>
      </c>
    </row>
    <row r="17" spans="2:13">
      <c r="B17" s="25">
        <v>0.7</v>
      </c>
      <c r="C17" s="42">
        <f t="shared" si="9"/>
        <v>0.89614750732970239</v>
      </c>
      <c r="D17" s="42">
        <f t="shared" si="0"/>
        <v>0.84773950632220074</v>
      </c>
      <c r="E17" s="42">
        <f t="shared" si="1"/>
        <v>0.78371007669478532</v>
      </c>
      <c r="F17" s="42">
        <f t="shared" si="2"/>
        <v>0.72468891890484077</v>
      </c>
      <c r="G17" s="43">
        <f t="shared" si="3"/>
        <v>0.64314519407824033</v>
      </c>
      <c r="I17" s="22">
        <f t="shared" si="4"/>
        <v>0.77749999999999997</v>
      </c>
      <c r="J17" s="22">
        <f t="shared" si="5"/>
        <v>0.79749999999999999</v>
      </c>
      <c r="K17" s="22">
        <f t="shared" si="6"/>
        <v>0.83</v>
      </c>
      <c r="L17" s="22">
        <f t="shared" si="7"/>
        <v>0.86749999999999994</v>
      </c>
      <c r="M17" s="22">
        <f t="shared" si="8"/>
        <v>0.93499999999999994</v>
      </c>
    </row>
    <row r="18" spans="2:13">
      <c r="B18" s="25">
        <v>0.75</v>
      </c>
      <c r="C18" s="42">
        <f t="shared" si="9"/>
        <v>0.87640878025362989</v>
      </c>
      <c r="D18" s="42">
        <f t="shared" si="0"/>
        <v>0.82300473659647</v>
      </c>
      <c r="E18" s="42">
        <f t="shared" si="1"/>
        <v>0.75474070303528973</v>
      </c>
      <c r="F18" s="42">
        <f t="shared" si="2"/>
        <v>0.69353614366612881</v>
      </c>
      <c r="G18" s="43">
        <f t="shared" si="3"/>
        <v>0.61092851841404316</v>
      </c>
      <c r="I18" s="22">
        <f t="shared" si="4"/>
        <v>0.81699999999999995</v>
      </c>
      <c r="J18" s="22">
        <f t="shared" si="5"/>
        <v>0.83899999999999997</v>
      </c>
      <c r="K18" s="22">
        <f t="shared" si="6"/>
        <v>0.87475000000000003</v>
      </c>
      <c r="L18" s="22">
        <f t="shared" si="7"/>
        <v>0.91600000000000004</v>
      </c>
      <c r="M18" s="22">
        <f t="shared" si="8"/>
        <v>0.99025000000000007</v>
      </c>
    </row>
    <row r="19" spans="2:13">
      <c r="B19" s="25">
        <v>0.8</v>
      </c>
      <c r="C19" s="42">
        <f t="shared" si="9"/>
        <v>0.85334469790892897</v>
      </c>
      <c r="D19" s="42">
        <f t="shared" si="0"/>
        <v>0.79570325564382749</v>
      </c>
      <c r="E19" s="42">
        <f t="shared" si="1"/>
        <v>0.72445435649036838</v>
      </c>
      <c r="F19" s="42">
        <f t="shared" si="2"/>
        <v>0.66215476637127557</v>
      </c>
      <c r="G19" s="43">
        <f t="shared" si="3"/>
        <v>0.5797163500979986</v>
      </c>
      <c r="I19" s="22">
        <f t="shared" si="4"/>
        <v>0.8590000000000001</v>
      </c>
      <c r="J19" s="22">
        <f t="shared" si="5"/>
        <v>0.88300000000000001</v>
      </c>
      <c r="K19" s="22">
        <f t="shared" si="6"/>
        <v>0.92200000000000004</v>
      </c>
      <c r="L19" s="22">
        <f t="shared" si="7"/>
        <v>0.96700000000000008</v>
      </c>
      <c r="M19" s="22">
        <f t="shared" si="8"/>
        <v>1.048</v>
      </c>
    </row>
    <row r="20" spans="2:13">
      <c r="B20" s="25">
        <v>0.85</v>
      </c>
      <c r="C20" s="42">
        <f t="shared" si="9"/>
        <v>0.82659120442451484</v>
      </c>
      <c r="D20" s="42">
        <f t="shared" si="0"/>
        <v>0.7659165237852249</v>
      </c>
      <c r="E20" s="42">
        <f t="shared" si="1"/>
        <v>0.69314267600826884</v>
      </c>
      <c r="F20" s="42">
        <f t="shared" si="2"/>
        <v>0.63082318984300756</v>
      </c>
      <c r="G20" s="43">
        <f t="shared" si="3"/>
        <v>0.5496352003864271</v>
      </c>
      <c r="I20" s="22">
        <f t="shared" si="4"/>
        <v>0.90349999999999997</v>
      </c>
      <c r="J20" s="22">
        <f t="shared" si="5"/>
        <v>0.92949999999999999</v>
      </c>
      <c r="K20" s="22">
        <f t="shared" si="6"/>
        <v>0.97175</v>
      </c>
      <c r="L20" s="22">
        <f t="shared" si="7"/>
        <v>1.0205</v>
      </c>
      <c r="M20" s="22">
        <f t="shared" si="8"/>
        <v>1.10825</v>
      </c>
    </row>
    <row r="21" spans="2:13">
      <c r="B21" s="25">
        <v>0.9</v>
      </c>
      <c r="C21" s="42">
        <f t="shared" si="9"/>
        <v>0.79605390585747948</v>
      </c>
      <c r="D21" s="42">
        <f t="shared" si="0"/>
        <v>0.73394057045110916</v>
      </c>
      <c r="E21" s="42">
        <f t="shared" si="1"/>
        <v>0.66118219456787608</v>
      </c>
      <c r="F21" s="42">
        <f t="shared" si="2"/>
        <v>0.5998306716548617</v>
      </c>
      <c r="G21" s="43">
        <f t="shared" si="3"/>
        <v>0.52078988088060985</v>
      </c>
      <c r="I21" s="22">
        <f t="shared" si="4"/>
        <v>0.95050000000000001</v>
      </c>
      <c r="J21" s="22">
        <f t="shared" si="5"/>
        <v>0.97850000000000004</v>
      </c>
      <c r="K21" s="22">
        <f t="shared" si="6"/>
        <v>1.024</v>
      </c>
      <c r="L21" s="22">
        <f t="shared" si="7"/>
        <v>1.0765</v>
      </c>
      <c r="M21" s="22">
        <f t="shared" si="8"/>
        <v>1.171</v>
      </c>
    </row>
    <row r="22" spans="2:13">
      <c r="B22" s="25">
        <v>0.95</v>
      </c>
      <c r="C22" s="42">
        <f t="shared" si="9"/>
        <v>0.7620499723879004</v>
      </c>
      <c r="D22" s="42">
        <f t="shared" si="0"/>
        <v>0.7002825763516366</v>
      </c>
      <c r="E22" s="42">
        <f t="shared" si="1"/>
        <v>0.62899853495990066</v>
      </c>
      <c r="F22" s="42">
        <f t="shared" si="2"/>
        <v>0.56945415050669268</v>
      </c>
      <c r="G22" s="43">
        <f t="shared" si="3"/>
        <v>0.49325860849640929</v>
      </c>
      <c r="I22" s="22">
        <f t="shared" si="4"/>
        <v>1</v>
      </c>
      <c r="J22" s="22">
        <f t="shared" si="5"/>
        <v>1.03</v>
      </c>
      <c r="K22" s="22">
        <f t="shared" si="6"/>
        <v>1.0787499999999999</v>
      </c>
      <c r="L22" s="22">
        <f t="shared" si="7"/>
        <v>1.135</v>
      </c>
      <c r="M22" s="22">
        <f t="shared" si="8"/>
        <v>1.2362500000000001</v>
      </c>
    </row>
    <row r="23" spans="2:13">
      <c r="B23" s="26">
        <v>1</v>
      </c>
      <c r="C23" s="44">
        <f t="shared" si="9"/>
        <v>0.72534421786841108</v>
      </c>
      <c r="D23" s="44">
        <f t="shared" si="0"/>
        <v>0.66560305928460695</v>
      </c>
      <c r="E23" s="44">
        <f t="shared" si="1"/>
        <v>0.59702319159355277</v>
      </c>
      <c r="F23" s="44">
        <f t="shared" si="2"/>
        <v>0.53993902722384102</v>
      </c>
      <c r="G23" s="45">
        <f t="shared" si="3"/>
        <v>0.46709140284019068</v>
      </c>
      <c r="I23" s="22">
        <f t="shared" si="4"/>
        <v>1.052</v>
      </c>
      <c r="J23" s="22">
        <f t="shared" si="5"/>
        <v>1.0840000000000001</v>
      </c>
      <c r="K23" s="22">
        <f t="shared" si="6"/>
        <v>1.1360000000000001</v>
      </c>
      <c r="L23" s="22">
        <f t="shared" si="7"/>
        <v>1.196</v>
      </c>
      <c r="M23" s="22">
        <f t="shared" si="8"/>
        <v>1.304</v>
      </c>
    </row>
    <row r="24" spans="2:13">
      <c r="B24" s="25">
        <v>1.05</v>
      </c>
      <c r="C24" s="42">
        <f t="shared" si="9"/>
        <v>0.68702123136647486</v>
      </c>
      <c r="D24" s="42">
        <f t="shared" si="0"/>
        <v>0.63061969320141198</v>
      </c>
      <c r="E24" s="42">
        <f t="shared" si="1"/>
        <v>0.56565335555721841</v>
      </c>
      <c r="F24" s="42">
        <f t="shared" si="2"/>
        <v>0.51148638229329468</v>
      </c>
      <c r="G24" s="43">
        <f t="shared" si="3"/>
        <v>0.44231113356888974</v>
      </c>
      <c r="I24" s="22">
        <f t="shared" si="4"/>
        <v>1.1065</v>
      </c>
      <c r="J24" s="22">
        <f t="shared" si="5"/>
        <v>1.1405000000000001</v>
      </c>
      <c r="K24" s="22">
        <f t="shared" si="6"/>
        <v>1.1957500000000001</v>
      </c>
      <c r="L24" s="22">
        <f t="shared" si="7"/>
        <v>1.2595000000000001</v>
      </c>
      <c r="M24" s="22">
        <f t="shared" si="8"/>
        <v>1.37425</v>
      </c>
    </row>
    <row r="25" spans="2:13">
      <c r="B25" s="25">
        <v>1.1000000000000001</v>
      </c>
      <c r="C25" s="42">
        <f t="shared" si="9"/>
        <v>0.64824763349327919</v>
      </c>
      <c r="D25" s="42">
        <f t="shared" si="0"/>
        <v>0.59600769334742754</v>
      </c>
      <c r="E25" s="42">
        <f t="shared" si="1"/>
        <v>0.5352229674564225</v>
      </c>
      <c r="F25" s="42">
        <f t="shared" si="2"/>
        <v>0.48424723188140989</v>
      </c>
      <c r="G25" s="43">
        <f t="shared" si="3"/>
        <v>0.41891639368619432</v>
      </c>
      <c r="I25" s="22">
        <f t="shared" si="4"/>
        <v>1.1635</v>
      </c>
      <c r="J25" s="22">
        <f t="shared" si="5"/>
        <v>1.1995</v>
      </c>
      <c r="K25" s="22">
        <f t="shared" si="6"/>
        <v>1.258</v>
      </c>
      <c r="L25" s="22">
        <f t="shared" si="7"/>
        <v>1.3255000000000001</v>
      </c>
      <c r="M25" s="22">
        <f t="shared" si="8"/>
        <v>1.4470000000000001</v>
      </c>
    </row>
    <row r="26" spans="2:13">
      <c r="B26" s="25">
        <v>1.1499999999999999</v>
      </c>
      <c r="C26" s="42">
        <f t="shared" si="9"/>
        <v>0.61005075179439361</v>
      </c>
      <c r="D26" s="42">
        <f t="shared" si="0"/>
        <v>0.56232817880561936</v>
      </c>
      <c r="E26" s="42">
        <f t="shared" si="1"/>
        <v>0.50598822625395068</v>
      </c>
      <c r="F26" s="42">
        <f t="shared" si="2"/>
        <v>0.4583228663513948</v>
      </c>
      <c r="G26" s="43">
        <f t="shared" si="3"/>
        <v>0.39688539103621895</v>
      </c>
      <c r="I26" s="22">
        <f t="shared" si="4"/>
        <v>1.2229999999999999</v>
      </c>
      <c r="J26" s="22">
        <f t="shared" si="5"/>
        <v>1.2609999999999999</v>
      </c>
      <c r="K26" s="22">
        <f t="shared" si="6"/>
        <v>1.3227499999999999</v>
      </c>
      <c r="L26" s="22">
        <f t="shared" si="7"/>
        <v>1.3939999999999999</v>
      </c>
      <c r="M26" s="22">
        <f t="shared" si="8"/>
        <v>1.5222499999999999</v>
      </c>
    </row>
    <row r="27" spans="2:13">
      <c r="B27" s="25">
        <v>1.2</v>
      </c>
      <c r="C27" s="42">
        <f t="shared" si="9"/>
        <v>0.57319985378338922</v>
      </c>
      <c r="D27" s="42">
        <f t="shared" si="0"/>
        <v>0.52999644003048207</v>
      </c>
      <c r="E27" s="42">
        <f t="shared" si="1"/>
        <v>0.4781261136862337</v>
      </c>
      <c r="F27" s="42">
        <f t="shared" si="2"/>
        <v>0.43376948509443325</v>
      </c>
      <c r="G27" s="43">
        <f t="shared" si="3"/>
        <v>0.37618019137094699</v>
      </c>
      <c r="I27" s="22">
        <f t="shared" si="4"/>
        <v>1.2849999999999999</v>
      </c>
      <c r="J27" s="22">
        <f t="shared" si="5"/>
        <v>1.325</v>
      </c>
      <c r="K27" s="22">
        <f t="shared" si="6"/>
        <v>1.3900000000000001</v>
      </c>
      <c r="L27" s="22">
        <f t="shared" si="7"/>
        <v>1.4649999999999999</v>
      </c>
      <c r="M27" s="22">
        <f t="shared" si="8"/>
        <v>1.6</v>
      </c>
    </row>
    <row r="28" spans="2:13">
      <c r="B28" s="25">
        <v>1.25</v>
      </c>
      <c r="C28" s="42">
        <f t="shared" si="9"/>
        <v>0.53819091815546261</v>
      </c>
      <c r="D28" s="42">
        <f t="shared" si="0"/>
        <v>0.49928373749484878</v>
      </c>
      <c r="E28" s="42">
        <f t="shared" si="1"/>
        <v>0.45174194031478221</v>
      </c>
      <c r="F28" s="42">
        <f t="shared" si="2"/>
        <v>0.41060521917221771</v>
      </c>
      <c r="G28" s="43">
        <f t="shared" si="3"/>
        <v>0.35675083668519786</v>
      </c>
      <c r="I28" s="22">
        <f t="shared" si="4"/>
        <v>1.3494999999999999</v>
      </c>
      <c r="J28" s="22">
        <f t="shared" si="5"/>
        <v>1.3915</v>
      </c>
      <c r="K28" s="22">
        <f t="shared" si="6"/>
        <v>1.4597500000000001</v>
      </c>
      <c r="L28" s="22">
        <f t="shared" si="7"/>
        <v>1.5385</v>
      </c>
      <c r="M28" s="22">
        <f t="shared" si="8"/>
        <v>1.68025</v>
      </c>
    </row>
    <row r="29" spans="2:13">
      <c r="B29" s="25">
        <v>1.3</v>
      </c>
      <c r="C29" s="42">
        <f t="shared" si="9"/>
        <v>0.50529073159311966</v>
      </c>
      <c r="D29" s="42">
        <f t="shared" si="0"/>
        <v>0.47033863238929946</v>
      </c>
      <c r="E29" s="42">
        <f t="shared" si="1"/>
        <v>0.42688155639326525</v>
      </c>
      <c r="F29" s="42">
        <f t="shared" si="2"/>
        <v>0.38881796173980432</v>
      </c>
      <c r="G29" s="43">
        <f t="shared" si="3"/>
        <v>0.3385390470834681</v>
      </c>
      <c r="I29" s="22">
        <f t="shared" si="4"/>
        <v>1.4165000000000001</v>
      </c>
      <c r="J29" s="22">
        <f t="shared" si="5"/>
        <v>1.4605000000000001</v>
      </c>
      <c r="K29" s="22">
        <f t="shared" si="6"/>
        <v>1.532</v>
      </c>
      <c r="L29" s="22">
        <f t="shared" si="7"/>
        <v>1.6145</v>
      </c>
      <c r="M29" s="22">
        <f t="shared" si="8"/>
        <v>1.7630000000000001</v>
      </c>
    </row>
    <row r="30" spans="2:13">
      <c r="B30" s="25">
        <v>1.35</v>
      </c>
      <c r="C30" s="42">
        <f t="shared" si="9"/>
        <v>0.47459847361589041</v>
      </c>
      <c r="D30" s="42">
        <f t="shared" si="0"/>
        <v>0.44321520350289151</v>
      </c>
      <c r="E30" s="42">
        <f t="shared" si="1"/>
        <v>0.40354480253579889</v>
      </c>
      <c r="F30" s="42">
        <f t="shared" si="2"/>
        <v>0.36837292308574704</v>
      </c>
      <c r="G30" s="43">
        <f t="shared" si="3"/>
        <v>0.32148136412247991</v>
      </c>
      <c r="I30" s="22">
        <f t="shared" si="4"/>
        <v>1.4860000000000002</v>
      </c>
      <c r="J30" s="22">
        <f t="shared" si="5"/>
        <v>1.532</v>
      </c>
      <c r="K30" s="22">
        <f t="shared" si="6"/>
        <v>1.6067500000000001</v>
      </c>
      <c r="L30" s="22">
        <f t="shared" si="7"/>
        <v>1.6930000000000001</v>
      </c>
      <c r="M30" s="22">
        <f t="shared" si="8"/>
        <v>1.8482500000000002</v>
      </c>
    </row>
    <row r="31" spans="2:13">
      <c r="B31" s="25">
        <v>1.4</v>
      </c>
      <c r="C31" s="42">
        <f t="shared" si="9"/>
        <v>0.44610191006368144</v>
      </c>
      <c r="D31" s="42">
        <f t="shared" si="0"/>
        <v>0.41790025644422596</v>
      </c>
      <c r="E31" s="42">
        <f t="shared" si="1"/>
        <v>0.38169806832123421</v>
      </c>
      <c r="F31" s="42">
        <f t="shared" si="2"/>
        <v>0.34921929899281373</v>
      </c>
      <c r="G31" s="43">
        <f t="shared" si="3"/>
        <v>0.30551169974585057</v>
      </c>
      <c r="I31" s="22">
        <f t="shared" si="4"/>
        <v>1.5579999999999998</v>
      </c>
      <c r="J31" s="22">
        <f t="shared" si="5"/>
        <v>1.6059999999999999</v>
      </c>
      <c r="K31" s="22">
        <f t="shared" si="6"/>
        <v>1.6839999999999997</v>
      </c>
      <c r="L31" s="22">
        <f t="shared" si="7"/>
        <v>1.774</v>
      </c>
      <c r="M31" s="22">
        <f t="shared" si="8"/>
        <v>1.9359999999999999</v>
      </c>
    </row>
    <row r="32" spans="2:13">
      <c r="B32" s="25">
        <v>1.45</v>
      </c>
      <c r="C32" s="42">
        <f t="shared" si="9"/>
        <v>0.41972057119498363</v>
      </c>
      <c r="D32" s="42">
        <f t="shared" si="0"/>
        <v>0.39433597778545887</v>
      </c>
      <c r="E32" s="42">
        <f t="shared" si="1"/>
        <v>0.36128493387459304</v>
      </c>
      <c r="F32" s="42">
        <f t="shared" si="2"/>
        <v>0.33129580007441661</v>
      </c>
      <c r="G32" s="43">
        <f t="shared" si="3"/>
        <v>0.29056332122200634</v>
      </c>
      <c r="I32" s="22">
        <f t="shared" si="4"/>
        <v>1.6325000000000001</v>
      </c>
      <c r="J32" s="22">
        <f t="shared" si="5"/>
        <v>1.6825000000000001</v>
      </c>
      <c r="K32" s="22">
        <f t="shared" si="6"/>
        <v>1.7637499999999999</v>
      </c>
      <c r="L32" s="22">
        <f t="shared" si="7"/>
        <v>1.8574999999999999</v>
      </c>
      <c r="M32" s="22">
        <f t="shared" si="8"/>
        <v>2.0262500000000001</v>
      </c>
    </row>
    <row r="33" spans="2:13">
      <c r="B33" s="26">
        <v>1.5</v>
      </c>
      <c r="C33" s="44">
        <f t="shared" si="9"/>
        <v>0.39533597561933465</v>
      </c>
      <c r="D33" s="44">
        <f t="shared" si="0"/>
        <v>0.37243722559437309</v>
      </c>
      <c r="E33" s="44">
        <f t="shared" si="1"/>
        <v>0.3422346139564999</v>
      </c>
      <c r="F33" s="44">
        <f t="shared" si="2"/>
        <v>0.31453502185079096</v>
      </c>
      <c r="G33" s="45">
        <f t="shared" si="3"/>
        <v>0.2765703377475231</v>
      </c>
      <c r="I33" s="22">
        <f t="shared" si="4"/>
        <v>1.7095</v>
      </c>
      <c r="J33" s="22">
        <f t="shared" si="5"/>
        <v>1.7615000000000001</v>
      </c>
      <c r="K33" s="22">
        <f t="shared" si="6"/>
        <v>1.8460000000000001</v>
      </c>
      <c r="L33" s="22">
        <f t="shared" si="7"/>
        <v>1.9435</v>
      </c>
      <c r="M33" s="22">
        <f t="shared" si="8"/>
        <v>2.1189999999999998</v>
      </c>
    </row>
    <row r="34" spans="2:13">
      <c r="B34" s="25">
        <v>1.55</v>
      </c>
      <c r="C34" s="42">
        <f t="shared" si="9"/>
        <v>0.37281156655716419</v>
      </c>
      <c r="D34" s="42">
        <f t="shared" si="0"/>
        <v>0.35210397162959961</v>
      </c>
      <c r="E34" s="42">
        <f t="shared" si="1"/>
        <v>0.32446833702002154</v>
      </c>
      <c r="F34" s="42">
        <f t="shared" si="2"/>
        <v>0.29886676276624358</v>
      </c>
      <c r="G34" s="43">
        <f t="shared" si="3"/>
        <v>0.26346876815769937</v>
      </c>
      <c r="I34" s="22">
        <f t="shared" si="4"/>
        <v>1.7890000000000001</v>
      </c>
      <c r="J34" s="22">
        <f t="shared" si="5"/>
        <v>1.8430000000000002</v>
      </c>
      <c r="K34" s="22">
        <f t="shared" si="6"/>
        <v>1.9307500000000002</v>
      </c>
      <c r="L34" s="22">
        <f t="shared" si="7"/>
        <v>2.032</v>
      </c>
      <c r="M34" s="22">
        <f t="shared" si="8"/>
        <v>2.2142499999999998</v>
      </c>
    </row>
    <row r="35" spans="2:13">
      <c r="B35" s="25">
        <v>1.6</v>
      </c>
      <c r="C35" s="42">
        <f t="shared" si="9"/>
        <v>0.35200527904036716</v>
      </c>
      <c r="D35" s="42">
        <f t="shared" si="0"/>
        <v>0.33322985856824489</v>
      </c>
      <c r="E35" s="42">
        <f t="shared" si="1"/>
        <v>0.30790397212191123</v>
      </c>
      <c r="F35" s="42">
        <f t="shared" si="2"/>
        <v>0.2842204520235832</v>
      </c>
      <c r="G35" s="43">
        <f t="shared" si="3"/>
        <v>0.25119726963029093</v>
      </c>
      <c r="I35" s="22">
        <f t="shared" si="4"/>
        <v>1.8710000000000002</v>
      </c>
      <c r="J35" s="22">
        <f t="shared" si="5"/>
        <v>1.9270000000000003</v>
      </c>
      <c r="K35" s="22">
        <f t="shared" si="6"/>
        <v>2.0180000000000002</v>
      </c>
      <c r="L35" s="22">
        <f t="shared" si="7"/>
        <v>2.1230000000000002</v>
      </c>
      <c r="M35" s="22">
        <f t="shared" si="8"/>
        <v>2.3120000000000003</v>
      </c>
    </row>
    <row r="36" spans="2:13">
      <c r="B36" s="25">
        <v>1.65</v>
      </c>
      <c r="C36" s="42">
        <f t="shared" si="9"/>
        <v>0.3327771194038831</v>
      </c>
      <c r="D36" s="42">
        <f t="shared" si="0"/>
        <v>0.3157078505575428</v>
      </c>
      <c r="E36" s="42">
        <f t="shared" si="1"/>
        <v>0.2924592598259334</v>
      </c>
      <c r="F36" s="42">
        <f t="shared" si="2"/>
        <v>0.27052685951503874</v>
      </c>
      <c r="G36" s="43">
        <f t="shared" si="3"/>
        <v>0.23969760040947419</v>
      </c>
      <c r="I36" s="22">
        <f t="shared" si="4"/>
        <v>1.9554999999999998</v>
      </c>
      <c r="J36" s="22">
        <f t="shared" si="5"/>
        <v>2.0134999999999996</v>
      </c>
      <c r="K36" s="22">
        <f t="shared" si="6"/>
        <v>2.1077499999999998</v>
      </c>
      <c r="L36" s="22">
        <f t="shared" si="7"/>
        <v>2.2164999999999999</v>
      </c>
      <c r="M36" s="22">
        <f t="shared" si="8"/>
        <v>2.4122499999999998</v>
      </c>
    </row>
    <row r="37" spans="2:13">
      <c r="B37" s="25">
        <v>1.7</v>
      </c>
      <c r="C37" s="42">
        <f t="shared" si="9"/>
        <v>0.31499348589967441</v>
      </c>
      <c r="D37" s="42">
        <f t="shared" si="0"/>
        <v>0.29943380270109748</v>
      </c>
      <c r="E37" s="42">
        <f t="shared" si="1"/>
        <v>0.27805397772425816</v>
      </c>
      <c r="F37" s="42">
        <f t="shared" si="2"/>
        <v>0.25771924710128713</v>
      </c>
      <c r="G37" s="43">
        <f t="shared" si="3"/>
        <v>0.22891487946176931</v>
      </c>
      <c r="I37" s="22">
        <f t="shared" si="4"/>
        <v>2.0425</v>
      </c>
      <c r="J37" s="22">
        <f t="shared" si="5"/>
        <v>2.1025</v>
      </c>
      <c r="K37" s="22">
        <f t="shared" si="6"/>
        <v>2.1999999999999997</v>
      </c>
      <c r="L37" s="22">
        <f t="shared" si="7"/>
        <v>2.3125</v>
      </c>
      <c r="M37" s="22">
        <f t="shared" si="8"/>
        <v>2.5149999999999997</v>
      </c>
    </row>
    <row r="38" spans="2:13">
      <c r="B38" s="25">
        <v>1.75</v>
      </c>
      <c r="C38" s="42">
        <f t="shared" si="9"/>
        <v>0.29852941398460242</v>
      </c>
      <c r="D38" s="42">
        <f t="shared" si="0"/>
        <v>0.2843085866070183</v>
      </c>
      <c r="E38" s="42">
        <f t="shared" si="1"/>
        <v>0.26461131858305487</v>
      </c>
      <c r="F38" s="42">
        <f t="shared" si="2"/>
        <v>0.24573409743805991</v>
      </c>
      <c r="G38" s="43">
        <f t="shared" si="3"/>
        <v>0.21879769508281821</v>
      </c>
      <c r="I38" s="22">
        <f t="shared" si="4"/>
        <v>2.1320000000000001</v>
      </c>
      <c r="J38" s="22">
        <f t="shared" si="5"/>
        <v>2.194</v>
      </c>
      <c r="K38" s="22">
        <f t="shared" si="6"/>
        <v>2.2947500000000001</v>
      </c>
      <c r="L38" s="22">
        <f t="shared" si="7"/>
        <v>2.411</v>
      </c>
      <c r="M38" s="22">
        <f t="shared" si="8"/>
        <v>2.62025</v>
      </c>
    </row>
    <row r="39" spans="2:13">
      <c r="B39" s="25">
        <v>1.8</v>
      </c>
      <c r="C39" s="42">
        <f t="shared" si="9"/>
        <v>0.28326953031756213</v>
      </c>
      <c r="D39" s="42">
        <f t="shared" si="0"/>
        <v>0.27023923911780062</v>
      </c>
      <c r="E39" s="42">
        <f t="shared" si="1"/>
        <v>0.25205870162379818</v>
      </c>
      <c r="F39" s="42">
        <f t="shared" si="2"/>
        <v>0.23451153120921431</v>
      </c>
      <c r="G39" s="43">
        <f t="shared" si="3"/>
        <v>0.20929810417345043</v>
      </c>
      <c r="I39" s="22">
        <f t="shared" si="4"/>
        <v>2.2240000000000002</v>
      </c>
      <c r="J39" s="22">
        <f t="shared" si="5"/>
        <v>2.2880000000000003</v>
      </c>
      <c r="K39" s="22">
        <f t="shared" si="6"/>
        <v>2.3920000000000003</v>
      </c>
      <c r="L39" s="22">
        <f t="shared" si="7"/>
        <v>2.512</v>
      </c>
      <c r="M39" s="22">
        <f t="shared" si="8"/>
        <v>2.7280000000000002</v>
      </c>
    </row>
    <row r="40" spans="2:13">
      <c r="B40" s="25">
        <v>1.85</v>
      </c>
      <c r="C40" s="42">
        <f t="shared" si="9"/>
        <v>0.26910822446159105</v>
      </c>
      <c r="D40" s="42">
        <f t="shared" si="0"/>
        <v>0.25713946580794639</v>
      </c>
      <c r="E40" s="42">
        <f t="shared" si="1"/>
        <v>0.24032818529720698</v>
      </c>
      <c r="F40" s="42">
        <f t="shared" si="2"/>
        <v>0.22399549994842963</v>
      </c>
      <c r="G40" s="43">
        <f t="shared" si="3"/>
        <v>0.20037155484304051</v>
      </c>
      <c r="I40" s="22">
        <f t="shared" si="4"/>
        <v>2.3185000000000002</v>
      </c>
      <c r="J40" s="22">
        <f t="shared" si="5"/>
        <v>2.3845000000000001</v>
      </c>
      <c r="K40" s="22">
        <f t="shared" si="6"/>
        <v>2.4917500000000001</v>
      </c>
      <c r="L40" s="22">
        <f t="shared" si="7"/>
        <v>2.6154999999999999</v>
      </c>
      <c r="M40" s="22">
        <f t="shared" si="8"/>
        <v>2.8382500000000004</v>
      </c>
    </row>
    <row r="41" spans="2:13">
      <c r="B41" s="25">
        <v>1.9</v>
      </c>
      <c r="C41" s="42">
        <f t="shared" si="9"/>
        <v>0.25594936408063451</v>
      </c>
      <c r="D41" s="42">
        <f t="shared" si="0"/>
        <v>0.24492972947249586</v>
      </c>
      <c r="E41" s="42">
        <f t="shared" si="1"/>
        <v>0.22935660667274893</v>
      </c>
      <c r="F41" s="42">
        <f t="shared" si="2"/>
        <v>0.21413382128118802</v>
      </c>
      <c r="G41" s="43">
        <f t="shared" si="3"/>
        <v>0.19197675738971745</v>
      </c>
      <c r="I41" s="22">
        <f t="shared" si="4"/>
        <v>2.4154999999999998</v>
      </c>
      <c r="J41" s="22">
        <f t="shared" si="5"/>
        <v>2.4834999999999998</v>
      </c>
      <c r="K41" s="22">
        <f t="shared" si="6"/>
        <v>2.5939999999999999</v>
      </c>
      <c r="L41" s="22">
        <f t="shared" si="7"/>
        <v>2.7214999999999998</v>
      </c>
      <c r="M41" s="22">
        <f t="shared" si="8"/>
        <v>2.9509999999999996</v>
      </c>
    </row>
    <row r="42" spans="2:13">
      <c r="B42" s="25">
        <v>1.95</v>
      </c>
      <c r="C42" s="42">
        <f t="shared" si="9"/>
        <v>0.2437057596162327</v>
      </c>
      <c r="D42" s="42">
        <f t="shared" si="0"/>
        <v>0.23353708079908578</v>
      </c>
      <c r="E42" s="42">
        <f t="shared" si="1"/>
        <v>0.21908553855696924</v>
      </c>
      <c r="F42" s="42">
        <f t="shared" si="2"/>
        <v>0.20487810679103663</v>
      </c>
      <c r="G42" s="43">
        <f t="shared" si="3"/>
        <v>0.18407552252146206</v>
      </c>
      <c r="I42" s="22">
        <f t="shared" si="4"/>
        <v>2.5149999999999997</v>
      </c>
      <c r="J42" s="22">
        <f t="shared" si="5"/>
        <v>2.585</v>
      </c>
      <c r="K42" s="22">
        <f t="shared" si="6"/>
        <v>2.69875</v>
      </c>
      <c r="L42" s="22">
        <f t="shared" si="7"/>
        <v>2.83</v>
      </c>
      <c r="M42" s="22">
        <f t="shared" si="8"/>
        <v>3.0662500000000001</v>
      </c>
    </row>
    <row r="43" spans="2:13">
      <c r="B43" s="26">
        <v>2</v>
      </c>
      <c r="C43" s="44">
        <f t="shared" si="9"/>
        <v>0.23229850693474255</v>
      </c>
      <c r="D43" s="44">
        <f t="shared" si="0"/>
        <v>0.22289483701641971</v>
      </c>
      <c r="E43" s="44">
        <f t="shared" si="1"/>
        <v>0.20946112958425731</v>
      </c>
      <c r="F43" s="44">
        <f t="shared" si="2"/>
        <v>0.19618361957918393</v>
      </c>
      <c r="G43" s="45">
        <f t="shared" si="3"/>
        <v>0.17663258077293084</v>
      </c>
      <c r="I43" s="22">
        <f t="shared" si="4"/>
        <v>2.617</v>
      </c>
      <c r="J43" s="22">
        <f t="shared" si="5"/>
        <v>2.6890000000000001</v>
      </c>
      <c r="K43" s="22">
        <f t="shared" si="6"/>
        <v>2.806</v>
      </c>
      <c r="L43" s="22">
        <f t="shared" si="7"/>
        <v>2.9409999999999998</v>
      </c>
      <c r="M43" s="22">
        <f t="shared" si="8"/>
        <v>3.1840000000000002</v>
      </c>
    </row>
  </sheetData>
  <sheetProtection sheet="1" objects="1" scenarios="1" selectLockedCells="1"/>
  <phoneticPr fontId="0" type="noConversion"/>
  <pageMargins left="0.75" right="0.75" top="1" bottom="1" header="0" footer="0"/>
  <pageSetup paperSize="9" orientation="portrait" horizontalDpi="300" verticalDpi="300" r:id="rId1"/>
  <headerFooter alignWithMargins="0"/>
  <cellWatches>
    <cellWatch r="D5"/>
    <cellWatch r="E5"/>
    <cellWatch r="F5"/>
    <cellWatch r="G5"/>
  </cellWatche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Hoja5"/>
  <dimension ref="A1:N57"/>
  <sheetViews>
    <sheetView workbookViewId="0">
      <selection activeCell="E9" sqref="E9"/>
    </sheetView>
  </sheetViews>
  <sheetFormatPr baseColWidth="10" defaultRowHeight="12.75"/>
  <cols>
    <col min="1" max="1" width="8.42578125" bestFit="1" customWidth="1"/>
    <col min="2" max="2" width="12.140625" bestFit="1" customWidth="1"/>
    <col min="3" max="3" width="11.7109375" bestFit="1" customWidth="1"/>
    <col min="8" max="8" width="6.85546875" bestFit="1" customWidth="1"/>
    <col min="9" max="9" width="6.5703125" customWidth="1"/>
    <col min="10" max="10" width="8.140625" customWidth="1"/>
    <col min="11" max="11" width="4" bestFit="1" customWidth="1"/>
    <col min="12" max="13" width="2.5703125" bestFit="1" customWidth="1"/>
    <col min="14" max="14" width="5.42578125" bestFit="1" customWidth="1"/>
    <col min="15" max="15" width="10" customWidth="1"/>
    <col min="16" max="16" width="14.5703125" customWidth="1"/>
  </cols>
  <sheetData>
    <row r="1" spans="1:14" ht="24.75" customHeight="1">
      <c r="A1" s="212" t="s">
        <v>959</v>
      </c>
      <c r="B1" s="212" t="s">
        <v>960</v>
      </c>
      <c r="D1" t="s">
        <v>963</v>
      </c>
    </row>
    <row r="2" spans="1:14" ht="12.75" customHeight="1">
      <c r="B2" s="282" t="s">
        <v>61</v>
      </c>
      <c r="C2" s="283" t="s">
        <v>16</v>
      </c>
      <c r="D2" s="379" t="s">
        <v>1053</v>
      </c>
      <c r="E2" s="379" t="s">
        <v>1054</v>
      </c>
      <c r="F2" s="283" t="s">
        <v>62</v>
      </c>
      <c r="G2" s="284" t="s">
        <v>75</v>
      </c>
      <c r="I2" s="8" t="s">
        <v>63</v>
      </c>
      <c r="J2" s="8" t="s">
        <v>64</v>
      </c>
    </row>
    <row r="3" spans="1:14">
      <c r="B3" s="285" t="s">
        <v>65</v>
      </c>
      <c r="C3" s="48">
        <v>235</v>
      </c>
      <c r="D3" s="48">
        <v>235</v>
      </c>
      <c r="E3" s="48">
        <f>D3</f>
        <v>235</v>
      </c>
      <c r="F3" s="48">
        <v>360</v>
      </c>
      <c r="G3" s="286">
        <v>93.9</v>
      </c>
      <c r="H3" s="8"/>
      <c r="I3">
        <v>210</v>
      </c>
      <c r="J3">
        <v>80</v>
      </c>
    </row>
    <row r="4" spans="1:14">
      <c r="B4" s="285" t="s">
        <v>66</v>
      </c>
      <c r="C4" s="48">
        <v>275</v>
      </c>
      <c r="D4" s="48">
        <v>275</v>
      </c>
      <c r="E4" s="48">
        <f>D4</f>
        <v>275</v>
      </c>
      <c r="F4" s="48">
        <v>410</v>
      </c>
      <c r="G4" s="286">
        <v>86.8</v>
      </c>
      <c r="H4" s="8"/>
    </row>
    <row r="5" spans="1:14">
      <c r="B5" s="285" t="s">
        <v>69</v>
      </c>
      <c r="C5" s="48">
        <v>355</v>
      </c>
      <c r="D5" s="48">
        <v>355</v>
      </c>
      <c r="E5" s="48">
        <f>D5</f>
        <v>355</v>
      </c>
      <c r="F5" s="48">
        <v>470</v>
      </c>
      <c r="G5" s="286">
        <v>76.400000000000006</v>
      </c>
      <c r="H5" s="8"/>
    </row>
    <row r="6" spans="1:14">
      <c r="B6" s="287" t="s">
        <v>70</v>
      </c>
      <c r="C6" s="55">
        <v>450</v>
      </c>
      <c r="D6" s="55">
        <v>450</v>
      </c>
      <c r="E6" s="55">
        <f>D6</f>
        <v>450</v>
      </c>
      <c r="F6" s="55">
        <v>550</v>
      </c>
      <c r="G6" s="288">
        <v>0</v>
      </c>
      <c r="H6" s="8"/>
    </row>
    <row r="7" spans="1:14">
      <c r="B7" s="289" t="s">
        <v>981</v>
      </c>
    </row>
    <row r="8" spans="1:14">
      <c r="A8" s="13"/>
      <c r="B8" s="13"/>
      <c r="C8" s="13"/>
      <c r="D8" s="13"/>
      <c r="E8" s="13"/>
      <c r="F8" s="13"/>
      <c r="G8" s="13"/>
      <c r="H8" s="13"/>
      <c r="I8" s="13"/>
      <c r="J8" s="13"/>
      <c r="K8" s="13"/>
      <c r="L8" s="13"/>
      <c r="M8" s="13"/>
      <c r="N8" s="13"/>
    </row>
    <row r="9" spans="1:14">
      <c r="A9" s="20"/>
      <c r="B9" s="20"/>
      <c r="C9" s="20"/>
      <c r="D9" s="20"/>
      <c r="E9" s="13"/>
      <c r="F9" s="20"/>
      <c r="G9" s="20"/>
      <c r="H9" s="20"/>
      <c r="I9" s="20"/>
      <c r="J9" s="20"/>
      <c r="K9" s="13"/>
      <c r="L9" s="290"/>
      <c r="M9" s="290"/>
      <c r="N9" s="20"/>
    </row>
    <row r="10" spans="1:14">
      <c r="A10" s="20"/>
      <c r="B10" s="20"/>
      <c r="C10" s="20"/>
      <c r="D10" s="20"/>
      <c r="E10" s="20"/>
      <c r="F10" s="20"/>
      <c r="G10" s="20"/>
      <c r="H10" s="20"/>
      <c r="I10" s="20"/>
      <c r="J10" s="20"/>
      <c r="K10" s="13"/>
      <c r="L10" s="291"/>
      <c r="M10" s="292"/>
      <c r="N10" s="293"/>
    </row>
    <row r="11" spans="1:14">
      <c r="A11" s="20"/>
      <c r="B11" s="20"/>
      <c r="C11" s="20"/>
      <c r="D11" s="20"/>
      <c r="E11" s="20"/>
      <c r="F11" s="20"/>
      <c r="G11" s="20"/>
      <c r="H11" s="20"/>
      <c r="I11" s="20"/>
      <c r="J11" s="20"/>
      <c r="K11" s="13"/>
      <c r="L11" s="291"/>
      <c r="M11" s="292"/>
      <c r="N11" s="293"/>
    </row>
    <row r="12" spans="1:14">
      <c r="A12" s="20"/>
      <c r="B12" s="20"/>
      <c r="C12" s="20"/>
      <c r="D12" s="20"/>
      <c r="E12" s="20"/>
      <c r="F12" s="20"/>
      <c r="G12" s="20"/>
      <c r="H12" s="20"/>
      <c r="I12" s="20"/>
      <c r="J12" s="20"/>
      <c r="K12" s="13"/>
      <c r="L12" s="291"/>
      <c r="M12" s="291"/>
      <c r="N12" s="293"/>
    </row>
    <row r="13" spans="1:14">
      <c r="A13" s="20"/>
      <c r="B13" s="20"/>
      <c r="C13" s="20"/>
      <c r="D13" s="20"/>
      <c r="E13" s="20"/>
      <c r="F13" s="20"/>
      <c r="G13" s="20"/>
      <c r="H13" s="20"/>
      <c r="I13" s="20"/>
      <c r="J13" s="20"/>
      <c r="K13" s="13"/>
      <c r="L13" s="291"/>
      <c r="M13" s="292"/>
      <c r="N13" s="293"/>
    </row>
    <row r="14" spans="1:14">
      <c r="A14" s="20"/>
      <c r="B14" s="20"/>
      <c r="C14" s="20"/>
      <c r="D14" s="20"/>
      <c r="E14" s="20"/>
      <c r="F14" s="20"/>
      <c r="G14" s="20"/>
      <c r="H14" s="20"/>
      <c r="I14" s="20"/>
      <c r="J14" s="20"/>
      <c r="K14" s="13"/>
      <c r="L14" s="291"/>
      <c r="M14" s="292"/>
      <c r="N14" s="293"/>
    </row>
    <row r="15" spans="1:14">
      <c r="A15" s="20"/>
      <c r="B15" s="20"/>
      <c r="C15" s="20"/>
      <c r="D15" s="20"/>
      <c r="E15" s="20"/>
      <c r="F15" s="20"/>
      <c r="G15" s="20"/>
      <c r="H15" s="20"/>
      <c r="I15" s="20"/>
      <c r="J15" s="20"/>
      <c r="K15" s="13"/>
      <c r="L15" s="291"/>
      <c r="M15" s="291"/>
      <c r="N15" s="293"/>
    </row>
    <row r="16" spans="1:14">
      <c r="A16" s="20"/>
      <c r="B16" s="20"/>
      <c r="C16" s="20"/>
      <c r="D16" s="20"/>
      <c r="E16" s="20"/>
      <c r="F16" s="20"/>
      <c r="G16" s="20"/>
      <c r="H16" s="20"/>
      <c r="I16" s="20"/>
      <c r="J16" s="20"/>
      <c r="K16" s="20"/>
      <c r="L16" s="47"/>
    </row>
    <row r="17" spans="1:10">
      <c r="A17" s="20"/>
      <c r="B17" s="8" t="s">
        <v>38</v>
      </c>
      <c r="C17" s="52" t="s">
        <v>41</v>
      </c>
      <c r="D17" s="8"/>
      <c r="E17" s="8"/>
      <c r="F17" s="8"/>
      <c r="G17" s="8"/>
      <c r="J17" s="20"/>
    </row>
    <row r="18" spans="1:10">
      <c r="A18" s="20"/>
      <c r="B18" s="8"/>
      <c r="C18" s="8"/>
      <c r="D18" s="8" t="s">
        <v>42</v>
      </c>
      <c r="E18" s="8"/>
      <c r="F18" s="8"/>
      <c r="G18" s="8"/>
    </row>
    <row r="19" spans="1:10">
      <c r="A19" s="20"/>
      <c r="B19" s="8" t="s">
        <v>31</v>
      </c>
      <c r="C19" s="8" t="s">
        <v>32</v>
      </c>
      <c r="D19" s="8" t="s">
        <v>33</v>
      </c>
      <c r="E19" s="8" t="s">
        <v>34</v>
      </c>
      <c r="F19" s="8" t="s">
        <v>35</v>
      </c>
      <c r="G19" s="8" t="s">
        <v>36</v>
      </c>
    </row>
    <row r="20" spans="1:10">
      <c r="A20" s="20"/>
      <c r="B20" s="8" t="s">
        <v>39</v>
      </c>
      <c r="C20" s="8">
        <v>0.13</v>
      </c>
      <c r="D20" s="8">
        <v>0.21</v>
      </c>
      <c r="E20" s="8">
        <v>0.34</v>
      </c>
      <c r="F20" s="8">
        <v>0.49</v>
      </c>
      <c r="G20" s="8">
        <v>0.76</v>
      </c>
    </row>
    <row r="21" spans="1:10">
      <c r="A21" s="20"/>
      <c r="B21" s="8">
        <v>0.2</v>
      </c>
      <c r="C21" s="8">
        <v>1</v>
      </c>
      <c r="D21" s="8">
        <v>1</v>
      </c>
      <c r="E21" s="8">
        <v>1</v>
      </c>
      <c r="F21" s="8">
        <v>1</v>
      </c>
      <c r="G21" s="8">
        <v>1</v>
      </c>
    </row>
    <row r="22" spans="1:10">
      <c r="A22" s="20"/>
      <c r="B22" s="8">
        <v>0.25</v>
      </c>
      <c r="C22" s="8">
        <v>0.99311754291681031</v>
      </c>
      <c r="D22" s="8">
        <v>0.98893212670222419</v>
      </c>
      <c r="E22" s="8">
        <v>0.98221035042117211</v>
      </c>
      <c r="F22" s="8">
        <v>0.97457422492451862</v>
      </c>
      <c r="G22" s="8">
        <v>0.96114235753319321</v>
      </c>
    </row>
    <row r="23" spans="1:10">
      <c r="A23" s="20"/>
      <c r="B23" s="8">
        <v>0.3</v>
      </c>
      <c r="C23" s="8">
        <v>0.98593478302229332</v>
      </c>
      <c r="D23" s="8">
        <v>0.97749258061596089</v>
      </c>
      <c r="E23" s="8">
        <v>0.96410588440475919</v>
      </c>
      <c r="F23" s="8">
        <v>0.94914779479631584</v>
      </c>
      <c r="G23" s="8">
        <v>0.9234556924859556</v>
      </c>
    </row>
    <row r="24" spans="1:10">
      <c r="A24" s="20"/>
      <c r="B24" s="8">
        <v>0.35</v>
      </c>
      <c r="C24" s="8">
        <v>0.97832502902445007</v>
      </c>
      <c r="D24" s="8">
        <v>0.96550687297793236</v>
      </c>
      <c r="E24" s="8">
        <v>0.94546507497131482</v>
      </c>
      <c r="F24" s="8">
        <v>0.92346741480864236</v>
      </c>
      <c r="G24" s="8">
        <v>0.88661118052132049</v>
      </c>
    </row>
    <row r="25" spans="1:10">
      <c r="A25" s="20"/>
      <c r="B25" s="8">
        <v>0.4</v>
      </c>
      <c r="C25" s="8">
        <v>0.97014162084174738</v>
      </c>
      <c r="D25" s="8">
        <v>0.95278534666477388</v>
      </c>
      <c r="E25" s="8">
        <v>0.92607315908505083</v>
      </c>
      <c r="F25" s="8">
        <v>0.89732077167248336</v>
      </c>
      <c r="G25" s="8">
        <v>0.8503846381456156</v>
      </c>
    </row>
    <row r="26" spans="1:10">
      <c r="A26" s="20"/>
      <c r="B26" s="8">
        <v>0.45</v>
      </c>
      <c r="C26" s="8">
        <v>0.96121046644868513</v>
      </c>
      <c r="D26" s="8">
        <v>0.93911833170667225</v>
      </c>
      <c r="E26" s="8">
        <v>0.90572224341724761</v>
      </c>
      <c r="F26" s="8">
        <v>0.87053699521275008</v>
      </c>
      <c r="G26" s="8">
        <v>0.81464052866506065</v>
      </c>
    </row>
    <row r="27" spans="1:10">
      <c r="A27" s="20"/>
      <c r="B27" s="8">
        <v>0.5</v>
      </c>
      <c r="C27" s="8">
        <v>0.95132117490882684</v>
      </c>
      <c r="D27" s="8">
        <v>0.92427264228372952</v>
      </c>
      <c r="E27" s="8">
        <v>0.88421539736154475</v>
      </c>
      <c r="F27" s="8">
        <v>0.84299103026152122</v>
      </c>
      <c r="G27" s="8">
        <v>0.77931995920392561</v>
      </c>
    </row>
    <row r="28" spans="1:10">
      <c r="A28" s="20"/>
      <c r="B28" s="8">
        <v>0.55000000000000004</v>
      </c>
      <c r="C28" s="8">
        <v>0.94021687954396604</v>
      </c>
      <c r="D28" s="8">
        <v>0.9079907580212393</v>
      </c>
      <c r="E28" s="8">
        <v>0.86137546860180547</v>
      </c>
      <c r="F28" s="8">
        <v>0.81461068211070842</v>
      </c>
      <c r="G28" s="8">
        <v>0.7444298144494621</v>
      </c>
    </row>
    <row r="29" spans="1:10">
      <c r="A29" s="20"/>
      <c r="B29" s="8">
        <v>0.6</v>
      </c>
      <c r="C29" s="8">
        <v>0.92758365025403311</v>
      </c>
      <c r="D29" s="8">
        <v>0.88999501993143471</v>
      </c>
      <c r="E29" s="8">
        <v>0.83705914889797295</v>
      </c>
      <c r="F29" s="8">
        <v>0.78538459148952455</v>
      </c>
      <c r="G29" s="8">
        <v>0.71003122861821788</v>
      </c>
    </row>
    <row r="30" spans="1:10">
      <c r="A30" s="20"/>
      <c r="B30" s="8">
        <v>0.65</v>
      </c>
      <c r="C30" s="8">
        <v>0.91304214604410339</v>
      </c>
      <c r="D30" s="8">
        <v>0.87000031975448378</v>
      </c>
      <c r="E30" s="8">
        <v>0.81117595450552937</v>
      </c>
      <c r="F30" s="8">
        <v>0.75536876690168331</v>
      </c>
      <c r="G30" s="8">
        <v>0.67622658696353577</v>
      </c>
    </row>
    <row r="31" spans="1:10">
      <c r="A31" s="20"/>
      <c r="B31" s="8">
        <v>0.7</v>
      </c>
      <c r="C31" s="8">
        <v>0.89614750732970239</v>
      </c>
      <c r="D31" s="8">
        <v>0.84773950632220074</v>
      </c>
      <c r="E31" s="8">
        <v>0.78371007669478532</v>
      </c>
      <c r="F31" s="8">
        <v>0.72468891890484077</v>
      </c>
      <c r="G31" s="8">
        <v>0.64314519407824033</v>
      </c>
    </row>
    <row r="32" spans="1:10">
      <c r="A32" s="20"/>
      <c r="B32" s="8">
        <v>0.75</v>
      </c>
      <c r="C32" s="8">
        <v>0.87640878025362989</v>
      </c>
      <c r="D32" s="8">
        <v>0.82300473659647</v>
      </c>
      <c r="E32" s="8">
        <v>0.75474070303528973</v>
      </c>
      <c r="F32" s="8">
        <v>0.69353614366612881</v>
      </c>
      <c r="G32" s="8">
        <v>0.61092851841404316</v>
      </c>
    </row>
    <row r="33" spans="1:7">
      <c r="A33" s="20"/>
      <c r="B33" s="8">
        <v>0.8</v>
      </c>
      <c r="C33" s="8">
        <v>0.85334469790892897</v>
      </c>
      <c r="D33" s="8">
        <v>0.79570325564382749</v>
      </c>
      <c r="E33" s="8">
        <v>0.72445435649036838</v>
      </c>
      <c r="F33" s="8">
        <v>0.66215476637127557</v>
      </c>
      <c r="G33" s="8">
        <v>0.5797163500979986</v>
      </c>
    </row>
    <row r="34" spans="1:7">
      <c r="A34" s="20"/>
      <c r="B34" s="8">
        <v>0.85</v>
      </c>
      <c r="C34" s="8">
        <v>0.82659120442451484</v>
      </c>
      <c r="D34" s="8">
        <v>0.7659165237852249</v>
      </c>
      <c r="E34" s="8">
        <v>0.69314267600826884</v>
      </c>
      <c r="F34" s="8">
        <v>0.63082318984300756</v>
      </c>
      <c r="G34" s="8">
        <v>0.5496352003864271</v>
      </c>
    </row>
    <row r="35" spans="1:7">
      <c r="A35" s="20"/>
      <c r="B35" s="8">
        <v>0.9</v>
      </c>
      <c r="C35" s="8">
        <v>0.79605390585747948</v>
      </c>
      <c r="D35" s="8">
        <v>0.73394057045110916</v>
      </c>
      <c r="E35" s="8">
        <v>0.66118219456787608</v>
      </c>
      <c r="F35" s="8">
        <v>0.5998306716548617</v>
      </c>
      <c r="G35" s="8">
        <v>0.52078988088060985</v>
      </c>
    </row>
    <row r="36" spans="1:7">
      <c r="A36" s="20"/>
      <c r="B36" s="8">
        <v>0.95</v>
      </c>
      <c r="C36" s="8">
        <v>0.7620499723879004</v>
      </c>
      <c r="D36" s="8">
        <v>0.7002825763516366</v>
      </c>
      <c r="E36" s="8">
        <v>0.62899853495990066</v>
      </c>
      <c r="F36" s="8">
        <v>0.56945415050669268</v>
      </c>
      <c r="G36" s="8">
        <v>0.49325860849640929</v>
      </c>
    </row>
    <row r="37" spans="1:7">
      <c r="A37" s="20"/>
      <c r="B37" s="8">
        <v>1</v>
      </c>
      <c r="C37" s="8">
        <v>0.72534421786841108</v>
      </c>
      <c r="D37" s="8">
        <v>0.66560305928460695</v>
      </c>
      <c r="E37" s="8">
        <v>0.59702319159355277</v>
      </c>
      <c r="F37" s="8">
        <v>0.53993902722384102</v>
      </c>
      <c r="G37" s="8">
        <v>0.46709140284019068</v>
      </c>
    </row>
    <row r="38" spans="1:7">
      <c r="A38" s="20"/>
      <c r="B38" s="8">
        <v>1.05</v>
      </c>
      <c r="C38" s="8">
        <v>0.68702123136647486</v>
      </c>
      <c r="D38" s="8">
        <v>0.63061969320141198</v>
      </c>
      <c r="E38" s="8">
        <v>0.56565335555721841</v>
      </c>
      <c r="F38" s="8">
        <v>0.51148638229329468</v>
      </c>
      <c r="G38" s="8">
        <v>0.44231113356888974</v>
      </c>
    </row>
    <row r="39" spans="1:7">
      <c r="A39" s="20"/>
      <c r="B39" s="8">
        <v>1.1000000000000001</v>
      </c>
      <c r="C39" s="8">
        <v>0.64824763349327919</v>
      </c>
      <c r="D39" s="8">
        <v>0.59600769334742754</v>
      </c>
      <c r="E39" s="8">
        <v>0.5352229674564225</v>
      </c>
      <c r="F39" s="8">
        <v>0.48424723188140989</v>
      </c>
      <c r="G39" s="8">
        <v>0.41891639368619432</v>
      </c>
    </row>
    <row r="40" spans="1:7">
      <c r="A40" s="20"/>
      <c r="B40" s="8">
        <v>1.1499999999999999</v>
      </c>
      <c r="C40" s="8">
        <v>0.61005075179439361</v>
      </c>
      <c r="D40" s="8">
        <v>0.56232817880561936</v>
      </c>
      <c r="E40" s="8">
        <v>0.50598822625395068</v>
      </c>
      <c r="F40" s="8">
        <v>0.4583228663513948</v>
      </c>
      <c r="G40" s="8">
        <v>0.39688539103621895</v>
      </c>
    </row>
    <row r="41" spans="1:7">
      <c r="A41" s="20"/>
      <c r="B41" s="8">
        <v>1.2</v>
      </c>
      <c r="C41" s="8">
        <v>0.57319985378338922</v>
      </c>
      <c r="D41" s="8">
        <v>0.52999644003048207</v>
      </c>
      <c r="E41" s="8">
        <v>0.4781261136862337</v>
      </c>
      <c r="F41" s="8">
        <v>0.43376948509443325</v>
      </c>
      <c r="G41" s="8">
        <v>0.37618019137094699</v>
      </c>
    </row>
    <row r="42" spans="1:7">
      <c r="A42" s="20"/>
      <c r="B42" s="8">
        <v>1.25</v>
      </c>
      <c r="C42" s="8">
        <v>0.53819091815546261</v>
      </c>
      <c r="D42" s="8">
        <v>0.49928373749484878</v>
      </c>
      <c r="E42" s="8">
        <v>0.45174194031478221</v>
      </c>
      <c r="F42" s="8">
        <v>0.41060521917221771</v>
      </c>
      <c r="G42" s="8">
        <v>0.35675083668519786</v>
      </c>
    </row>
    <row r="43" spans="1:7">
      <c r="A43" s="20"/>
      <c r="B43" s="8">
        <v>1.3</v>
      </c>
      <c r="C43" s="8">
        <v>0.50529073159311966</v>
      </c>
      <c r="D43" s="8">
        <v>0.47033863238929946</v>
      </c>
      <c r="E43" s="8">
        <v>0.42688155639326525</v>
      </c>
      <c r="F43" s="8">
        <v>0.38881796173980432</v>
      </c>
      <c r="G43" s="8">
        <v>0.3385390470834681</v>
      </c>
    </row>
    <row r="44" spans="1:7">
      <c r="A44" s="20"/>
      <c r="B44" s="8">
        <v>1.35</v>
      </c>
      <c r="C44" s="8">
        <v>0.47459847361589041</v>
      </c>
      <c r="D44" s="8">
        <v>0.44321520350289151</v>
      </c>
      <c r="E44" s="8">
        <v>0.40354480253579889</v>
      </c>
      <c r="F44" s="8">
        <v>0.36837292308574704</v>
      </c>
      <c r="G44" s="8">
        <v>0.32148136412247991</v>
      </c>
    </row>
    <row r="45" spans="1:7">
      <c r="A45" s="20"/>
      <c r="B45" s="8">
        <v>1.4</v>
      </c>
      <c r="C45" s="8">
        <v>0.44610191006368144</v>
      </c>
      <c r="D45" s="8">
        <v>0.41790025644422596</v>
      </c>
      <c r="E45" s="8">
        <v>0.38169806832123421</v>
      </c>
      <c r="F45" s="8">
        <v>0.34921929899281373</v>
      </c>
      <c r="G45" s="8">
        <v>0.30551169974585057</v>
      </c>
    </row>
    <row r="46" spans="1:7">
      <c r="A46" s="20"/>
      <c r="B46" s="8">
        <v>1.45</v>
      </c>
      <c r="C46" s="8">
        <v>0.41972057119498363</v>
      </c>
      <c r="D46" s="8">
        <v>0.39433597778545887</v>
      </c>
      <c r="E46" s="8">
        <v>0.36128493387459304</v>
      </c>
      <c r="F46" s="8">
        <v>0.33129580007441661</v>
      </c>
      <c r="G46" s="8">
        <v>0.29056332122200634</v>
      </c>
    </row>
    <row r="47" spans="1:7">
      <c r="A47" s="20"/>
      <c r="B47" s="8">
        <v>1.5</v>
      </c>
      <c r="C47" s="8">
        <v>0.39533597561933465</v>
      </c>
      <c r="D47" s="8">
        <v>0.37243722559437309</v>
      </c>
      <c r="E47" s="8">
        <v>0.3422346139564999</v>
      </c>
      <c r="F47" s="8">
        <v>0.31453502185079096</v>
      </c>
      <c r="G47" s="8">
        <v>0.2765703377475231</v>
      </c>
    </row>
    <row r="48" spans="1:7">
      <c r="A48" s="20"/>
      <c r="B48" s="8">
        <v>1.55</v>
      </c>
      <c r="C48" s="8">
        <v>0.37281156655716419</v>
      </c>
      <c r="D48" s="8">
        <v>0.35210397162959961</v>
      </c>
      <c r="E48" s="8">
        <v>0.32446833702002154</v>
      </c>
      <c r="F48" s="8">
        <v>0.29886676276624358</v>
      </c>
      <c r="G48" s="8">
        <v>0.26346876815769937</v>
      </c>
    </row>
    <row r="49" spans="1:7">
      <c r="A49" s="20"/>
      <c r="B49" s="8">
        <v>1.6</v>
      </c>
      <c r="C49" s="8">
        <v>0.35200527904036716</v>
      </c>
      <c r="D49" s="8">
        <v>0.33322985856824489</v>
      </c>
      <c r="E49" s="8">
        <v>0.30790397212191123</v>
      </c>
      <c r="F49" s="8">
        <v>0.2842204520235832</v>
      </c>
      <c r="G49" s="8">
        <v>0.25119726963029093</v>
      </c>
    </row>
    <row r="50" spans="1:7">
      <c r="A50" s="20"/>
      <c r="B50" s="8">
        <v>1.65</v>
      </c>
      <c r="C50" s="8">
        <v>0.3327771194038831</v>
      </c>
      <c r="D50" s="8">
        <v>0.3157078505575428</v>
      </c>
      <c r="E50" s="8">
        <v>0.2924592598259334</v>
      </c>
      <c r="F50" s="8">
        <v>0.27052685951503874</v>
      </c>
      <c r="G50" s="8">
        <v>0.23969760040947419</v>
      </c>
    </row>
    <row r="51" spans="1:7">
      <c r="B51" s="8">
        <v>1.7</v>
      </c>
      <c r="C51" s="8">
        <v>0.31499348589967441</v>
      </c>
      <c r="D51" s="8">
        <v>0.29943380270109748</v>
      </c>
      <c r="E51" s="8">
        <v>0.27805397772425816</v>
      </c>
      <c r="F51" s="8">
        <v>0.25771924710128713</v>
      </c>
      <c r="G51" s="8">
        <v>0.22891487946176931</v>
      </c>
    </row>
    <row r="52" spans="1:7">
      <c r="B52" s="8">
        <v>1.75</v>
      </c>
      <c r="C52" s="8">
        <v>0.29852941398460242</v>
      </c>
      <c r="D52" s="8">
        <v>0.2843085866070183</v>
      </c>
      <c r="E52" s="8">
        <v>0.26461131858305487</v>
      </c>
      <c r="F52" s="8">
        <v>0.24573409743805991</v>
      </c>
      <c r="G52" s="8">
        <v>0.21879769508281821</v>
      </c>
    </row>
    <row r="53" spans="1:7">
      <c r="B53" s="8">
        <v>1.8</v>
      </c>
      <c r="C53" s="8">
        <v>0.28326953031756213</v>
      </c>
      <c r="D53" s="8">
        <v>0.27023923911780062</v>
      </c>
      <c r="E53" s="8">
        <v>0.25205870162379818</v>
      </c>
      <c r="F53" s="8">
        <v>0.23451153120921431</v>
      </c>
      <c r="G53" s="8">
        <v>0.20929810417345043</v>
      </c>
    </row>
    <row r="54" spans="1:7">
      <c r="B54" s="8">
        <v>1.85</v>
      </c>
      <c r="C54" s="8">
        <v>0.26910822446159105</v>
      </c>
      <c r="D54" s="8">
        <v>0.25713946580794639</v>
      </c>
      <c r="E54" s="8">
        <v>0.24032818529720698</v>
      </c>
      <c r="F54" s="8">
        <v>0.22399549994842963</v>
      </c>
      <c r="G54" s="8">
        <v>0.20037155484304051</v>
      </c>
    </row>
    <row r="55" spans="1:7">
      <c r="B55" s="8">
        <v>1.9</v>
      </c>
      <c r="C55" s="8">
        <v>0.25594936408063451</v>
      </c>
      <c r="D55" s="8">
        <v>0.24492972947249586</v>
      </c>
      <c r="E55" s="8">
        <v>0.22935660667274893</v>
      </c>
      <c r="F55" s="8">
        <v>0.21413382128118802</v>
      </c>
      <c r="G55" s="8">
        <v>0.19197675738971745</v>
      </c>
    </row>
    <row r="56" spans="1:7">
      <c r="B56" s="8">
        <v>1.95</v>
      </c>
      <c r="C56" s="8">
        <v>0.2437057596162327</v>
      </c>
      <c r="D56" s="8">
        <v>0.23353708079908578</v>
      </c>
      <c r="E56" s="8">
        <v>0.21908553855696924</v>
      </c>
      <c r="F56" s="8">
        <v>0.20487810679103663</v>
      </c>
      <c r="G56" s="8">
        <v>0.18407552252146206</v>
      </c>
    </row>
    <row r="57" spans="1:7">
      <c r="B57" s="8">
        <v>2</v>
      </c>
      <c r="C57" s="8">
        <v>0.23229850693474255</v>
      </c>
      <c r="D57" s="8">
        <v>0.22289483701641971</v>
      </c>
      <c r="E57" s="8">
        <v>0.20946112958425731</v>
      </c>
      <c r="F57" s="8">
        <v>0.19618361957918393</v>
      </c>
      <c r="G57" s="8">
        <v>0.17663258077293084</v>
      </c>
    </row>
  </sheetData>
  <sheetProtection sheet="1" objects="1" scenarios="1" selectLockedCells="1"/>
  <phoneticPr fontId="0" type="noConversion"/>
  <pageMargins left="0.75" right="0.75" top="1" bottom="1" header="0" footer="0"/>
  <pageSetup paperSize="9" orientation="portrait" horizontalDpi="4294967293" verticalDpi="300" r:id="rId1"/>
  <headerFooter alignWithMargins="0"/>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Hoja6"/>
  <dimension ref="A1:AP96"/>
  <sheetViews>
    <sheetView workbookViewId="0">
      <selection activeCell="A75" sqref="A75:XFD75"/>
    </sheetView>
  </sheetViews>
  <sheetFormatPr baseColWidth="10" defaultRowHeight="12.75"/>
  <cols>
    <col min="1" max="1" width="3.7109375" bestFit="1" customWidth="1"/>
    <col min="2" max="2" width="10.42578125" bestFit="1" customWidth="1"/>
    <col min="3" max="3" width="4.42578125" bestFit="1" customWidth="1"/>
    <col min="4" max="5" width="6" bestFit="1" customWidth="1"/>
    <col min="6" max="6" width="4.42578125" bestFit="1" customWidth="1"/>
    <col min="7" max="8" width="4.85546875" bestFit="1" customWidth="1"/>
    <col min="9" max="11" width="6" bestFit="1" customWidth="1"/>
    <col min="12" max="12" width="4" bestFit="1" customWidth="1"/>
    <col min="13" max="14" width="6" bestFit="1" customWidth="1"/>
    <col min="15" max="15" width="4.28515625" bestFit="1" customWidth="1"/>
    <col min="16" max="16" width="4.140625" bestFit="1" customWidth="1"/>
    <col min="18" max="18" width="10.42578125" bestFit="1" customWidth="1"/>
    <col min="19" max="19" width="4.42578125" bestFit="1" customWidth="1"/>
    <col min="20" max="20" width="6.42578125" customWidth="1"/>
    <col min="21" max="21" width="5.5703125" customWidth="1"/>
    <col min="22" max="22" width="6" bestFit="1" customWidth="1"/>
    <col min="23" max="24" width="4.140625" bestFit="1" customWidth="1"/>
    <col min="25" max="25" width="5.5703125" bestFit="1" customWidth="1"/>
    <col min="26" max="26" width="6.140625" bestFit="1" customWidth="1"/>
    <col min="27" max="27" width="6" bestFit="1" customWidth="1"/>
    <col min="28" max="28" width="3.5703125" bestFit="1" customWidth="1"/>
    <col min="29" max="29" width="4.140625" bestFit="1" customWidth="1"/>
    <col min="30" max="30" width="4.7109375" bestFit="1" customWidth="1"/>
    <col min="31" max="31" width="5.5703125" customWidth="1"/>
    <col min="32" max="32" width="4.28515625" bestFit="1" customWidth="1"/>
    <col min="33" max="33" width="7.42578125" customWidth="1"/>
    <col min="34" max="34" width="20.7109375" bestFit="1" customWidth="1"/>
    <col min="35" max="35" width="4.140625" bestFit="1" customWidth="1"/>
    <col min="36" max="36" width="9" bestFit="1" customWidth="1"/>
    <col min="37" max="37" width="4.140625" bestFit="1" customWidth="1"/>
  </cols>
  <sheetData>
    <row r="1" spans="1:37" ht="13.5" thickTop="1">
      <c r="A1" s="121"/>
      <c r="B1" s="122"/>
      <c r="C1" s="123"/>
      <c r="D1" s="124"/>
      <c r="E1" s="124"/>
      <c r="F1" s="124"/>
      <c r="G1" s="124"/>
      <c r="H1" s="125"/>
      <c r="I1" s="125"/>
      <c r="J1" s="124"/>
      <c r="K1" s="124"/>
      <c r="L1" s="124"/>
      <c r="M1" s="124"/>
      <c r="N1" s="125"/>
      <c r="O1" s="124"/>
      <c r="P1" s="125"/>
      <c r="Q1" s="126"/>
      <c r="R1" s="127"/>
      <c r="S1" s="125"/>
      <c r="T1" s="124"/>
      <c r="U1" s="124"/>
      <c r="V1" s="124"/>
      <c r="W1" s="124"/>
      <c r="X1" s="125"/>
      <c r="Y1" s="124"/>
      <c r="Z1" s="124"/>
      <c r="AA1" s="124"/>
      <c r="AB1" s="125"/>
      <c r="AC1" s="124"/>
      <c r="AD1" s="124"/>
      <c r="AE1" s="128"/>
      <c r="AF1" s="129"/>
      <c r="AG1" s="130"/>
      <c r="AH1" s="130" t="s">
        <v>80</v>
      </c>
      <c r="AI1" s="130"/>
      <c r="AJ1" s="130"/>
      <c r="AK1" s="131"/>
    </row>
    <row r="2" spans="1:37">
      <c r="A2" s="121"/>
      <c r="B2" s="132"/>
      <c r="C2" s="133"/>
      <c r="D2" s="126"/>
      <c r="E2" s="126"/>
      <c r="F2" s="126"/>
      <c r="G2" s="126"/>
      <c r="H2" s="134"/>
      <c r="I2" s="134"/>
      <c r="J2" s="126"/>
      <c r="K2" s="126"/>
      <c r="L2" s="126"/>
      <c r="M2" s="126"/>
      <c r="N2" s="134"/>
      <c r="O2" s="126"/>
      <c r="P2" s="134"/>
      <c r="Q2" s="126"/>
      <c r="R2" s="135"/>
      <c r="S2" s="134"/>
      <c r="T2" s="126"/>
      <c r="U2" s="126"/>
      <c r="V2" s="126"/>
      <c r="W2" s="126"/>
      <c r="X2" s="134"/>
      <c r="Y2" s="126"/>
      <c r="Z2" s="126"/>
      <c r="AA2" s="126"/>
      <c r="AB2" s="134"/>
      <c r="AC2" s="126"/>
      <c r="AD2" s="126"/>
      <c r="AE2" s="136"/>
      <c r="AF2" s="137"/>
      <c r="AG2" s="138"/>
      <c r="AH2" s="139"/>
      <c r="AI2" s="138"/>
      <c r="AJ2" s="138"/>
      <c r="AK2" s="140"/>
    </row>
    <row r="3" spans="1:37" ht="19.5">
      <c r="A3" s="121"/>
      <c r="B3" s="132"/>
      <c r="C3" s="133" t="s">
        <v>79</v>
      </c>
      <c r="D3" s="126" t="s">
        <v>81</v>
      </c>
      <c r="E3" s="126" t="s">
        <v>34</v>
      </c>
      <c r="F3" s="126" t="s">
        <v>82</v>
      </c>
      <c r="G3" s="126" t="s">
        <v>83</v>
      </c>
      <c r="H3" s="134" t="s">
        <v>84</v>
      </c>
      <c r="I3" s="134" t="s">
        <v>85</v>
      </c>
      <c r="J3" s="126" t="s">
        <v>86</v>
      </c>
      <c r="K3" s="126" t="s">
        <v>36</v>
      </c>
      <c r="L3" s="126" t="s">
        <v>87</v>
      </c>
      <c r="M3" s="141" t="s">
        <v>88</v>
      </c>
      <c r="N3" s="134" t="s">
        <v>89</v>
      </c>
      <c r="O3" s="126" t="s">
        <v>90</v>
      </c>
      <c r="P3" s="134" t="s">
        <v>91</v>
      </c>
      <c r="Q3" s="126"/>
      <c r="R3" s="135"/>
      <c r="S3" s="134" t="s">
        <v>79</v>
      </c>
      <c r="T3" s="126" t="s">
        <v>92</v>
      </c>
      <c r="U3" s="126" t="s">
        <v>93</v>
      </c>
      <c r="V3" s="126" t="s">
        <v>94</v>
      </c>
      <c r="W3" s="126" t="s">
        <v>95</v>
      </c>
      <c r="X3" s="134" t="s">
        <v>96</v>
      </c>
      <c r="Y3" s="126" t="s">
        <v>97</v>
      </c>
      <c r="Z3" s="126" t="s">
        <v>98</v>
      </c>
      <c r="AA3" s="126" t="s">
        <v>99</v>
      </c>
      <c r="AB3" s="134" t="s">
        <v>100</v>
      </c>
      <c r="AC3" s="126" t="s">
        <v>101</v>
      </c>
      <c r="AD3" s="126" t="s">
        <v>102</v>
      </c>
      <c r="AE3" s="136" t="s">
        <v>103</v>
      </c>
      <c r="AF3" s="142"/>
      <c r="AG3" s="143" t="s">
        <v>104</v>
      </c>
      <c r="AH3" s="144"/>
      <c r="AI3" s="143"/>
      <c r="AJ3" s="143" t="s">
        <v>104</v>
      </c>
      <c r="AK3" s="145"/>
    </row>
    <row r="4" spans="1:37" ht="13.5">
      <c r="A4" s="121"/>
      <c r="B4" s="132"/>
      <c r="C4" s="133" t="s">
        <v>105</v>
      </c>
      <c r="D4" s="126" t="s">
        <v>106</v>
      </c>
      <c r="E4" s="126" t="s">
        <v>77</v>
      </c>
      <c r="F4" s="126" t="s">
        <v>77</v>
      </c>
      <c r="G4" s="126" t="s">
        <v>77</v>
      </c>
      <c r="H4" s="134" t="s">
        <v>77</v>
      </c>
      <c r="I4" s="134" t="s">
        <v>107</v>
      </c>
      <c r="J4" s="126" t="s">
        <v>77</v>
      </c>
      <c r="K4" s="126" t="s">
        <v>77</v>
      </c>
      <c r="L4" s="126"/>
      <c r="M4" s="126" t="s">
        <v>77</v>
      </c>
      <c r="N4" s="134" t="s">
        <v>77</v>
      </c>
      <c r="O4" s="126" t="s">
        <v>108</v>
      </c>
      <c r="P4" s="134" t="s">
        <v>109</v>
      </c>
      <c r="Q4" s="126"/>
      <c r="R4" s="135"/>
      <c r="S4" s="134" t="s">
        <v>105</v>
      </c>
      <c r="T4" s="126" t="s">
        <v>110</v>
      </c>
      <c r="U4" s="126" t="s">
        <v>111</v>
      </c>
      <c r="V4" s="126" t="s">
        <v>111</v>
      </c>
      <c r="W4" s="126" t="s">
        <v>77</v>
      </c>
      <c r="X4" s="134" t="s">
        <v>112</v>
      </c>
      <c r="Y4" s="126" t="s">
        <v>113</v>
      </c>
      <c r="Z4" s="126" t="s">
        <v>111</v>
      </c>
      <c r="AA4" s="126" t="s">
        <v>111</v>
      </c>
      <c r="AB4" s="134" t="s">
        <v>77</v>
      </c>
      <c r="AC4" s="126" t="s">
        <v>77</v>
      </c>
      <c r="AD4" s="126" t="s">
        <v>113</v>
      </c>
      <c r="AE4" s="146" t="s">
        <v>114</v>
      </c>
      <c r="AF4" s="147"/>
      <c r="AG4" s="148" t="s">
        <v>115</v>
      </c>
      <c r="AH4" s="149"/>
      <c r="AI4" s="148"/>
      <c r="AJ4" s="148" t="s">
        <v>116</v>
      </c>
      <c r="AK4" s="150"/>
    </row>
    <row r="5" spans="1:37" ht="13.5" thickBot="1">
      <c r="A5" s="121"/>
      <c r="B5" s="151"/>
      <c r="C5" s="152"/>
      <c r="D5" s="153"/>
      <c r="E5" s="153"/>
      <c r="F5" s="153"/>
      <c r="G5" s="153"/>
      <c r="H5" s="154"/>
      <c r="I5" s="154" t="s">
        <v>117</v>
      </c>
      <c r="J5" s="153"/>
      <c r="K5" s="153"/>
      <c r="L5" s="153"/>
      <c r="M5" s="153"/>
      <c r="N5" s="154"/>
      <c r="O5" s="153"/>
      <c r="P5" s="154"/>
      <c r="Q5" s="126"/>
      <c r="R5" s="152"/>
      <c r="S5" s="154"/>
      <c r="T5" s="153" t="s">
        <v>118</v>
      </c>
      <c r="U5" s="153" t="s">
        <v>119</v>
      </c>
      <c r="V5" s="153" t="s">
        <v>119</v>
      </c>
      <c r="W5" s="155" t="s">
        <v>120</v>
      </c>
      <c r="X5" s="154" t="s">
        <v>117</v>
      </c>
      <c r="Y5" s="153" t="s">
        <v>118</v>
      </c>
      <c r="Z5" s="153" t="s">
        <v>119</v>
      </c>
      <c r="AA5" s="153" t="s">
        <v>119</v>
      </c>
      <c r="AB5" s="156" t="s">
        <v>120</v>
      </c>
      <c r="AC5" s="153"/>
      <c r="AD5" s="153" t="s">
        <v>118</v>
      </c>
      <c r="AE5" s="157" t="s">
        <v>121</v>
      </c>
      <c r="AF5" s="158" t="s">
        <v>65</v>
      </c>
      <c r="AG5" s="159" t="s">
        <v>69</v>
      </c>
      <c r="AH5" s="159" t="s">
        <v>122</v>
      </c>
      <c r="AI5" s="159" t="s">
        <v>65</v>
      </c>
      <c r="AJ5" s="159" t="s">
        <v>69</v>
      </c>
      <c r="AK5" s="160" t="s">
        <v>122</v>
      </c>
    </row>
    <row r="6" spans="1:37" ht="13.5" thickTop="1">
      <c r="A6" s="121"/>
      <c r="B6" s="161"/>
      <c r="C6" s="165"/>
      <c r="D6" s="165"/>
      <c r="E6" s="165"/>
      <c r="F6" s="165"/>
      <c r="G6" s="165"/>
      <c r="H6" s="165"/>
      <c r="I6" s="165"/>
      <c r="J6" s="165"/>
      <c r="K6" s="165"/>
      <c r="L6" s="165"/>
      <c r="M6" s="165"/>
      <c r="N6" s="165"/>
      <c r="O6" s="165"/>
      <c r="P6" s="165"/>
      <c r="Q6" s="165"/>
      <c r="R6" s="165"/>
      <c r="S6" s="165"/>
      <c r="T6" s="165"/>
      <c r="U6" s="165"/>
      <c r="V6" s="165"/>
      <c r="W6" s="165"/>
      <c r="X6" s="165"/>
      <c r="Y6" s="165"/>
      <c r="Z6" s="165"/>
      <c r="AA6" s="165"/>
      <c r="AB6" s="165"/>
      <c r="AC6" s="165"/>
      <c r="AD6" s="165"/>
      <c r="AE6" s="165"/>
      <c r="AF6" s="162"/>
      <c r="AG6" s="162"/>
      <c r="AH6" s="162"/>
      <c r="AI6" s="162"/>
      <c r="AJ6" s="162"/>
      <c r="AK6" s="162"/>
    </row>
    <row r="7" spans="1:37">
      <c r="A7" s="163" t="s">
        <v>68</v>
      </c>
      <c r="B7" s="164" t="s">
        <v>124</v>
      </c>
      <c r="C7" s="165">
        <v>6</v>
      </c>
      <c r="D7" s="165">
        <v>80</v>
      </c>
      <c r="E7" s="165">
        <v>46</v>
      </c>
      <c r="F7" s="165">
        <v>3.8</v>
      </c>
      <c r="G7" s="165">
        <v>5.2</v>
      </c>
      <c r="H7" s="165">
        <v>5</v>
      </c>
      <c r="I7" s="165">
        <v>7.64</v>
      </c>
      <c r="J7" s="165">
        <v>69.599999999999994</v>
      </c>
      <c r="K7" s="165">
        <v>59.6</v>
      </c>
      <c r="L7" s="165" t="s">
        <v>123</v>
      </c>
      <c r="M7" s="165" t="s">
        <v>123</v>
      </c>
      <c r="N7" s="165" t="s">
        <v>123</v>
      </c>
      <c r="O7" s="165">
        <v>0.32800000000000001</v>
      </c>
      <c r="P7" s="165">
        <v>54.64</v>
      </c>
      <c r="Q7" s="165"/>
      <c r="R7" s="165" t="s">
        <v>124</v>
      </c>
      <c r="S7" s="165">
        <v>6</v>
      </c>
      <c r="T7" s="165">
        <v>80.14</v>
      </c>
      <c r="U7" s="165">
        <v>20.03</v>
      </c>
      <c r="V7" s="165">
        <v>23.22</v>
      </c>
      <c r="W7" s="165">
        <v>3.24</v>
      </c>
      <c r="X7" s="165">
        <v>3.58</v>
      </c>
      <c r="Y7" s="165">
        <v>8.49</v>
      </c>
      <c r="Z7" s="165">
        <v>3.69</v>
      </c>
      <c r="AA7" s="165">
        <v>5.82</v>
      </c>
      <c r="AB7" s="165">
        <v>1.05</v>
      </c>
      <c r="AC7" s="165">
        <v>20.100000000000001</v>
      </c>
      <c r="AD7" s="165">
        <v>0.7</v>
      </c>
      <c r="AE7" s="165">
        <v>0.12</v>
      </c>
      <c r="AF7" s="148">
        <v>1</v>
      </c>
      <c r="AG7" s="148">
        <v>1</v>
      </c>
      <c r="AH7" s="149" t="s">
        <v>123</v>
      </c>
      <c r="AI7" s="148">
        <v>1</v>
      </c>
      <c r="AJ7" s="148">
        <v>1</v>
      </c>
      <c r="AK7" s="169" t="s">
        <v>123</v>
      </c>
    </row>
    <row r="8" spans="1:37">
      <c r="A8" s="163" t="s">
        <v>68</v>
      </c>
      <c r="B8" s="170" t="s">
        <v>126</v>
      </c>
      <c r="C8" s="165">
        <v>8.1</v>
      </c>
      <c r="D8" s="165">
        <v>100</v>
      </c>
      <c r="E8" s="165">
        <v>55</v>
      </c>
      <c r="F8" s="165">
        <v>4.0999999999999996</v>
      </c>
      <c r="G8" s="165">
        <v>5.7</v>
      </c>
      <c r="H8" s="165">
        <v>7</v>
      </c>
      <c r="I8" s="165">
        <v>10.3</v>
      </c>
      <c r="J8" s="165">
        <v>88.6</v>
      </c>
      <c r="K8" s="165">
        <v>74.599999999999994</v>
      </c>
      <c r="L8" s="165" t="s">
        <v>123</v>
      </c>
      <c r="M8" s="165" t="s">
        <v>123</v>
      </c>
      <c r="N8" s="165" t="s">
        <v>123</v>
      </c>
      <c r="O8" s="165">
        <v>0.4</v>
      </c>
      <c r="P8" s="165">
        <v>49.33</v>
      </c>
      <c r="Q8" s="165"/>
      <c r="R8" s="165" t="s">
        <v>126</v>
      </c>
      <c r="S8" s="165">
        <v>8.1</v>
      </c>
      <c r="T8" s="165">
        <v>171</v>
      </c>
      <c r="U8" s="165">
        <v>34.200000000000003</v>
      </c>
      <c r="V8" s="165">
        <v>39.409999999999997</v>
      </c>
      <c r="W8" s="165">
        <v>4.07</v>
      </c>
      <c r="X8" s="165">
        <v>5.08</v>
      </c>
      <c r="Y8" s="165">
        <v>15.92</v>
      </c>
      <c r="Z8" s="165">
        <v>5.79</v>
      </c>
      <c r="AA8" s="165">
        <v>9.15</v>
      </c>
      <c r="AB8" s="165">
        <v>1.24</v>
      </c>
      <c r="AC8" s="165">
        <v>23.7</v>
      </c>
      <c r="AD8" s="165">
        <v>1.2</v>
      </c>
      <c r="AE8" s="165">
        <v>0.35</v>
      </c>
      <c r="AF8" s="148">
        <v>1</v>
      </c>
      <c r="AG8" s="148">
        <v>1</v>
      </c>
      <c r="AH8" s="149" t="s">
        <v>123</v>
      </c>
      <c r="AI8" s="148">
        <v>1</v>
      </c>
      <c r="AJ8" s="148">
        <v>1</v>
      </c>
      <c r="AK8" s="169" t="s">
        <v>123</v>
      </c>
    </row>
    <row r="9" spans="1:37">
      <c r="A9" s="163" t="s">
        <v>68</v>
      </c>
      <c r="B9" s="170" t="s">
        <v>128</v>
      </c>
      <c r="C9" s="165">
        <v>10.4</v>
      </c>
      <c r="D9" s="165">
        <v>120</v>
      </c>
      <c r="E9" s="165">
        <v>64</v>
      </c>
      <c r="F9" s="165">
        <v>4.4000000000000004</v>
      </c>
      <c r="G9" s="165">
        <v>6.3</v>
      </c>
      <c r="H9" s="165">
        <v>7</v>
      </c>
      <c r="I9" s="165">
        <v>13.2</v>
      </c>
      <c r="J9" s="165">
        <v>107.4</v>
      </c>
      <c r="K9" s="165">
        <v>93.4</v>
      </c>
      <c r="L9" s="165" t="s">
        <v>123</v>
      </c>
      <c r="M9" s="165" t="s">
        <v>123</v>
      </c>
      <c r="N9" s="165" t="s">
        <v>123</v>
      </c>
      <c r="O9" s="165">
        <v>0.47499999999999998</v>
      </c>
      <c r="P9" s="165">
        <v>45.82</v>
      </c>
      <c r="Q9" s="165"/>
      <c r="R9" s="165" t="s">
        <v>128</v>
      </c>
      <c r="S9" s="165">
        <v>10.4</v>
      </c>
      <c r="T9" s="165">
        <v>317.8</v>
      </c>
      <c r="U9" s="165">
        <v>52.96</v>
      </c>
      <c r="V9" s="165">
        <v>60.73</v>
      </c>
      <c r="W9" s="165">
        <v>4.9000000000000004</v>
      </c>
      <c r="X9" s="165">
        <v>6.31</v>
      </c>
      <c r="Y9" s="165">
        <v>27.67</v>
      </c>
      <c r="Z9" s="165">
        <v>8.65</v>
      </c>
      <c r="AA9" s="165">
        <v>13.58</v>
      </c>
      <c r="AB9" s="165">
        <v>1.45</v>
      </c>
      <c r="AC9" s="165">
        <v>25.2</v>
      </c>
      <c r="AD9" s="165">
        <v>1.74</v>
      </c>
      <c r="AE9" s="165">
        <v>0.89</v>
      </c>
      <c r="AF9" s="148">
        <v>1</v>
      </c>
      <c r="AG9" s="148">
        <v>1</v>
      </c>
      <c r="AH9" s="172">
        <v>1</v>
      </c>
      <c r="AI9" s="148">
        <v>1</v>
      </c>
      <c r="AJ9" s="148">
        <v>1</v>
      </c>
      <c r="AK9" s="169">
        <v>1</v>
      </c>
    </row>
    <row r="10" spans="1:37">
      <c r="A10" s="163" t="s">
        <v>68</v>
      </c>
      <c r="B10" s="170" t="s">
        <v>130</v>
      </c>
      <c r="C10" s="165">
        <v>12.9</v>
      </c>
      <c r="D10" s="165">
        <v>140</v>
      </c>
      <c r="E10" s="165">
        <v>73</v>
      </c>
      <c r="F10" s="165">
        <v>4.7</v>
      </c>
      <c r="G10" s="165">
        <v>6.9</v>
      </c>
      <c r="H10" s="165">
        <v>7</v>
      </c>
      <c r="I10" s="165">
        <v>16.399999999999999</v>
      </c>
      <c r="J10" s="165">
        <v>126.2</v>
      </c>
      <c r="K10" s="165">
        <v>112.2</v>
      </c>
      <c r="L10" s="165" t="s">
        <v>123</v>
      </c>
      <c r="M10" s="165" t="s">
        <v>123</v>
      </c>
      <c r="N10" s="165" t="s">
        <v>123</v>
      </c>
      <c r="O10" s="165">
        <v>0.55100000000000005</v>
      </c>
      <c r="P10" s="165">
        <v>42.7</v>
      </c>
      <c r="Q10" s="165"/>
      <c r="R10" s="165" t="s">
        <v>130</v>
      </c>
      <c r="S10" s="165">
        <v>12.9</v>
      </c>
      <c r="T10" s="165">
        <v>541.20000000000005</v>
      </c>
      <c r="U10" s="165">
        <v>77.319999999999993</v>
      </c>
      <c r="V10" s="165">
        <v>88.34</v>
      </c>
      <c r="W10" s="165">
        <v>5.74</v>
      </c>
      <c r="X10" s="165">
        <v>7.64</v>
      </c>
      <c r="Y10" s="165">
        <v>44.92</v>
      </c>
      <c r="Z10" s="165">
        <v>12.31</v>
      </c>
      <c r="AA10" s="165">
        <v>19.25</v>
      </c>
      <c r="AB10" s="165">
        <v>1.65</v>
      </c>
      <c r="AC10" s="165">
        <v>26.7</v>
      </c>
      <c r="AD10" s="165">
        <v>2.4500000000000002</v>
      </c>
      <c r="AE10" s="165">
        <v>1.98</v>
      </c>
      <c r="AF10" s="148">
        <v>1</v>
      </c>
      <c r="AG10" s="148">
        <v>1</v>
      </c>
      <c r="AH10" s="172">
        <v>1</v>
      </c>
      <c r="AI10" s="148">
        <v>1</v>
      </c>
      <c r="AJ10" s="148">
        <v>1</v>
      </c>
      <c r="AK10" s="169">
        <v>2</v>
      </c>
    </row>
    <row r="11" spans="1:37">
      <c r="A11" s="163" t="s">
        <v>68</v>
      </c>
      <c r="B11" s="170" t="s">
        <v>131</v>
      </c>
      <c r="C11" s="165">
        <v>15.8</v>
      </c>
      <c r="D11" s="165">
        <v>160</v>
      </c>
      <c r="E11" s="165">
        <v>82</v>
      </c>
      <c r="F11" s="165">
        <v>5</v>
      </c>
      <c r="G11" s="165">
        <v>7.4</v>
      </c>
      <c r="H11" s="165">
        <v>9</v>
      </c>
      <c r="I11" s="165">
        <v>20.100000000000001</v>
      </c>
      <c r="J11" s="165">
        <v>145.19999999999999</v>
      </c>
      <c r="K11" s="165">
        <v>127.2</v>
      </c>
      <c r="L11" s="165" t="s">
        <v>123</v>
      </c>
      <c r="M11" s="165" t="s">
        <v>123</v>
      </c>
      <c r="N11" s="165" t="s">
        <v>123</v>
      </c>
      <c r="O11" s="165">
        <v>0.623</v>
      </c>
      <c r="P11" s="165">
        <v>39.47</v>
      </c>
      <c r="Q11" s="165"/>
      <c r="R11" s="165" t="s">
        <v>131</v>
      </c>
      <c r="S11" s="165">
        <v>15.8</v>
      </c>
      <c r="T11" s="165">
        <v>869.3</v>
      </c>
      <c r="U11" s="165">
        <v>108.7</v>
      </c>
      <c r="V11" s="165">
        <v>123.9</v>
      </c>
      <c r="W11" s="165">
        <v>6.58</v>
      </c>
      <c r="X11" s="165">
        <v>9.66</v>
      </c>
      <c r="Y11" s="165">
        <v>68.31</v>
      </c>
      <c r="Z11" s="165">
        <v>16.66</v>
      </c>
      <c r="AA11" s="165">
        <v>26.1</v>
      </c>
      <c r="AB11" s="165">
        <v>1.84</v>
      </c>
      <c r="AC11" s="165">
        <v>30.34</v>
      </c>
      <c r="AD11" s="165">
        <v>3.6</v>
      </c>
      <c r="AE11" s="165">
        <v>3.96</v>
      </c>
      <c r="AF11" s="148">
        <v>1</v>
      </c>
      <c r="AG11" s="148">
        <v>1</v>
      </c>
      <c r="AH11" s="172">
        <v>1</v>
      </c>
      <c r="AI11" s="148">
        <v>1</v>
      </c>
      <c r="AJ11" s="148">
        <v>1</v>
      </c>
      <c r="AK11" s="169">
        <v>2</v>
      </c>
    </row>
    <row r="12" spans="1:37">
      <c r="A12" s="163" t="s">
        <v>68</v>
      </c>
      <c r="B12" s="170" t="s">
        <v>134</v>
      </c>
      <c r="C12" s="165">
        <v>18.8</v>
      </c>
      <c r="D12" s="165">
        <v>180</v>
      </c>
      <c r="E12" s="165">
        <v>91</v>
      </c>
      <c r="F12" s="165">
        <v>5.3</v>
      </c>
      <c r="G12" s="165">
        <v>8</v>
      </c>
      <c r="H12" s="165">
        <v>9</v>
      </c>
      <c r="I12" s="165">
        <v>23.9</v>
      </c>
      <c r="J12" s="165">
        <v>164</v>
      </c>
      <c r="K12" s="165">
        <v>146</v>
      </c>
      <c r="L12" s="165" t="s">
        <v>135</v>
      </c>
      <c r="M12" s="165">
        <v>48</v>
      </c>
      <c r="N12" s="165">
        <v>48</v>
      </c>
      <c r="O12" s="165">
        <v>0.69799999999999995</v>
      </c>
      <c r="P12" s="165">
        <v>37.130000000000003</v>
      </c>
      <c r="Q12" s="165"/>
      <c r="R12" s="165" t="s">
        <v>134</v>
      </c>
      <c r="S12" s="165">
        <v>18.8</v>
      </c>
      <c r="T12" s="165">
        <v>1317</v>
      </c>
      <c r="U12" s="165">
        <v>146.30000000000001</v>
      </c>
      <c r="V12" s="165">
        <v>166.4</v>
      </c>
      <c r="W12" s="165">
        <v>7.42</v>
      </c>
      <c r="X12" s="165">
        <v>11.25</v>
      </c>
      <c r="Y12" s="165">
        <v>100.9</v>
      </c>
      <c r="Z12" s="165">
        <v>22.16</v>
      </c>
      <c r="AA12" s="165">
        <v>34.6</v>
      </c>
      <c r="AB12" s="165">
        <v>2.0499999999999998</v>
      </c>
      <c r="AC12" s="165">
        <v>31.84</v>
      </c>
      <c r="AD12" s="165">
        <v>4.79</v>
      </c>
      <c r="AE12" s="165">
        <v>7.43</v>
      </c>
      <c r="AF12" s="148">
        <v>1</v>
      </c>
      <c r="AG12" s="148">
        <v>1</v>
      </c>
      <c r="AH12" s="172">
        <v>1</v>
      </c>
      <c r="AI12" s="148">
        <v>1</v>
      </c>
      <c r="AJ12" s="148">
        <v>2</v>
      </c>
      <c r="AK12" s="169">
        <v>3</v>
      </c>
    </row>
    <row r="13" spans="1:37">
      <c r="A13" s="163" t="s">
        <v>68</v>
      </c>
      <c r="B13" s="170" t="s">
        <v>137</v>
      </c>
      <c r="C13" s="165">
        <v>22.4</v>
      </c>
      <c r="D13" s="165">
        <v>200</v>
      </c>
      <c r="E13" s="165">
        <v>100</v>
      </c>
      <c r="F13" s="165">
        <v>5.6</v>
      </c>
      <c r="G13" s="165">
        <v>8.5</v>
      </c>
      <c r="H13" s="165">
        <v>12</v>
      </c>
      <c r="I13" s="165">
        <v>28.5</v>
      </c>
      <c r="J13" s="165">
        <v>183</v>
      </c>
      <c r="K13" s="165">
        <v>159</v>
      </c>
      <c r="L13" s="165" t="s">
        <v>135</v>
      </c>
      <c r="M13" s="165">
        <v>54</v>
      </c>
      <c r="N13" s="165">
        <v>58</v>
      </c>
      <c r="O13" s="165">
        <v>0.76800000000000002</v>
      </c>
      <c r="P13" s="165">
        <v>34.36</v>
      </c>
      <c r="Q13" s="165"/>
      <c r="R13" s="165" t="s">
        <v>137</v>
      </c>
      <c r="S13" s="165">
        <v>22.4</v>
      </c>
      <c r="T13" s="165">
        <v>1943</v>
      </c>
      <c r="U13" s="165">
        <v>194.3</v>
      </c>
      <c r="V13" s="165">
        <v>220.6</v>
      </c>
      <c r="W13" s="165">
        <v>8.26</v>
      </c>
      <c r="X13" s="165">
        <v>14</v>
      </c>
      <c r="Y13" s="165">
        <v>142.4</v>
      </c>
      <c r="Z13" s="165">
        <v>28.47</v>
      </c>
      <c r="AA13" s="165">
        <v>44.61</v>
      </c>
      <c r="AB13" s="165">
        <v>2.2400000000000002</v>
      </c>
      <c r="AC13" s="165">
        <v>36.659999999999997</v>
      </c>
      <c r="AD13" s="165">
        <v>6.98</v>
      </c>
      <c r="AE13" s="165">
        <v>12.99</v>
      </c>
      <c r="AF13" s="148">
        <v>1</v>
      </c>
      <c r="AG13" s="148">
        <v>1</v>
      </c>
      <c r="AH13" s="172">
        <v>1</v>
      </c>
      <c r="AI13" s="148">
        <v>1</v>
      </c>
      <c r="AJ13" s="148">
        <v>2</v>
      </c>
      <c r="AK13" s="169">
        <v>3</v>
      </c>
    </row>
    <row r="14" spans="1:37">
      <c r="A14" s="163" t="s">
        <v>68</v>
      </c>
      <c r="B14" s="170" t="s">
        <v>141</v>
      </c>
      <c r="C14" s="165">
        <v>26.2</v>
      </c>
      <c r="D14" s="165">
        <v>220</v>
      </c>
      <c r="E14" s="165">
        <v>110</v>
      </c>
      <c r="F14" s="165">
        <v>5.9</v>
      </c>
      <c r="G14" s="165">
        <v>9.1999999999999993</v>
      </c>
      <c r="H14" s="165">
        <v>12</v>
      </c>
      <c r="I14" s="165">
        <v>33.4</v>
      </c>
      <c r="J14" s="165">
        <v>201.6</v>
      </c>
      <c r="K14" s="165">
        <v>177.6</v>
      </c>
      <c r="L14" s="165" t="s">
        <v>142</v>
      </c>
      <c r="M14" s="165">
        <v>60</v>
      </c>
      <c r="N14" s="165">
        <v>62</v>
      </c>
      <c r="O14" s="165">
        <v>0.84799999999999998</v>
      </c>
      <c r="P14" s="165">
        <v>32.36</v>
      </c>
      <c r="Q14" s="165"/>
      <c r="R14" s="165" t="s">
        <v>141</v>
      </c>
      <c r="S14" s="165">
        <v>26.2</v>
      </c>
      <c r="T14" s="165">
        <v>2772</v>
      </c>
      <c r="U14" s="165">
        <v>252</v>
      </c>
      <c r="V14" s="165">
        <v>285.39999999999998</v>
      </c>
      <c r="W14" s="165">
        <v>9.11</v>
      </c>
      <c r="X14" s="165">
        <v>15.88</v>
      </c>
      <c r="Y14" s="165">
        <v>204.9</v>
      </c>
      <c r="Z14" s="165">
        <v>37.25</v>
      </c>
      <c r="AA14" s="165">
        <v>58.11</v>
      </c>
      <c r="AB14" s="165">
        <v>2.48</v>
      </c>
      <c r="AC14" s="165">
        <v>38.36</v>
      </c>
      <c r="AD14" s="165">
        <v>9.07</v>
      </c>
      <c r="AE14" s="165">
        <v>22.67</v>
      </c>
      <c r="AF14" s="148">
        <v>1</v>
      </c>
      <c r="AG14" s="148">
        <v>1</v>
      </c>
      <c r="AH14" s="172">
        <v>1</v>
      </c>
      <c r="AI14" s="148">
        <v>1</v>
      </c>
      <c r="AJ14" s="148">
        <v>2</v>
      </c>
      <c r="AK14" s="169">
        <v>4</v>
      </c>
    </row>
    <row r="15" spans="1:37">
      <c r="A15" s="163" t="s">
        <v>68</v>
      </c>
      <c r="B15" s="170" t="s">
        <v>143</v>
      </c>
      <c r="C15" s="165">
        <v>30.7</v>
      </c>
      <c r="D15" s="165">
        <v>240</v>
      </c>
      <c r="E15" s="165">
        <v>120</v>
      </c>
      <c r="F15" s="165">
        <v>6.2</v>
      </c>
      <c r="G15" s="165">
        <v>9.8000000000000007</v>
      </c>
      <c r="H15" s="165">
        <v>15</v>
      </c>
      <c r="I15" s="165">
        <v>39.1</v>
      </c>
      <c r="J15" s="165">
        <v>220.4</v>
      </c>
      <c r="K15" s="165">
        <v>190.4</v>
      </c>
      <c r="L15" s="165" t="s">
        <v>142</v>
      </c>
      <c r="M15" s="165">
        <v>66</v>
      </c>
      <c r="N15" s="165">
        <v>68</v>
      </c>
      <c r="O15" s="165">
        <v>0.92200000000000004</v>
      </c>
      <c r="P15" s="165">
        <v>30.02</v>
      </c>
      <c r="Q15" s="165"/>
      <c r="R15" s="165" t="s">
        <v>143</v>
      </c>
      <c r="S15" s="165">
        <v>30.7</v>
      </c>
      <c r="T15" s="165">
        <v>3892</v>
      </c>
      <c r="U15" s="165">
        <v>324.3</v>
      </c>
      <c r="V15" s="165">
        <v>366.6</v>
      </c>
      <c r="W15" s="165">
        <v>9.9700000000000006</v>
      </c>
      <c r="X15" s="165">
        <v>19.14</v>
      </c>
      <c r="Y15" s="165">
        <v>283.60000000000002</v>
      </c>
      <c r="Z15" s="165">
        <v>47.27</v>
      </c>
      <c r="AA15" s="165">
        <v>73.92</v>
      </c>
      <c r="AB15" s="165">
        <v>2.69</v>
      </c>
      <c r="AC15" s="165">
        <v>43.37</v>
      </c>
      <c r="AD15" s="165">
        <v>12.88</v>
      </c>
      <c r="AE15" s="165">
        <v>37.39</v>
      </c>
      <c r="AF15" s="148">
        <v>1</v>
      </c>
      <c r="AG15" s="148">
        <v>1</v>
      </c>
      <c r="AH15" s="149">
        <v>1</v>
      </c>
      <c r="AI15" s="148">
        <v>1</v>
      </c>
      <c r="AJ15" s="148">
        <v>2</v>
      </c>
      <c r="AK15" s="169">
        <v>4</v>
      </c>
    </row>
    <row r="16" spans="1:37">
      <c r="A16" s="163" t="s">
        <v>68</v>
      </c>
      <c r="B16" s="170" t="s">
        <v>52</v>
      </c>
      <c r="C16" s="165">
        <v>36.1</v>
      </c>
      <c r="D16" s="165">
        <v>270</v>
      </c>
      <c r="E16" s="165">
        <v>135</v>
      </c>
      <c r="F16" s="165">
        <v>6.6</v>
      </c>
      <c r="G16" s="165">
        <v>10.199999999999999</v>
      </c>
      <c r="H16" s="165">
        <v>15</v>
      </c>
      <c r="I16" s="165">
        <v>45.9</v>
      </c>
      <c r="J16" s="165">
        <v>249.6</v>
      </c>
      <c r="K16" s="165">
        <v>219.6</v>
      </c>
      <c r="L16" s="165" t="s">
        <v>147</v>
      </c>
      <c r="M16" s="165">
        <v>72</v>
      </c>
      <c r="N16" s="165">
        <v>72</v>
      </c>
      <c r="O16" s="165">
        <v>1.0409999999999999</v>
      </c>
      <c r="P16" s="165">
        <v>28.86</v>
      </c>
      <c r="Q16" s="165"/>
      <c r="R16" s="165" t="s">
        <v>52</v>
      </c>
      <c r="S16" s="165">
        <v>36.1</v>
      </c>
      <c r="T16" s="165">
        <v>5790</v>
      </c>
      <c r="U16" s="165">
        <v>428.9</v>
      </c>
      <c r="V16" s="165">
        <v>484</v>
      </c>
      <c r="W16" s="165">
        <v>11.23</v>
      </c>
      <c r="X16" s="165">
        <v>22.14</v>
      </c>
      <c r="Y16" s="165">
        <v>419.9</v>
      </c>
      <c r="Z16" s="165">
        <v>62.2</v>
      </c>
      <c r="AA16" s="165">
        <v>96.95</v>
      </c>
      <c r="AB16" s="165">
        <v>3.02</v>
      </c>
      <c r="AC16" s="165">
        <v>44.57</v>
      </c>
      <c r="AD16" s="165">
        <v>15.94</v>
      </c>
      <c r="AE16" s="165">
        <v>70.58</v>
      </c>
      <c r="AF16" s="148">
        <v>1</v>
      </c>
      <c r="AG16" s="148">
        <v>1</v>
      </c>
      <c r="AH16" s="149">
        <v>1</v>
      </c>
      <c r="AI16" s="148">
        <v>2</v>
      </c>
      <c r="AJ16" s="148">
        <v>3</v>
      </c>
      <c r="AK16" s="169">
        <v>4</v>
      </c>
    </row>
    <row r="17" spans="1:41">
      <c r="A17" s="163" t="s">
        <v>68</v>
      </c>
      <c r="B17" s="170" t="s">
        <v>51</v>
      </c>
      <c r="C17" s="165">
        <v>42.2</v>
      </c>
      <c r="D17" s="165">
        <v>300</v>
      </c>
      <c r="E17" s="165">
        <v>150</v>
      </c>
      <c r="F17" s="165">
        <v>7.1</v>
      </c>
      <c r="G17" s="165">
        <v>10.7</v>
      </c>
      <c r="H17" s="165">
        <v>15</v>
      </c>
      <c r="I17" s="165">
        <v>53.8</v>
      </c>
      <c r="J17" s="165">
        <v>278.60000000000002</v>
      </c>
      <c r="K17" s="165">
        <v>248.6</v>
      </c>
      <c r="L17" s="165" t="s">
        <v>147</v>
      </c>
      <c r="M17" s="165">
        <v>72</v>
      </c>
      <c r="N17" s="165">
        <v>86</v>
      </c>
      <c r="O17" s="165">
        <v>1.1599999999999999</v>
      </c>
      <c r="P17" s="165">
        <v>27.46</v>
      </c>
      <c r="Q17" s="165"/>
      <c r="R17" s="165" t="s">
        <v>51</v>
      </c>
      <c r="S17" s="165">
        <v>42.2</v>
      </c>
      <c r="T17" s="165">
        <v>8356</v>
      </c>
      <c r="U17" s="165">
        <v>557.1</v>
      </c>
      <c r="V17" s="165">
        <v>628.4</v>
      </c>
      <c r="W17" s="165">
        <v>12.46</v>
      </c>
      <c r="X17" s="165">
        <v>25.68</v>
      </c>
      <c r="Y17" s="165">
        <v>603.79999999999995</v>
      </c>
      <c r="Z17" s="165">
        <v>80.5</v>
      </c>
      <c r="AA17" s="165">
        <v>125.2</v>
      </c>
      <c r="AB17" s="165">
        <v>3.35</v>
      </c>
      <c r="AC17" s="165">
        <v>46.07</v>
      </c>
      <c r="AD17" s="165">
        <v>20.12</v>
      </c>
      <c r="AE17" s="165">
        <v>125.9</v>
      </c>
      <c r="AF17" s="165">
        <v>1</v>
      </c>
      <c r="AG17" s="165">
        <v>1</v>
      </c>
      <c r="AH17" s="166">
        <v>1</v>
      </c>
      <c r="AI17" s="165">
        <v>2</v>
      </c>
      <c r="AJ17" s="165">
        <v>4</v>
      </c>
      <c r="AK17" s="173">
        <v>4</v>
      </c>
    </row>
    <row r="18" spans="1:41">
      <c r="A18" s="163" t="s">
        <v>68</v>
      </c>
      <c r="B18" s="170" t="s">
        <v>150</v>
      </c>
      <c r="C18" s="165">
        <v>49.1</v>
      </c>
      <c r="D18" s="165">
        <v>330</v>
      </c>
      <c r="E18" s="165">
        <v>160</v>
      </c>
      <c r="F18" s="165">
        <v>7.5</v>
      </c>
      <c r="G18" s="165">
        <v>11.5</v>
      </c>
      <c r="H18" s="165">
        <v>18</v>
      </c>
      <c r="I18" s="165">
        <v>62.6</v>
      </c>
      <c r="J18" s="165">
        <v>307</v>
      </c>
      <c r="K18" s="165">
        <v>271</v>
      </c>
      <c r="L18" s="165" t="s">
        <v>147</v>
      </c>
      <c r="M18" s="165">
        <v>78</v>
      </c>
      <c r="N18" s="165">
        <v>96</v>
      </c>
      <c r="O18" s="165">
        <v>1.254</v>
      </c>
      <c r="P18" s="165">
        <v>25.52</v>
      </c>
      <c r="Q18" s="165"/>
      <c r="R18" s="165" t="s">
        <v>150</v>
      </c>
      <c r="S18" s="165">
        <v>49.1</v>
      </c>
      <c r="T18" s="165">
        <v>11770</v>
      </c>
      <c r="U18" s="165">
        <v>713.1</v>
      </c>
      <c r="V18" s="165">
        <v>804.3</v>
      </c>
      <c r="W18" s="165">
        <v>13.71</v>
      </c>
      <c r="X18" s="165">
        <v>30.81</v>
      </c>
      <c r="Y18" s="165">
        <v>788.1</v>
      </c>
      <c r="Z18" s="165">
        <v>98.52</v>
      </c>
      <c r="AA18" s="165">
        <v>153.69999999999999</v>
      </c>
      <c r="AB18" s="165">
        <v>3.55</v>
      </c>
      <c r="AC18" s="165">
        <v>51.59</v>
      </c>
      <c r="AD18" s="165">
        <v>28.15</v>
      </c>
      <c r="AE18" s="165">
        <v>199.1</v>
      </c>
      <c r="AF18" s="165">
        <v>1</v>
      </c>
      <c r="AG18" s="165">
        <v>1</v>
      </c>
      <c r="AH18" s="166">
        <v>1</v>
      </c>
      <c r="AI18" s="165">
        <v>2</v>
      </c>
      <c r="AJ18" s="165">
        <v>4</v>
      </c>
      <c r="AK18" s="173">
        <v>4</v>
      </c>
    </row>
    <row r="19" spans="1:41">
      <c r="A19" s="163" t="s">
        <v>68</v>
      </c>
      <c r="B19" s="170" t="s">
        <v>154</v>
      </c>
      <c r="C19" s="165">
        <v>57.1</v>
      </c>
      <c r="D19" s="165">
        <v>360</v>
      </c>
      <c r="E19" s="165">
        <v>170</v>
      </c>
      <c r="F19" s="165">
        <v>8</v>
      </c>
      <c r="G19" s="165">
        <v>12.7</v>
      </c>
      <c r="H19" s="165">
        <v>18</v>
      </c>
      <c r="I19" s="165">
        <v>72.7</v>
      </c>
      <c r="J19" s="165">
        <v>334.6</v>
      </c>
      <c r="K19" s="165">
        <v>298.60000000000002</v>
      </c>
      <c r="L19" s="165" t="s">
        <v>155</v>
      </c>
      <c r="M19" s="165">
        <v>88</v>
      </c>
      <c r="N19" s="165">
        <v>88</v>
      </c>
      <c r="O19" s="165">
        <v>1.353</v>
      </c>
      <c r="P19" s="165">
        <v>23.7</v>
      </c>
      <c r="Q19" s="165"/>
      <c r="R19" s="165" t="s">
        <v>154</v>
      </c>
      <c r="S19" s="165">
        <v>57.1</v>
      </c>
      <c r="T19" s="165">
        <v>16270</v>
      </c>
      <c r="U19" s="165">
        <v>903.6</v>
      </c>
      <c r="V19" s="165">
        <v>1019</v>
      </c>
      <c r="W19" s="165">
        <v>14.95</v>
      </c>
      <c r="X19" s="165">
        <v>35.14</v>
      </c>
      <c r="Y19" s="165">
        <v>1043</v>
      </c>
      <c r="Z19" s="165">
        <v>122.8</v>
      </c>
      <c r="AA19" s="165">
        <v>191.1</v>
      </c>
      <c r="AB19" s="165">
        <v>3.79</v>
      </c>
      <c r="AC19" s="165">
        <v>54.49</v>
      </c>
      <c r="AD19" s="165">
        <v>37.32</v>
      </c>
      <c r="AE19" s="165">
        <v>313.60000000000002</v>
      </c>
      <c r="AF19" s="165">
        <v>1</v>
      </c>
      <c r="AG19" s="165">
        <v>1</v>
      </c>
      <c r="AH19" s="166">
        <v>1</v>
      </c>
      <c r="AI19" s="165">
        <v>2</v>
      </c>
      <c r="AJ19" s="165">
        <v>4</v>
      </c>
      <c r="AK19" s="173">
        <v>4</v>
      </c>
    </row>
    <row r="20" spans="1:41">
      <c r="A20" s="163" t="s">
        <v>68</v>
      </c>
      <c r="B20" s="170" t="s">
        <v>156</v>
      </c>
      <c r="C20" s="165">
        <v>66.3</v>
      </c>
      <c r="D20" s="165">
        <v>400</v>
      </c>
      <c r="E20" s="165">
        <v>180</v>
      </c>
      <c r="F20" s="165">
        <v>8.6</v>
      </c>
      <c r="G20" s="165">
        <v>13.5</v>
      </c>
      <c r="H20" s="165">
        <v>21</v>
      </c>
      <c r="I20" s="165">
        <v>84.5</v>
      </c>
      <c r="J20" s="165">
        <v>373</v>
      </c>
      <c r="K20" s="165">
        <v>331</v>
      </c>
      <c r="L20" s="165" t="s">
        <v>155</v>
      </c>
      <c r="M20" s="165">
        <v>96</v>
      </c>
      <c r="N20" s="165">
        <v>98</v>
      </c>
      <c r="O20" s="165">
        <v>1.4670000000000001</v>
      </c>
      <c r="P20" s="165">
        <v>22.12</v>
      </c>
      <c r="Q20" s="165"/>
      <c r="R20" s="165" t="s">
        <v>156</v>
      </c>
      <c r="S20" s="165">
        <v>66.3</v>
      </c>
      <c r="T20" s="165">
        <v>23130</v>
      </c>
      <c r="U20" s="165">
        <v>1156</v>
      </c>
      <c r="V20" s="165">
        <v>1307</v>
      </c>
      <c r="W20" s="165">
        <v>16.55</v>
      </c>
      <c r="X20" s="165">
        <v>42.69</v>
      </c>
      <c r="Y20" s="165">
        <v>1318</v>
      </c>
      <c r="Z20" s="165">
        <v>146.4</v>
      </c>
      <c r="AA20" s="165">
        <v>229</v>
      </c>
      <c r="AB20" s="165">
        <v>3.95</v>
      </c>
      <c r="AC20" s="165">
        <v>60.2</v>
      </c>
      <c r="AD20" s="165">
        <v>51.08</v>
      </c>
      <c r="AE20" s="165">
        <v>490</v>
      </c>
      <c r="AF20" s="165">
        <v>1</v>
      </c>
      <c r="AG20" s="165">
        <v>1</v>
      </c>
      <c r="AH20" s="166">
        <v>1</v>
      </c>
      <c r="AI20" s="165">
        <v>3</v>
      </c>
      <c r="AJ20" s="165">
        <v>4</v>
      </c>
      <c r="AK20" s="173">
        <v>4</v>
      </c>
    </row>
    <row r="21" spans="1:41">
      <c r="A21" s="163" t="s">
        <v>68</v>
      </c>
      <c r="B21" s="170" t="s">
        <v>158</v>
      </c>
      <c r="C21" s="165">
        <v>77.599999999999994</v>
      </c>
      <c r="D21" s="165">
        <v>450</v>
      </c>
      <c r="E21" s="165">
        <v>190</v>
      </c>
      <c r="F21" s="165">
        <v>9.4</v>
      </c>
      <c r="G21" s="165">
        <v>14.6</v>
      </c>
      <c r="H21" s="165">
        <v>21</v>
      </c>
      <c r="I21" s="165">
        <v>98.8</v>
      </c>
      <c r="J21" s="165">
        <v>420.8</v>
      </c>
      <c r="K21" s="165">
        <v>378.8</v>
      </c>
      <c r="L21" s="165" t="s">
        <v>159</v>
      </c>
      <c r="M21" s="165">
        <v>100</v>
      </c>
      <c r="N21" s="165">
        <v>102</v>
      </c>
      <c r="O21" s="165">
        <v>1.605</v>
      </c>
      <c r="P21" s="165">
        <v>20.69</v>
      </c>
      <c r="Q21" s="165"/>
      <c r="R21" s="165" t="s">
        <v>158</v>
      </c>
      <c r="S21" s="165">
        <v>77.599999999999994</v>
      </c>
      <c r="T21" s="165">
        <v>33740</v>
      </c>
      <c r="U21" s="165">
        <v>1500</v>
      </c>
      <c r="V21" s="165">
        <v>1702</v>
      </c>
      <c r="W21" s="165">
        <v>18.48</v>
      </c>
      <c r="X21" s="165">
        <v>50.85</v>
      </c>
      <c r="Y21" s="165">
        <v>1676</v>
      </c>
      <c r="Z21" s="165">
        <v>176.4</v>
      </c>
      <c r="AA21" s="165">
        <v>276.39999999999998</v>
      </c>
      <c r="AB21" s="165">
        <v>4.12</v>
      </c>
      <c r="AC21" s="165">
        <v>63.2</v>
      </c>
      <c r="AD21" s="165">
        <v>66.87</v>
      </c>
      <c r="AE21" s="165">
        <v>791</v>
      </c>
      <c r="AF21" s="165">
        <v>1</v>
      </c>
      <c r="AG21" s="165">
        <v>1</v>
      </c>
      <c r="AH21" s="166">
        <v>1</v>
      </c>
      <c r="AI21" s="165">
        <v>3</v>
      </c>
      <c r="AJ21" s="165">
        <v>4</v>
      </c>
      <c r="AK21" s="173">
        <v>4</v>
      </c>
    </row>
    <row r="22" spans="1:41">
      <c r="A22" s="163" t="s">
        <v>68</v>
      </c>
      <c r="B22" s="170" t="s">
        <v>160</v>
      </c>
      <c r="C22" s="165">
        <v>90.7</v>
      </c>
      <c r="D22" s="165">
        <v>500</v>
      </c>
      <c r="E22" s="165">
        <v>200</v>
      </c>
      <c r="F22" s="165">
        <v>10.199999999999999</v>
      </c>
      <c r="G22" s="165">
        <v>16</v>
      </c>
      <c r="H22" s="165">
        <v>21</v>
      </c>
      <c r="I22" s="165">
        <v>116</v>
      </c>
      <c r="J22" s="165">
        <v>468</v>
      </c>
      <c r="K22" s="165">
        <v>426</v>
      </c>
      <c r="L22" s="165" t="s">
        <v>159</v>
      </c>
      <c r="M22" s="165">
        <v>102</v>
      </c>
      <c r="N22" s="165">
        <v>112</v>
      </c>
      <c r="O22" s="165">
        <v>1.744</v>
      </c>
      <c r="P22" s="165">
        <v>19.23</v>
      </c>
      <c r="Q22" s="165"/>
      <c r="R22" s="165" t="s">
        <v>160</v>
      </c>
      <c r="S22" s="165">
        <v>90.7</v>
      </c>
      <c r="T22" s="165">
        <v>48200</v>
      </c>
      <c r="U22" s="165">
        <v>1928</v>
      </c>
      <c r="V22" s="165">
        <v>2194</v>
      </c>
      <c r="W22" s="165">
        <v>20.43</v>
      </c>
      <c r="X22" s="165">
        <v>59.87</v>
      </c>
      <c r="Y22" s="165">
        <v>2142</v>
      </c>
      <c r="Z22" s="165">
        <v>214.2</v>
      </c>
      <c r="AA22" s="165">
        <v>335.9</v>
      </c>
      <c r="AB22" s="165">
        <v>4.3099999999999996</v>
      </c>
      <c r="AC22" s="165">
        <v>66.8</v>
      </c>
      <c r="AD22" s="165">
        <v>89.29</v>
      </c>
      <c r="AE22" s="165">
        <v>1249</v>
      </c>
      <c r="AF22" s="176">
        <v>1</v>
      </c>
      <c r="AG22" s="165">
        <v>1</v>
      </c>
      <c r="AH22" s="165">
        <v>1</v>
      </c>
      <c r="AI22" s="177">
        <v>3</v>
      </c>
      <c r="AJ22" s="165">
        <v>4</v>
      </c>
      <c r="AK22" s="165">
        <v>4</v>
      </c>
    </row>
    <row r="23" spans="1:41">
      <c r="A23" s="163" t="s">
        <v>68</v>
      </c>
      <c r="B23" s="170" t="s">
        <v>161</v>
      </c>
      <c r="C23" s="165">
        <v>106</v>
      </c>
      <c r="D23" s="165">
        <v>550</v>
      </c>
      <c r="E23" s="165">
        <v>210</v>
      </c>
      <c r="F23" s="165">
        <v>11.1</v>
      </c>
      <c r="G23" s="165">
        <v>17.2</v>
      </c>
      <c r="H23" s="165">
        <v>24</v>
      </c>
      <c r="I23" s="165">
        <v>134</v>
      </c>
      <c r="J23" s="165">
        <v>515.6</v>
      </c>
      <c r="K23" s="165">
        <v>467.6</v>
      </c>
      <c r="L23" s="165" t="s">
        <v>159</v>
      </c>
      <c r="M23" s="165">
        <v>110</v>
      </c>
      <c r="N23" s="165">
        <v>122</v>
      </c>
      <c r="O23" s="165">
        <v>1.877</v>
      </c>
      <c r="P23" s="165">
        <v>17.78</v>
      </c>
      <c r="Q23" s="165"/>
      <c r="R23" s="165" t="s">
        <v>2826</v>
      </c>
      <c r="S23" s="165">
        <v>106</v>
      </c>
      <c r="T23" s="165">
        <v>67120</v>
      </c>
      <c r="U23" s="165">
        <v>2441</v>
      </c>
      <c r="V23" s="165">
        <v>2787</v>
      </c>
      <c r="W23" s="165">
        <v>22.35</v>
      </c>
      <c r="X23" s="165">
        <v>72.34</v>
      </c>
      <c r="Y23" s="165">
        <v>2668</v>
      </c>
      <c r="Z23" s="165">
        <v>254.1</v>
      </c>
      <c r="AA23" s="165">
        <v>400.5</v>
      </c>
      <c r="AB23" s="165">
        <v>4.45</v>
      </c>
      <c r="AC23" s="165">
        <v>73.62</v>
      </c>
      <c r="AD23" s="165">
        <v>123.2</v>
      </c>
      <c r="AE23" s="165">
        <v>1884</v>
      </c>
      <c r="AF23" s="176">
        <v>1</v>
      </c>
      <c r="AG23" s="165">
        <v>1</v>
      </c>
      <c r="AH23" s="165">
        <v>1</v>
      </c>
      <c r="AI23" s="177">
        <v>4</v>
      </c>
      <c r="AJ23" s="165">
        <v>4</v>
      </c>
      <c r="AK23" s="165">
        <v>4</v>
      </c>
    </row>
    <row r="24" spans="1:41">
      <c r="A24" s="163" t="s">
        <v>68</v>
      </c>
      <c r="B24" s="170" t="s">
        <v>163</v>
      </c>
      <c r="C24" s="165">
        <v>122</v>
      </c>
      <c r="D24" s="165">
        <v>600</v>
      </c>
      <c r="E24" s="165">
        <v>220</v>
      </c>
      <c r="F24" s="165">
        <v>12</v>
      </c>
      <c r="G24" s="165">
        <v>19</v>
      </c>
      <c r="H24" s="165">
        <v>24</v>
      </c>
      <c r="I24" s="165">
        <v>156</v>
      </c>
      <c r="J24" s="165">
        <v>562</v>
      </c>
      <c r="K24" s="165">
        <v>514</v>
      </c>
      <c r="L24" s="165" t="s">
        <v>164</v>
      </c>
      <c r="M24" s="165">
        <v>116</v>
      </c>
      <c r="N24" s="165">
        <v>118</v>
      </c>
      <c r="O24" s="165">
        <v>2.0150000000000001</v>
      </c>
      <c r="P24" s="165">
        <v>16.45</v>
      </c>
      <c r="Q24" s="165"/>
      <c r="R24" s="165" t="s">
        <v>163</v>
      </c>
      <c r="S24" s="165">
        <v>122</v>
      </c>
      <c r="T24" s="165">
        <v>92080</v>
      </c>
      <c r="U24" s="165">
        <v>3069</v>
      </c>
      <c r="V24" s="165">
        <v>3512</v>
      </c>
      <c r="W24" s="165">
        <v>24.3</v>
      </c>
      <c r="X24" s="165">
        <v>83.78</v>
      </c>
      <c r="Y24" s="165">
        <v>3387</v>
      </c>
      <c r="Z24" s="165">
        <v>307.89999999999998</v>
      </c>
      <c r="AA24" s="165">
        <v>485.6</v>
      </c>
      <c r="AB24" s="165">
        <v>4.66</v>
      </c>
      <c r="AC24" s="165">
        <v>78.12</v>
      </c>
      <c r="AD24" s="165">
        <v>165.4</v>
      </c>
      <c r="AE24" s="165">
        <v>2846</v>
      </c>
      <c r="AF24" s="176">
        <v>1</v>
      </c>
      <c r="AG24" s="165">
        <v>1</v>
      </c>
      <c r="AH24" s="165">
        <v>1</v>
      </c>
      <c r="AI24" s="177">
        <v>4</v>
      </c>
      <c r="AJ24" s="165">
        <v>4</v>
      </c>
      <c r="AK24" s="165">
        <v>4</v>
      </c>
    </row>
    <row r="25" spans="1:41" s="178" customFormat="1" ht="13.5" customHeight="1">
      <c r="A25" s="178" t="s">
        <v>67</v>
      </c>
      <c r="B25" s="185" t="s">
        <v>168</v>
      </c>
      <c r="C25" s="165">
        <v>20.399999999999999</v>
      </c>
      <c r="D25" s="165">
        <v>100</v>
      </c>
      <c r="E25" s="165">
        <v>100</v>
      </c>
      <c r="F25" s="165">
        <v>6</v>
      </c>
      <c r="G25" s="165">
        <v>10</v>
      </c>
      <c r="H25" s="165">
        <v>12</v>
      </c>
      <c r="I25" s="165">
        <v>26</v>
      </c>
      <c r="J25" s="165">
        <v>80</v>
      </c>
      <c r="K25" s="165">
        <v>56</v>
      </c>
      <c r="L25" s="165" t="s">
        <v>135</v>
      </c>
      <c r="M25" s="165">
        <v>56</v>
      </c>
      <c r="N25" s="165">
        <v>58</v>
      </c>
      <c r="O25" s="165">
        <v>0.56699999999999995</v>
      </c>
      <c r="P25" s="165">
        <v>27.76</v>
      </c>
      <c r="Q25" s="165"/>
      <c r="R25" s="165" t="s">
        <v>168</v>
      </c>
      <c r="S25" s="165">
        <v>20.399999999999999</v>
      </c>
      <c r="T25" s="165">
        <v>449.5</v>
      </c>
      <c r="U25" s="165">
        <v>89.91</v>
      </c>
      <c r="V25" s="165">
        <v>104.2</v>
      </c>
      <c r="W25" s="165">
        <v>4.16</v>
      </c>
      <c r="X25" s="165">
        <v>9.0399999999999991</v>
      </c>
      <c r="Y25" s="165">
        <v>167.3</v>
      </c>
      <c r="Z25" s="165">
        <v>33.450000000000003</v>
      </c>
      <c r="AA25" s="165">
        <v>51.42</v>
      </c>
      <c r="AB25" s="165">
        <v>2.5299999999999998</v>
      </c>
      <c r="AC25" s="165">
        <v>40.06</v>
      </c>
      <c r="AD25" s="165">
        <v>9.25</v>
      </c>
      <c r="AE25" s="165">
        <v>3.38</v>
      </c>
      <c r="AF25" s="165">
        <v>1</v>
      </c>
      <c r="AG25" s="165">
        <v>1</v>
      </c>
      <c r="AH25" s="166">
        <v>1</v>
      </c>
      <c r="AI25" s="165">
        <v>1</v>
      </c>
      <c r="AJ25" s="165">
        <v>1</v>
      </c>
      <c r="AK25" s="173">
        <v>1</v>
      </c>
      <c r="AL25" s="197" t="s">
        <v>185</v>
      </c>
      <c r="AM25" s="198" t="s">
        <v>185</v>
      </c>
      <c r="AN25" s="198" t="s">
        <v>185</v>
      </c>
      <c r="AO25" s="143"/>
    </row>
    <row r="26" spans="1:41" s="178" customFormat="1" ht="13.5" customHeight="1">
      <c r="A26" s="178" t="s">
        <v>67</v>
      </c>
      <c r="B26" s="185" t="s">
        <v>186</v>
      </c>
      <c r="C26" s="165">
        <v>26.7</v>
      </c>
      <c r="D26" s="165">
        <v>120</v>
      </c>
      <c r="E26" s="165">
        <v>120</v>
      </c>
      <c r="F26" s="165">
        <v>6.5</v>
      </c>
      <c r="G26" s="165">
        <v>11</v>
      </c>
      <c r="H26" s="165">
        <v>12</v>
      </c>
      <c r="I26" s="165">
        <v>34</v>
      </c>
      <c r="J26" s="165">
        <v>98</v>
      </c>
      <c r="K26" s="165">
        <v>74</v>
      </c>
      <c r="L26" s="165" t="s">
        <v>142</v>
      </c>
      <c r="M26" s="165">
        <v>60</v>
      </c>
      <c r="N26" s="165">
        <v>68</v>
      </c>
      <c r="O26" s="165">
        <v>0.68600000000000005</v>
      </c>
      <c r="P26" s="165">
        <v>25.71</v>
      </c>
      <c r="Q26" s="165"/>
      <c r="R26" s="165" t="s">
        <v>186</v>
      </c>
      <c r="S26" s="165">
        <v>26.7</v>
      </c>
      <c r="T26" s="165">
        <v>864.4</v>
      </c>
      <c r="U26" s="165">
        <v>144.1</v>
      </c>
      <c r="V26" s="165">
        <v>165.2</v>
      </c>
      <c r="W26" s="165">
        <v>5.04</v>
      </c>
      <c r="X26" s="165">
        <v>10.96</v>
      </c>
      <c r="Y26" s="165">
        <v>317.5</v>
      </c>
      <c r="Z26" s="165">
        <v>52.92</v>
      </c>
      <c r="AA26" s="165">
        <v>80.97</v>
      </c>
      <c r="AB26" s="165">
        <v>3.06</v>
      </c>
      <c r="AC26" s="165">
        <v>42.56</v>
      </c>
      <c r="AD26" s="165">
        <v>13.84</v>
      </c>
      <c r="AE26" s="165">
        <v>9.41</v>
      </c>
      <c r="AF26" s="165">
        <v>1</v>
      </c>
      <c r="AG26" s="165">
        <v>1</v>
      </c>
      <c r="AH26" s="166">
        <v>1</v>
      </c>
      <c r="AI26" s="165">
        <v>1</v>
      </c>
      <c r="AJ26" s="165">
        <v>1</v>
      </c>
      <c r="AK26" s="173">
        <v>1</v>
      </c>
      <c r="AL26" s="197" t="s">
        <v>185</v>
      </c>
      <c r="AM26" s="198" t="s">
        <v>185</v>
      </c>
      <c r="AN26" s="198" t="s">
        <v>185</v>
      </c>
      <c r="AO26" s="143"/>
    </row>
    <row r="27" spans="1:41" s="178" customFormat="1" ht="13.5" customHeight="1">
      <c r="A27" s="178" t="s">
        <v>67</v>
      </c>
      <c r="B27" s="185" t="s">
        <v>204</v>
      </c>
      <c r="C27" s="165">
        <v>33.700000000000003</v>
      </c>
      <c r="D27" s="165">
        <v>140</v>
      </c>
      <c r="E27" s="165">
        <v>140</v>
      </c>
      <c r="F27" s="165">
        <v>7</v>
      </c>
      <c r="G27" s="165">
        <v>12</v>
      </c>
      <c r="H27" s="165">
        <v>12</v>
      </c>
      <c r="I27" s="165">
        <v>43</v>
      </c>
      <c r="J27" s="165">
        <v>116</v>
      </c>
      <c r="K27" s="165">
        <v>92</v>
      </c>
      <c r="L27" s="165" t="s">
        <v>147</v>
      </c>
      <c r="M27" s="165">
        <v>66</v>
      </c>
      <c r="N27" s="165">
        <v>76</v>
      </c>
      <c r="O27" s="165">
        <v>0.80500000000000005</v>
      </c>
      <c r="P27" s="165">
        <v>23.88</v>
      </c>
      <c r="Q27" s="165"/>
      <c r="R27" s="165" t="s">
        <v>204</v>
      </c>
      <c r="S27" s="165">
        <v>33.700000000000003</v>
      </c>
      <c r="T27" s="165">
        <v>1509</v>
      </c>
      <c r="U27" s="165">
        <v>215.6</v>
      </c>
      <c r="V27" s="165">
        <v>245.4</v>
      </c>
      <c r="W27" s="165">
        <v>5.93</v>
      </c>
      <c r="X27" s="165">
        <v>13.08</v>
      </c>
      <c r="Y27" s="165">
        <v>549.70000000000005</v>
      </c>
      <c r="Z27" s="165">
        <v>78.52</v>
      </c>
      <c r="AA27" s="165">
        <v>119.8</v>
      </c>
      <c r="AB27" s="165">
        <v>3.58</v>
      </c>
      <c r="AC27" s="165">
        <v>45.06</v>
      </c>
      <c r="AD27" s="165">
        <v>20.059999999999999</v>
      </c>
      <c r="AE27" s="165">
        <v>22.48</v>
      </c>
      <c r="AF27" s="165">
        <v>1</v>
      </c>
      <c r="AG27" s="165">
        <v>1</v>
      </c>
      <c r="AH27" s="166">
        <v>1</v>
      </c>
      <c r="AI27" s="165">
        <v>1</v>
      </c>
      <c r="AJ27" s="165">
        <v>1</v>
      </c>
      <c r="AK27" s="173">
        <v>1</v>
      </c>
      <c r="AL27" s="197" t="s">
        <v>185</v>
      </c>
      <c r="AM27" s="198" t="s">
        <v>185</v>
      </c>
      <c r="AN27" s="198" t="s">
        <v>185</v>
      </c>
      <c r="AO27" s="143"/>
    </row>
    <row r="28" spans="1:41" s="178" customFormat="1" ht="13.5" customHeight="1">
      <c r="A28" s="178" t="s">
        <v>67</v>
      </c>
      <c r="B28" s="185" t="s">
        <v>219</v>
      </c>
      <c r="C28" s="165">
        <v>42.6</v>
      </c>
      <c r="D28" s="165">
        <v>160</v>
      </c>
      <c r="E28" s="165">
        <v>160</v>
      </c>
      <c r="F28" s="165">
        <v>8</v>
      </c>
      <c r="G28" s="165">
        <v>13</v>
      </c>
      <c r="H28" s="165">
        <v>15</v>
      </c>
      <c r="I28" s="165">
        <v>54.3</v>
      </c>
      <c r="J28" s="165">
        <v>134</v>
      </c>
      <c r="K28" s="165">
        <v>104</v>
      </c>
      <c r="L28" s="165" t="s">
        <v>222</v>
      </c>
      <c r="M28" s="165">
        <v>80</v>
      </c>
      <c r="N28" s="165">
        <v>84</v>
      </c>
      <c r="O28" s="165">
        <v>0.91800000000000004</v>
      </c>
      <c r="P28" s="165">
        <v>21.56</v>
      </c>
      <c r="Q28" s="165"/>
      <c r="R28" s="165" t="s">
        <v>219</v>
      </c>
      <c r="S28" s="165">
        <v>42.6</v>
      </c>
      <c r="T28" s="165">
        <v>2492</v>
      </c>
      <c r="U28" s="165">
        <v>311.5</v>
      </c>
      <c r="V28" s="165">
        <v>354</v>
      </c>
      <c r="W28" s="165">
        <v>6.78</v>
      </c>
      <c r="X28" s="165">
        <v>17.59</v>
      </c>
      <c r="Y28" s="165">
        <v>889.2</v>
      </c>
      <c r="Z28" s="165">
        <v>111.2</v>
      </c>
      <c r="AA28" s="165">
        <v>170</v>
      </c>
      <c r="AB28" s="165">
        <v>4.05</v>
      </c>
      <c r="AC28" s="165">
        <v>51.57</v>
      </c>
      <c r="AD28" s="165">
        <v>31.24</v>
      </c>
      <c r="AE28" s="165">
        <v>47.94</v>
      </c>
      <c r="AF28" s="165">
        <v>1</v>
      </c>
      <c r="AG28" s="165">
        <v>1</v>
      </c>
      <c r="AH28" s="166">
        <v>1</v>
      </c>
      <c r="AI28" s="165">
        <v>1</v>
      </c>
      <c r="AJ28" s="165">
        <v>1</v>
      </c>
      <c r="AK28" s="173">
        <v>1</v>
      </c>
      <c r="AL28" s="197" t="s">
        <v>185</v>
      </c>
      <c r="AM28" s="198" t="s">
        <v>185</v>
      </c>
      <c r="AN28" s="198" t="s">
        <v>185</v>
      </c>
      <c r="AO28" s="143"/>
    </row>
    <row r="29" spans="1:41" s="178" customFormat="1" ht="13.5" customHeight="1">
      <c r="A29" s="178" t="s">
        <v>67</v>
      </c>
      <c r="B29" s="185" t="s">
        <v>236</v>
      </c>
      <c r="C29" s="165">
        <v>51.2</v>
      </c>
      <c r="D29" s="165">
        <v>180</v>
      </c>
      <c r="E29" s="165">
        <v>180</v>
      </c>
      <c r="F29" s="165">
        <v>8.5</v>
      </c>
      <c r="G29" s="165">
        <v>14</v>
      </c>
      <c r="H29" s="165">
        <v>15</v>
      </c>
      <c r="I29" s="165">
        <v>65.3</v>
      </c>
      <c r="J29" s="165">
        <v>152</v>
      </c>
      <c r="K29" s="165">
        <v>122</v>
      </c>
      <c r="L29" s="165" t="s">
        <v>159</v>
      </c>
      <c r="M29" s="165">
        <v>88</v>
      </c>
      <c r="N29" s="165">
        <v>92</v>
      </c>
      <c r="O29" s="165">
        <v>1.0369999999999999</v>
      </c>
      <c r="P29" s="165">
        <v>20.25</v>
      </c>
      <c r="Q29" s="165"/>
      <c r="R29" s="165" t="s">
        <v>236</v>
      </c>
      <c r="S29" s="165">
        <v>51.2</v>
      </c>
      <c r="T29" s="165">
        <v>3831</v>
      </c>
      <c r="U29" s="165">
        <v>425.7</v>
      </c>
      <c r="V29" s="165">
        <v>481.4</v>
      </c>
      <c r="W29" s="165">
        <v>7.66</v>
      </c>
      <c r="X29" s="165">
        <v>20.239999999999998</v>
      </c>
      <c r="Y29" s="165">
        <v>1363</v>
      </c>
      <c r="Z29" s="165">
        <v>151.4</v>
      </c>
      <c r="AA29" s="165">
        <v>231</v>
      </c>
      <c r="AB29" s="165">
        <v>4.57</v>
      </c>
      <c r="AC29" s="165">
        <v>54.07</v>
      </c>
      <c r="AD29" s="165">
        <v>42.16</v>
      </c>
      <c r="AE29" s="165">
        <v>93.75</v>
      </c>
      <c r="AF29" s="165">
        <v>1</v>
      </c>
      <c r="AG29" s="165">
        <v>1</v>
      </c>
      <c r="AH29" s="166">
        <v>1</v>
      </c>
      <c r="AI29" s="165">
        <v>1</v>
      </c>
      <c r="AJ29" s="165">
        <v>1</v>
      </c>
      <c r="AK29" s="173">
        <v>1</v>
      </c>
      <c r="AL29" s="197" t="s">
        <v>185</v>
      </c>
      <c r="AM29" s="198" t="s">
        <v>185</v>
      </c>
      <c r="AN29" s="198" t="s">
        <v>185</v>
      </c>
      <c r="AO29" s="143"/>
    </row>
    <row r="30" spans="1:41" s="178" customFormat="1" ht="13.5" customHeight="1">
      <c r="A30" s="178" t="s">
        <v>67</v>
      </c>
      <c r="B30" s="185" t="s">
        <v>251</v>
      </c>
      <c r="C30" s="165">
        <v>61.3</v>
      </c>
      <c r="D30" s="165">
        <v>200</v>
      </c>
      <c r="E30" s="165">
        <v>200</v>
      </c>
      <c r="F30" s="165">
        <v>9</v>
      </c>
      <c r="G30" s="165">
        <v>15</v>
      </c>
      <c r="H30" s="165">
        <v>18</v>
      </c>
      <c r="I30" s="165">
        <v>78.099999999999994</v>
      </c>
      <c r="J30" s="165">
        <v>170</v>
      </c>
      <c r="K30" s="165">
        <v>134</v>
      </c>
      <c r="L30" s="165" t="s">
        <v>164</v>
      </c>
      <c r="M30" s="165">
        <v>100</v>
      </c>
      <c r="N30" s="165">
        <v>100</v>
      </c>
      <c r="O30" s="165">
        <v>1.151</v>
      </c>
      <c r="P30" s="165">
        <v>18.78</v>
      </c>
      <c r="Q30" s="165"/>
      <c r="R30" s="165" t="s">
        <v>251</v>
      </c>
      <c r="S30" s="165">
        <v>61.3</v>
      </c>
      <c r="T30" s="165">
        <v>5696</v>
      </c>
      <c r="U30" s="165">
        <v>569.6</v>
      </c>
      <c r="V30" s="165">
        <v>642.5</v>
      </c>
      <c r="W30" s="165">
        <v>8.5399999999999991</v>
      </c>
      <c r="X30" s="165">
        <v>24.83</v>
      </c>
      <c r="Y30" s="165">
        <v>2003</v>
      </c>
      <c r="Z30" s="165">
        <v>200.3</v>
      </c>
      <c r="AA30" s="165">
        <v>305.8</v>
      </c>
      <c r="AB30" s="165">
        <v>5.07</v>
      </c>
      <c r="AC30" s="165">
        <v>60.09</v>
      </c>
      <c r="AD30" s="165">
        <v>59.28</v>
      </c>
      <c r="AE30" s="165">
        <v>171.1</v>
      </c>
      <c r="AF30" s="165">
        <v>1</v>
      </c>
      <c r="AG30" s="165">
        <v>1</v>
      </c>
      <c r="AH30" s="166">
        <v>1</v>
      </c>
      <c r="AI30" s="165">
        <v>1</v>
      </c>
      <c r="AJ30" s="165">
        <v>1</v>
      </c>
      <c r="AK30" s="173">
        <v>1</v>
      </c>
      <c r="AL30" s="197" t="s">
        <v>185</v>
      </c>
      <c r="AM30" s="198" t="s">
        <v>185</v>
      </c>
      <c r="AN30" s="198" t="s">
        <v>185</v>
      </c>
      <c r="AO30" s="143"/>
    </row>
    <row r="31" spans="1:41" s="178" customFormat="1" ht="13.5" customHeight="1">
      <c r="A31" s="178" t="s">
        <v>67</v>
      </c>
      <c r="B31" s="185" t="s">
        <v>266</v>
      </c>
      <c r="C31" s="165">
        <v>71.5</v>
      </c>
      <c r="D31" s="165">
        <v>220</v>
      </c>
      <c r="E31" s="165">
        <v>220</v>
      </c>
      <c r="F31" s="165">
        <v>9.5</v>
      </c>
      <c r="G31" s="165">
        <v>16</v>
      </c>
      <c r="H31" s="165">
        <v>18</v>
      </c>
      <c r="I31" s="165">
        <v>91</v>
      </c>
      <c r="J31" s="165">
        <v>188</v>
      </c>
      <c r="K31" s="165">
        <v>152</v>
      </c>
      <c r="L31" s="165" t="s">
        <v>164</v>
      </c>
      <c r="M31" s="165">
        <v>100</v>
      </c>
      <c r="N31" s="165">
        <v>118</v>
      </c>
      <c r="O31" s="165">
        <v>1.27</v>
      </c>
      <c r="P31" s="165">
        <v>17.77</v>
      </c>
      <c r="Q31" s="165"/>
      <c r="R31" s="165" t="s">
        <v>266</v>
      </c>
      <c r="S31" s="165">
        <v>71.5</v>
      </c>
      <c r="T31" s="165">
        <v>8091</v>
      </c>
      <c r="U31" s="165">
        <v>735.5</v>
      </c>
      <c r="V31" s="165">
        <v>827</v>
      </c>
      <c r="W31" s="165">
        <v>9.43</v>
      </c>
      <c r="X31" s="165">
        <v>27.92</v>
      </c>
      <c r="Y31" s="165">
        <v>2843</v>
      </c>
      <c r="Z31" s="165">
        <v>258.5</v>
      </c>
      <c r="AA31" s="165">
        <v>393.9</v>
      </c>
      <c r="AB31" s="165">
        <v>5.59</v>
      </c>
      <c r="AC31" s="165">
        <v>62.59</v>
      </c>
      <c r="AD31" s="165">
        <v>76.569999999999993</v>
      </c>
      <c r="AE31" s="165">
        <v>295.39999999999998</v>
      </c>
      <c r="AF31" s="165">
        <v>1</v>
      </c>
      <c r="AG31" s="165">
        <v>1</v>
      </c>
      <c r="AH31" s="166">
        <v>1</v>
      </c>
      <c r="AI31" s="165">
        <v>1</v>
      </c>
      <c r="AJ31" s="165">
        <v>1</v>
      </c>
      <c r="AK31" s="173">
        <v>1</v>
      </c>
      <c r="AL31" s="197" t="s">
        <v>185</v>
      </c>
      <c r="AM31" s="198" t="s">
        <v>185</v>
      </c>
      <c r="AN31" s="198" t="s">
        <v>185</v>
      </c>
      <c r="AO31" s="175"/>
    </row>
    <row r="32" spans="1:41" s="178" customFormat="1" ht="13.5" customHeight="1">
      <c r="A32" s="178" t="s">
        <v>67</v>
      </c>
      <c r="B32" s="185" t="s">
        <v>282</v>
      </c>
      <c r="C32" s="165">
        <v>83.2</v>
      </c>
      <c r="D32" s="165">
        <v>240</v>
      </c>
      <c r="E32" s="165">
        <v>240</v>
      </c>
      <c r="F32" s="165">
        <v>10</v>
      </c>
      <c r="G32" s="165">
        <v>17</v>
      </c>
      <c r="H32" s="165">
        <v>21</v>
      </c>
      <c r="I32" s="165">
        <v>106</v>
      </c>
      <c r="J32" s="165">
        <v>206</v>
      </c>
      <c r="K32" s="165">
        <v>164</v>
      </c>
      <c r="L32" s="165" t="s">
        <v>164</v>
      </c>
      <c r="M32" s="165">
        <v>108</v>
      </c>
      <c r="N32" s="165">
        <v>138</v>
      </c>
      <c r="O32" s="165">
        <v>1.3839999999999999</v>
      </c>
      <c r="P32" s="165">
        <v>16.63</v>
      </c>
      <c r="Q32" s="165"/>
      <c r="R32" s="165" t="s">
        <v>282</v>
      </c>
      <c r="S32" s="165">
        <v>83.2</v>
      </c>
      <c r="T32" s="165">
        <v>11260</v>
      </c>
      <c r="U32" s="165">
        <v>938.3</v>
      </c>
      <c r="V32" s="165">
        <v>1053</v>
      </c>
      <c r="W32" s="165">
        <v>10.31</v>
      </c>
      <c r="X32" s="165">
        <v>33.229999999999997</v>
      </c>
      <c r="Y32" s="165">
        <v>3923</v>
      </c>
      <c r="Z32" s="165">
        <v>326.89999999999998</v>
      </c>
      <c r="AA32" s="165">
        <v>498.4</v>
      </c>
      <c r="AB32" s="165">
        <v>6.08</v>
      </c>
      <c r="AC32" s="165">
        <v>68.599999999999994</v>
      </c>
      <c r="AD32" s="165">
        <v>102.7</v>
      </c>
      <c r="AE32" s="165">
        <v>486.9</v>
      </c>
      <c r="AF32" s="165">
        <v>1</v>
      </c>
      <c r="AG32" s="165">
        <v>1</v>
      </c>
      <c r="AH32" s="166">
        <v>1</v>
      </c>
      <c r="AI32" s="165">
        <v>1</v>
      </c>
      <c r="AJ32" s="165">
        <v>1</v>
      </c>
      <c r="AK32" s="173">
        <v>1</v>
      </c>
      <c r="AL32" s="197" t="s">
        <v>185</v>
      </c>
      <c r="AM32" s="174" t="s">
        <v>185</v>
      </c>
      <c r="AN32" s="174" t="s">
        <v>185</v>
      </c>
      <c r="AO32" s="175"/>
    </row>
    <row r="33" spans="1:41" s="178" customFormat="1" ht="13.5" customHeight="1">
      <c r="A33" s="178" t="s">
        <v>67</v>
      </c>
      <c r="B33" s="185" t="s">
        <v>296</v>
      </c>
      <c r="C33" s="165">
        <v>93</v>
      </c>
      <c r="D33" s="165">
        <v>260</v>
      </c>
      <c r="E33" s="165">
        <v>260</v>
      </c>
      <c r="F33" s="165">
        <v>10</v>
      </c>
      <c r="G33" s="165">
        <v>17.5</v>
      </c>
      <c r="H33" s="165">
        <v>24</v>
      </c>
      <c r="I33" s="165">
        <v>118.4</v>
      </c>
      <c r="J33" s="165">
        <v>225</v>
      </c>
      <c r="K33" s="165">
        <v>177</v>
      </c>
      <c r="L33" s="165" t="s">
        <v>164</v>
      </c>
      <c r="M33" s="165">
        <v>114</v>
      </c>
      <c r="N33" s="165">
        <v>158</v>
      </c>
      <c r="O33" s="165">
        <v>1.4990000000000001</v>
      </c>
      <c r="P33" s="165">
        <v>16.12</v>
      </c>
      <c r="Q33" s="165"/>
      <c r="R33" s="165" t="s">
        <v>296</v>
      </c>
      <c r="S33" s="165">
        <v>93</v>
      </c>
      <c r="T33" s="165">
        <v>14920</v>
      </c>
      <c r="U33" s="165">
        <v>1148</v>
      </c>
      <c r="V33" s="165">
        <v>1283</v>
      </c>
      <c r="W33" s="165">
        <v>11.22</v>
      </c>
      <c r="X33" s="165">
        <v>37.590000000000003</v>
      </c>
      <c r="Y33" s="165">
        <v>5135</v>
      </c>
      <c r="Z33" s="165">
        <v>395</v>
      </c>
      <c r="AA33" s="165">
        <v>602.20000000000005</v>
      </c>
      <c r="AB33" s="165">
        <v>6.58</v>
      </c>
      <c r="AC33" s="165">
        <v>73.12</v>
      </c>
      <c r="AD33" s="165">
        <v>123.8</v>
      </c>
      <c r="AE33" s="165">
        <v>753.7</v>
      </c>
      <c r="AF33" s="165">
        <v>1</v>
      </c>
      <c r="AG33" s="165">
        <v>1</v>
      </c>
      <c r="AH33" s="166">
        <v>2</v>
      </c>
      <c r="AI33" s="165">
        <v>1</v>
      </c>
      <c r="AJ33" s="165">
        <v>1</v>
      </c>
      <c r="AK33" s="173">
        <v>2</v>
      </c>
      <c r="AL33" s="197" t="s">
        <v>185</v>
      </c>
      <c r="AM33" s="174" t="s">
        <v>308</v>
      </c>
      <c r="AN33" s="174" t="s">
        <v>308</v>
      </c>
      <c r="AO33" s="175"/>
    </row>
    <row r="34" spans="1:41" s="178" customFormat="1" ht="13.5" customHeight="1">
      <c r="A34" s="178" t="s">
        <v>67</v>
      </c>
      <c r="B34" s="185" t="s">
        <v>309</v>
      </c>
      <c r="C34" s="165">
        <v>103</v>
      </c>
      <c r="D34" s="165">
        <v>280</v>
      </c>
      <c r="E34" s="165">
        <v>280</v>
      </c>
      <c r="F34" s="165">
        <v>10.5</v>
      </c>
      <c r="G34" s="165">
        <v>18</v>
      </c>
      <c r="H34" s="165">
        <v>24</v>
      </c>
      <c r="I34" s="166">
        <v>131.4</v>
      </c>
      <c r="J34" s="165">
        <v>244</v>
      </c>
      <c r="K34" s="165">
        <v>196</v>
      </c>
      <c r="L34" s="165" t="s">
        <v>164</v>
      </c>
      <c r="M34" s="165">
        <v>114</v>
      </c>
      <c r="N34" s="165">
        <v>178</v>
      </c>
      <c r="O34" s="165">
        <v>1.6180000000000001</v>
      </c>
      <c r="P34" s="165">
        <v>15.69</v>
      </c>
      <c r="Q34" s="165"/>
      <c r="R34" s="165" t="s">
        <v>309</v>
      </c>
      <c r="S34" s="165">
        <v>103</v>
      </c>
      <c r="T34" s="165">
        <v>19270</v>
      </c>
      <c r="U34" s="165">
        <v>1376</v>
      </c>
      <c r="V34" s="165">
        <v>1534</v>
      </c>
      <c r="W34" s="165">
        <v>12.11</v>
      </c>
      <c r="X34" s="165">
        <v>41.09</v>
      </c>
      <c r="Y34" s="165">
        <v>6595</v>
      </c>
      <c r="Z34" s="165">
        <v>471</v>
      </c>
      <c r="AA34" s="165">
        <v>717.6</v>
      </c>
      <c r="AB34" s="165">
        <v>7.09</v>
      </c>
      <c r="AC34" s="165">
        <v>74.62</v>
      </c>
      <c r="AD34" s="165">
        <v>143.69999999999999</v>
      </c>
      <c r="AE34" s="165">
        <v>1130</v>
      </c>
      <c r="AF34" s="165">
        <v>1</v>
      </c>
      <c r="AG34" s="165">
        <v>1</v>
      </c>
      <c r="AH34" s="166">
        <v>2</v>
      </c>
      <c r="AI34" s="165">
        <v>1</v>
      </c>
      <c r="AJ34" s="165">
        <v>1</v>
      </c>
      <c r="AK34" s="173">
        <v>2</v>
      </c>
      <c r="AL34" s="197" t="s">
        <v>185</v>
      </c>
      <c r="AM34" s="174" t="s">
        <v>308</v>
      </c>
      <c r="AN34" s="174" t="s">
        <v>308</v>
      </c>
      <c r="AO34" s="175"/>
    </row>
    <row r="35" spans="1:41" s="178" customFormat="1" ht="13.5" customHeight="1">
      <c r="A35" s="178" t="s">
        <v>67</v>
      </c>
      <c r="B35" s="185" t="s">
        <v>321</v>
      </c>
      <c r="C35" s="165">
        <v>117</v>
      </c>
      <c r="D35" s="165">
        <v>300</v>
      </c>
      <c r="E35" s="165">
        <v>300</v>
      </c>
      <c r="F35" s="165">
        <v>11</v>
      </c>
      <c r="G35" s="165">
        <v>19</v>
      </c>
      <c r="H35" s="165">
        <v>27</v>
      </c>
      <c r="I35" s="188" t="s">
        <v>322</v>
      </c>
      <c r="J35" s="165">
        <v>262</v>
      </c>
      <c r="K35" s="165">
        <v>208</v>
      </c>
      <c r="L35" s="165" t="s">
        <v>164</v>
      </c>
      <c r="M35" s="165">
        <v>120</v>
      </c>
      <c r="N35" s="165">
        <v>198</v>
      </c>
      <c r="O35" s="165">
        <v>1.732</v>
      </c>
      <c r="P35" s="165">
        <v>14.8</v>
      </c>
      <c r="Q35" s="165"/>
      <c r="R35" s="165" t="s">
        <v>321</v>
      </c>
      <c r="S35" s="165">
        <v>117</v>
      </c>
      <c r="T35" s="165">
        <v>25170</v>
      </c>
      <c r="U35" s="165">
        <v>1678</v>
      </c>
      <c r="V35" s="165">
        <v>1869</v>
      </c>
      <c r="W35" s="165">
        <v>12.99</v>
      </c>
      <c r="X35" s="165">
        <v>47.43</v>
      </c>
      <c r="Y35" s="165">
        <v>8563</v>
      </c>
      <c r="Z35" s="165">
        <v>570.9</v>
      </c>
      <c r="AA35" s="165">
        <v>870.1</v>
      </c>
      <c r="AB35" s="165">
        <v>7.58</v>
      </c>
      <c r="AC35" s="165">
        <v>80.63</v>
      </c>
      <c r="AD35" s="165">
        <v>185</v>
      </c>
      <c r="AE35" s="165">
        <v>1688</v>
      </c>
      <c r="AF35" s="165">
        <v>1</v>
      </c>
      <c r="AG35" s="165">
        <v>1</v>
      </c>
      <c r="AH35" s="166">
        <v>3</v>
      </c>
      <c r="AI35" s="165">
        <v>1</v>
      </c>
      <c r="AJ35" s="165">
        <v>1</v>
      </c>
      <c r="AK35" s="173">
        <v>3</v>
      </c>
      <c r="AL35" s="197" t="s">
        <v>185</v>
      </c>
      <c r="AM35" s="174" t="s">
        <v>308</v>
      </c>
      <c r="AN35" s="174" t="s">
        <v>308</v>
      </c>
      <c r="AO35" s="175"/>
    </row>
    <row r="36" spans="1:41" s="178" customFormat="1" ht="13.5" customHeight="1">
      <c r="A36" s="178" t="s">
        <v>67</v>
      </c>
      <c r="B36" s="185" t="s">
        <v>331</v>
      </c>
      <c r="C36" s="165">
        <v>127</v>
      </c>
      <c r="D36" s="165">
        <v>320</v>
      </c>
      <c r="E36" s="165">
        <v>300</v>
      </c>
      <c r="F36" s="165">
        <v>11.5</v>
      </c>
      <c r="G36" s="165">
        <v>20.5</v>
      </c>
      <c r="H36" s="165">
        <v>27</v>
      </c>
      <c r="I36" s="165">
        <v>161.30000000000001</v>
      </c>
      <c r="J36" s="165">
        <v>279</v>
      </c>
      <c r="K36" s="165">
        <v>225</v>
      </c>
      <c r="L36" s="165" t="s">
        <v>164</v>
      </c>
      <c r="M36" s="165">
        <v>122</v>
      </c>
      <c r="N36" s="165">
        <v>198</v>
      </c>
      <c r="O36" s="165">
        <v>1.7709999999999999</v>
      </c>
      <c r="P36" s="165">
        <v>13.98</v>
      </c>
      <c r="Q36" s="165"/>
      <c r="R36" s="165" t="s">
        <v>331</v>
      </c>
      <c r="S36" s="165">
        <v>127</v>
      </c>
      <c r="T36" s="165">
        <v>30820</v>
      </c>
      <c r="U36" s="165">
        <v>1926</v>
      </c>
      <c r="V36" s="165">
        <v>2149</v>
      </c>
      <c r="W36" s="165">
        <v>13.82</v>
      </c>
      <c r="X36" s="165">
        <v>51.77</v>
      </c>
      <c r="Y36" s="165">
        <v>9239</v>
      </c>
      <c r="Z36" s="165">
        <v>615.9</v>
      </c>
      <c r="AA36" s="165">
        <v>939.1</v>
      </c>
      <c r="AB36" s="165">
        <v>7.57</v>
      </c>
      <c r="AC36" s="165">
        <v>84.13</v>
      </c>
      <c r="AD36" s="165">
        <v>225.1</v>
      </c>
      <c r="AE36" s="165">
        <v>2069</v>
      </c>
      <c r="AF36" s="165">
        <v>1</v>
      </c>
      <c r="AG36" s="165">
        <v>1</v>
      </c>
      <c r="AH36" s="166">
        <v>2</v>
      </c>
      <c r="AI36" s="165">
        <v>1</v>
      </c>
      <c r="AJ36" s="165">
        <v>1</v>
      </c>
      <c r="AK36" s="173">
        <v>2</v>
      </c>
      <c r="AL36" s="197" t="s">
        <v>185</v>
      </c>
      <c r="AM36" s="174" t="s">
        <v>308</v>
      </c>
      <c r="AN36" s="174" t="s">
        <v>308</v>
      </c>
      <c r="AO36" s="175"/>
    </row>
    <row r="37" spans="1:41" s="178" customFormat="1" ht="13.5" customHeight="1">
      <c r="A37" s="178" t="s">
        <v>67</v>
      </c>
      <c r="B37" s="185" t="s">
        <v>343</v>
      </c>
      <c r="C37" s="165">
        <v>134</v>
      </c>
      <c r="D37" s="165">
        <v>340</v>
      </c>
      <c r="E37" s="165">
        <v>300</v>
      </c>
      <c r="F37" s="165">
        <v>12</v>
      </c>
      <c r="G37" s="165">
        <v>21.5</v>
      </c>
      <c r="H37" s="165">
        <v>27</v>
      </c>
      <c r="I37" s="165">
        <v>170.9</v>
      </c>
      <c r="J37" s="165">
        <v>297</v>
      </c>
      <c r="K37" s="165">
        <v>243</v>
      </c>
      <c r="L37" s="165" t="s">
        <v>164</v>
      </c>
      <c r="M37" s="165">
        <v>122</v>
      </c>
      <c r="N37" s="165">
        <v>198</v>
      </c>
      <c r="O37" s="165">
        <v>1.81</v>
      </c>
      <c r="P37" s="165">
        <v>13.49</v>
      </c>
      <c r="Q37" s="165"/>
      <c r="R37" s="165" t="s">
        <v>343</v>
      </c>
      <c r="S37" s="165">
        <v>134</v>
      </c>
      <c r="T37" s="165">
        <v>36660</v>
      </c>
      <c r="U37" s="165">
        <v>2156</v>
      </c>
      <c r="V37" s="165">
        <v>2408</v>
      </c>
      <c r="W37" s="165">
        <v>14.65</v>
      </c>
      <c r="X37" s="165">
        <v>56.09</v>
      </c>
      <c r="Y37" s="165">
        <v>9690</v>
      </c>
      <c r="Z37" s="165">
        <v>646</v>
      </c>
      <c r="AA37" s="165">
        <v>985.7</v>
      </c>
      <c r="AB37" s="165">
        <v>7.53</v>
      </c>
      <c r="AC37" s="165">
        <v>86.63</v>
      </c>
      <c r="AD37" s="165">
        <v>257.2</v>
      </c>
      <c r="AE37" s="165">
        <v>2454</v>
      </c>
      <c r="AF37" s="165">
        <v>1</v>
      </c>
      <c r="AG37" s="165">
        <v>1</v>
      </c>
      <c r="AH37" s="166">
        <v>1</v>
      </c>
      <c r="AI37" s="165">
        <v>1</v>
      </c>
      <c r="AJ37" s="165">
        <v>1</v>
      </c>
      <c r="AK37" s="173">
        <v>1</v>
      </c>
      <c r="AL37" s="197" t="s">
        <v>185</v>
      </c>
      <c r="AM37" s="174" t="s">
        <v>308</v>
      </c>
      <c r="AN37" s="174" t="s">
        <v>308</v>
      </c>
      <c r="AO37" s="175"/>
    </row>
    <row r="38" spans="1:41" s="178" customFormat="1" ht="13.5" customHeight="1">
      <c r="A38" s="178" t="s">
        <v>67</v>
      </c>
      <c r="B38" s="185" t="s">
        <v>355</v>
      </c>
      <c r="C38" s="165">
        <v>142</v>
      </c>
      <c r="D38" s="165">
        <v>360</v>
      </c>
      <c r="E38" s="165">
        <v>300</v>
      </c>
      <c r="F38" s="165">
        <v>12.5</v>
      </c>
      <c r="G38" s="165">
        <v>22.5</v>
      </c>
      <c r="H38" s="165">
        <v>27</v>
      </c>
      <c r="I38" s="165">
        <v>180.6</v>
      </c>
      <c r="J38" s="165">
        <v>315</v>
      </c>
      <c r="K38" s="165">
        <v>261</v>
      </c>
      <c r="L38" s="165" t="s">
        <v>164</v>
      </c>
      <c r="M38" s="165">
        <v>122</v>
      </c>
      <c r="N38" s="165">
        <v>198</v>
      </c>
      <c r="O38" s="165">
        <v>1.849</v>
      </c>
      <c r="P38" s="165">
        <v>13.04</v>
      </c>
      <c r="Q38" s="165"/>
      <c r="R38" s="165" t="s">
        <v>355</v>
      </c>
      <c r="S38" s="165">
        <v>142</v>
      </c>
      <c r="T38" s="165">
        <v>43190</v>
      </c>
      <c r="U38" s="165">
        <v>2400</v>
      </c>
      <c r="V38" s="165">
        <v>2683</v>
      </c>
      <c r="W38" s="165">
        <v>15.46</v>
      </c>
      <c r="X38" s="165">
        <v>60.6</v>
      </c>
      <c r="Y38" s="165">
        <v>10140</v>
      </c>
      <c r="Z38" s="165">
        <v>676.1</v>
      </c>
      <c r="AA38" s="165">
        <v>1032</v>
      </c>
      <c r="AB38" s="165">
        <v>7.49</v>
      </c>
      <c r="AC38" s="165">
        <v>89.13</v>
      </c>
      <c r="AD38" s="165">
        <v>292.5</v>
      </c>
      <c r="AE38" s="165">
        <v>2883</v>
      </c>
      <c r="AF38" s="165">
        <v>1</v>
      </c>
      <c r="AG38" s="165">
        <v>1</v>
      </c>
      <c r="AH38" s="166">
        <v>1</v>
      </c>
      <c r="AI38" s="165">
        <v>1</v>
      </c>
      <c r="AJ38" s="165">
        <v>1</v>
      </c>
      <c r="AK38" s="173">
        <v>1</v>
      </c>
      <c r="AL38" s="197" t="s">
        <v>185</v>
      </c>
      <c r="AM38" s="174" t="s">
        <v>308</v>
      </c>
      <c r="AN38" s="174" t="s">
        <v>308</v>
      </c>
      <c r="AO38" s="175"/>
    </row>
    <row r="39" spans="1:41" s="178" customFormat="1" ht="13.5" customHeight="1">
      <c r="A39" s="178" t="s">
        <v>67</v>
      </c>
      <c r="B39" s="185" t="s">
        <v>367</v>
      </c>
      <c r="C39" s="165">
        <v>155</v>
      </c>
      <c r="D39" s="165">
        <v>400</v>
      </c>
      <c r="E39" s="165">
        <v>300</v>
      </c>
      <c r="F39" s="165">
        <v>13.5</v>
      </c>
      <c r="G39" s="165">
        <v>24</v>
      </c>
      <c r="H39" s="165">
        <v>27</v>
      </c>
      <c r="I39" s="165">
        <v>197.8</v>
      </c>
      <c r="J39" s="165">
        <v>352</v>
      </c>
      <c r="K39" s="165">
        <v>298</v>
      </c>
      <c r="L39" s="165" t="s">
        <v>164</v>
      </c>
      <c r="M39" s="165">
        <v>124</v>
      </c>
      <c r="N39" s="165">
        <v>198</v>
      </c>
      <c r="O39" s="165">
        <v>1.927</v>
      </c>
      <c r="P39" s="165">
        <v>12.41</v>
      </c>
      <c r="Q39" s="165"/>
      <c r="R39" s="165" t="s">
        <v>367</v>
      </c>
      <c r="S39" s="165">
        <v>155</v>
      </c>
      <c r="T39" s="165">
        <v>57680</v>
      </c>
      <c r="U39" s="165">
        <v>2884</v>
      </c>
      <c r="V39" s="165">
        <v>3232</v>
      </c>
      <c r="W39" s="165">
        <v>17.079999999999998</v>
      </c>
      <c r="X39" s="165">
        <v>69.98</v>
      </c>
      <c r="Y39" s="165">
        <v>10820</v>
      </c>
      <c r="Z39" s="165">
        <v>721.3</v>
      </c>
      <c r="AA39" s="165">
        <v>1104</v>
      </c>
      <c r="AB39" s="165">
        <v>7.4</v>
      </c>
      <c r="AC39" s="165">
        <v>93.13</v>
      </c>
      <c r="AD39" s="165">
        <v>355.7</v>
      </c>
      <c r="AE39" s="165">
        <v>3817</v>
      </c>
      <c r="AF39" s="165">
        <v>1</v>
      </c>
      <c r="AG39" s="165">
        <v>1</v>
      </c>
      <c r="AH39" s="166">
        <v>1</v>
      </c>
      <c r="AI39" s="165">
        <v>1</v>
      </c>
      <c r="AJ39" s="165">
        <v>1</v>
      </c>
      <c r="AK39" s="173">
        <v>1</v>
      </c>
      <c r="AL39" s="197" t="s">
        <v>185</v>
      </c>
      <c r="AM39" s="174" t="s">
        <v>308</v>
      </c>
      <c r="AN39" s="174" t="s">
        <v>308</v>
      </c>
      <c r="AO39" s="175"/>
    </row>
    <row r="40" spans="1:41" s="178" customFormat="1" ht="13.5" customHeight="1">
      <c r="A40" s="178" t="s">
        <v>67</v>
      </c>
      <c r="B40" s="185" t="s">
        <v>377</v>
      </c>
      <c r="C40" s="165">
        <v>171</v>
      </c>
      <c r="D40" s="165">
        <v>450</v>
      </c>
      <c r="E40" s="165">
        <v>300</v>
      </c>
      <c r="F40" s="165">
        <v>14</v>
      </c>
      <c r="G40" s="165">
        <v>26</v>
      </c>
      <c r="H40" s="165">
        <v>27</v>
      </c>
      <c r="I40" s="165">
        <v>218</v>
      </c>
      <c r="J40" s="165">
        <v>398</v>
      </c>
      <c r="K40" s="165">
        <v>344</v>
      </c>
      <c r="L40" s="165" t="s">
        <v>164</v>
      </c>
      <c r="M40" s="165">
        <v>124</v>
      </c>
      <c r="N40" s="165">
        <v>198</v>
      </c>
      <c r="O40" s="165">
        <v>2.0259999999999998</v>
      </c>
      <c r="P40" s="165">
        <v>11.84</v>
      </c>
      <c r="Q40" s="165"/>
      <c r="R40" s="165" t="s">
        <v>377</v>
      </c>
      <c r="S40" s="165">
        <v>171</v>
      </c>
      <c r="T40" s="165">
        <v>79890</v>
      </c>
      <c r="U40" s="165">
        <v>3551</v>
      </c>
      <c r="V40" s="165">
        <v>3982</v>
      </c>
      <c r="W40" s="165">
        <v>19.14</v>
      </c>
      <c r="X40" s="165">
        <v>79.66</v>
      </c>
      <c r="Y40" s="165">
        <v>11720</v>
      </c>
      <c r="Z40" s="165">
        <v>781.4</v>
      </c>
      <c r="AA40" s="165">
        <v>1198</v>
      </c>
      <c r="AB40" s="165">
        <v>7.33</v>
      </c>
      <c r="AC40" s="165">
        <v>97.63</v>
      </c>
      <c r="AD40" s="165">
        <v>440.5</v>
      </c>
      <c r="AE40" s="165">
        <v>5258</v>
      </c>
      <c r="AF40" s="165">
        <v>1</v>
      </c>
      <c r="AG40" s="165">
        <v>1</v>
      </c>
      <c r="AH40" s="166">
        <v>1</v>
      </c>
      <c r="AI40" s="165">
        <v>1</v>
      </c>
      <c r="AJ40" s="165">
        <v>1</v>
      </c>
      <c r="AK40" s="173">
        <v>2</v>
      </c>
      <c r="AL40" s="197" t="s">
        <v>185</v>
      </c>
      <c r="AM40" s="174" t="s">
        <v>308</v>
      </c>
      <c r="AN40" s="174" t="s">
        <v>308</v>
      </c>
      <c r="AO40" s="175"/>
    </row>
    <row r="41" spans="1:41" s="178" customFormat="1" ht="13.5" customHeight="1">
      <c r="A41" s="178" t="s">
        <v>67</v>
      </c>
      <c r="B41" s="185" t="s">
        <v>386</v>
      </c>
      <c r="C41" s="165">
        <v>187</v>
      </c>
      <c r="D41" s="165">
        <v>500</v>
      </c>
      <c r="E41" s="165">
        <v>300</v>
      </c>
      <c r="F41" s="165">
        <v>14.5</v>
      </c>
      <c r="G41" s="165">
        <v>28</v>
      </c>
      <c r="H41" s="165">
        <v>27</v>
      </c>
      <c r="I41" s="165">
        <v>238.6</v>
      </c>
      <c r="J41" s="165">
        <v>444</v>
      </c>
      <c r="K41" s="165">
        <v>390</v>
      </c>
      <c r="L41" s="165" t="s">
        <v>164</v>
      </c>
      <c r="M41" s="165">
        <v>124</v>
      </c>
      <c r="N41" s="165">
        <v>198</v>
      </c>
      <c r="O41" s="165">
        <v>2.125</v>
      </c>
      <c r="P41" s="165">
        <v>11.34</v>
      </c>
      <c r="Q41" s="165"/>
      <c r="R41" s="165" t="s">
        <v>386</v>
      </c>
      <c r="S41" s="165">
        <v>187</v>
      </c>
      <c r="T41" s="165">
        <v>107200</v>
      </c>
      <c r="U41" s="165">
        <v>4287</v>
      </c>
      <c r="V41" s="165">
        <v>4815</v>
      </c>
      <c r="W41" s="165">
        <v>21.19</v>
      </c>
      <c r="X41" s="165">
        <v>89.82</v>
      </c>
      <c r="Y41" s="165">
        <v>12620</v>
      </c>
      <c r="Z41" s="165">
        <v>841.6</v>
      </c>
      <c r="AA41" s="165">
        <v>1292</v>
      </c>
      <c r="AB41" s="165">
        <v>7.27</v>
      </c>
      <c r="AC41" s="165">
        <v>102.1</v>
      </c>
      <c r="AD41" s="165">
        <v>538.4</v>
      </c>
      <c r="AE41" s="165">
        <v>7018</v>
      </c>
      <c r="AF41" s="165">
        <v>1</v>
      </c>
      <c r="AG41" s="165">
        <v>1</v>
      </c>
      <c r="AH41" s="166">
        <v>1</v>
      </c>
      <c r="AI41" s="165">
        <v>1</v>
      </c>
      <c r="AJ41" s="165">
        <v>2</v>
      </c>
      <c r="AK41" s="173">
        <v>2</v>
      </c>
      <c r="AL41" s="197" t="s">
        <v>185</v>
      </c>
      <c r="AM41" s="174" t="s">
        <v>308</v>
      </c>
      <c r="AN41" s="174" t="s">
        <v>308</v>
      </c>
      <c r="AO41" s="175"/>
    </row>
    <row r="42" spans="1:41" s="178" customFormat="1" ht="13.5" customHeight="1">
      <c r="A42" s="178" t="s">
        <v>67</v>
      </c>
      <c r="B42" s="185" t="s">
        <v>397</v>
      </c>
      <c r="C42" s="165">
        <v>199</v>
      </c>
      <c r="D42" s="165">
        <v>550</v>
      </c>
      <c r="E42" s="165">
        <v>300</v>
      </c>
      <c r="F42" s="165">
        <v>15</v>
      </c>
      <c r="G42" s="165">
        <v>29</v>
      </c>
      <c r="H42" s="165">
        <v>27</v>
      </c>
      <c r="I42" s="165">
        <v>254.1</v>
      </c>
      <c r="J42" s="165">
        <v>492</v>
      </c>
      <c r="K42" s="165">
        <v>438</v>
      </c>
      <c r="L42" s="165" t="s">
        <v>164</v>
      </c>
      <c r="M42" s="165">
        <v>124</v>
      </c>
      <c r="N42" s="165">
        <v>198</v>
      </c>
      <c r="O42" s="165">
        <v>2.2240000000000002</v>
      </c>
      <c r="P42" s="165">
        <v>11.15</v>
      </c>
      <c r="Q42" s="165"/>
      <c r="R42" s="165" t="s">
        <v>397</v>
      </c>
      <c r="S42" s="165">
        <v>199</v>
      </c>
      <c r="T42" s="165">
        <v>136700</v>
      </c>
      <c r="U42" s="165">
        <v>4971</v>
      </c>
      <c r="V42" s="165">
        <v>5591</v>
      </c>
      <c r="W42" s="165">
        <v>23.2</v>
      </c>
      <c r="X42" s="165">
        <v>100.1</v>
      </c>
      <c r="Y42" s="165">
        <v>13080</v>
      </c>
      <c r="Z42" s="165">
        <v>871.8</v>
      </c>
      <c r="AA42" s="165">
        <v>1341</v>
      </c>
      <c r="AB42" s="165">
        <v>7.17</v>
      </c>
      <c r="AC42" s="165">
        <v>104.6</v>
      </c>
      <c r="AD42" s="165">
        <v>600.29999999999995</v>
      </c>
      <c r="AE42" s="165">
        <v>8856</v>
      </c>
      <c r="AF42" s="165">
        <v>1</v>
      </c>
      <c r="AG42" s="165">
        <v>1</v>
      </c>
      <c r="AH42" s="166">
        <v>1</v>
      </c>
      <c r="AI42" s="165">
        <v>1</v>
      </c>
      <c r="AJ42" s="165">
        <v>2</v>
      </c>
      <c r="AK42" s="173">
        <v>3</v>
      </c>
      <c r="AL42" s="197" t="s">
        <v>185</v>
      </c>
      <c r="AM42" s="174" t="s">
        <v>308</v>
      </c>
      <c r="AN42" s="174" t="s">
        <v>308</v>
      </c>
      <c r="AO42" s="175"/>
    </row>
    <row r="43" spans="1:41" s="178" customFormat="1" ht="13.5" customHeight="1">
      <c r="A43" s="178" t="s">
        <v>67</v>
      </c>
      <c r="B43" s="164" t="s">
        <v>406</v>
      </c>
      <c r="C43" s="165">
        <v>212</v>
      </c>
      <c r="D43" s="165">
        <v>600</v>
      </c>
      <c r="E43" s="165">
        <v>300</v>
      </c>
      <c r="F43" s="165">
        <v>15.5</v>
      </c>
      <c r="G43" s="165">
        <v>30</v>
      </c>
      <c r="H43" s="165">
        <v>27</v>
      </c>
      <c r="I43" s="165">
        <v>270</v>
      </c>
      <c r="J43" s="165">
        <v>540</v>
      </c>
      <c r="K43" s="165">
        <v>486</v>
      </c>
      <c r="L43" s="165" t="s">
        <v>164</v>
      </c>
      <c r="M43" s="165">
        <v>126</v>
      </c>
      <c r="N43" s="165">
        <v>198</v>
      </c>
      <c r="O43" s="165">
        <v>2.323</v>
      </c>
      <c r="P43" s="165">
        <v>10.96</v>
      </c>
      <c r="Q43" s="165"/>
      <c r="R43" s="165" t="s">
        <v>406</v>
      </c>
      <c r="S43" s="165">
        <v>212</v>
      </c>
      <c r="T43" s="165">
        <v>171000</v>
      </c>
      <c r="U43" s="165">
        <v>5701</v>
      </c>
      <c r="V43" s="165">
        <v>6425</v>
      </c>
      <c r="W43" s="165">
        <v>25.17</v>
      </c>
      <c r="X43" s="165">
        <v>110.8</v>
      </c>
      <c r="Y43" s="165">
        <v>13530</v>
      </c>
      <c r="Z43" s="165">
        <v>902</v>
      </c>
      <c r="AA43" s="165">
        <v>1391</v>
      </c>
      <c r="AB43" s="165">
        <v>7.08</v>
      </c>
      <c r="AC43" s="165">
        <v>107.1</v>
      </c>
      <c r="AD43" s="165">
        <v>667.2</v>
      </c>
      <c r="AE43" s="165">
        <v>10970</v>
      </c>
      <c r="AF43" s="165">
        <v>1</v>
      </c>
      <c r="AG43" s="165">
        <v>1</v>
      </c>
      <c r="AH43" s="166">
        <v>1</v>
      </c>
      <c r="AI43" s="165">
        <v>1</v>
      </c>
      <c r="AJ43" s="165">
        <v>3</v>
      </c>
      <c r="AK43" s="173">
        <v>4</v>
      </c>
      <c r="AL43" s="197" t="s">
        <v>185</v>
      </c>
      <c r="AM43" s="174" t="s">
        <v>308</v>
      </c>
      <c r="AN43" s="174" t="s">
        <v>308</v>
      </c>
      <c r="AO43" s="175"/>
    </row>
    <row r="44" spans="1:41" s="178" customFormat="1" ht="13.5" customHeight="1">
      <c r="A44" s="178" t="s">
        <v>67</v>
      </c>
      <c r="B44" s="164" t="s">
        <v>416</v>
      </c>
      <c r="C44" s="165">
        <v>225</v>
      </c>
      <c r="D44" s="165">
        <v>650</v>
      </c>
      <c r="E44" s="165">
        <v>300</v>
      </c>
      <c r="F44" s="165">
        <v>16</v>
      </c>
      <c r="G44" s="165">
        <v>31</v>
      </c>
      <c r="H44" s="165">
        <v>27</v>
      </c>
      <c r="I44" s="165">
        <v>286.3</v>
      </c>
      <c r="J44" s="165">
        <v>588</v>
      </c>
      <c r="K44" s="165">
        <v>534</v>
      </c>
      <c r="L44" s="165" t="s">
        <v>164</v>
      </c>
      <c r="M44" s="165">
        <v>126</v>
      </c>
      <c r="N44" s="165">
        <v>198</v>
      </c>
      <c r="O44" s="165">
        <v>2.4220000000000002</v>
      </c>
      <c r="P44" s="165">
        <v>10.77</v>
      </c>
      <c r="Q44" s="165"/>
      <c r="R44" s="165" t="s">
        <v>416</v>
      </c>
      <c r="S44" s="165">
        <v>225</v>
      </c>
      <c r="T44" s="165">
        <v>210600</v>
      </c>
      <c r="U44" s="165">
        <v>6480</v>
      </c>
      <c r="V44" s="165">
        <v>7320</v>
      </c>
      <c r="W44" s="165">
        <v>27.12</v>
      </c>
      <c r="X44" s="165">
        <v>122</v>
      </c>
      <c r="Y44" s="165">
        <v>13980</v>
      </c>
      <c r="Z44" s="165">
        <v>932.3</v>
      </c>
      <c r="AA44" s="165">
        <v>1441</v>
      </c>
      <c r="AB44" s="165">
        <v>6.99</v>
      </c>
      <c r="AC44" s="165">
        <v>109.6</v>
      </c>
      <c r="AD44" s="165">
        <v>739.2</v>
      </c>
      <c r="AE44" s="165">
        <v>13360</v>
      </c>
      <c r="AF44" s="165">
        <v>1</v>
      </c>
      <c r="AG44" s="165">
        <v>1</v>
      </c>
      <c r="AH44" s="166">
        <v>1</v>
      </c>
      <c r="AI44" s="165">
        <v>2</v>
      </c>
      <c r="AJ44" s="165">
        <v>3</v>
      </c>
      <c r="AK44" s="173">
        <v>4</v>
      </c>
      <c r="AL44" s="197" t="s">
        <v>185</v>
      </c>
      <c r="AM44" s="174" t="s">
        <v>308</v>
      </c>
      <c r="AN44" s="174" t="s">
        <v>308</v>
      </c>
      <c r="AO44" s="175"/>
    </row>
    <row r="45" spans="1:41" s="178" customFormat="1" ht="13.5" customHeight="1">
      <c r="A45" s="178" t="s">
        <v>67</v>
      </c>
      <c r="B45" s="185" t="s">
        <v>426</v>
      </c>
      <c r="C45" s="165">
        <v>241</v>
      </c>
      <c r="D45" s="165">
        <v>700</v>
      </c>
      <c r="E45" s="165">
        <v>300</v>
      </c>
      <c r="F45" s="165">
        <v>17</v>
      </c>
      <c r="G45" s="165">
        <v>32</v>
      </c>
      <c r="H45" s="165">
        <v>27</v>
      </c>
      <c r="I45" s="165">
        <v>306.39999999999998</v>
      </c>
      <c r="J45" s="165">
        <v>636</v>
      </c>
      <c r="K45" s="165">
        <v>582</v>
      </c>
      <c r="L45" s="165" t="s">
        <v>164</v>
      </c>
      <c r="M45" s="165">
        <v>126</v>
      </c>
      <c r="N45" s="165">
        <v>198</v>
      </c>
      <c r="O45" s="165">
        <v>2.52</v>
      </c>
      <c r="P45" s="165">
        <v>10.48</v>
      </c>
      <c r="Q45" s="165"/>
      <c r="R45" s="165" t="s">
        <v>426</v>
      </c>
      <c r="S45" s="165">
        <v>241</v>
      </c>
      <c r="T45" s="165">
        <v>256900</v>
      </c>
      <c r="U45" s="165">
        <v>7340</v>
      </c>
      <c r="V45" s="165">
        <v>8327</v>
      </c>
      <c r="W45" s="165">
        <v>28.96</v>
      </c>
      <c r="X45" s="165">
        <v>137.1</v>
      </c>
      <c r="Y45" s="165">
        <v>14440</v>
      </c>
      <c r="Z45" s="165">
        <v>962.7</v>
      </c>
      <c r="AA45" s="165">
        <v>1495</v>
      </c>
      <c r="AB45" s="165">
        <v>6.87</v>
      </c>
      <c r="AC45" s="165">
        <v>112.6</v>
      </c>
      <c r="AD45" s="165">
        <v>830.9</v>
      </c>
      <c r="AE45" s="165">
        <v>16060</v>
      </c>
      <c r="AF45" s="165">
        <v>1</v>
      </c>
      <c r="AG45" s="165">
        <v>1</v>
      </c>
      <c r="AH45" s="166">
        <v>1</v>
      </c>
      <c r="AI45" s="165">
        <v>2</v>
      </c>
      <c r="AJ45" s="165">
        <v>4</v>
      </c>
      <c r="AK45" s="173">
        <v>4</v>
      </c>
      <c r="AL45" s="197" t="s">
        <v>185</v>
      </c>
      <c r="AM45" s="174" t="s">
        <v>308</v>
      </c>
      <c r="AN45" s="174" t="s">
        <v>308</v>
      </c>
      <c r="AO45" s="175"/>
    </row>
    <row r="46" spans="1:41" s="178" customFormat="1" ht="14.1" customHeight="1">
      <c r="A46" s="178" t="s">
        <v>67</v>
      </c>
      <c r="B46" s="164" t="s">
        <v>436</v>
      </c>
      <c r="C46" s="165">
        <v>262</v>
      </c>
      <c r="D46" s="165">
        <v>800</v>
      </c>
      <c r="E46" s="165">
        <v>300</v>
      </c>
      <c r="F46" s="165">
        <v>17.5</v>
      </c>
      <c r="G46" s="165">
        <v>33</v>
      </c>
      <c r="H46" s="165">
        <v>30</v>
      </c>
      <c r="I46" s="165">
        <v>334.2</v>
      </c>
      <c r="J46" s="165">
        <v>734</v>
      </c>
      <c r="K46" s="165">
        <v>674</v>
      </c>
      <c r="L46" s="165" t="s">
        <v>164</v>
      </c>
      <c r="M46" s="165">
        <v>134</v>
      </c>
      <c r="N46" s="165">
        <v>198</v>
      </c>
      <c r="O46" s="165">
        <v>2.7130000000000001</v>
      </c>
      <c r="P46" s="165">
        <v>10.34</v>
      </c>
      <c r="Q46" s="165"/>
      <c r="R46" s="165" t="s">
        <v>436</v>
      </c>
      <c r="S46" s="165">
        <v>262</v>
      </c>
      <c r="T46" s="165">
        <v>359100</v>
      </c>
      <c r="U46" s="165">
        <v>8977</v>
      </c>
      <c r="V46" s="165">
        <v>10230</v>
      </c>
      <c r="W46" s="165">
        <v>32.78</v>
      </c>
      <c r="X46" s="165">
        <v>161.80000000000001</v>
      </c>
      <c r="Y46" s="165">
        <v>14900</v>
      </c>
      <c r="Z46" s="165">
        <v>993.6</v>
      </c>
      <c r="AA46" s="165">
        <v>1553</v>
      </c>
      <c r="AB46" s="165">
        <v>6.68</v>
      </c>
      <c r="AC46" s="165">
        <v>118.6</v>
      </c>
      <c r="AD46" s="165">
        <v>946</v>
      </c>
      <c r="AE46" s="165">
        <v>21840</v>
      </c>
      <c r="AF46" s="165">
        <v>1</v>
      </c>
      <c r="AG46" s="165">
        <v>1</v>
      </c>
      <c r="AH46" s="166">
        <v>1</v>
      </c>
      <c r="AI46" s="165">
        <v>3</v>
      </c>
      <c r="AJ46" s="165">
        <v>4</v>
      </c>
      <c r="AK46" s="173">
        <v>4</v>
      </c>
      <c r="AL46" s="197" t="s">
        <v>185</v>
      </c>
      <c r="AM46" s="174" t="s">
        <v>308</v>
      </c>
      <c r="AN46" s="174" t="s">
        <v>308</v>
      </c>
      <c r="AO46" s="175"/>
    </row>
    <row r="47" spans="1:41" s="178" customFormat="1" ht="14.1" customHeight="1">
      <c r="A47" s="178" t="s">
        <v>67</v>
      </c>
      <c r="B47" s="185" t="s">
        <v>446</v>
      </c>
      <c r="C47" s="165">
        <v>291</v>
      </c>
      <c r="D47" s="165">
        <v>900</v>
      </c>
      <c r="E47" s="165">
        <v>300</v>
      </c>
      <c r="F47" s="165">
        <v>18.5</v>
      </c>
      <c r="G47" s="165">
        <v>35</v>
      </c>
      <c r="H47" s="165">
        <v>30</v>
      </c>
      <c r="I47" s="165">
        <v>371.3</v>
      </c>
      <c r="J47" s="165">
        <v>830</v>
      </c>
      <c r="K47" s="165">
        <v>770</v>
      </c>
      <c r="L47" s="165" t="s">
        <v>164</v>
      </c>
      <c r="M47" s="165">
        <v>134</v>
      </c>
      <c r="N47" s="165">
        <v>198</v>
      </c>
      <c r="O47" s="165">
        <v>2.911</v>
      </c>
      <c r="P47" s="165">
        <v>9.99</v>
      </c>
      <c r="Q47" s="165"/>
      <c r="R47" s="165" t="s">
        <v>446</v>
      </c>
      <c r="S47" s="165">
        <v>291</v>
      </c>
      <c r="T47" s="165">
        <v>494100</v>
      </c>
      <c r="U47" s="165">
        <v>10980</v>
      </c>
      <c r="V47" s="165">
        <v>12580</v>
      </c>
      <c r="W47" s="165">
        <v>36.479999999999997</v>
      </c>
      <c r="X47" s="165">
        <v>188.8</v>
      </c>
      <c r="Y47" s="165">
        <v>15820</v>
      </c>
      <c r="Z47" s="165">
        <v>1054</v>
      </c>
      <c r="AA47" s="165">
        <v>1658</v>
      </c>
      <c r="AB47" s="165">
        <v>6.53</v>
      </c>
      <c r="AC47" s="165">
        <v>123.6</v>
      </c>
      <c r="AD47" s="165">
        <v>1137</v>
      </c>
      <c r="AE47" s="165">
        <v>29460</v>
      </c>
      <c r="AF47" s="165">
        <v>1</v>
      </c>
      <c r="AG47" s="165">
        <v>1</v>
      </c>
      <c r="AH47" s="166">
        <v>1</v>
      </c>
      <c r="AI47" s="165">
        <v>3</v>
      </c>
      <c r="AJ47" s="165">
        <v>4</v>
      </c>
      <c r="AK47" s="173">
        <v>4</v>
      </c>
      <c r="AL47" s="197" t="s">
        <v>185</v>
      </c>
      <c r="AM47" s="174" t="s">
        <v>308</v>
      </c>
      <c r="AN47" s="174" t="s">
        <v>308</v>
      </c>
      <c r="AO47" s="175"/>
    </row>
    <row r="48" spans="1:41" s="178" customFormat="1" ht="11.25">
      <c r="A48" s="178" t="s">
        <v>67</v>
      </c>
      <c r="B48" s="164" t="s">
        <v>455</v>
      </c>
      <c r="C48" s="165">
        <v>314</v>
      </c>
      <c r="D48" s="165">
        <v>1000</v>
      </c>
      <c r="E48" s="165">
        <v>300</v>
      </c>
      <c r="F48" s="165">
        <v>19</v>
      </c>
      <c r="G48" s="165">
        <v>36</v>
      </c>
      <c r="H48" s="165">
        <v>30</v>
      </c>
      <c r="I48" s="165">
        <v>400</v>
      </c>
      <c r="J48" s="165">
        <v>928</v>
      </c>
      <c r="K48" s="165">
        <v>868</v>
      </c>
      <c r="L48" s="165" t="s">
        <v>164</v>
      </c>
      <c r="M48" s="165">
        <v>134</v>
      </c>
      <c r="N48" s="165">
        <v>198</v>
      </c>
      <c r="O48" s="165">
        <v>3.11</v>
      </c>
      <c r="P48" s="165">
        <v>9.9049999999999994</v>
      </c>
      <c r="Q48" s="165"/>
      <c r="R48" s="165" t="s">
        <v>455</v>
      </c>
      <c r="S48" s="165">
        <v>314</v>
      </c>
      <c r="T48" s="165">
        <v>644700</v>
      </c>
      <c r="U48" s="165">
        <v>12890</v>
      </c>
      <c r="V48" s="165">
        <v>14860</v>
      </c>
      <c r="W48" s="165">
        <v>40.15</v>
      </c>
      <c r="X48" s="165">
        <v>212.5</v>
      </c>
      <c r="Y48" s="165">
        <v>16280</v>
      </c>
      <c r="Z48" s="165">
        <v>1085</v>
      </c>
      <c r="AA48" s="165">
        <v>1716</v>
      </c>
      <c r="AB48" s="165">
        <v>6.38</v>
      </c>
      <c r="AC48" s="165">
        <v>126.1</v>
      </c>
      <c r="AD48" s="165">
        <v>1254</v>
      </c>
      <c r="AE48" s="165">
        <v>37640</v>
      </c>
      <c r="AF48" s="165">
        <v>1</v>
      </c>
      <c r="AG48" s="165">
        <v>1</v>
      </c>
      <c r="AH48" s="166">
        <v>1</v>
      </c>
      <c r="AI48" s="165">
        <v>4</v>
      </c>
      <c r="AJ48" s="165">
        <v>4</v>
      </c>
      <c r="AK48" s="173">
        <v>4</v>
      </c>
      <c r="AL48" s="197" t="s">
        <v>185</v>
      </c>
      <c r="AM48" s="198" t="s">
        <v>308</v>
      </c>
      <c r="AN48" s="198" t="s">
        <v>308</v>
      </c>
      <c r="AO48" s="175"/>
    </row>
    <row r="49" spans="1:41" s="178" customFormat="1" ht="11.25">
      <c r="A49" s="178" t="s">
        <v>674</v>
      </c>
      <c r="B49" s="185" t="s">
        <v>675</v>
      </c>
      <c r="C49" s="165">
        <v>16.7</v>
      </c>
      <c r="D49" s="165">
        <v>96</v>
      </c>
      <c r="E49" s="165">
        <v>100</v>
      </c>
      <c r="F49" s="165">
        <v>5</v>
      </c>
      <c r="G49" s="165">
        <v>8</v>
      </c>
      <c r="H49" s="165">
        <v>12</v>
      </c>
      <c r="I49" s="165">
        <v>21.2</v>
      </c>
      <c r="J49" s="165">
        <v>80</v>
      </c>
      <c r="K49" s="165">
        <v>56</v>
      </c>
      <c r="L49" s="165" t="s">
        <v>135</v>
      </c>
      <c r="M49" s="165">
        <v>54</v>
      </c>
      <c r="N49" s="165">
        <v>58</v>
      </c>
      <c r="O49" s="165">
        <v>0.56100000000000005</v>
      </c>
      <c r="P49" s="165">
        <v>33.68</v>
      </c>
      <c r="Q49" s="165"/>
      <c r="R49" s="165" t="s">
        <v>675</v>
      </c>
      <c r="S49" s="165">
        <v>16.7</v>
      </c>
      <c r="T49" s="165">
        <v>349.2</v>
      </c>
      <c r="U49" s="165">
        <v>72.760000000000005</v>
      </c>
      <c r="V49" s="165">
        <v>83.01</v>
      </c>
      <c r="W49" s="165">
        <v>4.0599999999999996</v>
      </c>
      <c r="X49" s="165">
        <v>7.56</v>
      </c>
      <c r="Y49" s="165">
        <v>133.80000000000001</v>
      </c>
      <c r="Z49" s="165">
        <v>26.76</v>
      </c>
      <c r="AA49" s="165">
        <v>41.14</v>
      </c>
      <c r="AB49" s="165">
        <v>2.5099999999999998</v>
      </c>
      <c r="AC49" s="165">
        <v>35.06</v>
      </c>
      <c r="AD49" s="165">
        <v>5.24</v>
      </c>
      <c r="AE49" s="165">
        <v>2.58</v>
      </c>
      <c r="AF49" s="165">
        <v>1</v>
      </c>
      <c r="AG49" s="165">
        <v>1</v>
      </c>
      <c r="AH49" s="166">
        <v>1</v>
      </c>
      <c r="AI49" s="165">
        <v>1</v>
      </c>
      <c r="AJ49" s="165">
        <v>1</v>
      </c>
      <c r="AK49" s="173">
        <v>1</v>
      </c>
      <c r="AL49" s="197" t="s">
        <v>185</v>
      </c>
      <c r="AM49" s="198" t="s">
        <v>185</v>
      </c>
      <c r="AN49" s="198" t="s">
        <v>185</v>
      </c>
      <c r="AO49" s="143"/>
    </row>
    <row r="50" spans="1:41" s="178" customFormat="1" ht="11.25">
      <c r="A50" s="178" t="s">
        <v>674</v>
      </c>
      <c r="B50" s="185" t="s">
        <v>692</v>
      </c>
      <c r="C50" s="165">
        <v>19.899999999999999</v>
      </c>
      <c r="D50" s="165">
        <v>114</v>
      </c>
      <c r="E50" s="165">
        <v>120</v>
      </c>
      <c r="F50" s="165">
        <v>5</v>
      </c>
      <c r="G50" s="165">
        <v>8</v>
      </c>
      <c r="H50" s="165">
        <v>12</v>
      </c>
      <c r="I50" s="165">
        <v>25.3</v>
      </c>
      <c r="J50" s="165">
        <v>98</v>
      </c>
      <c r="K50" s="165">
        <v>74</v>
      </c>
      <c r="L50" s="165" t="s">
        <v>142</v>
      </c>
      <c r="M50" s="165">
        <v>58</v>
      </c>
      <c r="N50" s="165">
        <v>68</v>
      </c>
      <c r="O50" s="165">
        <v>0.67700000000000005</v>
      </c>
      <c r="P50" s="165">
        <v>34.06</v>
      </c>
      <c r="Q50" s="165"/>
      <c r="R50" s="165" t="s">
        <v>692</v>
      </c>
      <c r="S50" s="165">
        <v>19.899999999999999</v>
      </c>
      <c r="T50" s="165">
        <v>606.20000000000005</v>
      </c>
      <c r="U50" s="165">
        <v>106.3</v>
      </c>
      <c r="V50" s="165">
        <v>119.5</v>
      </c>
      <c r="W50" s="165">
        <v>4.8899999999999997</v>
      </c>
      <c r="X50" s="165">
        <v>8.4600000000000009</v>
      </c>
      <c r="Y50" s="165">
        <v>230.9</v>
      </c>
      <c r="Z50" s="165">
        <v>38.479999999999997</v>
      </c>
      <c r="AA50" s="165">
        <v>58.85</v>
      </c>
      <c r="AB50" s="165">
        <v>3.02</v>
      </c>
      <c r="AC50" s="165">
        <v>35.06</v>
      </c>
      <c r="AD50" s="165">
        <v>5.99</v>
      </c>
      <c r="AE50" s="165">
        <v>6.47</v>
      </c>
      <c r="AF50" s="165">
        <v>1</v>
      </c>
      <c r="AG50" s="165">
        <v>1</v>
      </c>
      <c r="AH50" s="166">
        <v>2</v>
      </c>
      <c r="AI50" s="165">
        <v>1</v>
      </c>
      <c r="AJ50" s="165">
        <v>1</v>
      </c>
      <c r="AK50" s="173">
        <v>2</v>
      </c>
      <c r="AL50" s="197" t="s">
        <v>185</v>
      </c>
      <c r="AM50" s="198" t="s">
        <v>185</v>
      </c>
      <c r="AN50" s="198" t="s">
        <v>185</v>
      </c>
      <c r="AO50" s="143"/>
    </row>
    <row r="51" spans="1:41" s="178" customFormat="1" ht="11.25">
      <c r="A51" s="178" t="s">
        <v>674</v>
      </c>
      <c r="B51" s="185" t="s">
        <v>707</v>
      </c>
      <c r="C51" s="165">
        <v>24.7</v>
      </c>
      <c r="D51" s="165">
        <v>133</v>
      </c>
      <c r="E51" s="165">
        <v>140</v>
      </c>
      <c r="F51" s="165">
        <v>5.5</v>
      </c>
      <c r="G51" s="165">
        <v>8.5</v>
      </c>
      <c r="H51" s="165">
        <v>12</v>
      </c>
      <c r="I51" s="165">
        <v>31.4</v>
      </c>
      <c r="J51" s="165">
        <v>116</v>
      </c>
      <c r="K51" s="165">
        <v>92</v>
      </c>
      <c r="L51" s="165" t="s">
        <v>147</v>
      </c>
      <c r="M51" s="165">
        <v>64</v>
      </c>
      <c r="N51" s="165">
        <v>76</v>
      </c>
      <c r="O51" s="165">
        <v>0.79400000000000004</v>
      </c>
      <c r="P51" s="165">
        <v>32.21</v>
      </c>
      <c r="Q51" s="165"/>
      <c r="R51" s="165" t="s">
        <v>707</v>
      </c>
      <c r="S51" s="165">
        <v>24.7</v>
      </c>
      <c r="T51" s="165">
        <v>1033</v>
      </c>
      <c r="U51" s="165">
        <v>155.4</v>
      </c>
      <c r="V51" s="165">
        <v>173.5</v>
      </c>
      <c r="W51" s="165">
        <v>5.73</v>
      </c>
      <c r="X51" s="165">
        <v>10.119999999999999</v>
      </c>
      <c r="Y51" s="165">
        <v>389.3</v>
      </c>
      <c r="Z51" s="165">
        <v>55.62</v>
      </c>
      <c r="AA51" s="165">
        <v>84.85</v>
      </c>
      <c r="AB51" s="165">
        <v>3.52</v>
      </c>
      <c r="AC51" s="165">
        <v>36.56</v>
      </c>
      <c r="AD51" s="165">
        <v>8.1300000000000008</v>
      </c>
      <c r="AE51" s="165">
        <v>15.06</v>
      </c>
      <c r="AF51" s="165">
        <v>1</v>
      </c>
      <c r="AG51" s="165">
        <v>2</v>
      </c>
      <c r="AH51" s="166">
        <v>3</v>
      </c>
      <c r="AI51" s="165">
        <v>1</v>
      </c>
      <c r="AJ51" s="165">
        <v>2</v>
      </c>
      <c r="AK51" s="173">
        <v>3</v>
      </c>
      <c r="AL51" s="197" t="s">
        <v>185</v>
      </c>
      <c r="AM51" s="198" t="s">
        <v>185</v>
      </c>
      <c r="AN51" s="198" t="s">
        <v>185</v>
      </c>
      <c r="AO51" s="143"/>
    </row>
    <row r="52" spans="1:41" s="178" customFormat="1" ht="11.25">
      <c r="A52" s="178" t="s">
        <v>674</v>
      </c>
      <c r="B52" s="185" t="s">
        <v>724</v>
      </c>
      <c r="C52" s="165">
        <v>30.4</v>
      </c>
      <c r="D52" s="165">
        <v>152</v>
      </c>
      <c r="E52" s="165">
        <v>160</v>
      </c>
      <c r="F52" s="165">
        <v>6</v>
      </c>
      <c r="G52" s="165">
        <v>9</v>
      </c>
      <c r="H52" s="165">
        <v>15</v>
      </c>
      <c r="I52" s="165">
        <v>38.799999999999997</v>
      </c>
      <c r="J52" s="165">
        <v>134</v>
      </c>
      <c r="K52" s="165">
        <v>104</v>
      </c>
      <c r="L52" s="165" t="s">
        <v>222</v>
      </c>
      <c r="M52" s="165">
        <v>78</v>
      </c>
      <c r="N52" s="165">
        <v>84</v>
      </c>
      <c r="O52" s="165">
        <v>0.90600000000000003</v>
      </c>
      <c r="P52" s="165">
        <v>29.78</v>
      </c>
      <c r="Q52" s="165"/>
      <c r="R52" s="165" t="s">
        <v>724</v>
      </c>
      <c r="S52" s="165">
        <v>30.4</v>
      </c>
      <c r="T52" s="165">
        <v>1673</v>
      </c>
      <c r="U52" s="165">
        <v>220.1</v>
      </c>
      <c r="V52" s="165">
        <v>245.1</v>
      </c>
      <c r="W52" s="165">
        <v>6.57</v>
      </c>
      <c r="X52" s="165">
        <v>13.21</v>
      </c>
      <c r="Y52" s="165">
        <v>615.6</v>
      </c>
      <c r="Z52" s="165">
        <v>76.95</v>
      </c>
      <c r="AA52" s="165">
        <v>117.6</v>
      </c>
      <c r="AB52" s="165">
        <v>3.98</v>
      </c>
      <c r="AC52" s="165">
        <v>41.57</v>
      </c>
      <c r="AD52" s="165">
        <v>12.19</v>
      </c>
      <c r="AE52" s="165">
        <v>31.41</v>
      </c>
      <c r="AF52" s="165">
        <v>1</v>
      </c>
      <c r="AG52" s="165">
        <v>2</v>
      </c>
      <c r="AH52" s="166">
        <v>3</v>
      </c>
      <c r="AI52" s="165">
        <v>1</v>
      </c>
      <c r="AJ52" s="165">
        <v>2</v>
      </c>
      <c r="AK52" s="173">
        <v>3</v>
      </c>
      <c r="AL52" s="197" t="s">
        <v>185</v>
      </c>
      <c r="AM52" s="198" t="s">
        <v>185</v>
      </c>
      <c r="AN52" s="198" t="s">
        <v>185</v>
      </c>
      <c r="AO52" s="143"/>
    </row>
    <row r="53" spans="1:41" s="178" customFormat="1" ht="11.25">
      <c r="A53" s="178" t="s">
        <v>674</v>
      </c>
      <c r="B53" s="185" t="s">
        <v>740</v>
      </c>
      <c r="C53" s="165">
        <v>35.5</v>
      </c>
      <c r="D53" s="165">
        <v>171</v>
      </c>
      <c r="E53" s="165">
        <v>180</v>
      </c>
      <c r="F53" s="165">
        <v>6</v>
      </c>
      <c r="G53" s="165">
        <v>9.5</v>
      </c>
      <c r="H53" s="165">
        <v>15</v>
      </c>
      <c r="I53" s="165">
        <v>45.3</v>
      </c>
      <c r="J53" s="165">
        <v>152</v>
      </c>
      <c r="K53" s="165">
        <v>122</v>
      </c>
      <c r="L53" s="165" t="s">
        <v>159</v>
      </c>
      <c r="M53" s="165">
        <v>86</v>
      </c>
      <c r="N53" s="165">
        <v>92</v>
      </c>
      <c r="O53" s="165">
        <v>1.024</v>
      </c>
      <c r="P53" s="165">
        <v>28.83</v>
      </c>
      <c r="Q53" s="165"/>
      <c r="R53" s="165" t="s">
        <v>740</v>
      </c>
      <c r="S53" s="165">
        <v>35.5</v>
      </c>
      <c r="T53" s="165">
        <v>2510</v>
      </c>
      <c r="U53" s="165">
        <v>293.60000000000002</v>
      </c>
      <c r="V53" s="165">
        <v>324.89999999999998</v>
      </c>
      <c r="W53" s="165">
        <v>7.45</v>
      </c>
      <c r="X53" s="165">
        <v>14.47</v>
      </c>
      <c r="Y53" s="165">
        <v>924.6</v>
      </c>
      <c r="Z53" s="165">
        <v>102.7</v>
      </c>
      <c r="AA53" s="165">
        <v>156.5</v>
      </c>
      <c r="AB53" s="165">
        <v>4.5199999999999996</v>
      </c>
      <c r="AC53" s="165">
        <v>42.57</v>
      </c>
      <c r="AD53" s="165">
        <v>14.8</v>
      </c>
      <c r="AE53" s="165">
        <v>60.21</v>
      </c>
      <c r="AF53" s="165">
        <v>1</v>
      </c>
      <c r="AG53" s="165">
        <v>3</v>
      </c>
      <c r="AH53" s="166">
        <v>3</v>
      </c>
      <c r="AI53" s="165">
        <v>1</v>
      </c>
      <c r="AJ53" s="165">
        <v>3</v>
      </c>
      <c r="AK53" s="173">
        <v>3</v>
      </c>
      <c r="AL53" s="197" t="s">
        <v>185</v>
      </c>
      <c r="AM53" s="198" t="s">
        <v>185</v>
      </c>
      <c r="AN53" s="198" t="s">
        <v>185</v>
      </c>
      <c r="AO53" s="143"/>
    </row>
    <row r="54" spans="1:41" s="178" customFormat="1" ht="11.25">
      <c r="A54" s="178" t="s">
        <v>674</v>
      </c>
      <c r="B54" s="185" t="s">
        <v>754</v>
      </c>
      <c r="C54" s="165">
        <v>42.3</v>
      </c>
      <c r="D54" s="165">
        <v>190</v>
      </c>
      <c r="E54" s="165">
        <v>200</v>
      </c>
      <c r="F54" s="165">
        <v>6.5</v>
      </c>
      <c r="G54" s="165">
        <v>10</v>
      </c>
      <c r="H54" s="165">
        <v>18</v>
      </c>
      <c r="I54" s="165">
        <v>53.8</v>
      </c>
      <c r="J54" s="165">
        <v>170</v>
      </c>
      <c r="K54" s="165">
        <v>134</v>
      </c>
      <c r="L54" s="165" t="s">
        <v>164</v>
      </c>
      <c r="M54" s="165">
        <v>98</v>
      </c>
      <c r="N54" s="165">
        <v>100</v>
      </c>
      <c r="O54" s="165">
        <v>1.1359999999999999</v>
      </c>
      <c r="P54" s="165">
        <v>26.89</v>
      </c>
      <c r="Q54" s="165"/>
      <c r="R54" s="165" t="s">
        <v>754</v>
      </c>
      <c r="S54" s="165">
        <v>42.3</v>
      </c>
      <c r="T54" s="165">
        <v>3692</v>
      </c>
      <c r="U54" s="165">
        <v>388.6</v>
      </c>
      <c r="V54" s="165">
        <v>429.5</v>
      </c>
      <c r="W54" s="165">
        <v>8.2799999999999994</v>
      </c>
      <c r="X54" s="165">
        <v>18.079999999999998</v>
      </c>
      <c r="Y54" s="165">
        <v>1336</v>
      </c>
      <c r="Z54" s="165">
        <v>133.6</v>
      </c>
      <c r="AA54" s="165">
        <v>203.8</v>
      </c>
      <c r="AB54" s="165">
        <v>4.9800000000000004</v>
      </c>
      <c r="AC54" s="165">
        <v>47.59</v>
      </c>
      <c r="AD54" s="165">
        <v>20.98</v>
      </c>
      <c r="AE54" s="165">
        <v>108</v>
      </c>
      <c r="AF54" s="165">
        <v>1</v>
      </c>
      <c r="AG54" s="165">
        <v>3</v>
      </c>
      <c r="AH54" s="166">
        <v>3</v>
      </c>
      <c r="AI54" s="165">
        <v>1</v>
      </c>
      <c r="AJ54" s="165">
        <v>3</v>
      </c>
      <c r="AK54" s="173">
        <v>3</v>
      </c>
      <c r="AL54" s="197" t="s">
        <v>185</v>
      </c>
      <c r="AM54" s="198" t="s">
        <v>185</v>
      </c>
      <c r="AN54" s="198" t="s">
        <v>185</v>
      </c>
      <c r="AO54" s="143"/>
    </row>
    <row r="55" spans="1:41" s="178" customFormat="1" ht="11.25">
      <c r="A55" s="178" t="s">
        <v>674</v>
      </c>
      <c r="B55" s="185" t="s">
        <v>768</v>
      </c>
      <c r="C55" s="165">
        <v>50.5</v>
      </c>
      <c r="D55" s="165">
        <v>210</v>
      </c>
      <c r="E55" s="165">
        <v>220</v>
      </c>
      <c r="F55" s="165">
        <v>7</v>
      </c>
      <c r="G55" s="165">
        <v>11</v>
      </c>
      <c r="H55" s="165">
        <v>18</v>
      </c>
      <c r="I55" s="165">
        <v>64.3</v>
      </c>
      <c r="J55" s="165">
        <v>188</v>
      </c>
      <c r="K55" s="165">
        <v>152</v>
      </c>
      <c r="L55" s="165" t="s">
        <v>164</v>
      </c>
      <c r="M55" s="165">
        <v>98</v>
      </c>
      <c r="N55" s="165">
        <v>118</v>
      </c>
      <c r="O55" s="165">
        <v>1.2549999999999999</v>
      </c>
      <c r="P55" s="165">
        <v>24.85</v>
      </c>
      <c r="Q55" s="165"/>
      <c r="R55" s="165" t="s">
        <v>768</v>
      </c>
      <c r="S55" s="165">
        <v>50.5</v>
      </c>
      <c r="T55" s="165">
        <v>5410</v>
      </c>
      <c r="U55" s="165">
        <v>515.20000000000005</v>
      </c>
      <c r="V55" s="165">
        <v>568.5</v>
      </c>
      <c r="W55" s="165">
        <v>9.17</v>
      </c>
      <c r="X55" s="165">
        <v>20.67</v>
      </c>
      <c r="Y55" s="165">
        <v>1955</v>
      </c>
      <c r="Z55" s="165">
        <v>177.7</v>
      </c>
      <c r="AA55" s="165">
        <v>270.60000000000002</v>
      </c>
      <c r="AB55" s="165">
        <v>5.51</v>
      </c>
      <c r="AC55" s="165">
        <v>50.09</v>
      </c>
      <c r="AD55" s="165">
        <v>28.46</v>
      </c>
      <c r="AE55" s="165">
        <v>193.3</v>
      </c>
      <c r="AF55" s="165">
        <v>1</v>
      </c>
      <c r="AG55" s="165">
        <v>3</v>
      </c>
      <c r="AH55" s="166">
        <v>3</v>
      </c>
      <c r="AI55" s="165">
        <v>1</v>
      </c>
      <c r="AJ55" s="165">
        <v>3</v>
      </c>
      <c r="AK55" s="173">
        <v>3</v>
      </c>
      <c r="AL55" s="197" t="s">
        <v>185</v>
      </c>
      <c r="AM55" s="198" t="s">
        <v>185</v>
      </c>
      <c r="AN55" s="198" t="s">
        <v>185</v>
      </c>
      <c r="AO55" s="175"/>
    </row>
    <row r="56" spans="1:41" s="178" customFormat="1" ht="11.25">
      <c r="A56" s="178" t="s">
        <v>674</v>
      </c>
      <c r="B56" s="164" t="s">
        <v>782</v>
      </c>
      <c r="C56" s="165">
        <v>60.3</v>
      </c>
      <c r="D56" s="165">
        <v>230</v>
      </c>
      <c r="E56" s="165">
        <v>240</v>
      </c>
      <c r="F56" s="165">
        <v>7.5</v>
      </c>
      <c r="G56" s="165">
        <v>12</v>
      </c>
      <c r="H56" s="165">
        <v>21</v>
      </c>
      <c r="I56" s="165">
        <v>76.8</v>
      </c>
      <c r="J56" s="165">
        <v>206</v>
      </c>
      <c r="K56" s="165">
        <v>164</v>
      </c>
      <c r="L56" s="165" t="s">
        <v>164</v>
      </c>
      <c r="M56" s="165">
        <v>104</v>
      </c>
      <c r="N56" s="165">
        <v>138</v>
      </c>
      <c r="O56" s="165">
        <v>1.369</v>
      </c>
      <c r="P56" s="165">
        <v>22.7</v>
      </c>
      <c r="Q56" s="165"/>
      <c r="R56" s="165" t="s">
        <v>782</v>
      </c>
      <c r="S56" s="165">
        <v>60.3</v>
      </c>
      <c r="T56" s="165">
        <v>7763</v>
      </c>
      <c r="U56" s="165">
        <v>675.1</v>
      </c>
      <c r="V56" s="165">
        <v>744.6</v>
      </c>
      <c r="W56" s="165">
        <v>10.050000000000001</v>
      </c>
      <c r="X56" s="165">
        <v>25.18</v>
      </c>
      <c r="Y56" s="165">
        <v>2769</v>
      </c>
      <c r="Z56" s="165">
        <v>230.7</v>
      </c>
      <c r="AA56" s="165">
        <v>351.7</v>
      </c>
      <c r="AB56" s="165">
        <v>6</v>
      </c>
      <c r="AC56" s="165">
        <v>56.1</v>
      </c>
      <c r="AD56" s="165">
        <v>41.55</v>
      </c>
      <c r="AE56" s="165">
        <v>328.5</v>
      </c>
      <c r="AF56" s="165">
        <v>1</v>
      </c>
      <c r="AG56" s="165">
        <v>3</v>
      </c>
      <c r="AH56" s="166">
        <v>3</v>
      </c>
      <c r="AI56" s="165">
        <v>1</v>
      </c>
      <c r="AJ56" s="165">
        <v>3</v>
      </c>
      <c r="AK56" s="173">
        <v>3</v>
      </c>
      <c r="AL56" s="197" t="s">
        <v>185</v>
      </c>
      <c r="AM56" s="174" t="s">
        <v>185</v>
      </c>
      <c r="AN56" s="174" t="s">
        <v>185</v>
      </c>
      <c r="AO56" s="175"/>
    </row>
    <row r="57" spans="1:41" s="178" customFormat="1" ht="11.25">
      <c r="A57" s="178" t="s">
        <v>674</v>
      </c>
      <c r="B57" s="185" t="s">
        <v>797</v>
      </c>
      <c r="C57" s="165">
        <v>68.2</v>
      </c>
      <c r="D57" s="165">
        <v>250</v>
      </c>
      <c r="E57" s="165">
        <v>260</v>
      </c>
      <c r="F57" s="165">
        <v>7.5</v>
      </c>
      <c r="G57" s="165">
        <v>12.5</v>
      </c>
      <c r="H57" s="165">
        <v>24</v>
      </c>
      <c r="I57" s="165">
        <v>86.8</v>
      </c>
      <c r="J57" s="165">
        <v>225</v>
      </c>
      <c r="K57" s="165">
        <v>177</v>
      </c>
      <c r="L57" s="165" t="s">
        <v>164</v>
      </c>
      <c r="M57" s="165">
        <v>110</v>
      </c>
      <c r="N57" s="165">
        <v>158</v>
      </c>
      <c r="O57" s="165">
        <v>1.484</v>
      </c>
      <c r="P57" s="165">
        <v>21.77</v>
      </c>
      <c r="Q57" s="165"/>
      <c r="R57" s="165" t="s">
        <v>797</v>
      </c>
      <c r="S57" s="165">
        <v>68.2</v>
      </c>
      <c r="T57" s="165">
        <v>10450</v>
      </c>
      <c r="U57" s="165">
        <v>836.4</v>
      </c>
      <c r="V57" s="165">
        <v>919.8</v>
      </c>
      <c r="W57" s="165">
        <v>10.97</v>
      </c>
      <c r="X57" s="165">
        <v>28.76</v>
      </c>
      <c r="Y57" s="165">
        <v>3668</v>
      </c>
      <c r="Z57" s="165">
        <v>282.10000000000002</v>
      </c>
      <c r="AA57" s="165">
        <v>430.2</v>
      </c>
      <c r="AB57" s="165">
        <v>6.5</v>
      </c>
      <c r="AC57" s="165">
        <v>60.62</v>
      </c>
      <c r="AD57" s="165">
        <v>52.37</v>
      </c>
      <c r="AE57" s="165">
        <v>516.4</v>
      </c>
      <c r="AF57" s="165">
        <v>2</v>
      </c>
      <c r="AG57" s="165">
        <v>3</v>
      </c>
      <c r="AH57" s="166">
        <v>3</v>
      </c>
      <c r="AI57" s="165">
        <v>2</v>
      </c>
      <c r="AJ57" s="165">
        <v>3</v>
      </c>
      <c r="AK57" s="173">
        <v>3</v>
      </c>
      <c r="AL57" s="197" t="s">
        <v>185</v>
      </c>
      <c r="AM57" s="174" t="s">
        <v>308</v>
      </c>
      <c r="AN57" s="174" t="s">
        <v>308</v>
      </c>
      <c r="AO57" s="175"/>
    </row>
    <row r="58" spans="1:41" s="178" customFormat="1" ht="11.25">
      <c r="A58" s="178" t="s">
        <v>674</v>
      </c>
      <c r="B58" s="185" t="s">
        <v>812</v>
      </c>
      <c r="C58" s="165">
        <v>76.400000000000006</v>
      </c>
      <c r="D58" s="165">
        <v>270</v>
      </c>
      <c r="E58" s="165">
        <v>280</v>
      </c>
      <c r="F58" s="165">
        <v>8</v>
      </c>
      <c r="G58" s="165">
        <v>13</v>
      </c>
      <c r="H58" s="165">
        <v>24</v>
      </c>
      <c r="I58" s="165">
        <v>97.3</v>
      </c>
      <c r="J58" s="165">
        <v>244</v>
      </c>
      <c r="K58" s="165">
        <v>196</v>
      </c>
      <c r="L58" s="165" t="s">
        <v>164</v>
      </c>
      <c r="M58" s="165">
        <v>112</v>
      </c>
      <c r="N58" s="165">
        <v>178</v>
      </c>
      <c r="O58" s="165">
        <v>1.603</v>
      </c>
      <c r="P58" s="165">
        <v>20.99</v>
      </c>
      <c r="Q58" s="165"/>
      <c r="R58" s="165" t="s">
        <v>812</v>
      </c>
      <c r="S58" s="165">
        <v>76.400000000000006</v>
      </c>
      <c r="T58" s="165">
        <v>13670</v>
      </c>
      <c r="U58" s="165">
        <v>1013</v>
      </c>
      <c r="V58" s="165">
        <v>1112</v>
      </c>
      <c r="W58" s="165">
        <v>11.86</v>
      </c>
      <c r="X58" s="165">
        <v>31.74</v>
      </c>
      <c r="Y58" s="165">
        <v>4763</v>
      </c>
      <c r="Z58" s="165">
        <v>340.2</v>
      </c>
      <c r="AA58" s="165">
        <v>518.1</v>
      </c>
      <c r="AB58" s="165">
        <v>7</v>
      </c>
      <c r="AC58" s="165">
        <v>62.12</v>
      </c>
      <c r="AD58" s="165">
        <v>62.1</v>
      </c>
      <c r="AE58" s="165">
        <v>785.4</v>
      </c>
      <c r="AF58" s="165">
        <v>2</v>
      </c>
      <c r="AG58" s="165">
        <v>3</v>
      </c>
      <c r="AH58" s="166">
        <v>4</v>
      </c>
      <c r="AI58" s="165">
        <v>2</v>
      </c>
      <c r="AJ58" s="165">
        <v>3</v>
      </c>
      <c r="AK58" s="173">
        <v>4</v>
      </c>
      <c r="AL58" s="197" t="s">
        <v>185</v>
      </c>
      <c r="AM58" s="174" t="s">
        <v>308</v>
      </c>
      <c r="AN58" s="174" t="s">
        <v>308</v>
      </c>
      <c r="AO58" s="175"/>
    </row>
    <row r="59" spans="1:41" s="178" customFormat="1" ht="11.25">
      <c r="A59" s="178" t="s">
        <v>674</v>
      </c>
      <c r="B59" s="185" t="s">
        <v>825</v>
      </c>
      <c r="C59" s="165">
        <v>88.3</v>
      </c>
      <c r="D59" s="165">
        <v>290</v>
      </c>
      <c r="E59" s="165">
        <v>300</v>
      </c>
      <c r="F59" s="165">
        <v>8.5</v>
      </c>
      <c r="G59" s="165">
        <v>14</v>
      </c>
      <c r="H59" s="165">
        <v>27</v>
      </c>
      <c r="I59" s="165">
        <v>112.5</v>
      </c>
      <c r="J59" s="165">
        <v>262</v>
      </c>
      <c r="K59" s="165">
        <v>208</v>
      </c>
      <c r="L59" s="165" t="s">
        <v>164</v>
      </c>
      <c r="M59" s="165">
        <v>118</v>
      </c>
      <c r="N59" s="165">
        <v>198</v>
      </c>
      <c r="O59" s="165">
        <v>1.7170000000000001</v>
      </c>
      <c r="P59" s="165">
        <v>19.43</v>
      </c>
      <c r="Q59" s="165"/>
      <c r="R59" s="165" t="s">
        <v>825</v>
      </c>
      <c r="S59" s="165">
        <v>88.3</v>
      </c>
      <c r="T59" s="165">
        <v>18260</v>
      </c>
      <c r="U59" s="165">
        <v>1260</v>
      </c>
      <c r="V59" s="165">
        <v>1383</v>
      </c>
      <c r="W59" s="165">
        <v>12.74</v>
      </c>
      <c r="X59" s="165">
        <v>37.28</v>
      </c>
      <c r="Y59" s="165">
        <v>6310</v>
      </c>
      <c r="Z59" s="165">
        <v>420.6</v>
      </c>
      <c r="AA59" s="165">
        <v>641.20000000000005</v>
      </c>
      <c r="AB59" s="165">
        <v>7.49</v>
      </c>
      <c r="AC59" s="165">
        <v>68.13</v>
      </c>
      <c r="AD59" s="165">
        <v>85.17</v>
      </c>
      <c r="AE59" s="165">
        <v>1200</v>
      </c>
      <c r="AF59" s="165">
        <v>2</v>
      </c>
      <c r="AG59" s="165">
        <v>3</v>
      </c>
      <c r="AH59" s="166">
        <v>3</v>
      </c>
      <c r="AI59" s="165">
        <v>2</v>
      </c>
      <c r="AJ59" s="165">
        <v>3</v>
      </c>
      <c r="AK59" s="173">
        <v>3</v>
      </c>
      <c r="AL59" s="197" t="s">
        <v>185</v>
      </c>
      <c r="AM59" s="174" t="s">
        <v>308</v>
      </c>
      <c r="AN59" s="174" t="s">
        <v>308</v>
      </c>
      <c r="AO59" s="175"/>
    </row>
    <row r="60" spans="1:41" s="178" customFormat="1" ht="11.25">
      <c r="A60" s="178" t="s">
        <v>674</v>
      </c>
      <c r="B60" s="185" t="s">
        <v>835</v>
      </c>
      <c r="C60" s="165">
        <v>97.6</v>
      </c>
      <c r="D60" s="165">
        <v>310</v>
      </c>
      <c r="E60" s="165">
        <v>300</v>
      </c>
      <c r="F60" s="165">
        <v>9</v>
      </c>
      <c r="G60" s="165">
        <v>15.5</v>
      </c>
      <c r="H60" s="165">
        <v>27</v>
      </c>
      <c r="I60" s="165">
        <v>124.4</v>
      </c>
      <c r="J60" s="165">
        <v>279</v>
      </c>
      <c r="K60" s="165">
        <v>225</v>
      </c>
      <c r="L60" s="165" t="s">
        <v>164</v>
      </c>
      <c r="M60" s="165">
        <v>118</v>
      </c>
      <c r="N60" s="165">
        <v>198</v>
      </c>
      <c r="O60" s="165">
        <v>1.756</v>
      </c>
      <c r="P60" s="165">
        <v>17.98</v>
      </c>
      <c r="Q60" s="165"/>
      <c r="R60" s="165" t="s">
        <v>835</v>
      </c>
      <c r="S60" s="165">
        <v>97.6</v>
      </c>
      <c r="T60" s="165">
        <v>22930</v>
      </c>
      <c r="U60" s="165">
        <v>1479</v>
      </c>
      <c r="V60" s="165">
        <v>1628</v>
      </c>
      <c r="W60" s="165">
        <v>13.58</v>
      </c>
      <c r="X60" s="165">
        <v>41.13</v>
      </c>
      <c r="Y60" s="165">
        <v>6985</v>
      </c>
      <c r="Z60" s="165">
        <v>465.7</v>
      </c>
      <c r="AA60" s="165">
        <v>709.7</v>
      </c>
      <c r="AB60" s="165">
        <v>7.49</v>
      </c>
      <c r="AC60" s="165">
        <v>71.63</v>
      </c>
      <c r="AD60" s="165">
        <v>108</v>
      </c>
      <c r="AE60" s="165">
        <v>1512</v>
      </c>
      <c r="AF60" s="165">
        <v>1</v>
      </c>
      <c r="AG60" s="165">
        <v>3</v>
      </c>
      <c r="AH60" s="166">
        <v>3</v>
      </c>
      <c r="AI60" s="165">
        <v>1</v>
      </c>
      <c r="AJ60" s="165">
        <v>3</v>
      </c>
      <c r="AK60" s="173">
        <v>3</v>
      </c>
      <c r="AL60" s="197" t="s">
        <v>185</v>
      </c>
      <c r="AM60" s="174" t="s">
        <v>308</v>
      </c>
      <c r="AN60" s="174" t="s">
        <v>308</v>
      </c>
      <c r="AO60" s="175"/>
    </row>
    <row r="61" spans="1:41" s="178" customFormat="1" ht="11.25">
      <c r="A61" s="178" t="s">
        <v>674</v>
      </c>
      <c r="B61" s="185" t="s">
        <v>844</v>
      </c>
      <c r="C61" s="165">
        <v>105</v>
      </c>
      <c r="D61" s="165">
        <v>330</v>
      </c>
      <c r="E61" s="165">
        <v>300</v>
      </c>
      <c r="F61" s="165">
        <v>9.5</v>
      </c>
      <c r="G61" s="165">
        <v>16.5</v>
      </c>
      <c r="H61" s="165">
        <v>27</v>
      </c>
      <c r="I61" s="165">
        <v>133.5</v>
      </c>
      <c r="J61" s="165">
        <v>297</v>
      </c>
      <c r="K61" s="165">
        <v>243</v>
      </c>
      <c r="L61" s="165" t="s">
        <v>164</v>
      </c>
      <c r="M61" s="165">
        <v>118</v>
      </c>
      <c r="N61" s="165">
        <v>198</v>
      </c>
      <c r="O61" s="165">
        <v>1.7949999999999999</v>
      </c>
      <c r="P61" s="165">
        <v>17.13</v>
      </c>
      <c r="Q61" s="165"/>
      <c r="R61" s="165" t="s">
        <v>844</v>
      </c>
      <c r="S61" s="165">
        <v>105</v>
      </c>
      <c r="T61" s="165">
        <v>27690</v>
      </c>
      <c r="U61" s="165">
        <v>1678</v>
      </c>
      <c r="V61" s="165">
        <v>1850</v>
      </c>
      <c r="W61" s="165">
        <v>14.4</v>
      </c>
      <c r="X61" s="165">
        <v>44.95</v>
      </c>
      <c r="Y61" s="165">
        <v>7436</v>
      </c>
      <c r="Z61" s="165">
        <v>495.7</v>
      </c>
      <c r="AA61" s="165">
        <v>755.9</v>
      </c>
      <c r="AB61" s="165">
        <v>7.46</v>
      </c>
      <c r="AC61" s="165">
        <v>74.13</v>
      </c>
      <c r="AD61" s="165">
        <v>127.2</v>
      </c>
      <c r="AE61" s="165">
        <v>1824</v>
      </c>
      <c r="AF61" s="165">
        <v>1</v>
      </c>
      <c r="AG61" s="165">
        <v>3</v>
      </c>
      <c r="AH61" s="166">
        <v>3</v>
      </c>
      <c r="AI61" s="165">
        <v>1</v>
      </c>
      <c r="AJ61" s="165">
        <v>3</v>
      </c>
      <c r="AK61" s="173">
        <v>3</v>
      </c>
      <c r="AL61" s="197" t="s">
        <v>185</v>
      </c>
      <c r="AM61" s="174" t="s">
        <v>308</v>
      </c>
      <c r="AN61" s="174" t="s">
        <v>308</v>
      </c>
      <c r="AO61" s="175"/>
    </row>
    <row r="62" spans="1:41" s="178" customFormat="1" ht="11.25">
      <c r="A62" s="178" t="s">
        <v>674</v>
      </c>
      <c r="B62" s="185" t="s">
        <v>854</v>
      </c>
      <c r="C62" s="165">
        <v>112</v>
      </c>
      <c r="D62" s="165">
        <v>350</v>
      </c>
      <c r="E62" s="165">
        <v>300</v>
      </c>
      <c r="F62" s="165">
        <v>10</v>
      </c>
      <c r="G62" s="165">
        <v>17.5</v>
      </c>
      <c r="H62" s="165">
        <v>27</v>
      </c>
      <c r="I62" s="165">
        <v>142.80000000000001</v>
      </c>
      <c r="J62" s="165">
        <v>315</v>
      </c>
      <c r="K62" s="165">
        <v>261</v>
      </c>
      <c r="L62" s="165" t="s">
        <v>164</v>
      </c>
      <c r="M62" s="165">
        <v>120</v>
      </c>
      <c r="N62" s="165">
        <v>198</v>
      </c>
      <c r="O62" s="165">
        <v>1.8340000000000001</v>
      </c>
      <c r="P62" s="165">
        <v>16.36</v>
      </c>
      <c r="Q62" s="165"/>
      <c r="R62" s="165" t="s">
        <v>854</v>
      </c>
      <c r="S62" s="165">
        <v>112</v>
      </c>
      <c r="T62" s="165">
        <v>33090</v>
      </c>
      <c r="U62" s="165">
        <v>1891</v>
      </c>
      <c r="V62" s="165">
        <v>2088</v>
      </c>
      <c r="W62" s="165">
        <v>15.22</v>
      </c>
      <c r="X62" s="165">
        <v>48.96</v>
      </c>
      <c r="Y62" s="165">
        <v>7887</v>
      </c>
      <c r="Z62" s="165">
        <v>525.79999999999995</v>
      </c>
      <c r="AA62" s="165">
        <v>802.3</v>
      </c>
      <c r="AB62" s="165">
        <v>7.43</v>
      </c>
      <c r="AC62" s="165">
        <v>76.63</v>
      </c>
      <c r="AD62" s="165">
        <v>148.80000000000001</v>
      </c>
      <c r="AE62" s="165">
        <v>2177</v>
      </c>
      <c r="AF62" s="165">
        <v>1</v>
      </c>
      <c r="AG62" s="165">
        <v>2</v>
      </c>
      <c r="AH62" s="166">
        <v>3</v>
      </c>
      <c r="AI62" s="165">
        <v>1</v>
      </c>
      <c r="AJ62" s="165">
        <v>2</v>
      </c>
      <c r="AK62" s="173">
        <v>3</v>
      </c>
      <c r="AL62" s="197" t="s">
        <v>185</v>
      </c>
      <c r="AM62" s="174" t="s">
        <v>308</v>
      </c>
      <c r="AN62" s="174" t="s">
        <v>308</v>
      </c>
      <c r="AO62" s="175"/>
    </row>
    <row r="63" spans="1:41" s="178" customFormat="1" ht="11.25">
      <c r="A63" s="178" t="s">
        <v>674</v>
      </c>
      <c r="B63" s="185" t="s">
        <v>864</v>
      </c>
      <c r="C63" s="165">
        <v>125</v>
      </c>
      <c r="D63" s="165">
        <v>390</v>
      </c>
      <c r="E63" s="165">
        <v>300</v>
      </c>
      <c r="F63" s="165">
        <v>11</v>
      </c>
      <c r="G63" s="165">
        <v>19</v>
      </c>
      <c r="H63" s="165">
        <v>27</v>
      </c>
      <c r="I63" s="165">
        <v>159</v>
      </c>
      <c r="J63" s="165">
        <v>352</v>
      </c>
      <c r="K63" s="165">
        <v>298</v>
      </c>
      <c r="L63" s="165" t="s">
        <v>164</v>
      </c>
      <c r="M63" s="165">
        <v>120</v>
      </c>
      <c r="N63" s="165">
        <v>198</v>
      </c>
      <c r="O63" s="165">
        <v>1.9119999999999999</v>
      </c>
      <c r="P63" s="165">
        <v>15.32</v>
      </c>
      <c r="Q63" s="165"/>
      <c r="R63" s="165" t="s">
        <v>864</v>
      </c>
      <c r="S63" s="165">
        <v>125</v>
      </c>
      <c r="T63" s="165">
        <v>45070</v>
      </c>
      <c r="U63" s="165">
        <v>2311</v>
      </c>
      <c r="V63" s="165">
        <v>2562</v>
      </c>
      <c r="W63" s="165">
        <v>16.84</v>
      </c>
      <c r="X63" s="165">
        <v>57.33</v>
      </c>
      <c r="Y63" s="165">
        <v>8564</v>
      </c>
      <c r="Z63" s="165">
        <v>570.9</v>
      </c>
      <c r="AA63" s="165">
        <v>872.9</v>
      </c>
      <c r="AB63" s="165">
        <v>7.34</v>
      </c>
      <c r="AC63" s="165">
        <v>80.63</v>
      </c>
      <c r="AD63" s="165">
        <v>189</v>
      </c>
      <c r="AE63" s="165">
        <v>2942</v>
      </c>
      <c r="AF63" s="165">
        <v>1</v>
      </c>
      <c r="AG63" s="165">
        <v>1</v>
      </c>
      <c r="AH63" s="166">
        <v>3</v>
      </c>
      <c r="AI63" s="165">
        <v>1</v>
      </c>
      <c r="AJ63" s="165">
        <v>2</v>
      </c>
      <c r="AK63" s="173">
        <v>3</v>
      </c>
      <c r="AL63" s="197" t="s">
        <v>185</v>
      </c>
      <c r="AM63" s="174" t="s">
        <v>308</v>
      </c>
      <c r="AN63" s="174" t="s">
        <v>308</v>
      </c>
      <c r="AO63" s="175"/>
    </row>
    <row r="64" spans="1:41" s="178" customFormat="1" ht="11.25">
      <c r="A64" s="178" t="s">
        <v>674</v>
      </c>
      <c r="B64" s="185" t="s">
        <v>873</v>
      </c>
      <c r="C64" s="165">
        <v>140</v>
      </c>
      <c r="D64" s="165">
        <v>440</v>
      </c>
      <c r="E64" s="165">
        <v>300</v>
      </c>
      <c r="F64" s="165">
        <v>11.5</v>
      </c>
      <c r="G64" s="165">
        <v>21</v>
      </c>
      <c r="H64" s="165">
        <v>27</v>
      </c>
      <c r="I64" s="165">
        <v>178</v>
      </c>
      <c r="J64" s="165">
        <v>398</v>
      </c>
      <c r="K64" s="165">
        <v>344</v>
      </c>
      <c r="L64" s="165" t="s">
        <v>164</v>
      </c>
      <c r="M64" s="165">
        <v>122</v>
      </c>
      <c r="N64" s="165">
        <v>198</v>
      </c>
      <c r="O64" s="165">
        <v>2.0110000000000001</v>
      </c>
      <c r="P64" s="165">
        <v>14.39</v>
      </c>
      <c r="Q64" s="165"/>
      <c r="R64" s="165" t="s">
        <v>873</v>
      </c>
      <c r="S64" s="165">
        <v>140</v>
      </c>
      <c r="T64" s="165">
        <v>63720</v>
      </c>
      <c r="U64" s="165">
        <v>2896</v>
      </c>
      <c r="V64" s="165">
        <v>3216</v>
      </c>
      <c r="W64" s="165">
        <v>18.920000000000002</v>
      </c>
      <c r="X64" s="165">
        <v>65.78</v>
      </c>
      <c r="Y64" s="165">
        <v>9465</v>
      </c>
      <c r="Z64" s="165">
        <v>631</v>
      </c>
      <c r="AA64" s="165">
        <v>965.5</v>
      </c>
      <c r="AB64" s="165">
        <v>7.29</v>
      </c>
      <c r="AC64" s="165">
        <v>85.13</v>
      </c>
      <c r="AD64" s="165">
        <v>243.8</v>
      </c>
      <c r="AE64" s="165">
        <v>4148</v>
      </c>
      <c r="AF64" s="165">
        <v>1</v>
      </c>
      <c r="AG64" s="165">
        <v>1</v>
      </c>
      <c r="AH64" s="166">
        <v>1</v>
      </c>
      <c r="AI64" s="165">
        <v>1</v>
      </c>
      <c r="AJ64" s="165">
        <v>2</v>
      </c>
      <c r="AK64" s="173">
        <v>3</v>
      </c>
      <c r="AL64" s="197" t="s">
        <v>185</v>
      </c>
      <c r="AM64" s="174" t="s">
        <v>308</v>
      </c>
      <c r="AN64" s="174" t="s">
        <v>308</v>
      </c>
      <c r="AO64" s="175"/>
    </row>
    <row r="65" spans="1:41" s="178" customFormat="1" ht="11.25">
      <c r="A65" s="178" t="s">
        <v>674</v>
      </c>
      <c r="B65" s="185" t="s">
        <v>884</v>
      </c>
      <c r="C65" s="165">
        <v>155</v>
      </c>
      <c r="D65" s="165">
        <v>490</v>
      </c>
      <c r="E65" s="165">
        <v>300</v>
      </c>
      <c r="F65" s="165">
        <v>12</v>
      </c>
      <c r="G65" s="165">
        <v>23</v>
      </c>
      <c r="H65" s="165">
        <v>27</v>
      </c>
      <c r="I65" s="165">
        <v>197.5</v>
      </c>
      <c r="J65" s="165">
        <v>444</v>
      </c>
      <c r="K65" s="165">
        <v>390</v>
      </c>
      <c r="L65" s="165" t="s">
        <v>164</v>
      </c>
      <c r="M65" s="165">
        <v>122</v>
      </c>
      <c r="N65" s="165">
        <v>198</v>
      </c>
      <c r="O65" s="165">
        <v>2.11</v>
      </c>
      <c r="P65" s="165">
        <v>13.6</v>
      </c>
      <c r="Q65" s="165"/>
      <c r="R65" s="165" t="s">
        <v>884</v>
      </c>
      <c r="S65" s="165">
        <v>155</v>
      </c>
      <c r="T65" s="165">
        <v>86970</v>
      </c>
      <c r="U65" s="165">
        <v>3550</v>
      </c>
      <c r="V65" s="165">
        <v>3949</v>
      </c>
      <c r="W65" s="165">
        <v>20.98</v>
      </c>
      <c r="X65" s="165">
        <v>74.72</v>
      </c>
      <c r="Y65" s="165">
        <v>10370</v>
      </c>
      <c r="Z65" s="165">
        <v>691.1</v>
      </c>
      <c r="AA65" s="165">
        <v>1059</v>
      </c>
      <c r="AB65" s="165">
        <v>7.24</v>
      </c>
      <c r="AC65" s="165">
        <v>89.63</v>
      </c>
      <c r="AD65" s="165">
        <v>309.3</v>
      </c>
      <c r="AE65" s="165">
        <v>5643</v>
      </c>
      <c r="AF65" s="165">
        <v>1</v>
      </c>
      <c r="AG65" s="165">
        <v>1</v>
      </c>
      <c r="AH65" s="166">
        <v>1</v>
      </c>
      <c r="AI65" s="165">
        <v>1</v>
      </c>
      <c r="AJ65" s="165">
        <v>3</v>
      </c>
      <c r="AK65" s="173">
        <v>4</v>
      </c>
      <c r="AL65" s="197" t="s">
        <v>185</v>
      </c>
      <c r="AM65" s="174" t="s">
        <v>308</v>
      </c>
      <c r="AN65" s="174" t="s">
        <v>308</v>
      </c>
      <c r="AO65" s="175"/>
    </row>
    <row r="66" spans="1:41" s="178" customFormat="1" ht="11.25">
      <c r="A66" s="178" t="s">
        <v>674</v>
      </c>
      <c r="B66" s="185" t="s">
        <v>893</v>
      </c>
      <c r="C66" s="165">
        <v>166</v>
      </c>
      <c r="D66" s="165">
        <v>540</v>
      </c>
      <c r="E66" s="165">
        <v>300</v>
      </c>
      <c r="F66" s="165">
        <v>12.5</v>
      </c>
      <c r="G66" s="165">
        <v>24</v>
      </c>
      <c r="H66" s="165">
        <v>27</v>
      </c>
      <c r="I66" s="165">
        <v>211.8</v>
      </c>
      <c r="J66" s="165">
        <v>492</v>
      </c>
      <c r="K66" s="165">
        <v>438</v>
      </c>
      <c r="L66" s="165" t="s">
        <v>164</v>
      </c>
      <c r="M66" s="165">
        <v>122</v>
      </c>
      <c r="N66" s="165">
        <v>198</v>
      </c>
      <c r="O66" s="165">
        <v>2.2090000000000001</v>
      </c>
      <c r="P66" s="165">
        <v>13.29</v>
      </c>
      <c r="Q66" s="165"/>
      <c r="R66" s="165" t="s">
        <v>893</v>
      </c>
      <c r="S66" s="165">
        <v>166</v>
      </c>
      <c r="T66" s="165">
        <v>111900</v>
      </c>
      <c r="U66" s="165">
        <v>4146</v>
      </c>
      <c r="V66" s="165">
        <v>4622</v>
      </c>
      <c r="W66" s="165">
        <v>22.99</v>
      </c>
      <c r="X66" s="165">
        <v>83.72</v>
      </c>
      <c r="Y66" s="165">
        <v>10820</v>
      </c>
      <c r="Z66" s="165">
        <v>721.3</v>
      </c>
      <c r="AA66" s="165">
        <v>1107</v>
      </c>
      <c r="AB66" s="165">
        <v>7.15</v>
      </c>
      <c r="AC66" s="165">
        <v>92.13</v>
      </c>
      <c r="AD66" s="165">
        <v>351.5</v>
      </c>
      <c r="AE66" s="165">
        <v>7189</v>
      </c>
      <c r="AF66" s="165">
        <v>1</v>
      </c>
      <c r="AG66" s="165">
        <v>1</v>
      </c>
      <c r="AH66" s="166">
        <v>1</v>
      </c>
      <c r="AI66" s="165">
        <v>2</v>
      </c>
      <c r="AJ66" s="165">
        <v>4</v>
      </c>
      <c r="AK66" s="173">
        <v>4</v>
      </c>
      <c r="AL66" s="197" t="s">
        <v>185</v>
      </c>
      <c r="AM66" s="174" t="s">
        <v>308</v>
      </c>
      <c r="AN66" s="174" t="s">
        <v>308</v>
      </c>
      <c r="AO66" s="175"/>
    </row>
    <row r="67" spans="1:41" s="178" customFormat="1" ht="11.25">
      <c r="A67" s="178" t="s">
        <v>674</v>
      </c>
      <c r="B67" s="185" t="s">
        <v>902</v>
      </c>
      <c r="C67" s="165">
        <v>178</v>
      </c>
      <c r="D67" s="165">
        <v>590</v>
      </c>
      <c r="E67" s="165">
        <v>300</v>
      </c>
      <c r="F67" s="165">
        <v>13</v>
      </c>
      <c r="G67" s="165">
        <v>25</v>
      </c>
      <c r="H67" s="165">
        <v>27</v>
      </c>
      <c r="I67" s="165">
        <v>226.5</v>
      </c>
      <c r="J67" s="165">
        <v>540</v>
      </c>
      <c r="K67" s="165">
        <v>486</v>
      </c>
      <c r="L67" s="165" t="s">
        <v>164</v>
      </c>
      <c r="M67" s="165">
        <v>122</v>
      </c>
      <c r="N67" s="165">
        <v>198</v>
      </c>
      <c r="O67" s="165">
        <v>2.3079999999999998</v>
      </c>
      <c r="P67" s="165">
        <v>12.98</v>
      </c>
      <c r="Q67" s="165"/>
      <c r="R67" s="165" t="s">
        <v>902</v>
      </c>
      <c r="S67" s="165">
        <v>178</v>
      </c>
      <c r="T67" s="165">
        <v>141200</v>
      </c>
      <c r="U67" s="165">
        <v>4787</v>
      </c>
      <c r="V67" s="165">
        <v>5350</v>
      </c>
      <c r="W67" s="165">
        <v>24.97</v>
      </c>
      <c r="X67" s="165">
        <v>93.21</v>
      </c>
      <c r="Y67" s="165">
        <v>11270</v>
      </c>
      <c r="Z67" s="165">
        <v>751.4</v>
      </c>
      <c r="AA67" s="165">
        <v>1156</v>
      </c>
      <c r="AB67" s="165">
        <v>7.05</v>
      </c>
      <c r="AC67" s="165">
        <v>94.63</v>
      </c>
      <c r="AD67" s="165">
        <v>397.8</v>
      </c>
      <c r="AE67" s="165">
        <v>8978</v>
      </c>
      <c r="AF67" s="165">
        <v>1</v>
      </c>
      <c r="AG67" s="165">
        <v>1</v>
      </c>
      <c r="AH67" s="166">
        <v>1</v>
      </c>
      <c r="AI67" s="165">
        <v>2</v>
      </c>
      <c r="AJ67" s="165">
        <v>4</v>
      </c>
      <c r="AK67" s="173">
        <v>4</v>
      </c>
      <c r="AL67" s="197" t="s">
        <v>185</v>
      </c>
      <c r="AM67" s="174" t="s">
        <v>308</v>
      </c>
      <c r="AN67" s="174" t="s">
        <v>308</v>
      </c>
      <c r="AO67" s="175"/>
    </row>
    <row r="68" spans="1:41" s="178" customFormat="1" ht="11.25">
      <c r="A68" s="178" t="s">
        <v>674</v>
      </c>
      <c r="B68" s="164" t="s">
        <v>912</v>
      </c>
      <c r="C68" s="165">
        <v>190</v>
      </c>
      <c r="D68" s="165">
        <v>640</v>
      </c>
      <c r="E68" s="165">
        <v>300</v>
      </c>
      <c r="F68" s="165">
        <v>13.5</v>
      </c>
      <c r="G68" s="165">
        <v>26</v>
      </c>
      <c r="H68" s="165">
        <v>27</v>
      </c>
      <c r="I68" s="165">
        <v>241.6</v>
      </c>
      <c r="J68" s="165">
        <v>588</v>
      </c>
      <c r="K68" s="165">
        <v>534</v>
      </c>
      <c r="L68" s="165" t="s">
        <v>164</v>
      </c>
      <c r="M68" s="165">
        <v>124</v>
      </c>
      <c r="N68" s="165">
        <v>198</v>
      </c>
      <c r="O68" s="165">
        <v>2.407</v>
      </c>
      <c r="P68" s="165">
        <v>12.69</v>
      </c>
      <c r="Q68" s="165"/>
      <c r="R68" s="165" t="s">
        <v>912</v>
      </c>
      <c r="S68" s="165">
        <v>190</v>
      </c>
      <c r="T68" s="165">
        <v>175200</v>
      </c>
      <c r="U68" s="165">
        <v>5474</v>
      </c>
      <c r="V68" s="165">
        <v>6136</v>
      </c>
      <c r="W68" s="165">
        <v>26.93</v>
      </c>
      <c r="X68" s="165">
        <v>103.2</v>
      </c>
      <c r="Y68" s="165">
        <v>11720</v>
      </c>
      <c r="Z68" s="165">
        <v>781.6</v>
      </c>
      <c r="AA68" s="165">
        <v>1205</v>
      </c>
      <c r="AB68" s="165">
        <v>6.97</v>
      </c>
      <c r="AC68" s="165">
        <v>97.13</v>
      </c>
      <c r="AD68" s="165">
        <v>448.3</v>
      </c>
      <c r="AE68" s="165">
        <v>11030</v>
      </c>
      <c r="AF68" s="165">
        <v>1</v>
      </c>
      <c r="AG68" s="165">
        <v>1</v>
      </c>
      <c r="AH68" s="166">
        <v>1</v>
      </c>
      <c r="AI68" s="165">
        <v>3</v>
      </c>
      <c r="AJ68" s="165">
        <v>4</v>
      </c>
      <c r="AK68" s="173">
        <v>4</v>
      </c>
      <c r="AL68" s="197" t="s">
        <v>185</v>
      </c>
      <c r="AM68" s="174" t="s">
        <v>308</v>
      </c>
      <c r="AN68" s="174" t="s">
        <v>308</v>
      </c>
      <c r="AO68" s="175"/>
    </row>
    <row r="69" spans="1:41" s="178" customFormat="1" ht="11.25">
      <c r="A69" s="178" t="s">
        <v>674</v>
      </c>
      <c r="B69" s="164" t="s">
        <v>922</v>
      </c>
      <c r="C69" s="165">
        <v>204</v>
      </c>
      <c r="D69" s="165">
        <v>690</v>
      </c>
      <c r="E69" s="165">
        <v>300</v>
      </c>
      <c r="F69" s="165">
        <v>14.5</v>
      </c>
      <c r="G69" s="165">
        <v>27</v>
      </c>
      <c r="H69" s="165">
        <v>27</v>
      </c>
      <c r="I69" s="165">
        <v>260.5</v>
      </c>
      <c r="J69" s="165">
        <v>636</v>
      </c>
      <c r="K69" s="165">
        <v>582</v>
      </c>
      <c r="L69" s="165" t="s">
        <v>164</v>
      </c>
      <c r="M69" s="165">
        <v>124</v>
      </c>
      <c r="N69" s="165">
        <v>198</v>
      </c>
      <c r="O69" s="165">
        <v>2.5049999999999999</v>
      </c>
      <c r="P69" s="165">
        <v>12.25</v>
      </c>
      <c r="Q69" s="165"/>
      <c r="R69" s="165" t="s">
        <v>922</v>
      </c>
      <c r="S69" s="165">
        <v>204</v>
      </c>
      <c r="T69" s="165">
        <v>215300</v>
      </c>
      <c r="U69" s="165">
        <v>6241</v>
      </c>
      <c r="V69" s="165">
        <v>7032</v>
      </c>
      <c r="W69" s="165">
        <v>28.75</v>
      </c>
      <c r="X69" s="165">
        <v>117</v>
      </c>
      <c r="Y69" s="165">
        <v>12180</v>
      </c>
      <c r="Z69" s="165">
        <v>811.9</v>
      </c>
      <c r="AA69" s="165">
        <v>1257</v>
      </c>
      <c r="AB69" s="165">
        <v>6.84</v>
      </c>
      <c r="AC69" s="165">
        <v>100.1</v>
      </c>
      <c r="AD69" s="165">
        <v>513.9</v>
      </c>
      <c r="AE69" s="165">
        <v>13350</v>
      </c>
      <c r="AF69" s="165">
        <v>1</v>
      </c>
      <c r="AG69" s="165">
        <v>1</v>
      </c>
      <c r="AH69" s="166">
        <v>1</v>
      </c>
      <c r="AI69" s="165">
        <v>3</v>
      </c>
      <c r="AJ69" s="165">
        <v>4</v>
      </c>
      <c r="AK69" s="173">
        <v>4</v>
      </c>
      <c r="AL69" s="197" t="s">
        <v>185</v>
      </c>
      <c r="AM69" s="174" t="s">
        <v>308</v>
      </c>
      <c r="AN69" s="174" t="s">
        <v>308</v>
      </c>
      <c r="AO69" s="175"/>
    </row>
    <row r="70" spans="1:41" s="178" customFormat="1" ht="11.25">
      <c r="A70" s="178" t="s">
        <v>674</v>
      </c>
      <c r="B70" s="164" t="s">
        <v>931</v>
      </c>
      <c r="C70" s="165">
        <v>224</v>
      </c>
      <c r="D70" s="165">
        <v>790</v>
      </c>
      <c r="E70" s="165">
        <v>300</v>
      </c>
      <c r="F70" s="165">
        <v>15</v>
      </c>
      <c r="G70" s="165">
        <v>28</v>
      </c>
      <c r="H70" s="165">
        <v>30</v>
      </c>
      <c r="I70" s="165">
        <v>285.8</v>
      </c>
      <c r="J70" s="165">
        <v>734</v>
      </c>
      <c r="K70" s="165">
        <v>674</v>
      </c>
      <c r="L70" s="165" t="s">
        <v>164</v>
      </c>
      <c r="M70" s="165">
        <v>130</v>
      </c>
      <c r="N70" s="165">
        <v>198</v>
      </c>
      <c r="O70" s="165">
        <v>2.698</v>
      </c>
      <c r="P70" s="165">
        <v>12.03</v>
      </c>
      <c r="Q70" s="165"/>
      <c r="R70" s="165" t="s">
        <v>931</v>
      </c>
      <c r="S70" s="165">
        <v>224</v>
      </c>
      <c r="T70" s="165">
        <v>303400</v>
      </c>
      <c r="U70" s="165">
        <v>7682</v>
      </c>
      <c r="V70" s="165">
        <v>8699</v>
      </c>
      <c r="W70" s="165">
        <v>32.58</v>
      </c>
      <c r="X70" s="165">
        <v>138.80000000000001</v>
      </c>
      <c r="Y70" s="165">
        <v>12640</v>
      </c>
      <c r="Z70" s="165">
        <v>842.6</v>
      </c>
      <c r="AA70" s="165">
        <v>1312</v>
      </c>
      <c r="AB70" s="165">
        <v>6.65</v>
      </c>
      <c r="AC70" s="165">
        <v>106.1</v>
      </c>
      <c r="AD70" s="165">
        <v>596.9</v>
      </c>
      <c r="AE70" s="165">
        <v>18290</v>
      </c>
      <c r="AF70" s="165">
        <v>1</v>
      </c>
      <c r="AG70" s="165">
        <v>1</v>
      </c>
      <c r="AH70" s="166">
        <v>1</v>
      </c>
      <c r="AI70" s="165">
        <v>4</v>
      </c>
      <c r="AJ70" s="165">
        <v>4</v>
      </c>
      <c r="AK70" s="173">
        <v>4</v>
      </c>
      <c r="AL70" s="197" t="s">
        <v>185</v>
      </c>
      <c r="AM70" s="174" t="s">
        <v>308</v>
      </c>
      <c r="AN70" s="174" t="s">
        <v>308</v>
      </c>
      <c r="AO70" s="175"/>
    </row>
    <row r="71" spans="1:41" s="178" customFormat="1" ht="11.25">
      <c r="A71" s="178" t="s">
        <v>674</v>
      </c>
      <c r="B71" s="185" t="s">
        <v>941</v>
      </c>
      <c r="C71" s="165">
        <v>252</v>
      </c>
      <c r="D71" s="165">
        <v>890</v>
      </c>
      <c r="E71" s="165">
        <v>300</v>
      </c>
      <c r="F71" s="165">
        <v>16</v>
      </c>
      <c r="G71" s="165">
        <v>30</v>
      </c>
      <c r="H71" s="165">
        <v>30</v>
      </c>
      <c r="I71" s="165">
        <v>320.5</v>
      </c>
      <c r="J71" s="165">
        <v>830</v>
      </c>
      <c r="K71" s="165">
        <v>770</v>
      </c>
      <c r="L71" s="165" t="s">
        <v>164</v>
      </c>
      <c r="M71" s="165">
        <v>132</v>
      </c>
      <c r="N71" s="165">
        <v>198</v>
      </c>
      <c r="O71" s="165">
        <v>2.8959999999999999</v>
      </c>
      <c r="P71" s="165">
        <v>11.51</v>
      </c>
      <c r="Q71" s="165"/>
      <c r="R71" s="165" t="s">
        <v>941</v>
      </c>
      <c r="S71" s="165">
        <v>252</v>
      </c>
      <c r="T71" s="165">
        <v>422100</v>
      </c>
      <c r="U71" s="165">
        <v>9485</v>
      </c>
      <c r="V71" s="165">
        <v>10810</v>
      </c>
      <c r="W71" s="165">
        <v>36.29</v>
      </c>
      <c r="X71" s="165">
        <v>163.30000000000001</v>
      </c>
      <c r="Y71" s="165">
        <v>13550</v>
      </c>
      <c r="Z71" s="165">
        <v>903.2</v>
      </c>
      <c r="AA71" s="165">
        <v>1414</v>
      </c>
      <c r="AB71" s="165">
        <v>6.5</v>
      </c>
      <c r="AC71" s="165">
        <v>111.1</v>
      </c>
      <c r="AD71" s="165">
        <v>736.8</v>
      </c>
      <c r="AE71" s="165">
        <v>24960</v>
      </c>
      <c r="AF71" s="165">
        <v>1</v>
      </c>
      <c r="AG71" s="165">
        <v>1</v>
      </c>
      <c r="AH71" s="166">
        <v>1</v>
      </c>
      <c r="AI71" s="165">
        <v>4</v>
      </c>
      <c r="AJ71" s="165">
        <v>4</v>
      </c>
      <c r="AK71" s="173">
        <v>4</v>
      </c>
      <c r="AL71" s="197" t="s">
        <v>185</v>
      </c>
      <c r="AM71" s="174" t="s">
        <v>308</v>
      </c>
      <c r="AN71" s="174" t="s">
        <v>308</v>
      </c>
      <c r="AO71" s="175"/>
    </row>
    <row r="72" spans="1:41" s="178" customFormat="1" ht="11.25">
      <c r="A72" s="178" t="s">
        <v>674</v>
      </c>
      <c r="B72" s="164" t="s">
        <v>949</v>
      </c>
      <c r="C72" s="165">
        <v>272</v>
      </c>
      <c r="D72" s="165">
        <v>990</v>
      </c>
      <c r="E72" s="165">
        <v>300</v>
      </c>
      <c r="F72" s="165">
        <v>16.5</v>
      </c>
      <c r="G72" s="165">
        <v>31</v>
      </c>
      <c r="H72" s="165">
        <v>30</v>
      </c>
      <c r="I72" s="165">
        <v>346.8</v>
      </c>
      <c r="J72" s="165">
        <v>928</v>
      </c>
      <c r="K72" s="165">
        <v>868</v>
      </c>
      <c r="L72" s="165" t="s">
        <v>164</v>
      </c>
      <c r="M72" s="165">
        <v>132</v>
      </c>
      <c r="N72" s="165">
        <v>198</v>
      </c>
      <c r="O72" s="165">
        <v>3.0950000000000002</v>
      </c>
      <c r="P72" s="165">
        <v>11.37</v>
      </c>
      <c r="Q72" s="165"/>
      <c r="R72" s="165" t="s">
        <v>949</v>
      </c>
      <c r="S72" s="165">
        <v>272</v>
      </c>
      <c r="T72" s="165">
        <v>553800</v>
      </c>
      <c r="U72" s="165">
        <v>11190</v>
      </c>
      <c r="V72" s="165">
        <v>12820</v>
      </c>
      <c r="W72" s="165">
        <v>39.96</v>
      </c>
      <c r="X72" s="165">
        <v>184.6</v>
      </c>
      <c r="Y72" s="165">
        <v>14000</v>
      </c>
      <c r="Z72" s="165">
        <v>933.6</v>
      </c>
      <c r="AA72" s="165">
        <v>1470</v>
      </c>
      <c r="AB72" s="165">
        <v>6.35</v>
      </c>
      <c r="AC72" s="165">
        <v>113.6</v>
      </c>
      <c r="AD72" s="165">
        <v>822.4</v>
      </c>
      <c r="AE72" s="165">
        <v>32070</v>
      </c>
      <c r="AF72" s="165">
        <v>1</v>
      </c>
      <c r="AG72" s="165">
        <v>1</v>
      </c>
      <c r="AH72" s="166">
        <v>2</v>
      </c>
      <c r="AI72" s="165">
        <v>4</v>
      </c>
      <c r="AJ72" s="165">
        <v>4</v>
      </c>
      <c r="AK72" s="173">
        <v>4</v>
      </c>
      <c r="AL72" s="197" t="s">
        <v>185</v>
      </c>
      <c r="AM72" s="198" t="s">
        <v>308</v>
      </c>
      <c r="AN72" s="198" t="s">
        <v>308</v>
      </c>
      <c r="AO72" s="175"/>
    </row>
    <row r="73" spans="1:41" s="178" customFormat="1" ht="11.25">
      <c r="A73" s="178" t="s">
        <v>67</v>
      </c>
      <c r="B73" s="185" t="s">
        <v>168</v>
      </c>
      <c r="C73" s="165">
        <v>20.399999999999999</v>
      </c>
      <c r="D73" s="165">
        <v>100</v>
      </c>
      <c r="E73" s="165">
        <v>100</v>
      </c>
      <c r="F73" s="165">
        <v>6</v>
      </c>
      <c r="G73" s="165">
        <v>10</v>
      </c>
      <c r="H73" s="165">
        <v>12</v>
      </c>
      <c r="I73" s="165">
        <v>26</v>
      </c>
      <c r="J73" s="165">
        <v>80</v>
      </c>
      <c r="K73" s="165">
        <v>56</v>
      </c>
      <c r="L73" s="165" t="s">
        <v>135</v>
      </c>
      <c r="M73" s="165">
        <v>56</v>
      </c>
      <c r="N73" s="165">
        <v>58</v>
      </c>
      <c r="O73" s="165">
        <v>0.56699999999999995</v>
      </c>
      <c r="P73" s="165">
        <v>27.76</v>
      </c>
      <c r="Q73" s="165"/>
      <c r="R73" s="165" t="s">
        <v>168</v>
      </c>
      <c r="S73" s="165">
        <v>20.399999999999999</v>
      </c>
      <c r="T73" s="165">
        <v>449.5</v>
      </c>
      <c r="U73" s="165">
        <v>89.91</v>
      </c>
      <c r="V73" s="165">
        <v>104.2</v>
      </c>
      <c r="W73" s="165">
        <v>4.16</v>
      </c>
      <c r="X73" s="165">
        <v>9.0399999999999991</v>
      </c>
      <c r="Y73" s="165">
        <v>167.3</v>
      </c>
      <c r="Z73" s="165">
        <v>33.450000000000003</v>
      </c>
      <c r="AA73" s="165">
        <v>51.42</v>
      </c>
      <c r="AB73" s="165">
        <v>2.5299999999999998</v>
      </c>
      <c r="AC73" s="165">
        <v>40.06</v>
      </c>
      <c r="AD73" s="165">
        <v>9.25</v>
      </c>
      <c r="AE73" s="165">
        <v>3.38</v>
      </c>
      <c r="AF73" s="165">
        <v>1</v>
      </c>
      <c r="AG73" s="165">
        <v>1</v>
      </c>
      <c r="AH73" s="166">
        <v>1</v>
      </c>
      <c r="AI73" s="165">
        <v>1</v>
      </c>
      <c r="AJ73" s="165">
        <v>1</v>
      </c>
      <c r="AK73" s="173">
        <v>1</v>
      </c>
      <c r="AL73" s="197" t="s">
        <v>185</v>
      </c>
      <c r="AM73" s="198" t="s">
        <v>185</v>
      </c>
      <c r="AN73" s="198" t="s">
        <v>185</v>
      </c>
      <c r="AO73" s="143"/>
    </row>
    <row r="74" spans="1:41" s="178" customFormat="1" ht="11.25">
      <c r="A74" s="178" t="s">
        <v>463</v>
      </c>
      <c r="B74" s="185" t="s">
        <v>464</v>
      </c>
      <c r="C74" s="165">
        <v>41.8</v>
      </c>
      <c r="D74" s="165">
        <v>120</v>
      </c>
      <c r="E74" s="165">
        <v>106</v>
      </c>
      <c r="F74" s="165">
        <v>12</v>
      </c>
      <c r="G74" s="165">
        <v>20</v>
      </c>
      <c r="H74" s="165">
        <v>12</v>
      </c>
      <c r="I74" s="165">
        <v>53.2</v>
      </c>
      <c r="J74" s="165">
        <v>80</v>
      </c>
      <c r="K74" s="165">
        <v>56</v>
      </c>
      <c r="L74" s="165" t="s">
        <v>135</v>
      </c>
      <c r="M74" s="165">
        <v>62</v>
      </c>
      <c r="N74" s="165">
        <v>64</v>
      </c>
      <c r="O74" s="165">
        <v>0.61899999999999999</v>
      </c>
      <c r="P74" s="165">
        <v>14.82</v>
      </c>
      <c r="Q74" s="165"/>
      <c r="R74" s="165" t="s">
        <v>464</v>
      </c>
      <c r="S74" s="165">
        <v>41.8</v>
      </c>
      <c r="T74" s="165">
        <v>1143</v>
      </c>
      <c r="U74" s="165">
        <v>190.4</v>
      </c>
      <c r="V74" s="165">
        <v>235.8</v>
      </c>
      <c r="W74" s="165">
        <v>4.63</v>
      </c>
      <c r="X74" s="165">
        <v>18.04</v>
      </c>
      <c r="Y74" s="165">
        <v>399.2</v>
      </c>
      <c r="Z74" s="165">
        <v>75.31</v>
      </c>
      <c r="AA74" s="165">
        <v>116.3</v>
      </c>
      <c r="AB74" s="165">
        <v>2.74</v>
      </c>
      <c r="AC74" s="165">
        <v>66.06</v>
      </c>
      <c r="AD74" s="165">
        <v>68.209999999999994</v>
      </c>
      <c r="AE74" s="165">
        <v>9.93</v>
      </c>
      <c r="AF74" s="165">
        <v>1</v>
      </c>
      <c r="AG74" s="165">
        <v>1</v>
      </c>
      <c r="AH74" s="166">
        <v>1</v>
      </c>
      <c r="AI74" s="165">
        <v>1</v>
      </c>
      <c r="AJ74" s="165">
        <v>1</v>
      </c>
      <c r="AK74" s="173">
        <v>1</v>
      </c>
      <c r="AL74" s="197" t="s">
        <v>185</v>
      </c>
      <c r="AM74" s="198" t="s">
        <v>185</v>
      </c>
      <c r="AN74" s="198" t="s">
        <v>185</v>
      </c>
      <c r="AO74" s="143"/>
    </row>
    <row r="75" spans="1:41" s="178" customFormat="1" ht="11.25">
      <c r="A75" s="178" t="s">
        <v>463</v>
      </c>
      <c r="B75" s="185" t="s">
        <v>479</v>
      </c>
      <c r="C75" s="165">
        <v>52.1</v>
      </c>
      <c r="D75" s="165">
        <v>140</v>
      </c>
      <c r="E75" s="165">
        <v>126</v>
      </c>
      <c r="F75" s="165">
        <v>12.5</v>
      </c>
      <c r="G75" s="165">
        <v>21</v>
      </c>
      <c r="H75" s="165">
        <v>12</v>
      </c>
      <c r="I75" s="165">
        <v>66.400000000000006</v>
      </c>
      <c r="J75" s="165">
        <v>98</v>
      </c>
      <c r="K75" s="165">
        <v>74</v>
      </c>
      <c r="L75" s="165" t="s">
        <v>142</v>
      </c>
      <c r="M75" s="165">
        <v>66</v>
      </c>
      <c r="N75" s="165">
        <v>74</v>
      </c>
      <c r="O75" s="165">
        <v>0.73799999999999999</v>
      </c>
      <c r="P75" s="165">
        <v>14.16</v>
      </c>
      <c r="Q75" s="165"/>
      <c r="R75" s="165" t="s">
        <v>479</v>
      </c>
      <c r="S75" s="165">
        <v>52.1</v>
      </c>
      <c r="T75" s="165">
        <v>2018</v>
      </c>
      <c r="U75" s="165">
        <v>288.2</v>
      </c>
      <c r="V75" s="165">
        <v>350.6</v>
      </c>
      <c r="W75" s="165">
        <v>5.51</v>
      </c>
      <c r="X75" s="165">
        <v>21.15</v>
      </c>
      <c r="Y75" s="165">
        <v>702.8</v>
      </c>
      <c r="Z75" s="165">
        <v>111.6</v>
      </c>
      <c r="AA75" s="165">
        <v>171.6</v>
      </c>
      <c r="AB75" s="165">
        <v>3.25</v>
      </c>
      <c r="AC75" s="165">
        <v>68.56</v>
      </c>
      <c r="AD75" s="165">
        <v>91.66</v>
      </c>
      <c r="AE75" s="165">
        <v>24.79</v>
      </c>
      <c r="AF75" s="165">
        <v>1</v>
      </c>
      <c r="AG75" s="165">
        <v>1</v>
      </c>
      <c r="AH75" s="166">
        <v>1</v>
      </c>
      <c r="AI75" s="165">
        <v>1</v>
      </c>
      <c r="AJ75" s="165">
        <v>1</v>
      </c>
      <c r="AK75" s="173">
        <v>1</v>
      </c>
      <c r="AL75" s="197" t="s">
        <v>185</v>
      </c>
      <c r="AM75" s="198" t="s">
        <v>185</v>
      </c>
      <c r="AN75" s="198" t="s">
        <v>185</v>
      </c>
      <c r="AO75" s="143"/>
    </row>
    <row r="76" spans="1:41" s="178" customFormat="1" ht="11.25">
      <c r="A76" s="178" t="s">
        <v>463</v>
      </c>
      <c r="B76" s="185" t="s">
        <v>495</v>
      </c>
      <c r="C76" s="165">
        <v>63.2</v>
      </c>
      <c r="D76" s="165">
        <v>160</v>
      </c>
      <c r="E76" s="165">
        <v>146</v>
      </c>
      <c r="F76" s="165">
        <v>13</v>
      </c>
      <c r="G76" s="165">
        <v>22</v>
      </c>
      <c r="H76" s="165">
        <v>12</v>
      </c>
      <c r="I76" s="165">
        <v>80.599999999999994</v>
      </c>
      <c r="J76" s="165">
        <v>116</v>
      </c>
      <c r="K76" s="165">
        <v>92</v>
      </c>
      <c r="L76" s="165" t="s">
        <v>147</v>
      </c>
      <c r="M76" s="165">
        <v>72</v>
      </c>
      <c r="N76" s="165">
        <v>82</v>
      </c>
      <c r="O76" s="165">
        <v>0.85699999999999998</v>
      </c>
      <c r="P76" s="165">
        <v>13.56</v>
      </c>
      <c r="Q76" s="165"/>
      <c r="R76" s="165" t="s">
        <v>495</v>
      </c>
      <c r="S76" s="165">
        <v>63.2</v>
      </c>
      <c r="T76" s="165">
        <v>3291</v>
      </c>
      <c r="U76" s="165">
        <v>411.4</v>
      </c>
      <c r="V76" s="165">
        <v>493.8</v>
      </c>
      <c r="W76" s="165">
        <v>6.39</v>
      </c>
      <c r="X76" s="165">
        <v>24.46</v>
      </c>
      <c r="Y76" s="165">
        <v>1144</v>
      </c>
      <c r="Z76" s="165">
        <v>156.80000000000001</v>
      </c>
      <c r="AA76" s="165">
        <v>240.5</v>
      </c>
      <c r="AB76" s="165">
        <v>3.77</v>
      </c>
      <c r="AC76" s="165">
        <v>71.06</v>
      </c>
      <c r="AD76" s="165">
        <v>120</v>
      </c>
      <c r="AE76" s="165">
        <v>54.33</v>
      </c>
      <c r="AF76" s="165">
        <v>1</v>
      </c>
      <c r="AG76" s="165">
        <v>1</v>
      </c>
      <c r="AH76" s="166">
        <v>1</v>
      </c>
      <c r="AI76" s="165">
        <v>1</v>
      </c>
      <c r="AJ76" s="165">
        <v>1</v>
      </c>
      <c r="AK76" s="173">
        <v>1</v>
      </c>
      <c r="AL76" s="197" t="s">
        <v>185</v>
      </c>
      <c r="AM76" s="198" t="s">
        <v>185</v>
      </c>
      <c r="AN76" s="198" t="s">
        <v>185</v>
      </c>
      <c r="AO76" s="143"/>
    </row>
    <row r="77" spans="1:41" s="178" customFormat="1" ht="11.25">
      <c r="A77" s="178" t="s">
        <v>463</v>
      </c>
      <c r="B77" s="185" t="s">
        <v>510</v>
      </c>
      <c r="C77" s="165">
        <v>76.2</v>
      </c>
      <c r="D77" s="165">
        <v>180</v>
      </c>
      <c r="E77" s="165">
        <v>166</v>
      </c>
      <c r="F77" s="165">
        <v>14</v>
      </c>
      <c r="G77" s="165">
        <v>23</v>
      </c>
      <c r="H77" s="165">
        <v>15</v>
      </c>
      <c r="I77" s="165">
        <v>97.1</v>
      </c>
      <c r="J77" s="165">
        <v>134</v>
      </c>
      <c r="K77" s="165">
        <v>104</v>
      </c>
      <c r="L77" s="165" t="s">
        <v>222</v>
      </c>
      <c r="M77" s="165">
        <v>86</v>
      </c>
      <c r="N77" s="165">
        <v>90</v>
      </c>
      <c r="O77" s="165">
        <v>0.97</v>
      </c>
      <c r="P77" s="165">
        <v>12.74</v>
      </c>
      <c r="Q77" s="165"/>
      <c r="R77" s="165" t="s">
        <v>510</v>
      </c>
      <c r="S77" s="165">
        <v>76.2</v>
      </c>
      <c r="T77" s="165">
        <v>5098</v>
      </c>
      <c r="U77" s="165">
        <v>566.5</v>
      </c>
      <c r="V77" s="165">
        <v>674.6</v>
      </c>
      <c r="W77" s="165">
        <v>7.25</v>
      </c>
      <c r="X77" s="165">
        <v>30.81</v>
      </c>
      <c r="Y77" s="165">
        <v>1759</v>
      </c>
      <c r="Z77" s="165">
        <v>211.9</v>
      </c>
      <c r="AA77" s="165">
        <v>325.5</v>
      </c>
      <c r="AB77" s="165">
        <v>4.26</v>
      </c>
      <c r="AC77" s="165">
        <v>77.569999999999993</v>
      </c>
      <c r="AD77" s="165">
        <v>162.4</v>
      </c>
      <c r="AE77" s="165">
        <v>108.1</v>
      </c>
      <c r="AF77" s="165">
        <v>1</v>
      </c>
      <c r="AG77" s="165">
        <v>1</v>
      </c>
      <c r="AH77" s="166">
        <v>1</v>
      </c>
      <c r="AI77" s="165">
        <v>1</v>
      </c>
      <c r="AJ77" s="165">
        <v>1</v>
      </c>
      <c r="AK77" s="173">
        <v>1</v>
      </c>
      <c r="AL77" s="197" t="s">
        <v>185</v>
      </c>
      <c r="AM77" s="198" t="s">
        <v>185</v>
      </c>
      <c r="AN77" s="198" t="s">
        <v>185</v>
      </c>
      <c r="AO77" s="143"/>
    </row>
    <row r="78" spans="1:41" s="178" customFormat="1" ht="11.25">
      <c r="A78" s="178" t="s">
        <v>463</v>
      </c>
      <c r="B78" s="185" t="s">
        <v>524</v>
      </c>
      <c r="C78" s="165">
        <v>103</v>
      </c>
      <c r="D78" s="165">
        <v>220</v>
      </c>
      <c r="E78" s="165">
        <v>206</v>
      </c>
      <c r="F78" s="165">
        <v>15</v>
      </c>
      <c r="G78" s="165">
        <v>25</v>
      </c>
      <c r="H78" s="165">
        <v>18</v>
      </c>
      <c r="I78" s="165">
        <v>131.30000000000001</v>
      </c>
      <c r="J78" s="165">
        <v>170</v>
      </c>
      <c r="K78" s="165">
        <v>134</v>
      </c>
      <c r="L78" s="165" t="s">
        <v>164</v>
      </c>
      <c r="M78" s="165">
        <v>106</v>
      </c>
      <c r="N78" s="165">
        <v>106</v>
      </c>
      <c r="O78" s="165">
        <v>1.2030000000000001</v>
      </c>
      <c r="P78" s="165">
        <v>11.67</v>
      </c>
      <c r="Q78" s="165"/>
      <c r="R78" s="165" t="s">
        <v>524</v>
      </c>
      <c r="S78" s="165">
        <v>103</v>
      </c>
      <c r="T78" s="165">
        <v>10640</v>
      </c>
      <c r="U78" s="165">
        <v>967.4</v>
      </c>
      <c r="V78" s="165">
        <v>1135</v>
      </c>
      <c r="W78" s="165">
        <v>9</v>
      </c>
      <c r="X78" s="165">
        <v>41.03</v>
      </c>
      <c r="Y78" s="165">
        <v>3651</v>
      </c>
      <c r="Z78" s="165">
        <v>354.5</v>
      </c>
      <c r="AA78" s="165">
        <v>543.20000000000005</v>
      </c>
      <c r="AB78" s="165">
        <v>5.27</v>
      </c>
      <c r="AC78" s="165">
        <v>86.09</v>
      </c>
      <c r="AD78" s="165">
        <v>259.39999999999998</v>
      </c>
      <c r="AE78" s="165">
        <v>346.3</v>
      </c>
      <c r="AF78" s="165">
        <v>1</v>
      </c>
      <c r="AG78" s="165">
        <v>1</v>
      </c>
      <c r="AH78" s="166">
        <v>1</v>
      </c>
      <c r="AI78" s="165">
        <v>1</v>
      </c>
      <c r="AJ78" s="165">
        <v>1</v>
      </c>
      <c r="AK78" s="173">
        <v>1</v>
      </c>
      <c r="AL78" s="197" t="s">
        <v>185</v>
      </c>
      <c r="AM78" s="198" t="s">
        <v>185</v>
      </c>
      <c r="AN78" s="198" t="s">
        <v>185</v>
      </c>
      <c r="AO78" s="175"/>
    </row>
    <row r="79" spans="1:41" s="178" customFormat="1" ht="11.25">
      <c r="A79" s="178" t="s">
        <v>463</v>
      </c>
      <c r="B79" s="185" t="s">
        <v>537</v>
      </c>
      <c r="C79" s="165">
        <v>117</v>
      </c>
      <c r="D79" s="165">
        <v>240</v>
      </c>
      <c r="E79" s="165">
        <v>226</v>
      </c>
      <c r="F79" s="165">
        <v>15.5</v>
      </c>
      <c r="G79" s="165">
        <v>26</v>
      </c>
      <c r="H79" s="165">
        <v>18</v>
      </c>
      <c r="I79" s="165">
        <v>149.4</v>
      </c>
      <c r="J79" s="165">
        <v>188</v>
      </c>
      <c r="K79" s="165">
        <v>152</v>
      </c>
      <c r="L79" s="165" t="s">
        <v>164</v>
      </c>
      <c r="M79" s="165">
        <v>108</v>
      </c>
      <c r="N79" s="165">
        <v>124</v>
      </c>
      <c r="O79" s="165">
        <v>1.3220000000000001</v>
      </c>
      <c r="P79" s="165">
        <v>11.27</v>
      </c>
      <c r="Q79" s="165"/>
      <c r="R79" s="165" t="s">
        <v>537</v>
      </c>
      <c r="S79" s="165">
        <v>117</v>
      </c>
      <c r="T79" s="165">
        <v>14600</v>
      </c>
      <c r="U79" s="165">
        <v>1217</v>
      </c>
      <c r="V79" s="165">
        <v>1419</v>
      </c>
      <c r="W79" s="165">
        <v>9.89</v>
      </c>
      <c r="X79" s="165">
        <v>45.31</v>
      </c>
      <c r="Y79" s="165">
        <v>5012</v>
      </c>
      <c r="Z79" s="165">
        <v>443.5</v>
      </c>
      <c r="AA79" s="165">
        <v>678.6</v>
      </c>
      <c r="AB79" s="165">
        <v>5.79</v>
      </c>
      <c r="AC79" s="165">
        <v>88.59</v>
      </c>
      <c r="AD79" s="165">
        <v>315.3</v>
      </c>
      <c r="AE79" s="165">
        <v>572.70000000000005</v>
      </c>
      <c r="AF79" s="165">
        <v>1</v>
      </c>
      <c r="AG79" s="165">
        <v>1</v>
      </c>
      <c r="AH79" s="166">
        <v>1</v>
      </c>
      <c r="AI79" s="165">
        <v>1</v>
      </c>
      <c r="AJ79" s="165">
        <v>1</v>
      </c>
      <c r="AK79" s="173">
        <v>1</v>
      </c>
      <c r="AL79" s="197" t="s">
        <v>185</v>
      </c>
      <c r="AM79" s="198" t="s">
        <v>185</v>
      </c>
      <c r="AN79" s="198" t="s">
        <v>185</v>
      </c>
      <c r="AO79" s="175"/>
    </row>
    <row r="80" spans="1:41" s="178" customFormat="1" ht="11.25">
      <c r="A80" s="178" t="s">
        <v>463</v>
      </c>
      <c r="B80" s="185" t="s">
        <v>548</v>
      </c>
      <c r="C80" s="165">
        <v>157</v>
      </c>
      <c r="D80" s="165">
        <v>270</v>
      </c>
      <c r="E80" s="165">
        <v>248</v>
      </c>
      <c r="F80" s="165">
        <v>18</v>
      </c>
      <c r="G80" s="165">
        <v>32</v>
      </c>
      <c r="H80" s="165">
        <v>21</v>
      </c>
      <c r="I80" s="165">
        <v>199.6</v>
      </c>
      <c r="J80" s="165">
        <v>206</v>
      </c>
      <c r="K80" s="165">
        <v>164</v>
      </c>
      <c r="L80" s="165" t="s">
        <v>164</v>
      </c>
      <c r="M80" s="165">
        <v>116</v>
      </c>
      <c r="N80" s="165">
        <v>146</v>
      </c>
      <c r="O80" s="165">
        <v>1.46</v>
      </c>
      <c r="P80" s="165">
        <v>9.3179999999999996</v>
      </c>
      <c r="Q80" s="165"/>
      <c r="R80" s="165" t="s">
        <v>548</v>
      </c>
      <c r="S80" s="165">
        <v>157</v>
      </c>
      <c r="T80" s="165">
        <v>24290</v>
      </c>
      <c r="U80" s="165">
        <v>1799</v>
      </c>
      <c r="V80" s="165">
        <v>2117</v>
      </c>
      <c r="W80" s="165">
        <v>11.03</v>
      </c>
      <c r="X80" s="165">
        <v>60.07</v>
      </c>
      <c r="Y80" s="165">
        <v>8153</v>
      </c>
      <c r="Z80" s="165">
        <v>657.5</v>
      </c>
      <c r="AA80" s="165">
        <v>1006</v>
      </c>
      <c r="AB80" s="165">
        <v>6.39</v>
      </c>
      <c r="AC80" s="165">
        <v>106.6</v>
      </c>
      <c r="AD80" s="165">
        <v>627.9</v>
      </c>
      <c r="AE80" s="165">
        <v>1152</v>
      </c>
      <c r="AF80" s="165">
        <v>1</v>
      </c>
      <c r="AG80" s="165">
        <v>1</v>
      </c>
      <c r="AH80" s="166" t="s">
        <v>123</v>
      </c>
      <c r="AI80" s="165">
        <v>1</v>
      </c>
      <c r="AJ80" s="165">
        <v>1</v>
      </c>
      <c r="AK80" s="173" t="s">
        <v>123</v>
      </c>
      <c r="AL80" s="197" t="s">
        <v>185</v>
      </c>
      <c r="AM80" s="174" t="s">
        <v>185</v>
      </c>
      <c r="AN80" s="174" t="s">
        <v>185</v>
      </c>
      <c r="AO80" s="175"/>
    </row>
    <row r="81" spans="1:42" s="178" customFormat="1" ht="11.25">
      <c r="A81" s="178" t="s">
        <v>463</v>
      </c>
      <c r="B81" s="185" t="s">
        <v>557</v>
      </c>
      <c r="C81" s="165">
        <v>172</v>
      </c>
      <c r="D81" s="165">
        <v>290</v>
      </c>
      <c r="E81" s="165">
        <v>268</v>
      </c>
      <c r="F81" s="165">
        <v>18</v>
      </c>
      <c r="G81" s="165">
        <v>32.5</v>
      </c>
      <c r="H81" s="165">
        <v>24</v>
      </c>
      <c r="I81" s="165">
        <v>219.6</v>
      </c>
      <c r="J81" s="165">
        <v>225</v>
      </c>
      <c r="K81" s="165">
        <v>177</v>
      </c>
      <c r="L81" s="165" t="s">
        <v>164</v>
      </c>
      <c r="M81" s="165">
        <v>122</v>
      </c>
      <c r="N81" s="165">
        <v>166</v>
      </c>
      <c r="O81" s="165">
        <v>1.575</v>
      </c>
      <c r="P81" s="165">
        <v>9.1329999999999991</v>
      </c>
      <c r="Q81" s="165"/>
      <c r="R81" s="165" t="s">
        <v>557</v>
      </c>
      <c r="S81" s="165">
        <v>172</v>
      </c>
      <c r="T81" s="165">
        <v>31310</v>
      </c>
      <c r="U81" s="165">
        <v>2159</v>
      </c>
      <c r="V81" s="165">
        <v>2524</v>
      </c>
      <c r="W81" s="165">
        <v>11.94</v>
      </c>
      <c r="X81" s="165">
        <v>66.89</v>
      </c>
      <c r="Y81" s="165">
        <v>10450</v>
      </c>
      <c r="Z81" s="165">
        <v>779.7</v>
      </c>
      <c r="AA81" s="165">
        <v>1192</v>
      </c>
      <c r="AB81" s="165">
        <v>6.9</v>
      </c>
      <c r="AC81" s="165">
        <v>111.1</v>
      </c>
      <c r="AD81" s="165">
        <v>719</v>
      </c>
      <c r="AE81" s="165">
        <v>1728</v>
      </c>
      <c r="AF81" s="165">
        <v>1</v>
      </c>
      <c r="AG81" s="165">
        <v>1</v>
      </c>
      <c r="AH81" s="166">
        <v>1</v>
      </c>
      <c r="AI81" s="165">
        <v>1</v>
      </c>
      <c r="AJ81" s="165">
        <v>1</v>
      </c>
      <c r="AK81" s="173">
        <v>1</v>
      </c>
      <c r="AL81" s="197" t="s">
        <v>185</v>
      </c>
      <c r="AM81" s="174" t="s">
        <v>308</v>
      </c>
      <c r="AN81" s="174" t="s">
        <v>308</v>
      </c>
      <c r="AO81" s="175"/>
    </row>
    <row r="82" spans="1:42" s="178" customFormat="1" ht="11.25">
      <c r="A82" s="178" t="s">
        <v>463</v>
      </c>
      <c r="B82" s="185" t="s">
        <v>567</v>
      </c>
      <c r="C82" s="165">
        <v>189</v>
      </c>
      <c r="D82" s="165">
        <v>310</v>
      </c>
      <c r="E82" s="165">
        <v>288</v>
      </c>
      <c r="F82" s="165">
        <v>18.5</v>
      </c>
      <c r="G82" s="165">
        <v>33</v>
      </c>
      <c r="H82" s="165">
        <v>24</v>
      </c>
      <c r="I82" s="165">
        <v>240.2</v>
      </c>
      <c r="J82" s="165">
        <v>244</v>
      </c>
      <c r="K82" s="165">
        <v>196</v>
      </c>
      <c r="L82" s="165" t="s">
        <v>164</v>
      </c>
      <c r="M82" s="165">
        <v>122</v>
      </c>
      <c r="N82" s="165">
        <v>186</v>
      </c>
      <c r="O82" s="165">
        <v>1.694</v>
      </c>
      <c r="P82" s="165">
        <v>8.984</v>
      </c>
      <c r="Q82" s="165"/>
      <c r="R82" s="165" t="s">
        <v>567</v>
      </c>
      <c r="S82" s="165">
        <v>189</v>
      </c>
      <c r="T82" s="165">
        <v>39550</v>
      </c>
      <c r="U82" s="165">
        <v>2551</v>
      </c>
      <c r="V82" s="165">
        <v>2966</v>
      </c>
      <c r="W82" s="165">
        <v>12.83</v>
      </c>
      <c r="X82" s="165">
        <v>72.03</v>
      </c>
      <c r="Y82" s="165">
        <v>13160</v>
      </c>
      <c r="Z82" s="165">
        <v>914.1</v>
      </c>
      <c r="AA82" s="165">
        <v>1397</v>
      </c>
      <c r="AB82" s="165">
        <v>7.4</v>
      </c>
      <c r="AC82" s="165">
        <v>112.6</v>
      </c>
      <c r="AD82" s="165">
        <v>807.3</v>
      </c>
      <c r="AE82" s="165">
        <v>2520</v>
      </c>
      <c r="AF82" s="165">
        <v>1</v>
      </c>
      <c r="AG82" s="165">
        <v>1</v>
      </c>
      <c r="AH82" s="166">
        <v>1</v>
      </c>
      <c r="AI82" s="165">
        <v>1</v>
      </c>
      <c r="AJ82" s="165">
        <v>1</v>
      </c>
      <c r="AK82" s="173">
        <v>1</v>
      </c>
      <c r="AL82" s="197" t="s">
        <v>185</v>
      </c>
      <c r="AM82" s="174" t="s">
        <v>308</v>
      </c>
      <c r="AN82" s="174" t="s">
        <v>308</v>
      </c>
      <c r="AO82" s="175"/>
    </row>
    <row r="83" spans="1:42" s="178" customFormat="1" ht="11.25">
      <c r="A83" s="178" t="s">
        <v>463</v>
      </c>
      <c r="B83" s="185" t="s">
        <v>575</v>
      </c>
      <c r="C83" s="165">
        <v>238</v>
      </c>
      <c r="D83" s="165">
        <v>340</v>
      </c>
      <c r="E83" s="165">
        <v>310</v>
      </c>
      <c r="F83" s="165">
        <v>21</v>
      </c>
      <c r="G83" s="165">
        <v>39</v>
      </c>
      <c r="H83" s="165">
        <v>27</v>
      </c>
      <c r="I83" s="165">
        <v>303.10000000000002</v>
      </c>
      <c r="J83" s="165">
        <v>262</v>
      </c>
      <c r="K83" s="165">
        <v>208</v>
      </c>
      <c r="L83" s="165" t="s">
        <v>164</v>
      </c>
      <c r="M83" s="165">
        <v>132</v>
      </c>
      <c r="N83" s="165">
        <v>208</v>
      </c>
      <c r="O83" s="165">
        <v>1.8320000000000001</v>
      </c>
      <c r="P83" s="165">
        <v>7.6989999999999998</v>
      </c>
      <c r="Q83" s="165"/>
      <c r="R83" s="165" t="s">
        <v>575</v>
      </c>
      <c r="S83" s="165">
        <v>238</v>
      </c>
      <c r="T83" s="165">
        <v>59200</v>
      </c>
      <c r="U83" s="165">
        <v>3482</v>
      </c>
      <c r="V83" s="165">
        <v>4078</v>
      </c>
      <c r="W83" s="165">
        <v>13.98</v>
      </c>
      <c r="X83" s="165">
        <v>90.53</v>
      </c>
      <c r="Y83" s="165">
        <v>19400</v>
      </c>
      <c r="Z83" s="165">
        <v>1252</v>
      </c>
      <c r="AA83" s="165">
        <v>1913</v>
      </c>
      <c r="AB83" s="165">
        <v>8</v>
      </c>
      <c r="AC83" s="165">
        <v>130.6</v>
      </c>
      <c r="AD83" s="165">
        <v>1408</v>
      </c>
      <c r="AE83" s="165">
        <v>4386</v>
      </c>
      <c r="AF83" s="165">
        <v>1</v>
      </c>
      <c r="AG83" s="165">
        <v>1</v>
      </c>
      <c r="AH83" s="166">
        <v>1</v>
      </c>
      <c r="AI83" s="165">
        <v>1</v>
      </c>
      <c r="AJ83" s="165">
        <v>1</v>
      </c>
      <c r="AK83" s="173">
        <v>1</v>
      </c>
      <c r="AL83" s="197" t="s">
        <v>185</v>
      </c>
      <c r="AM83" s="174" t="s">
        <v>308</v>
      </c>
      <c r="AN83" s="174" t="s">
        <v>308</v>
      </c>
      <c r="AO83" s="175"/>
    </row>
    <row r="84" spans="1:42" s="178" customFormat="1" ht="11.25">
      <c r="A84" s="178" t="s">
        <v>463</v>
      </c>
      <c r="B84" s="185" t="s">
        <v>582</v>
      </c>
      <c r="C84" s="165">
        <v>245</v>
      </c>
      <c r="D84" s="165">
        <v>359</v>
      </c>
      <c r="E84" s="165">
        <v>309</v>
      </c>
      <c r="F84" s="165">
        <v>21</v>
      </c>
      <c r="G84" s="165">
        <v>40</v>
      </c>
      <c r="H84" s="165">
        <v>27</v>
      </c>
      <c r="I84" s="165">
        <v>312</v>
      </c>
      <c r="J84" s="165">
        <v>279</v>
      </c>
      <c r="K84" s="165">
        <v>225</v>
      </c>
      <c r="L84" s="165" t="s">
        <v>164</v>
      </c>
      <c r="M84" s="165">
        <v>132</v>
      </c>
      <c r="N84" s="165">
        <v>204</v>
      </c>
      <c r="O84" s="165">
        <v>1.8660000000000001</v>
      </c>
      <c r="P84" s="165">
        <v>7.6159999999999997</v>
      </c>
      <c r="Q84" s="165"/>
      <c r="R84" s="165" t="s">
        <v>582</v>
      </c>
      <c r="S84" s="165">
        <v>245</v>
      </c>
      <c r="T84" s="165">
        <v>68130</v>
      </c>
      <c r="U84" s="165">
        <v>3796</v>
      </c>
      <c r="V84" s="165">
        <v>4435</v>
      </c>
      <c r="W84" s="165">
        <v>14.78</v>
      </c>
      <c r="X84" s="165">
        <v>94.85</v>
      </c>
      <c r="Y84" s="165">
        <v>19710</v>
      </c>
      <c r="Z84" s="165">
        <v>1276</v>
      </c>
      <c r="AA84" s="165">
        <v>1951</v>
      </c>
      <c r="AB84" s="165">
        <v>7.95</v>
      </c>
      <c r="AC84" s="165">
        <v>132.6</v>
      </c>
      <c r="AD84" s="165">
        <v>1501</v>
      </c>
      <c r="AE84" s="165">
        <v>5004</v>
      </c>
      <c r="AF84" s="165">
        <v>1</v>
      </c>
      <c r="AG84" s="165">
        <v>1</v>
      </c>
      <c r="AH84" s="166">
        <v>1</v>
      </c>
      <c r="AI84" s="165">
        <v>1</v>
      </c>
      <c r="AJ84" s="165">
        <v>1</v>
      </c>
      <c r="AK84" s="173">
        <v>1</v>
      </c>
      <c r="AL84" s="197" t="s">
        <v>185</v>
      </c>
      <c r="AM84" s="174" t="s">
        <v>308</v>
      </c>
      <c r="AN84" s="174" t="s">
        <v>308</v>
      </c>
      <c r="AO84" s="175"/>
    </row>
    <row r="85" spans="1:42" s="178" customFormat="1" ht="11.25">
      <c r="A85" s="178" t="s">
        <v>463</v>
      </c>
      <c r="B85" s="185" t="s">
        <v>590</v>
      </c>
      <c r="C85" s="165">
        <v>248</v>
      </c>
      <c r="D85" s="165">
        <v>377</v>
      </c>
      <c r="E85" s="165">
        <v>309</v>
      </c>
      <c r="F85" s="165">
        <v>21</v>
      </c>
      <c r="G85" s="165">
        <v>40</v>
      </c>
      <c r="H85" s="165">
        <v>27</v>
      </c>
      <c r="I85" s="165">
        <v>315.8</v>
      </c>
      <c r="J85" s="165">
        <v>297</v>
      </c>
      <c r="K85" s="165">
        <v>243</v>
      </c>
      <c r="L85" s="165" t="s">
        <v>164</v>
      </c>
      <c r="M85" s="165">
        <v>132</v>
      </c>
      <c r="N85" s="165">
        <v>204</v>
      </c>
      <c r="O85" s="165">
        <v>1.9019999999999999</v>
      </c>
      <c r="P85" s="165">
        <v>7.67</v>
      </c>
      <c r="Q85" s="165"/>
      <c r="R85" s="165" t="s">
        <v>590</v>
      </c>
      <c r="S85" s="165">
        <v>248</v>
      </c>
      <c r="T85" s="165">
        <v>76370</v>
      </c>
      <c r="U85" s="165">
        <v>4052</v>
      </c>
      <c r="V85" s="165">
        <v>4718</v>
      </c>
      <c r="W85" s="165">
        <v>15.55</v>
      </c>
      <c r="X85" s="165">
        <v>98.63</v>
      </c>
      <c r="Y85" s="165">
        <v>19710</v>
      </c>
      <c r="Z85" s="165">
        <v>1276</v>
      </c>
      <c r="AA85" s="165">
        <v>1953</v>
      </c>
      <c r="AB85" s="165">
        <v>7.9</v>
      </c>
      <c r="AC85" s="165">
        <v>132.6</v>
      </c>
      <c r="AD85" s="165">
        <v>1506</v>
      </c>
      <c r="AE85" s="165">
        <v>5584</v>
      </c>
      <c r="AF85" s="165">
        <v>1</v>
      </c>
      <c r="AG85" s="165">
        <v>1</v>
      </c>
      <c r="AH85" s="166">
        <v>1</v>
      </c>
      <c r="AI85" s="165">
        <v>1</v>
      </c>
      <c r="AJ85" s="165">
        <v>1</v>
      </c>
      <c r="AK85" s="173">
        <v>1</v>
      </c>
      <c r="AL85" s="197" t="s">
        <v>185</v>
      </c>
      <c r="AM85" s="174" t="s">
        <v>308</v>
      </c>
      <c r="AN85" s="174" t="s">
        <v>308</v>
      </c>
      <c r="AO85" s="175"/>
      <c r="AP85" s="206"/>
    </row>
    <row r="86" spans="1:42" s="178" customFormat="1" ht="11.25">
      <c r="A86" s="178" t="s">
        <v>463</v>
      </c>
      <c r="B86" s="185" t="s">
        <v>597</v>
      </c>
      <c r="C86" s="165">
        <v>250</v>
      </c>
      <c r="D86" s="165">
        <v>395</v>
      </c>
      <c r="E86" s="165">
        <v>308</v>
      </c>
      <c r="F86" s="165">
        <v>21</v>
      </c>
      <c r="G86" s="165">
        <v>40</v>
      </c>
      <c r="H86" s="165">
        <v>27</v>
      </c>
      <c r="I86" s="165">
        <v>318.8</v>
      </c>
      <c r="J86" s="165">
        <v>315</v>
      </c>
      <c r="K86" s="165">
        <v>261</v>
      </c>
      <c r="L86" s="165" t="s">
        <v>164</v>
      </c>
      <c r="M86" s="165">
        <v>132</v>
      </c>
      <c r="N86" s="165">
        <v>204</v>
      </c>
      <c r="O86" s="165">
        <v>1.9339999999999999</v>
      </c>
      <c r="P86" s="165">
        <v>7.73</v>
      </c>
      <c r="Q86" s="165"/>
      <c r="R86" s="165" t="s">
        <v>597</v>
      </c>
      <c r="S86" s="165">
        <v>250</v>
      </c>
      <c r="T86" s="165">
        <v>84870</v>
      </c>
      <c r="U86" s="165">
        <v>4297</v>
      </c>
      <c r="V86" s="165">
        <v>4989</v>
      </c>
      <c r="W86" s="165">
        <v>16.32</v>
      </c>
      <c r="X86" s="165">
        <v>102.4</v>
      </c>
      <c r="Y86" s="165">
        <v>19520</v>
      </c>
      <c r="Z86" s="165">
        <v>1268</v>
      </c>
      <c r="AA86" s="165">
        <v>1942</v>
      </c>
      <c r="AB86" s="165">
        <v>7.83</v>
      </c>
      <c r="AC86" s="165">
        <v>132.6</v>
      </c>
      <c r="AD86" s="165">
        <v>1507</v>
      </c>
      <c r="AE86" s="165">
        <v>6137</v>
      </c>
      <c r="AF86" s="165">
        <v>1</v>
      </c>
      <c r="AG86" s="165">
        <v>1</v>
      </c>
      <c r="AH86" s="166">
        <v>1</v>
      </c>
      <c r="AI86" s="165">
        <v>1</v>
      </c>
      <c r="AJ86" s="165">
        <v>1</v>
      </c>
      <c r="AK86" s="173">
        <v>1</v>
      </c>
      <c r="AL86" s="197" t="s">
        <v>185</v>
      </c>
      <c r="AM86" s="174" t="s">
        <v>308</v>
      </c>
      <c r="AN86" s="174" t="s">
        <v>308</v>
      </c>
      <c r="AO86" s="175"/>
      <c r="AP86" s="207" t="s">
        <v>604</v>
      </c>
    </row>
    <row r="87" spans="1:42" s="178" customFormat="1" ht="11.25">
      <c r="A87" s="178" t="s">
        <v>463</v>
      </c>
      <c r="B87" s="185" t="s">
        <v>605</v>
      </c>
      <c r="C87" s="165">
        <v>256</v>
      </c>
      <c r="D87" s="165">
        <v>432</v>
      </c>
      <c r="E87" s="165">
        <v>307</v>
      </c>
      <c r="F87" s="165">
        <v>21</v>
      </c>
      <c r="G87" s="165">
        <v>40</v>
      </c>
      <c r="H87" s="165">
        <v>27</v>
      </c>
      <c r="I87" s="165">
        <v>325.8</v>
      </c>
      <c r="J87" s="165">
        <v>352</v>
      </c>
      <c r="K87" s="165">
        <v>298</v>
      </c>
      <c r="L87" s="165" t="s">
        <v>164</v>
      </c>
      <c r="M87" s="165">
        <v>132</v>
      </c>
      <c r="N87" s="165">
        <v>202</v>
      </c>
      <c r="O87" s="165">
        <v>2.004</v>
      </c>
      <c r="P87" s="165">
        <v>7.835</v>
      </c>
      <c r="Q87" s="165"/>
      <c r="R87" s="165" t="s">
        <v>605</v>
      </c>
      <c r="S87" s="165">
        <v>256</v>
      </c>
      <c r="T87" s="165">
        <v>104100</v>
      </c>
      <c r="U87" s="165">
        <v>4820</v>
      </c>
      <c r="V87" s="165">
        <v>5571</v>
      </c>
      <c r="W87" s="165">
        <v>17.88</v>
      </c>
      <c r="X87" s="165">
        <v>110.2</v>
      </c>
      <c r="Y87" s="165">
        <v>19340</v>
      </c>
      <c r="Z87" s="165">
        <v>1260</v>
      </c>
      <c r="AA87" s="165">
        <v>1934</v>
      </c>
      <c r="AB87" s="165">
        <v>7.7</v>
      </c>
      <c r="AC87" s="165">
        <v>132.6</v>
      </c>
      <c r="AD87" s="165">
        <v>1515</v>
      </c>
      <c r="AE87" s="165">
        <v>7410</v>
      </c>
      <c r="AF87" s="165">
        <v>1</v>
      </c>
      <c r="AG87" s="165">
        <v>1</v>
      </c>
      <c r="AH87" s="166">
        <v>1</v>
      </c>
      <c r="AI87" s="165">
        <v>1</v>
      </c>
      <c r="AJ87" s="165">
        <v>1</v>
      </c>
      <c r="AK87" s="173">
        <v>1</v>
      </c>
      <c r="AL87" s="197" t="s">
        <v>185</v>
      </c>
      <c r="AM87" s="174" t="s">
        <v>308</v>
      </c>
      <c r="AN87" s="174" t="s">
        <v>308</v>
      </c>
      <c r="AO87" s="175"/>
    </row>
    <row r="88" spans="1:42" s="178" customFormat="1" ht="11.25">
      <c r="A88" s="178" t="s">
        <v>463</v>
      </c>
      <c r="B88" s="185" t="s">
        <v>612</v>
      </c>
      <c r="C88" s="165">
        <v>263</v>
      </c>
      <c r="D88" s="165">
        <v>478</v>
      </c>
      <c r="E88" s="165">
        <v>307</v>
      </c>
      <c r="F88" s="165">
        <v>21</v>
      </c>
      <c r="G88" s="165">
        <v>40</v>
      </c>
      <c r="H88" s="165">
        <v>27</v>
      </c>
      <c r="I88" s="165">
        <v>335.4</v>
      </c>
      <c r="J88" s="165">
        <v>398</v>
      </c>
      <c r="K88" s="165">
        <v>344</v>
      </c>
      <c r="L88" s="165" t="s">
        <v>164</v>
      </c>
      <c r="M88" s="165">
        <v>132</v>
      </c>
      <c r="N88" s="165">
        <v>202</v>
      </c>
      <c r="O88" s="165">
        <v>2.0960000000000001</v>
      </c>
      <c r="P88" s="165">
        <v>7.9589999999999996</v>
      </c>
      <c r="Q88" s="165"/>
      <c r="R88" s="165" t="s">
        <v>612</v>
      </c>
      <c r="S88" s="165">
        <v>263</v>
      </c>
      <c r="T88" s="165">
        <v>131500</v>
      </c>
      <c r="U88" s="165">
        <v>5501</v>
      </c>
      <c r="V88" s="165">
        <v>6331</v>
      </c>
      <c r="W88" s="165">
        <v>19.8</v>
      </c>
      <c r="X88" s="165">
        <v>119.8</v>
      </c>
      <c r="Y88" s="165">
        <v>19340</v>
      </c>
      <c r="Z88" s="165">
        <v>1260</v>
      </c>
      <c r="AA88" s="165">
        <v>1939</v>
      </c>
      <c r="AB88" s="165">
        <v>7.59</v>
      </c>
      <c r="AC88" s="165">
        <v>132.6</v>
      </c>
      <c r="AD88" s="165">
        <v>1529</v>
      </c>
      <c r="AE88" s="165">
        <v>9251</v>
      </c>
      <c r="AF88" s="165">
        <v>1</v>
      </c>
      <c r="AG88" s="165">
        <v>1</v>
      </c>
      <c r="AH88" s="166">
        <v>1</v>
      </c>
      <c r="AI88" s="165">
        <v>1</v>
      </c>
      <c r="AJ88" s="165">
        <v>1</v>
      </c>
      <c r="AK88" s="173">
        <v>1</v>
      </c>
      <c r="AL88" s="197" t="s">
        <v>185</v>
      </c>
      <c r="AM88" s="174" t="s">
        <v>308</v>
      </c>
      <c r="AN88" s="174" t="s">
        <v>308</v>
      </c>
      <c r="AO88" s="175"/>
    </row>
    <row r="89" spans="1:42" s="178" customFormat="1" ht="11.25">
      <c r="A89" s="178" t="s">
        <v>463</v>
      </c>
      <c r="B89" s="185" t="s">
        <v>618</v>
      </c>
      <c r="C89" s="165">
        <v>270</v>
      </c>
      <c r="D89" s="165">
        <v>524</v>
      </c>
      <c r="E89" s="165">
        <v>306</v>
      </c>
      <c r="F89" s="165">
        <v>21</v>
      </c>
      <c r="G89" s="165">
        <v>40</v>
      </c>
      <c r="H89" s="165">
        <v>27</v>
      </c>
      <c r="I89" s="165">
        <v>344.3</v>
      </c>
      <c r="J89" s="165">
        <v>444</v>
      </c>
      <c r="K89" s="165">
        <v>390</v>
      </c>
      <c r="L89" s="165" t="s">
        <v>164</v>
      </c>
      <c r="M89" s="165">
        <v>132</v>
      </c>
      <c r="N89" s="165">
        <v>202</v>
      </c>
      <c r="O89" s="165">
        <v>2.1840000000000002</v>
      </c>
      <c r="P89" s="165">
        <v>8.0790000000000006</v>
      </c>
      <c r="Q89" s="165"/>
      <c r="R89" s="165" t="s">
        <v>618</v>
      </c>
      <c r="S89" s="165">
        <v>270</v>
      </c>
      <c r="T89" s="165">
        <v>161900</v>
      </c>
      <c r="U89" s="165">
        <v>6180</v>
      </c>
      <c r="V89" s="165">
        <v>7094</v>
      </c>
      <c r="W89" s="165">
        <v>21.69</v>
      </c>
      <c r="X89" s="165">
        <v>129.5</v>
      </c>
      <c r="Y89" s="165">
        <v>19150</v>
      </c>
      <c r="Z89" s="165">
        <v>1252</v>
      </c>
      <c r="AA89" s="165">
        <v>1932</v>
      </c>
      <c r="AB89" s="165">
        <v>7.46</v>
      </c>
      <c r="AC89" s="165">
        <v>132.6</v>
      </c>
      <c r="AD89" s="165">
        <v>1539</v>
      </c>
      <c r="AE89" s="165">
        <v>11190</v>
      </c>
      <c r="AF89" s="165">
        <v>1</v>
      </c>
      <c r="AG89" s="165">
        <v>1</v>
      </c>
      <c r="AH89" s="166">
        <v>1</v>
      </c>
      <c r="AI89" s="165">
        <v>1</v>
      </c>
      <c r="AJ89" s="165">
        <v>1</v>
      </c>
      <c r="AK89" s="173">
        <v>1</v>
      </c>
      <c r="AL89" s="197" t="s">
        <v>185</v>
      </c>
      <c r="AM89" s="174" t="s">
        <v>308</v>
      </c>
      <c r="AN89" s="174" t="s">
        <v>308</v>
      </c>
      <c r="AO89" s="175"/>
    </row>
    <row r="90" spans="1:42" s="178" customFormat="1" ht="11.25">
      <c r="A90" s="178" t="s">
        <v>463</v>
      </c>
      <c r="B90" s="185" t="s">
        <v>625</v>
      </c>
      <c r="C90" s="165">
        <v>278</v>
      </c>
      <c r="D90" s="165">
        <v>572</v>
      </c>
      <c r="E90" s="165">
        <v>306</v>
      </c>
      <c r="F90" s="165">
        <v>21</v>
      </c>
      <c r="G90" s="165">
        <v>40</v>
      </c>
      <c r="H90" s="165">
        <v>27</v>
      </c>
      <c r="I90" s="165">
        <v>354.4</v>
      </c>
      <c r="J90" s="165">
        <v>492</v>
      </c>
      <c r="K90" s="165">
        <v>438</v>
      </c>
      <c r="L90" s="165" t="s">
        <v>164</v>
      </c>
      <c r="M90" s="165">
        <v>132</v>
      </c>
      <c r="N90" s="165">
        <v>202</v>
      </c>
      <c r="O90" s="165">
        <v>2.2799999999999998</v>
      </c>
      <c r="P90" s="165">
        <v>8.1950000000000003</v>
      </c>
      <c r="Q90" s="165"/>
      <c r="R90" s="165" t="s">
        <v>625</v>
      </c>
      <c r="S90" s="165">
        <v>278</v>
      </c>
      <c r="T90" s="165">
        <v>198000</v>
      </c>
      <c r="U90" s="165">
        <v>6923</v>
      </c>
      <c r="V90" s="165">
        <v>7933</v>
      </c>
      <c r="W90" s="165">
        <v>23.64</v>
      </c>
      <c r="X90" s="165">
        <v>139.6</v>
      </c>
      <c r="Y90" s="165">
        <v>19160</v>
      </c>
      <c r="Z90" s="165">
        <v>1252</v>
      </c>
      <c r="AA90" s="165">
        <v>1937</v>
      </c>
      <c r="AB90" s="165">
        <v>7.35</v>
      </c>
      <c r="AC90" s="165">
        <v>132.6</v>
      </c>
      <c r="AD90" s="165">
        <v>1554</v>
      </c>
      <c r="AE90" s="165">
        <v>13520</v>
      </c>
      <c r="AF90" s="165">
        <v>1</v>
      </c>
      <c r="AG90" s="165">
        <v>1</v>
      </c>
      <c r="AH90" s="166">
        <v>1</v>
      </c>
      <c r="AI90" s="165">
        <v>1</v>
      </c>
      <c r="AJ90" s="165">
        <v>1</v>
      </c>
      <c r="AK90" s="173">
        <v>1</v>
      </c>
      <c r="AL90" s="197" t="s">
        <v>185</v>
      </c>
      <c r="AM90" s="174" t="s">
        <v>308</v>
      </c>
      <c r="AN90" s="174" t="s">
        <v>308</v>
      </c>
      <c r="AO90" s="175"/>
    </row>
    <row r="91" spans="1:42" s="178" customFormat="1" ht="11.25">
      <c r="A91" s="178" t="s">
        <v>463</v>
      </c>
      <c r="B91" s="164" t="s">
        <v>632</v>
      </c>
      <c r="C91" s="165">
        <v>285</v>
      </c>
      <c r="D91" s="165">
        <v>620</v>
      </c>
      <c r="E91" s="165">
        <v>305</v>
      </c>
      <c r="F91" s="165">
        <v>21</v>
      </c>
      <c r="G91" s="165">
        <v>40</v>
      </c>
      <c r="H91" s="165">
        <v>27</v>
      </c>
      <c r="I91" s="165">
        <v>363.7</v>
      </c>
      <c r="J91" s="165">
        <v>540</v>
      </c>
      <c r="K91" s="165">
        <v>486</v>
      </c>
      <c r="L91" s="165" t="s">
        <v>164</v>
      </c>
      <c r="M91" s="165">
        <v>132</v>
      </c>
      <c r="N91" s="165">
        <v>200</v>
      </c>
      <c r="O91" s="165">
        <v>2.3719999999999999</v>
      </c>
      <c r="P91" s="165">
        <v>8.3079999999999998</v>
      </c>
      <c r="Q91" s="165"/>
      <c r="R91" s="165" t="s">
        <v>632</v>
      </c>
      <c r="S91" s="165">
        <v>285</v>
      </c>
      <c r="T91" s="165">
        <v>237400</v>
      </c>
      <c r="U91" s="165">
        <v>7660</v>
      </c>
      <c r="V91" s="165">
        <v>8772</v>
      </c>
      <c r="W91" s="165">
        <v>25.55</v>
      </c>
      <c r="X91" s="165">
        <v>149.69999999999999</v>
      </c>
      <c r="Y91" s="165">
        <v>18980</v>
      </c>
      <c r="Z91" s="165">
        <v>1244</v>
      </c>
      <c r="AA91" s="165">
        <v>1930</v>
      </c>
      <c r="AB91" s="165">
        <v>7.22</v>
      </c>
      <c r="AC91" s="165">
        <v>132.6</v>
      </c>
      <c r="AD91" s="165">
        <v>1564</v>
      </c>
      <c r="AE91" s="165">
        <v>15910</v>
      </c>
      <c r="AF91" s="165">
        <v>1</v>
      </c>
      <c r="AG91" s="165">
        <v>1</v>
      </c>
      <c r="AH91" s="166">
        <v>1</v>
      </c>
      <c r="AI91" s="165">
        <v>1</v>
      </c>
      <c r="AJ91" s="165">
        <v>1</v>
      </c>
      <c r="AK91" s="173">
        <v>1</v>
      </c>
      <c r="AL91" s="197" t="s">
        <v>185</v>
      </c>
      <c r="AM91" s="174" t="s">
        <v>308</v>
      </c>
      <c r="AN91" s="174" t="s">
        <v>308</v>
      </c>
      <c r="AO91" s="175"/>
    </row>
    <row r="92" spans="1:42" s="178" customFormat="1" ht="11.25">
      <c r="A92" s="178" t="s">
        <v>463</v>
      </c>
      <c r="B92" s="164" t="s">
        <v>639</v>
      </c>
      <c r="C92" s="165">
        <v>293</v>
      </c>
      <c r="D92" s="165">
        <v>668</v>
      </c>
      <c r="E92" s="165">
        <v>305</v>
      </c>
      <c r="F92" s="165">
        <v>21</v>
      </c>
      <c r="G92" s="165">
        <v>40</v>
      </c>
      <c r="H92" s="165">
        <v>27</v>
      </c>
      <c r="I92" s="165">
        <v>373.7</v>
      </c>
      <c r="J92" s="165">
        <v>588</v>
      </c>
      <c r="K92" s="165">
        <v>534</v>
      </c>
      <c r="L92" s="165" t="s">
        <v>164</v>
      </c>
      <c r="M92" s="165">
        <v>132</v>
      </c>
      <c r="N92" s="165">
        <v>200</v>
      </c>
      <c r="O92" s="165">
        <v>2.468</v>
      </c>
      <c r="P92" s="165">
        <v>8.4109999999999996</v>
      </c>
      <c r="Q92" s="165"/>
      <c r="R92" s="165" t="s">
        <v>639</v>
      </c>
      <c r="S92" s="165">
        <v>293</v>
      </c>
      <c r="T92" s="165">
        <v>281700</v>
      </c>
      <c r="U92" s="165">
        <v>8433</v>
      </c>
      <c r="V92" s="165">
        <v>9657</v>
      </c>
      <c r="W92" s="165">
        <v>27.45</v>
      </c>
      <c r="X92" s="165">
        <v>159.69999999999999</v>
      </c>
      <c r="Y92" s="165">
        <v>18980</v>
      </c>
      <c r="Z92" s="165">
        <v>1245</v>
      </c>
      <c r="AA92" s="165">
        <v>1936</v>
      </c>
      <c r="AB92" s="165">
        <v>7.13</v>
      </c>
      <c r="AC92" s="165">
        <v>132.6</v>
      </c>
      <c r="AD92" s="165">
        <v>1579</v>
      </c>
      <c r="AE92" s="165">
        <v>18650</v>
      </c>
      <c r="AF92" s="165">
        <v>1</v>
      </c>
      <c r="AG92" s="165">
        <v>1</v>
      </c>
      <c r="AH92" s="166">
        <v>1</v>
      </c>
      <c r="AI92" s="165">
        <v>1</v>
      </c>
      <c r="AJ92" s="165">
        <v>1</v>
      </c>
      <c r="AK92" s="173">
        <v>2</v>
      </c>
      <c r="AL92" s="197" t="s">
        <v>185</v>
      </c>
      <c r="AM92" s="174" t="s">
        <v>308</v>
      </c>
      <c r="AN92" s="174" t="s">
        <v>308</v>
      </c>
      <c r="AO92" s="175"/>
    </row>
    <row r="93" spans="1:42" s="178" customFormat="1" ht="11.25">
      <c r="A93" s="178" t="s">
        <v>463</v>
      </c>
      <c r="B93" s="185" t="s">
        <v>646</v>
      </c>
      <c r="C93" s="165">
        <v>301</v>
      </c>
      <c r="D93" s="165">
        <v>716</v>
      </c>
      <c r="E93" s="165">
        <v>304</v>
      </c>
      <c r="F93" s="165">
        <v>21</v>
      </c>
      <c r="G93" s="165">
        <v>40</v>
      </c>
      <c r="H93" s="165">
        <v>27</v>
      </c>
      <c r="I93" s="165">
        <v>383</v>
      </c>
      <c r="J93" s="165">
        <v>636</v>
      </c>
      <c r="K93" s="165">
        <v>582</v>
      </c>
      <c r="L93" s="165" t="s">
        <v>164</v>
      </c>
      <c r="M93" s="165">
        <v>132</v>
      </c>
      <c r="N93" s="165">
        <v>200</v>
      </c>
      <c r="O93" s="165">
        <v>2.56</v>
      </c>
      <c r="P93" s="165">
        <v>8.5129999999999999</v>
      </c>
      <c r="Q93" s="165"/>
      <c r="R93" s="165" t="s">
        <v>646</v>
      </c>
      <c r="S93" s="165">
        <v>301</v>
      </c>
      <c r="T93" s="165">
        <v>329300</v>
      </c>
      <c r="U93" s="165">
        <v>9198</v>
      </c>
      <c r="V93" s="165">
        <v>10540</v>
      </c>
      <c r="W93" s="165">
        <v>29.32</v>
      </c>
      <c r="X93" s="165">
        <v>169.8</v>
      </c>
      <c r="Y93" s="165">
        <v>18800</v>
      </c>
      <c r="Z93" s="165">
        <v>1237</v>
      </c>
      <c r="AA93" s="165">
        <v>1929</v>
      </c>
      <c r="AB93" s="165">
        <v>7.01</v>
      </c>
      <c r="AC93" s="165">
        <v>132.6</v>
      </c>
      <c r="AD93" s="165">
        <v>1589</v>
      </c>
      <c r="AE93" s="165">
        <v>21400</v>
      </c>
      <c r="AF93" s="165">
        <v>1</v>
      </c>
      <c r="AG93" s="165">
        <v>1</v>
      </c>
      <c r="AH93" s="166">
        <v>1</v>
      </c>
      <c r="AI93" s="165">
        <v>1</v>
      </c>
      <c r="AJ93" s="165">
        <v>2</v>
      </c>
      <c r="AK93" s="173">
        <v>3</v>
      </c>
      <c r="AL93" s="197" t="s">
        <v>185</v>
      </c>
      <c r="AM93" s="174" t="s">
        <v>308</v>
      </c>
      <c r="AN93" s="174" t="s">
        <v>308</v>
      </c>
      <c r="AO93" s="175"/>
    </row>
    <row r="94" spans="1:42" s="178" customFormat="1" ht="11.25">
      <c r="A94" s="178" t="s">
        <v>463</v>
      </c>
      <c r="B94" s="164" t="s">
        <v>653</v>
      </c>
      <c r="C94" s="165">
        <v>317</v>
      </c>
      <c r="D94" s="165">
        <v>814</v>
      </c>
      <c r="E94" s="165">
        <v>303</v>
      </c>
      <c r="F94" s="165">
        <v>21</v>
      </c>
      <c r="G94" s="165">
        <v>40</v>
      </c>
      <c r="H94" s="165">
        <v>30</v>
      </c>
      <c r="I94" s="165">
        <v>404.3</v>
      </c>
      <c r="J94" s="165">
        <v>734</v>
      </c>
      <c r="K94" s="165">
        <v>674</v>
      </c>
      <c r="L94" s="165" t="s">
        <v>164</v>
      </c>
      <c r="M94" s="165">
        <v>138</v>
      </c>
      <c r="N94" s="165">
        <v>198</v>
      </c>
      <c r="O94" s="165">
        <v>2.746</v>
      </c>
      <c r="P94" s="165">
        <v>8.6549999999999994</v>
      </c>
      <c r="Q94" s="165"/>
      <c r="R94" s="165" t="s">
        <v>653</v>
      </c>
      <c r="S94" s="165">
        <v>317</v>
      </c>
      <c r="T94" s="165">
        <v>442600</v>
      </c>
      <c r="U94" s="165">
        <v>10870</v>
      </c>
      <c r="V94" s="165">
        <v>12490</v>
      </c>
      <c r="W94" s="165">
        <v>33.090000000000003</v>
      </c>
      <c r="X94" s="165">
        <v>194.3</v>
      </c>
      <c r="Y94" s="165">
        <v>18630</v>
      </c>
      <c r="Z94" s="165">
        <v>1230</v>
      </c>
      <c r="AA94" s="165">
        <v>1930</v>
      </c>
      <c r="AB94" s="165">
        <v>6.79</v>
      </c>
      <c r="AC94" s="165">
        <v>136.1</v>
      </c>
      <c r="AD94" s="165">
        <v>1646</v>
      </c>
      <c r="AE94" s="165">
        <v>27780</v>
      </c>
      <c r="AF94" s="165">
        <v>1</v>
      </c>
      <c r="AG94" s="165">
        <v>1</v>
      </c>
      <c r="AH94" s="166">
        <v>1</v>
      </c>
      <c r="AI94" s="165">
        <v>1</v>
      </c>
      <c r="AJ94" s="165">
        <v>3</v>
      </c>
      <c r="AK94" s="173">
        <v>4</v>
      </c>
      <c r="AL94" s="197" t="s">
        <v>185</v>
      </c>
      <c r="AM94" s="174" t="s">
        <v>308</v>
      </c>
      <c r="AN94" s="174" t="s">
        <v>308</v>
      </c>
      <c r="AO94" s="175"/>
    </row>
    <row r="95" spans="1:42" s="178" customFormat="1" ht="11.25">
      <c r="A95" s="178" t="s">
        <v>463</v>
      </c>
      <c r="B95" s="185" t="s">
        <v>660</v>
      </c>
      <c r="C95" s="165">
        <v>333</v>
      </c>
      <c r="D95" s="165">
        <v>910</v>
      </c>
      <c r="E95" s="165">
        <v>302</v>
      </c>
      <c r="F95" s="165">
        <v>21</v>
      </c>
      <c r="G95" s="165">
        <v>40</v>
      </c>
      <c r="H95" s="165">
        <v>30</v>
      </c>
      <c r="I95" s="165">
        <v>423.6</v>
      </c>
      <c r="J95" s="165">
        <v>830</v>
      </c>
      <c r="K95" s="165">
        <v>770</v>
      </c>
      <c r="L95" s="165" t="s">
        <v>164</v>
      </c>
      <c r="M95" s="165">
        <v>138</v>
      </c>
      <c r="N95" s="165">
        <v>198</v>
      </c>
      <c r="O95" s="165">
        <v>2.9340000000000002</v>
      </c>
      <c r="P95" s="165">
        <v>8.8239999999999998</v>
      </c>
      <c r="Q95" s="165"/>
      <c r="R95" s="165" t="s">
        <v>660</v>
      </c>
      <c r="S95" s="165">
        <v>333</v>
      </c>
      <c r="T95" s="165">
        <v>570400</v>
      </c>
      <c r="U95" s="165">
        <v>12540</v>
      </c>
      <c r="V95" s="165">
        <v>14440</v>
      </c>
      <c r="W95" s="165">
        <v>36.700000000000003</v>
      </c>
      <c r="X95" s="165">
        <v>214.4</v>
      </c>
      <c r="Y95" s="165">
        <v>18450</v>
      </c>
      <c r="Z95" s="165">
        <v>1222</v>
      </c>
      <c r="AA95" s="165">
        <v>1929</v>
      </c>
      <c r="AB95" s="165">
        <v>6.6</v>
      </c>
      <c r="AC95" s="165">
        <v>136.1</v>
      </c>
      <c r="AD95" s="165">
        <v>1671</v>
      </c>
      <c r="AE95" s="165">
        <v>34750</v>
      </c>
      <c r="AF95" s="165">
        <v>1</v>
      </c>
      <c r="AG95" s="165">
        <v>1</v>
      </c>
      <c r="AH95" s="166">
        <v>1</v>
      </c>
      <c r="AI95" s="165">
        <v>2</v>
      </c>
      <c r="AJ95" s="165">
        <v>4</v>
      </c>
      <c r="AK95" s="173">
        <v>4</v>
      </c>
      <c r="AL95" s="197" t="s">
        <v>185</v>
      </c>
      <c r="AM95" s="174" t="s">
        <v>308</v>
      </c>
      <c r="AN95" s="174" t="s">
        <v>308</v>
      </c>
      <c r="AO95" s="175"/>
    </row>
    <row r="96" spans="1:42" s="178" customFormat="1" ht="11.25">
      <c r="A96" s="178" t="s">
        <v>463</v>
      </c>
      <c r="B96" s="164" t="s">
        <v>667</v>
      </c>
      <c r="C96" s="165">
        <v>349</v>
      </c>
      <c r="D96" s="165">
        <v>1008</v>
      </c>
      <c r="E96" s="165">
        <v>302</v>
      </c>
      <c r="F96" s="165">
        <v>21</v>
      </c>
      <c r="G96" s="165">
        <v>40</v>
      </c>
      <c r="H96" s="165">
        <v>30</v>
      </c>
      <c r="I96" s="165">
        <v>444.2</v>
      </c>
      <c r="J96" s="165">
        <v>928</v>
      </c>
      <c r="K96" s="165">
        <v>868</v>
      </c>
      <c r="L96" s="165" t="s">
        <v>164</v>
      </c>
      <c r="M96" s="165">
        <v>138</v>
      </c>
      <c r="N96" s="165">
        <v>198</v>
      </c>
      <c r="O96" s="165">
        <v>3.13</v>
      </c>
      <c r="P96" s="165">
        <v>8.9779999999999998</v>
      </c>
      <c r="Q96" s="165"/>
      <c r="R96" s="165" t="s">
        <v>667</v>
      </c>
      <c r="S96" s="165">
        <v>349</v>
      </c>
      <c r="T96" s="165">
        <v>722300</v>
      </c>
      <c r="U96" s="165">
        <v>14330</v>
      </c>
      <c r="V96" s="165">
        <v>16570</v>
      </c>
      <c r="W96" s="165">
        <v>40.32</v>
      </c>
      <c r="X96" s="165">
        <v>235</v>
      </c>
      <c r="Y96" s="165">
        <v>18460</v>
      </c>
      <c r="Z96" s="165">
        <v>1222</v>
      </c>
      <c r="AA96" s="165">
        <v>1940</v>
      </c>
      <c r="AB96" s="165">
        <v>6.45</v>
      </c>
      <c r="AC96" s="165">
        <v>136.1</v>
      </c>
      <c r="AD96" s="165">
        <v>1701</v>
      </c>
      <c r="AE96" s="165">
        <v>43020</v>
      </c>
      <c r="AF96" s="165">
        <v>1</v>
      </c>
      <c r="AG96" s="165">
        <v>1</v>
      </c>
      <c r="AH96" s="166">
        <v>1</v>
      </c>
      <c r="AI96" s="165">
        <v>3</v>
      </c>
      <c r="AJ96" s="165">
        <v>4</v>
      </c>
      <c r="AK96" s="173">
        <v>4</v>
      </c>
      <c r="AL96" s="197" t="s">
        <v>185</v>
      </c>
      <c r="AM96" s="198" t="s">
        <v>308</v>
      </c>
      <c r="AN96" s="198" t="s">
        <v>308</v>
      </c>
      <c r="AO96" s="175"/>
    </row>
  </sheetData>
  <sheetProtection selectLockedCells="1"/>
  <sortState xmlns:xlrd2="http://schemas.microsoft.com/office/spreadsheetml/2017/richdata2" ref="A25:AP48">
    <sortCondition ref="B25:B48"/>
  </sortState>
  <phoneticPr fontId="0" type="noConversion"/>
  <pageMargins left="0.75" right="0.75" top="1" bottom="1" header="0" footer="0"/>
  <headerFooter alignWithMargins="0"/>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Hoja7"/>
  <dimension ref="B3:M43"/>
  <sheetViews>
    <sheetView workbookViewId="0">
      <selection activeCell="L36" sqref="L36"/>
    </sheetView>
  </sheetViews>
  <sheetFormatPr baseColWidth="10" defaultRowHeight="12.75"/>
  <sheetData>
    <row r="3" spans="2:13" ht="13.5" thickBot="1">
      <c r="B3" s="46" t="s">
        <v>38</v>
      </c>
      <c r="C3" s="24" t="s">
        <v>41</v>
      </c>
      <c r="D3" s="24"/>
      <c r="E3" s="24"/>
      <c r="F3" s="24"/>
      <c r="G3" s="24"/>
      <c r="I3" t="s">
        <v>40</v>
      </c>
    </row>
    <row r="4" spans="2:13" ht="13.5" thickBot="1">
      <c r="C4" s="1248" t="s">
        <v>42</v>
      </c>
      <c r="D4" s="1249"/>
      <c r="E4" s="1249"/>
      <c r="F4" s="1249"/>
      <c r="G4" s="1250"/>
      <c r="I4" s="32"/>
      <c r="J4" s="33"/>
      <c r="K4" s="34" t="s">
        <v>37</v>
      </c>
      <c r="L4" s="33"/>
      <c r="M4" s="35"/>
    </row>
    <row r="5" spans="2:13">
      <c r="B5" s="3" t="s">
        <v>74</v>
      </c>
      <c r="C5" s="27" t="s">
        <v>32</v>
      </c>
      <c r="D5" s="29" t="s">
        <v>33</v>
      </c>
      <c r="E5" s="27" t="s">
        <v>34</v>
      </c>
      <c r="F5" s="29" t="s">
        <v>35</v>
      </c>
      <c r="G5" s="27" t="s">
        <v>36</v>
      </c>
      <c r="I5" s="8" t="s">
        <v>32</v>
      </c>
      <c r="J5" s="8" t="s">
        <v>33</v>
      </c>
      <c r="K5" s="8" t="s">
        <v>34</v>
      </c>
      <c r="L5" s="8" t="s">
        <v>35</v>
      </c>
      <c r="M5" s="8" t="s">
        <v>36</v>
      </c>
    </row>
    <row r="6" spans="2:13" ht="13.5" thickBot="1">
      <c r="B6" s="66" t="s">
        <v>73</v>
      </c>
      <c r="C6" s="28">
        <v>0.13</v>
      </c>
      <c r="D6" s="30">
        <v>0.21</v>
      </c>
      <c r="E6" s="28">
        <v>0.34</v>
      </c>
      <c r="F6" s="30">
        <v>0.49</v>
      </c>
      <c r="G6" s="28">
        <v>0.76</v>
      </c>
      <c r="I6" s="23">
        <v>0.13</v>
      </c>
      <c r="J6" s="23">
        <v>0.21</v>
      </c>
      <c r="K6" s="23">
        <v>0.34</v>
      </c>
      <c r="L6" s="23">
        <v>0.49</v>
      </c>
      <c r="M6" s="23">
        <v>0.76</v>
      </c>
    </row>
    <row r="7" spans="2:13" ht="13.5" thickTop="1">
      <c r="B7" s="25">
        <v>0.21</v>
      </c>
      <c r="C7" s="75">
        <f>1/(I7+SQRT(I7*I7-POWER($B7,2)))</f>
        <v>0.9986419570965015</v>
      </c>
      <c r="D7" s="75">
        <f>1/(J7+SQRT(J7*J7-POWER($B7,2)))</f>
        <v>0.99780815434724723</v>
      </c>
      <c r="E7" s="75">
        <f t="shared" ref="E7:G22" si="0">1/(K7+SQRT(K7*K7-POWER($B7,2)))</f>
        <v>0.9964563262704017</v>
      </c>
      <c r="F7" s="75">
        <f t="shared" si="0"/>
        <v>0.99490127650590554</v>
      </c>
      <c r="G7" s="76">
        <f t="shared" si="0"/>
        <v>0.99211493708663845</v>
      </c>
      <c r="I7" s="22">
        <f>0.5*(1+C$6*($B7-0.2)+POWER($B7,2))</f>
        <v>0.52270000000000005</v>
      </c>
      <c r="J7" s="22">
        <f>0.5*(1+D$6*($B7-0.2)+POWER($B7,2))</f>
        <v>0.52310000000000001</v>
      </c>
      <c r="K7" s="22">
        <f t="shared" ref="K7:M22" si="1">0.5*(1+E$6*($B7-0.2)+POWER($B7,2))</f>
        <v>0.52375000000000005</v>
      </c>
      <c r="L7" s="22">
        <f t="shared" si="1"/>
        <v>0.52449999999999997</v>
      </c>
      <c r="M7" s="22">
        <f t="shared" si="1"/>
        <v>0.52585000000000004</v>
      </c>
    </row>
    <row r="8" spans="2:13">
      <c r="B8" s="25">
        <v>0.25</v>
      </c>
      <c r="C8" s="75">
        <f>1/(I8+SQRT(I8*I8-POWER($B8,2)))</f>
        <v>0.99311754291681031</v>
      </c>
      <c r="D8" s="75">
        <f t="shared" ref="D8:G43" si="2">1/(J8+SQRT(J8*J8-POWER($B8,2)))</f>
        <v>0.98893212670222419</v>
      </c>
      <c r="E8" s="75">
        <f t="shared" si="0"/>
        <v>0.98221035042117211</v>
      </c>
      <c r="F8" s="75">
        <f t="shared" si="0"/>
        <v>0.97457422492451862</v>
      </c>
      <c r="G8" s="76">
        <f t="shared" si="0"/>
        <v>0.96114235753319321</v>
      </c>
      <c r="I8" s="22">
        <f t="shared" ref="I8:I43" si="3">0.5*(1+C$6*(B8-0.2)+POWER(B8,2))</f>
        <v>0.53449999999999998</v>
      </c>
      <c r="J8" s="22">
        <f t="shared" ref="J8:M43" si="4">0.5*(1+D$6*($B8-0.2)+POWER($B8,2))</f>
        <v>0.53649999999999998</v>
      </c>
      <c r="K8" s="22">
        <f t="shared" si="1"/>
        <v>0.53974999999999995</v>
      </c>
      <c r="L8" s="22">
        <f t="shared" si="1"/>
        <v>0.54349999999999998</v>
      </c>
      <c r="M8" s="22">
        <f t="shared" si="1"/>
        <v>0.55025000000000002</v>
      </c>
    </row>
    <row r="9" spans="2:13">
      <c r="B9" s="25">
        <v>0.3</v>
      </c>
      <c r="C9" s="75">
        <f>1/(I9+SQRT(I9*I9-POWER($B9,2)))</f>
        <v>0.98593478302229332</v>
      </c>
      <c r="D9" s="75">
        <f t="shared" si="2"/>
        <v>0.97749258061596089</v>
      </c>
      <c r="E9" s="75">
        <f t="shared" si="0"/>
        <v>0.96410588440475919</v>
      </c>
      <c r="F9" s="75">
        <f t="shared" si="0"/>
        <v>0.94914779479631584</v>
      </c>
      <c r="G9" s="76">
        <f t="shared" si="0"/>
        <v>0.9234556924859556</v>
      </c>
      <c r="I9" s="22">
        <f t="shared" si="3"/>
        <v>0.55149999999999999</v>
      </c>
      <c r="J9" s="22">
        <f t="shared" si="4"/>
        <v>0.55549999999999999</v>
      </c>
      <c r="K9" s="22">
        <f t="shared" si="1"/>
        <v>0.56200000000000006</v>
      </c>
      <c r="L9" s="22">
        <f t="shared" si="1"/>
        <v>0.56950000000000001</v>
      </c>
      <c r="M9" s="22">
        <f t="shared" si="1"/>
        <v>0.58300000000000007</v>
      </c>
    </row>
    <row r="10" spans="2:13">
      <c r="B10" s="25">
        <v>0.35</v>
      </c>
      <c r="C10" s="75">
        <f t="shared" ref="C10:C43" si="5">1/(I10+SQRT(I10*I10-B10*B10))</f>
        <v>0.97832502902445007</v>
      </c>
      <c r="D10" s="75">
        <f t="shared" si="2"/>
        <v>0.96550687297793236</v>
      </c>
      <c r="E10" s="75">
        <f t="shared" si="0"/>
        <v>0.94546507497131482</v>
      </c>
      <c r="F10" s="75">
        <f t="shared" si="0"/>
        <v>0.92346741480864236</v>
      </c>
      <c r="G10" s="76">
        <f t="shared" si="0"/>
        <v>0.88661118052132049</v>
      </c>
      <c r="I10" s="22">
        <f t="shared" si="3"/>
        <v>0.57100000000000006</v>
      </c>
      <c r="J10" s="22">
        <f t="shared" si="4"/>
        <v>0.57700000000000007</v>
      </c>
      <c r="K10" s="22">
        <f t="shared" si="1"/>
        <v>0.58674999999999999</v>
      </c>
      <c r="L10" s="22">
        <f t="shared" si="1"/>
        <v>0.59799999999999998</v>
      </c>
      <c r="M10" s="22">
        <f t="shared" si="1"/>
        <v>0.61824999999999997</v>
      </c>
    </row>
    <row r="11" spans="2:13">
      <c r="B11" s="25">
        <v>0.4</v>
      </c>
      <c r="C11" s="75">
        <f t="shared" si="5"/>
        <v>0.97014162084174738</v>
      </c>
      <c r="D11" s="75">
        <f t="shared" si="2"/>
        <v>0.95278534666477388</v>
      </c>
      <c r="E11" s="75">
        <f t="shared" si="0"/>
        <v>0.92607315908505083</v>
      </c>
      <c r="F11" s="75">
        <f t="shared" si="0"/>
        <v>0.89732077167248336</v>
      </c>
      <c r="G11" s="76">
        <f t="shared" si="0"/>
        <v>0.8503846381456156</v>
      </c>
      <c r="I11" s="22">
        <f t="shared" si="3"/>
        <v>0.59299999999999997</v>
      </c>
      <c r="J11" s="22">
        <f t="shared" si="4"/>
        <v>0.60099999999999998</v>
      </c>
      <c r="K11" s="22">
        <f t="shared" si="1"/>
        <v>0.6140000000000001</v>
      </c>
      <c r="L11" s="22">
        <f t="shared" si="1"/>
        <v>0.629</v>
      </c>
      <c r="M11" s="22">
        <f t="shared" si="1"/>
        <v>0.65600000000000014</v>
      </c>
    </row>
    <row r="12" spans="2:13">
      <c r="B12" s="25">
        <v>0.45</v>
      </c>
      <c r="C12" s="75">
        <f t="shared" si="5"/>
        <v>0.96121046644868513</v>
      </c>
      <c r="D12" s="75">
        <f t="shared" si="2"/>
        <v>0.93911833170667225</v>
      </c>
      <c r="E12" s="75">
        <f t="shared" si="0"/>
        <v>0.90572224341724761</v>
      </c>
      <c r="F12" s="75">
        <f t="shared" si="0"/>
        <v>0.87053699521275008</v>
      </c>
      <c r="G12" s="76">
        <f t="shared" si="0"/>
        <v>0.81464052866506065</v>
      </c>
      <c r="I12" s="22">
        <f t="shared" si="3"/>
        <v>0.61749999999999994</v>
      </c>
      <c r="J12" s="22">
        <f t="shared" si="4"/>
        <v>0.62749999999999995</v>
      </c>
      <c r="K12" s="22">
        <f t="shared" si="1"/>
        <v>0.64375000000000004</v>
      </c>
      <c r="L12" s="22">
        <f t="shared" si="1"/>
        <v>0.66250000000000009</v>
      </c>
      <c r="M12" s="22">
        <f t="shared" si="1"/>
        <v>0.69625000000000004</v>
      </c>
    </row>
    <row r="13" spans="2:13">
      <c r="B13" s="26">
        <v>0.5</v>
      </c>
      <c r="C13" s="77">
        <f t="shared" si="5"/>
        <v>0.95132117490882684</v>
      </c>
      <c r="D13" s="77">
        <f t="shared" si="2"/>
        <v>0.92427264228372952</v>
      </c>
      <c r="E13" s="77">
        <f t="shared" si="0"/>
        <v>0.88421539736154475</v>
      </c>
      <c r="F13" s="77">
        <f t="shared" si="0"/>
        <v>0.84299103026152122</v>
      </c>
      <c r="G13" s="78">
        <f t="shared" si="0"/>
        <v>0.77931995920392561</v>
      </c>
      <c r="I13" s="22">
        <f t="shared" si="3"/>
        <v>0.64449999999999996</v>
      </c>
      <c r="J13" s="22">
        <f t="shared" si="4"/>
        <v>0.65649999999999997</v>
      </c>
      <c r="K13" s="22">
        <f t="shared" si="1"/>
        <v>0.67600000000000005</v>
      </c>
      <c r="L13" s="22">
        <f t="shared" si="1"/>
        <v>0.69850000000000001</v>
      </c>
      <c r="M13" s="22">
        <f t="shared" si="1"/>
        <v>0.73899999999999999</v>
      </c>
    </row>
    <row r="14" spans="2:13">
      <c r="B14" s="25">
        <v>0.55000000000000004</v>
      </c>
      <c r="C14" s="71">
        <f t="shared" si="5"/>
        <v>0.94021687954396604</v>
      </c>
      <c r="D14" s="71">
        <f t="shared" si="2"/>
        <v>0.9079907580212393</v>
      </c>
      <c r="E14" s="71">
        <f t="shared" si="0"/>
        <v>0.86137546860180547</v>
      </c>
      <c r="F14" s="71">
        <f t="shared" si="0"/>
        <v>0.81461068211070842</v>
      </c>
      <c r="G14" s="72">
        <f t="shared" si="0"/>
        <v>0.7444298144494621</v>
      </c>
      <c r="I14" s="22">
        <f t="shared" si="3"/>
        <v>0.67400000000000004</v>
      </c>
      <c r="J14" s="22">
        <f t="shared" si="4"/>
        <v>0.68800000000000006</v>
      </c>
      <c r="K14" s="22">
        <f t="shared" si="1"/>
        <v>0.71074999999999999</v>
      </c>
      <c r="L14" s="22">
        <f t="shared" si="1"/>
        <v>0.73699999999999999</v>
      </c>
      <c r="M14" s="22">
        <f t="shared" si="1"/>
        <v>0.78425</v>
      </c>
    </row>
    <row r="15" spans="2:13">
      <c r="B15" s="25">
        <v>0.6</v>
      </c>
      <c r="C15" s="71">
        <f t="shared" si="5"/>
        <v>0.92758365025403311</v>
      </c>
      <c r="D15" s="71">
        <f t="shared" si="2"/>
        <v>0.88999501993143471</v>
      </c>
      <c r="E15" s="71">
        <f t="shared" si="0"/>
        <v>0.83705914889797295</v>
      </c>
      <c r="F15" s="71">
        <f t="shared" si="0"/>
        <v>0.78538459148952455</v>
      </c>
      <c r="G15" s="72">
        <f t="shared" si="0"/>
        <v>0.71003122861821788</v>
      </c>
      <c r="I15" s="22">
        <f t="shared" si="3"/>
        <v>0.70599999999999996</v>
      </c>
      <c r="J15" s="22">
        <f t="shared" si="4"/>
        <v>0.72199999999999998</v>
      </c>
      <c r="K15" s="22">
        <f t="shared" si="1"/>
        <v>0.748</v>
      </c>
      <c r="L15" s="22">
        <f t="shared" si="1"/>
        <v>0.77800000000000002</v>
      </c>
      <c r="M15" s="22">
        <f t="shared" si="1"/>
        <v>0.83200000000000007</v>
      </c>
    </row>
    <row r="16" spans="2:13">
      <c r="B16" s="25">
        <v>0.65</v>
      </c>
      <c r="C16" s="71">
        <f t="shared" si="5"/>
        <v>0.91304214604410339</v>
      </c>
      <c r="D16" s="71">
        <f t="shared" si="2"/>
        <v>0.87000031975448378</v>
      </c>
      <c r="E16" s="71">
        <f t="shared" si="0"/>
        <v>0.81117595450552937</v>
      </c>
      <c r="F16" s="71">
        <f t="shared" si="0"/>
        <v>0.75536876690168331</v>
      </c>
      <c r="G16" s="72">
        <f t="shared" si="0"/>
        <v>0.67622658696353577</v>
      </c>
      <c r="I16" s="22">
        <f t="shared" si="3"/>
        <v>0.74050000000000005</v>
      </c>
      <c r="J16" s="22">
        <f t="shared" si="4"/>
        <v>0.75850000000000006</v>
      </c>
      <c r="K16" s="22">
        <f t="shared" si="1"/>
        <v>0.78775000000000006</v>
      </c>
      <c r="L16" s="22">
        <f t="shared" si="1"/>
        <v>0.82150000000000001</v>
      </c>
      <c r="M16" s="22">
        <f t="shared" si="1"/>
        <v>0.88225000000000009</v>
      </c>
    </row>
    <row r="17" spans="2:13">
      <c r="B17" s="25">
        <v>0.7</v>
      </c>
      <c r="C17" s="71">
        <f t="shared" si="5"/>
        <v>0.89614750732970239</v>
      </c>
      <c r="D17" s="71">
        <f t="shared" si="2"/>
        <v>0.84773950632220074</v>
      </c>
      <c r="E17" s="71">
        <f t="shared" si="0"/>
        <v>0.78371007669478532</v>
      </c>
      <c r="F17" s="71">
        <f t="shared" si="0"/>
        <v>0.72468891890484077</v>
      </c>
      <c r="G17" s="72">
        <f t="shared" si="0"/>
        <v>0.64314519407824033</v>
      </c>
      <c r="I17" s="22">
        <f t="shared" si="3"/>
        <v>0.77749999999999997</v>
      </c>
      <c r="J17" s="22">
        <f t="shared" si="4"/>
        <v>0.79749999999999999</v>
      </c>
      <c r="K17" s="22">
        <f t="shared" si="1"/>
        <v>0.83</v>
      </c>
      <c r="L17" s="22">
        <f t="shared" si="1"/>
        <v>0.86749999999999994</v>
      </c>
      <c r="M17" s="22">
        <f t="shared" si="1"/>
        <v>0.93499999999999994</v>
      </c>
    </row>
    <row r="18" spans="2:13">
      <c r="B18" s="25">
        <v>0.75</v>
      </c>
      <c r="C18" s="71">
        <f t="shared" si="5"/>
        <v>0.87640878025362989</v>
      </c>
      <c r="D18" s="71">
        <f t="shared" si="2"/>
        <v>0.82300473659647</v>
      </c>
      <c r="E18" s="71">
        <f t="shared" si="0"/>
        <v>0.75474070303528973</v>
      </c>
      <c r="F18" s="71">
        <f t="shared" si="0"/>
        <v>0.69353614366612881</v>
      </c>
      <c r="G18" s="72">
        <f t="shared" si="0"/>
        <v>0.61092851841404316</v>
      </c>
      <c r="I18" s="22">
        <f t="shared" si="3"/>
        <v>0.81699999999999995</v>
      </c>
      <c r="J18" s="22">
        <f t="shared" si="4"/>
        <v>0.83899999999999997</v>
      </c>
      <c r="K18" s="22">
        <f t="shared" si="1"/>
        <v>0.87475000000000003</v>
      </c>
      <c r="L18" s="22">
        <f t="shared" si="1"/>
        <v>0.91600000000000004</v>
      </c>
      <c r="M18" s="22">
        <f t="shared" si="1"/>
        <v>0.99025000000000007</v>
      </c>
    </row>
    <row r="19" spans="2:13">
      <c r="B19" s="25">
        <v>0.8</v>
      </c>
      <c r="C19" s="71">
        <f t="shared" si="5"/>
        <v>0.85334469790892897</v>
      </c>
      <c r="D19" s="71">
        <f t="shared" si="2"/>
        <v>0.79570325564382749</v>
      </c>
      <c r="E19" s="71">
        <f t="shared" si="0"/>
        <v>0.72445435649036838</v>
      </c>
      <c r="F19" s="71">
        <f t="shared" si="0"/>
        <v>0.66215476637127557</v>
      </c>
      <c r="G19" s="72">
        <f t="shared" si="0"/>
        <v>0.5797163500979986</v>
      </c>
      <c r="I19" s="22">
        <f t="shared" si="3"/>
        <v>0.8590000000000001</v>
      </c>
      <c r="J19" s="22">
        <f t="shared" si="4"/>
        <v>0.88300000000000001</v>
      </c>
      <c r="K19" s="22">
        <f t="shared" si="1"/>
        <v>0.92200000000000004</v>
      </c>
      <c r="L19" s="22">
        <f t="shared" si="1"/>
        <v>0.96700000000000008</v>
      </c>
      <c r="M19" s="22">
        <f t="shared" si="1"/>
        <v>1.048</v>
      </c>
    </row>
    <row r="20" spans="2:13">
      <c r="B20" s="25">
        <v>0.85</v>
      </c>
      <c r="C20" s="71">
        <f t="shared" si="5"/>
        <v>0.82659120442451484</v>
      </c>
      <c r="D20" s="71">
        <f t="shared" si="2"/>
        <v>0.7659165237852249</v>
      </c>
      <c r="E20" s="71">
        <f t="shared" si="0"/>
        <v>0.69314267600826884</v>
      </c>
      <c r="F20" s="71">
        <f t="shared" si="0"/>
        <v>0.63082318984300756</v>
      </c>
      <c r="G20" s="72">
        <f t="shared" si="0"/>
        <v>0.5496352003864271</v>
      </c>
      <c r="I20" s="22">
        <f t="shared" si="3"/>
        <v>0.90349999999999997</v>
      </c>
      <c r="J20" s="22">
        <f t="shared" si="4"/>
        <v>0.92949999999999999</v>
      </c>
      <c r="K20" s="22">
        <f t="shared" si="1"/>
        <v>0.97175</v>
      </c>
      <c r="L20" s="22">
        <f t="shared" si="1"/>
        <v>1.0205</v>
      </c>
      <c r="M20" s="22">
        <f t="shared" si="1"/>
        <v>1.10825</v>
      </c>
    </row>
    <row r="21" spans="2:13">
      <c r="B21" s="25">
        <v>0.9</v>
      </c>
      <c r="C21" s="71">
        <f t="shared" si="5"/>
        <v>0.79605390585747948</v>
      </c>
      <c r="D21" s="71">
        <f t="shared" si="2"/>
        <v>0.73394057045110916</v>
      </c>
      <c r="E21" s="71">
        <f t="shared" si="0"/>
        <v>0.66118219456787608</v>
      </c>
      <c r="F21" s="71">
        <f t="shared" si="0"/>
        <v>0.5998306716548617</v>
      </c>
      <c r="G21" s="72">
        <f t="shared" si="0"/>
        <v>0.52078988088060985</v>
      </c>
      <c r="I21" s="22">
        <f t="shared" si="3"/>
        <v>0.95050000000000001</v>
      </c>
      <c r="J21" s="22">
        <f t="shared" si="4"/>
        <v>0.97850000000000004</v>
      </c>
      <c r="K21" s="22">
        <f t="shared" si="1"/>
        <v>1.024</v>
      </c>
      <c r="L21" s="22">
        <f t="shared" si="1"/>
        <v>1.0765</v>
      </c>
      <c r="M21" s="22">
        <f t="shared" si="1"/>
        <v>1.171</v>
      </c>
    </row>
    <row r="22" spans="2:13">
      <c r="B22" s="25">
        <v>0.95</v>
      </c>
      <c r="C22" s="71">
        <f t="shared" si="5"/>
        <v>0.7620499723879004</v>
      </c>
      <c r="D22" s="71">
        <f t="shared" si="2"/>
        <v>0.7002825763516366</v>
      </c>
      <c r="E22" s="71">
        <f t="shared" si="0"/>
        <v>0.62899853495990066</v>
      </c>
      <c r="F22" s="71">
        <f t="shared" si="0"/>
        <v>0.56945415050669268</v>
      </c>
      <c r="G22" s="72">
        <f t="shared" si="0"/>
        <v>0.49325860849640929</v>
      </c>
      <c r="I22" s="22">
        <f t="shared" si="3"/>
        <v>1</v>
      </c>
      <c r="J22" s="22">
        <f t="shared" si="4"/>
        <v>1.03</v>
      </c>
      <c r="K22" s="22">
        <f t="shared" si="1"/>
        <v>1.0787499999999999</v>
      </c>
      <c r="L22" s="22">
        <f t="shared" si="1"/>
        <v>1.135</v>
      </c>
      <c r="M22" s="22">
        <f t="shared" si="1"/>
        <v>1.2362500000000001</v>
      </c>
    </row>
    <row r="23" spans="2:13">
      <c r="B23" s="26">
        <v>1</v>
      </c>
      <c r="C23" s="73">
        <f t="shared" si="5"/>
        <v>0.72534421786841108</v>
      </c>
      <c r="D23" s="73">
        <f t="shared" si="2"/>
        <v>0.66560305928460695</v>
      </c>
      <c r="E23" s="73">
        <f t="shared" si="2"/>
        <v>0.59702319159355277</v>
      </c>
      <c r="F23" s="73">
        <f t="shared" si="2"/>
        <v>0.53993902722384102</v>
      </c>
      <c r="G23" s="74">
        <f t="shared" si="2"/>
        <v>0.46709140284019068</v>
      </c>
      <c r="I23" s="22">
        <f t="shared" si="3"/>
        <v>1.052</v>
      </c>
      <c r="J23" s="22">
        <f t="shared" si="4"/>
        <v>1.0840000000000001</v>
      </c>
      <c r="K23" s="22">
        <f t="shared" si="4"/>
        <v>1.1360000000000001</v>
      </c>
      <c r="L23" s="22">
        <f t="shared" si="4"/>
        <v>1.196</v>
      </c>
      <c r="M23" s="22">
        <f t="shared" si="4"/>
        <v>1.304</v>
      </c>
    </row>
    <row r="24" spans="2:13">
      <c r="B24" s="25">
        <v>1.05</v>
      </c>
      <c r="C24" s="42">
        <f t="shared" si="5"/>
        <v>0.68702123136647486</v>
      </c>
      <c r="D24" s="42">
        <f t="shared" si="2"/>
        <v>0.63061969320141198</v>
      </c>
      <c r="E24" s="42">
        <f t="shared" si="2"/>
        <v>0.56565335555721841</v>
      </c>
      <c r="F24" s="42">
        <f t="shared" si="2"/>
        <v>0.51148638229329468</v>
      </c>
      <c r="G24" s="43">
        <f t="shared" si="2"/>
        <v>0.44231113356888974</v>
      </c>
      <c r="I24" s="22">
        <f t="shared" si="3"/>
        <v>1.1065</v>
      </c>
      <c r="J24" s="22">
        <f t="shared" si="4"/>
        <v>1.1405000000000001</v>
      </c>
      <c r="K24" s="22">
        <f t="shared" si="4"/>
        <v>1.1957500000000001</v>
      </c>
      <c r="L24" s="22">
        <f t="shared" si="4"/>
        <v>1.2595000000000001</v>
      </c>
      <c r="M24" s="22">
        <f t="shared" si="4"/>
        <v>1.37425</v>
      </c>
    </row>
    <row r="25" spans="2:13">
      <c r="B25" s="25">
        <v>1.1000000000000001</v>
      </c>
      <c r="C25" s="42">
        <f t="shared" si="5"/>
        <v>0.64824763349327919</v>
      </c>
      <c r="D25" s="42">
        <f t="shared" si="2"/>
        <v>0.59600769334742754</v>
      </c>
      <c r="E25" s="42">
        <f t="shared" si="2"/>
        <v>0.5352229674564225</v>
      </c>
      <c r="F25" s="42">
        <f t="shared" si="2"/>
        <v>0.48424723188140989</v>
      </c>
      <c r="G25" s="43">
        <f t="shared" si="2"/>
        <v>0.41891639368619432</v>
      </c>
      <c r="I25" s="22">
        <f t="shared" si="3"/>
        <v>1.1635</v>
      </c>
      <c r="J25" s="22">
        <f t="shared" si="4"/>
        <v>1.1995</v>
      </c>
      <c r="K25" s="22">
        <f t="shared" si="4"/>
        <v>1.258</v>
      </c>
      <c r="L25" s="22">
        <f t="shared" si="4"/>
        <v>1.3255000000000001</v>
      </c>
      <c r="M25" s="22">
        <f t="shared" si="4"/>
        <v>1.4470000000000001</v>
      </c>
    </row>
    <row r="26" spans="2:13">
      <c r="B26" s="25">
        <v>1.1499999999999999</v>
      </c>
      <c r="C26" s="42">
        <f t="shared" si="5"/>
        <v>0.61005075179439361</v>
      </c>
      <c r="D26" s="42">
        <f t="shared" si="2"/>
        <v>0.56232817880561936</v>
      </c>
      <c r="E26" s="42">
        <f t="shared" si="2"/>
        <v>0.50598822625395068</v>
      </c>
      <c r="F26" s="42">
        <f t="shared" si="2"/>
        <v>0.4583228663513948</v>
      </c>
      <c r="G26" s="43">
        <f t="shared" si="2"/>
        <v>0.39688539103621895</v>
      </c>
      <c r="I26" s="22">
        <f t="shared" si="3"/>
        <v>1.2229999999999999</v>
      </c>
      <c r="J26" s="22">
        <f t="shared" si="4"/>
        <v>1.2609999999999999</v>
      </c>
      <c r="K26" s="22">
        <f t="shared" si="4"/>
        <v>1.3227499999999999</v>
      </c>
      <c r="L26" s="22">
        <f t="shared" si="4"/>
        <v>1.3939999999999999</v>
      </c>
      <c r="M26" s="22">
        <f t="shared" si="4"/>
        <v>1.5222499999999999</v>
      </c>
    </row>
    <row r="27" spans="2:13">
      <c r="B27" s="25">
        <v>1.2</v>
      </c>
      <c r="C27" s="42">
        <f t="shared" si="5"/>
        <v>0.57319985378338922</v>
      </c>
      <c r="D27" s="42">
        <f t="shared" si="2"/>
        <v>0.52999644003048207</v>
      </c>
      <c r="E27" s="42">
        <f t="shared" si="2"/>
        <v>0.4781261136862337</v>
      </c>
      <c r="F27" s="42">
        <f t="shared" si="2"/>
        <v>0.43376948509443325</v>
      </c>
      <c r="G27" s="43">
        <f t="shared" si="2"/>
        <v>0.37618019137094699</v>
      </c>
      <c r="I27" s="22">
        <f t="shared" si="3"/>
        <v>1.2849999999999999</v>
      </c>
      <c r="J27" s="22">
        <f t="shared" si="4"/>
        <v>1.325</v>
      </c>
      <c r="K27" s="22">
        <f t="shared" si="4"/>
        <v>1.3900000000000001</v>
      </c>
      <c r="L27" s="22">
        <f t="shared" si="4"/>
        <v>1.4649999999999999</v>
      </c>
      <c r="M27" s="22">
        <f t="shared" si="4"/>
        <v>1.6</v>
      </c>
    </row>
    <row r="28" spans="2:13">
      <c r="B28" s="25">
        <v>1.25</v>
      </c>
      <c r="C28" s="42">
        <f t="shared" si="5"/>
        <v>0.53819091815546261</v>
      </c>
      <c r="D28" s="42">
        <f t="shared" si="2"/>
        <v>0.49928373749484878</v>
      </c>
      <c r="E28" s="42">
        <f t="shared" si="2"/>
        <v>0.45174194031478221</v>
      </c>
      <c r="F28" s="42">
        <f t="shared" si="2"/>
        <v>0.41060521917221771</v>
      </c>
      <c r="G28" s="43">
        <f t="shared" si="2"/>
        <v>0.35675083668519786</v>
      </c>
      <c r="I28" s="22">
        <f t="shared" si="3"/>
        <v>1.3494999999999999</v>
      </c>
      <c r="J28" s="22">
        <f t="shared" si="4"/>
        <v>1.3915</v>
      </c>
      <c r="K28" s="22">
        <f t="shared" si="4"/>
        <v>1.4597500000000001</v>
      </c>
      <c r="L28" s="22">
        <f t="shared" si="4"/>
        <v>1.5385</v>
      </c>
      <c r="M28" s="22">
        <f t="shared" si="4"/>
        <v>1.68025</v>
      </c>
    </row>
    <row r="29" spans="2:13">
      <c r="B29" s="25">
        <v>1.3</v>
      </c>
      <c r="C29" s="42">
        <f t="shared" si="5"/>
        <v>0.50529073159311966</v>
      </c>
      <c r="D29" s="42">
        <f t="shared" si="2"/>
        <v>0.47033863238929946</v>
      </c>
      <c r="E29" s="42">
        <f t="shared" si="2"/>
        <v>0.42688155639326525</v>
      </c>
      <c r="F29" s="42">
        <f t="shared" si="2"/>
        <v>0.38881796173980432</v>
      </c>
      <c r="G29" s="43">
        <f t="shared" si="2"/>
        <v>0.3385390470834681</v>
      </c>
      <c r="I29" s="22">
        <f t="shared" si="3"/>
        <v>1.4165000000000001</v>
      </c>
      <c r="J29" s="22">
        <f t="shared" si="4"/>
        <v>1.4605000000000001</v>
      </c>
      <c r="K29" s="22">
        <f t="shared" si="4"/>
        <v>1.532</v>
      </c>
      <c r="L29" s="22">
        <f t="shared" si="4"/>
        <v>1.6145</v>
      </c>
      <c r="M29" s="22">
        <f t="shared" si="4"/>
        <v>1.7630000000000001</v>
      </c>
    </row>
    <row r="30" spans="2:13">
      <c r="B30" s="25">
        <v>1.35</v>
      </c>
      <c r="C30" s="42">
        <f t="shared" si="5"/>
        <v>0.47459847361589041</v>
      </c>
      <c r="D30" s="42">
        <f t="shared" si="2"/>
        <v>0.44321520350289151</v>
      </c>
      <c r="E30" s="42">
        <f t="shared" si="2"/>
        <v>0.40354480253579889</v>
      </c>
      <c r="F30" s="42">
        <f t="shared" si="2"/>
        <v>0.36837292308574704</v>
      </c>
      <c r="G30" s="43">
        <f t="shared" si="2"/>
        <v>0.32148136412247991</v>
      </c>
      <c r="I30" s="22">
        <f t="shared" si="3"/>
        <v>1.4860000000000002</v>
      </c>
      <c r="J30" s="22">
        <f t="shared" si="4"/>
        <v>1.532</v>
      </c>
      <c r="K30" s="22">
        <f t="shared" si="4"/>
        <v>1.6067500000000001</v>
      </c>
      <c r="L30" s="22">
        <f t="shared" si="4"/>
        <v>1.6930000000000001</v>
      </c>
      <c r="M30" s="22">
        <f t="shared" si="4"/>
        <v>1.8482500000000002</v>
      </c>
    </row>
    <row r="31" spans="2:13">
      <c r="B31" s="25">
        <v>1.4</v>
      </c>
      <c r="C31" s="42">
        <f t="shared" si="5"/>
        <v>0.44610191006368144</v>
      </c>
      <c r="D31" s="42">
        <f t="shared" si="2"/>
        <v>0.41790025644422596</v>
      </c>
      <c r="E31" s="42">
        <f t="shared" si="2"/>
        <v>0.38169806832123421</v>
      </c>
      <c r="F31" s="42">
        <f t="shared" si="2"/>
        <v>0.34921929899281373</v>
      </c>
      <c r="G31" s="43">
        <f t="shared" si="2"/>
        <v>0.30551169974585057</v>
      </c>
      <c r="I31" s="22">
        <f t="shared" si="3"/>
        <v>1.5579999999999998</v>
      </c>
      <c r="J31" s="22">
        <f t="shared" si="4"/>
        <v>1.6059999999999999</v>
      </c>
      <c r="K31" s="22">
        <f t="shared" si="4"/>
        <v>1.6839999999999997</v>
      </c>
      <c r="L31" s="22">
        <f t="shared" si="4"/>
        <v>1.774</v>
      </c>
      <c r="M31" s="22">
        <f t="shared" si="4"/>
        <v>1.9359999999999999</v>
      </c>
    </row>
    <row r="32" spans="2:13">
      <c r="B32" s="25">
        <v>1.45</v>
      </c>
      <c r="C32" s="42">
        <f t="shared" si="5"/>
        <v>0.41972057119498363</v>
      </c>
      <c r="D32" s="42">
        <f t="shared" si="2"/>
        <v>0.39433597778545887</v>
      </c>
      <c r="E32" s="42">
        <f t="shared" si="2"/>
        <v>0.36128493387459304</v>
      </c>
      <c r="F32" s="42">
        <f t="shared" si="2"/>
        <v>0.33129580007441661</v>
      </c>
      <c r="G32" s="43">
        <f t="shared" si="2"/>
        <v>0.29056332122200634</v>
      </c>
      <c r="I32" s="22">
        <f t="shared" si="3"/>
        <v>1.6325000000000001</v>
      </c>
      <c r="J32" s="22">
        <f t="shared" si="4"/>
        <v>1.6825000000000001</v>
      </c>
      <c r="K32" s="22">
        <f t="shared" si="4"/>
        <v>1.7637499999999999</v>
      </c>
      <c r="L32" s="22">
        <f t="shared" si="4"/>
        <v>1.8574999999999999</v>
      </c>
      <c r="M32" s="22">
        <f t="shared" si="4"/>
        <v>2.0262500000000001</v>
      </c>
    </row>
    <row r="33" spans="2:13">
      <c r="B33" s="26">
        <v>1.5</v>
      </c>
      <c r="C33" s="44">
        <f t="shared" si="5"/>
        <v>0.39533597561933465</v>
      </c>
      <c r="D33" s="44">
        <f t="shared" si="2"/>
        <v>0.37243722559437309</v>
      </c>
      <c r="E33" s="44">
        <f t="shared" si="2"/>
        <v>0.3422346139564999</v>
      </c>
      <c r="F33" s="44">
        <f t="shared" si="2"/>
        <v>0.31453502185079096</v>
      </c>
      <c r="G33" s="45">
        <f t="shared" si="2"/>
        <v>0.2765703377475231</v>
      </c>
      <c r="I33" s="22">
        <f t="shared" si="3"/>
        <v>1.7095</v>
      </c>
      <c r="J33" s="22">
        <f t="shared" si="4"/>
        <v>1.7615000000000001</v>
      </c>
      <c r="K33" s="22">
        <f t="shared" si="4"/>
        <v>1.8460000000000001</v>
      </c>
      <c r="L33" s="22">
        <f t="shared" si="4"/>
        <v>1.9435</v>
      </c>
      <c r="M33" s="22">
        <f t="shared" si="4"/>
        <v>2.1189999999999998</v>
      </c>
    </row>
    <row r="34" spans="2:13">
      <c r="B34" s="25">
        <v>1.55</v>
      </c>
      <c r="C34" s="67">
        <f t="shared" si="5"/>
        <v>0.37281156655716419</v>
      </c>
      <c r="D34" s="67">
        <f t="shared" si="2"/>
        <v>0.35210397162959961</v>
      </c>
      <c r="E34" s="67">
        <f t="shared" si="2"/>
        <v>0.32446833702002154</v>
      </c>
      <c r="F34" s="67">
        <f t="shared" si="2"/>
        <v>0.29886676276624358</v>
      </c>
      <c r="G34" s="68">
        <f t="shared" si="2"/>
        <v>0.26346876815769937</v>
      </c>
      <c r="I34" s="22">
        <f t="shared" si="3"/>
        <v>1.7890000000000001</v>
      </c>
      <c r="J34" s="22">
        <f t="shared" si="4"/>
        <v>1.8430000000000002</v>
      </c>
      <c r="K34" s="22">
        <f t="shared" si="4"/>
        <v>1.9307500000000002</v>
      </c>
      <c r="L34" s="22">
        <f t="shared" si="4"/>
        <v>2.032</v>
      </c>
      <c r="M34" s="22">
        <f t="shared" si="4"/>
        <v>2.2142499999999998</v>
      </c>
    </row>
    <row r="35" spans="2:13">
      <c r="B35" s="25">
        <v>1.6</v>
      </c>
      <c r="C35" s="67">
        <f t="shared" si="5"/>
        <v>0.35200527904036716</v>
      </c>
      <c r="D35" s="67">
        <f t="shared" si="2"/>
        <v>0.33322985856824489</v>
      </c>
      <c r="E35" s="67">
        <f t="shared" si="2"/>
        <v>0.30790397212191123</v>
      </c>
      <c r="F35" s="67">
        <f t="shared" si="2"/>
        <v>0.2842204520235832</v>
      </c>
      <c r="G35" s="68">
        <f t="shared" si="2"/>
        <v>0.25119726963029093</v>
      </c>
      <c r="I35" s="22">
        <f t="shared" si="3"/>
        <v>1.8710000000000002</v>
      </c>
      <c r="J35" s="22">
        <f t="shared" si="4"/>
        <v>1.9270000000000003</v>
      </c>
      <c r="K35" s="22">
        <f t="shared" si="4"/>
        <v>2.0180000000000002</v>
      </c>
      <c r="L35" s="22">
        <f t="shared" si="4"/>
        <v>2.1230000000000002</v>
      </c>
      <c r="M35" s="22">
        <f t="shared" si="4"/>
        <v>2.3120000000000003</v>
      </c>
    </row>
    <row r="36" spans="2:13">
      <c r="B36" s="25">
        <v>1.65</v>
      </c>
      <c r="C36" s="67">
        <f t="shared" si="5"/>
        <v>0.3327771194038831</v>
      </c>
      <c r="D36" s="67">
        <f t="shared" si="2"/>
        <v>0.3157078505575428</v>
      </c>
      <c r="E36" s="67">
        <f t="shared" si="2"/>
        <v>0.2924592598259334</v>
      </c>
      <c r="F36" s="67">
        <f t="shared" si="2"/>
        <v>0.27052685951503874</v>
      </c>
      <c r="G36" s="68">
        <f t="shared" si="2"/>
        <v>0.23969760040947419</v>
      </c>
      <c r="I36" s="22">
        <f t="shared" si="3"/>
        <v>1.9554999999999998</v>
      </c>
      <c r="J36" s="22">
        <f t="shared" si="4"/>
        <v>2.0134999999999996</v>
      </c>
      <c r="K36" s="22">
        <f t="shared" si="4"/>
        <v>2.1077499999999998</v>
      </c>
      <c r="L36" s="22">
        <f t="shared" si="4"/>
        <v>2.2164999999999999</v>
      </c>
      <c r="M36" s="22">
        <f t="shared" si="4"/>
        <v>2.4122499999999998</v>
      </c>
    </row>
    <row r="37" spans="2:13">
      <c r="B37" s="25">
        <v>1.7</v>
      </c>
      <c r="C37" s="67">
        <f t="shared" si="5"/>
        <v>0.31499348589967441</v>
      </c>
      <c r="D37" s="67">
        <f t="shared" si="2"/>
        <v>0.29943380270109748</v>
      </c>
      <c r="E37" s="67">
        <f t="shared" si="2"/>
        <v>0.27805397772425816</v>
      </c>
      <c r="F37" s="67">
        <f t="shared" si="2"/>
        <v>0.25771924710128713</v>
      </c>
      <c r="G37" s="68">
        <f t="shared" si="2"/>
        <v>0.22891487946176931</v>
      </c>
      <c r="I37" s="22">
        <f t="shared" si="3"/>
        <v>2.0425</v>
      </c>
      <c r="J37" s="22">
        <f t="shared" si="4"/>
        <v>2.1025</v>
      </c>
      <c r="K37" s="22">
        <f t="shared" si="4"/>
        <v>2.1999999999999997</v>
      </c>
      <c r="L37" s="22">
        <f t="shared" si="4"/>
        <v>2.3125</v>
      </c>
      <c r="M37" s="22">
        <f t="shared" si="4"/>
        <v>2.5149999999999997</v>
      </c>
    </row>
    <row r="38" spans="2:13">
      <c r="B38" s="25">
        <v>1.75</v>
      </c>
      <c r="C38" s="67">
        <f t="shared" si="5"/>
        <v>0.29852941398460242</v>
      </c>
      <c r="D38" s="67">
        <f t="shared" si="2"/>
        <v>0.2843085866070183</v>
      </c>
      <c r="E38" s="67">
        <f t="shared" si="2"/>
        <v>0.26461131858305487</v>
      </c>
      <c r="F38" s="67">
        <f t="shared" si="2"/>
        <v>0.24573409743805991</v>
      </c>
      <c r="G38" s="68">
        <f t="shared" si="2"/>
        <v>0.21879769508281821</v>
      </c>
      <c r="I38" s="22">
        <f t="shared" si="3"/>
        <v>2.1320000000000001</v>
      </c>
      <c r="J38" s="22">
        <f t="shared" si="4"/>
        <v>2.194</v>
      </c>
      <c r="K38" s="22">
        <f t="shared" si="4"/>
        <v>2.2947500000000001</v>
      </c>
      <c r="L38" s="22">
        <f t="shared" si="4"/>
        <v>2.411</v>
      </c>
      <c r="M38" s="22">
        <f t="shared" si="4"/>
        <v>2.62025</v>
      </c>
    </row>
    <row r="39" spans="2:13">
      <c r="B39" s="25">
        <v>1.8</v>
      </c>
      <c r="C39" s="67">
        <f t="shared" si="5"/>
        <v>0.28326953031756213</v>
      </c>
      <c r="D39" s="67">
        <f t="shared" si="2"/>
        <v>0.27023923911780062</v>
      </c>
      <c r="E39" s="67">
        <f t="shared" si="2"/>
        <v>0.25205870162379818</v>
      </c>
      <c r="F39" s="67">
        <f t="shared" si="2"/>
        <v>0.23451153120921431</v>
      </c>
      <c r="G39" s="68">
        <f t="shared" si="2"/>
        <v>0.20929810417345043</v>
      </c>
      <c r="I39" s="22">
        <f t="shared" si="3"/>
        <v>2.2240000000000002</v>
      </c>
      <c r="J39" s="22">
        <f t="shared" si="4"/>
        <v>2.2880000000000003</v>
      </c>
      <c r="K39" s="22">
        <f t="shared" si="4"/>
        <v>2.3920000000000003</v>
      </c>
      <c r="L39" s="22">
        <f t="shared" si="4"/>
        <v>2.512</v>
      </c>
      <c r="M39" s="22">
        <f t="shared" si="4"/>
        <v>2.7280000000000002</v>
      </c>
    </row>
    <row r="40" spans="2:13">
      <c r="B40" s="25">
        <v>1.85</v>
      </c>
      <c r="C40" s="67">
        <f t="shared" si="5"/>
        <v>0.26910822446159105</v>
      </c>
      <c r="D40" s="67">
        <f t="shared" si="2"/>
        <v>0.25713946580794639</v>
      </c>
      <c r="E40" s="67">
        <f t="shared" si="2"/>
        <v>0.24032818529720698</v>
      </c>
      <c r="F40" s="67">
        <f t="shared" si="2"/>
        <v>0.22399549994842963</v>
      </c>
      <c r="G40" s="68">
        <f t="shared" si="2"/>
        <v>0.20037155484304051</v>
      </c>
      <c r="I40" s="22">
        <f t="shared" si="3"/>
        <v>2.3185000000000002</v>
      </c>
      <c r="J40" s="22">
        <f t="shared" si="4"/>
        <v>2.3845000000000001</v>
      </c>
      <c r="K40" s="22">
        <f t="shared" si="4"/>
        <v>2.4917500000000001</v>
      </c>
      <c r="L40" s="22">
        <f t="shared" si="4"/>
        <v>2.6154999999999999</v>
      </c>
      <c r="M40" s="22">
        <f t="shared" si="4"/>
        <v>2.8382500000000004</v>
      </c>
    </row>
    <row r="41" spans="2:13">
      <c r="B41" s="25">
        <v>1.9</v>
      </c>
      <c r="C41" s="67">
        <f t="shared" si="5"/>
        <v>0.25594936408063451</v>
      </c>
      <c r="D41" s="67">
        <f t="shared" si="2"/>
        <v>0.24492972947249586</v>
      </c>
      <c r="E41" s="67">
        <f t="shared" si="2"/>
        <v>0.22935660667274893</v>
      </c>
      <c r="F41" s="67">
        <f t="shared" si="2"/>
        <v>0.21413382128118802</v>
      </c>
      <c r="G41" s="68">
        <f t="shared" si="2"/>
        <v>0.19197675738971745</v>
      </c>
      <c r="I41" s="22">
        <f t="shared" si="3"/>
        <v>2.4154999999999998</v>
      </c>
      <c r="J41" s="22">
        <f t="shared" si="4"/>
        <v>2.4834999999999998</v>
      </c>
      <c r="K41" s="22">
        <f t="shared" si="4"/>
        <v>2.5939999999999999</v>
      </c>
      <c r="L41" s="22">
        <f t="shared" si="4"/>
        <v>2.7214999999999998</v>
      </c>
      <c r="M41" s="22">
        <f t="shared" si="4"/>
        <v>2.9509999999999996</v>
      </c>
    </row>
    <row r="42" spans="2:13">
      <c r="B42" s="25">
        <v>1.95</v>
      </c>
      <c r="C42" s="67">
        <f t="shared" si="5"/>
        <v>0.2437057596162327</v>
      </c>
      <c r="D42" s="67">
        <f t="shared" si="2"/>
        <v>0.23353708079908578</v>
      </c>
      <c r="E42" s="67">
        <f t="shared" si="2"/>
        <v>0.21908553855696924</v>
      </c>
      <c r="F42" s="67">
        <f t="shared" si="2"/>
        <v>0.20487810679103663</v>
      </c>
      <c r="G42" s="68">
        <f t="shared" si="2"/>
        <v>0.18407552252146206</v>
      </c>
      <c r="I42" s="22">
        <f t="shared" si="3"/>
        <v>2.5149999999999997</v>
      </c>
      <c r="J42" s="22">
        <f t="shared" si="4"/>
        <v>2.585</v>
      </c>
      <c r="K42" s="22">
        <f t="shared" si="4"/>
        <v>2.69875</v>
      </c>
      <c r="L42" s="22">
        <f t="shared" si="4"/>
        <v>2.83</v>
      </c>
      <c r="M42" s="22">
        <f t="shared" si="4"/>
        <v>3.0662500000000001</v>
      </c>
    </row>
    <row r="43" spans="2:13">
      <c r="B43" s="26">
        <v>2</v>
      </c>
      <c r="C43" s="69">
        <f t="shared" si="5"/>
        <v>0.23229850693474255</v>
      </c>
      <c r="D43" s="69">
        <f t="shared" si="2"/>
        <v>0.22289483701641971</v>
      </c>
      <c r="E43" s="69">
        <f t="shared" si="2"/>
        <v>0.20946112958425731</v>
      </c>
      <c r="F43" s="69">
        <f t="shared" si="2"/>
        <v>0.19618361957918393</v>
      </c>
      <c r="G43" s="70">
        <f t="shared" si="2"/>
        <v>0.17663258077293084</v>
      </c>
      <c r="I43" s="22">
        <f t="shared" si="3"/>
        <v>2.617</v>
      </c>
      <c r="J43" s="22">
        <f t="shared" si="4"/>
        <v>2.6890000000000001</v>
      </c>
      <c r="K43" s="22">
        <f t="shared" si="4"/>
        <v>2.806</v>
      </c>
      <c r="L43" s="22">
        <f t="shared" si="4"/>
        <v>2.9409999999999998</v>
      </c>
      <c r="M43" s="22">
        <f t="shared" si="4"/>
        <v>3.1840000000000002</v>
      </c>
    </row>
  </sheetData>
  <sheetProtection sheet="1" objects="1" scenarios="1" selectLockedCells="1"/>
  <mergeCells count="1">
    <mergeCell ref="C4:G4"/>
  </mergeCells>
  <phoneticPr fontId="0" type="noConversion"/>
  <pageMargins left="0.75" right="0.75" top="1" bottom="1" header="0" footer="0"/>
  <pageSetup paperSize="9" orientation="portrait" horizontalDpi="300" verticalDpi="300" r:id="rId1"/>
  <headerFooter alignWithMargins="0"/>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Hoja8"/>
  <dimension ref="A1:BE79"/>
  <sheetViews>
    <sheetView topLeftCell="D7" workbookViewId="0">
      <selection activeCell="P37" sqref="P37"/>
    </sheetView>
  </sheetViews>
  <sheetFormatPr baseColWidth="10" defaultRowHeight="12.75"/>
  <cols>
    <col min="1" max="1" width="4.140625" customWidth="1"/>
    <col min="2" max="2" width="12.7109375" customWidth="1"/>
    <col min="3" max="3" width="5.5703125" customWidth="1"/>
    <col min="4" max="4" width="11.7109375" bestFit="1" customWidth="1"/>
    <col min="5" max="5" width="13" bestFit="1" customWidth="1"/>
    <col min="7" max="7" width="9.28515625" customWidth="1"/>
    <col min="8" max="8" width="9.7109375" customWidth="1"/>
    <col min="9" max="9" width="12.28515625" customWidth="1"/>
    <col min="13" max="13" width="3.140625" customWidth="1"/>
    <col min="14" max="14" width="4.85546875" customWidth="1"/>
  </cols>
  <sheetData>
    <row r="1" spans="1:57" ht="19.5">
      <c r="M1" s="1194"/>
      <c r="N1" s="334"/>
      <c r="O1" s="1185"/>
      <c r="P1" s="1186" t="s">
        <v>79</v>
      </c>
      <c r="Q1" s="1187" t="s">
        <v>1025</v>
      </c>
      <c r="R1" s="334"/>
      <c r="W1" s="334"/>
      <c r="X1" s="334"/>
      <c r="Y1" s="334"/>
      <c r="Z1" s="334"/>
      <c r="AA1" s="334"/>
      <c r="AB1" s="334"/>
      <c r="AC1" s="334"/>
      <c r="AD1" s="334"/>
      <c r="AE1" s="334"/>
      <c r="AF1" s="334"/>
      <c r="AG1" s="334"/>
      <c r="AH1" s="334"/>
      <c r="AI1" s="334"/>
      <c r="AJ1" s="334"/>
      <c r="AK1" s="334"/>
      <c r="AL1" s="334"/>
      <c r="AM1" s="334"/>
      <c r="AN1" s="334"/>
      <c r="AO1" s="334"/>
      <c r="AP1" s="334"/>
      <c r="AQ1" s="334"/>
      <c r="AR1" s="334"/>
      <c r="AS1" s="334"/>
      <c r="AT1" s="334"/>
      <c r="AU1" s="334"/>
      <c r="AV1" s="334"/>
    </row>
    <row r="2" spans="1:57" ht="15.75">
      <c r="A2" s="1181" t="s">
        <v>2856</v>
      </c>
      <c r="B2" s="1166" t="s">
        <v>53</v>
      </c>
      <c r="C2" s="563"/>
      <c r="D2" s="563"/>
      <c r="E2" s="1181" t="s">
        <v>2738</v>
      </c>
      <c r="F2" s="1165" t="s">
        <v>2842</v>
      </c>
      <c r="G2" s="1165" t="s">
        <v>986</v>
      </c>
      <c r="H2" s="1167" t="s">
        <v>2852</v>
      </c>
      <c r="I2" s="1170" t="s">
        <v>2853</v>
      </c>
      <c r="J2" s="1166" t="s">
        <v>2857</v>
      </c>
      <c r="M2" s="1194"/>
      <c r="N2" s="334"/>
      <c r="O2" s="1188"/>
      <c r="P2" s="333" t="s">
        <v>105</v>
      </c>
      <c r="Q2" s="1189" t="s">
        <v>1039</v>
      </c>
      <c r="R2" s="334"/>
      <c r="S2" s="1174" t="s">
        <v>2834</v>
      </c>
      <c r="T2" s="1175" t="s">
        <v>2834</v>
      </c>
      <c r="U2" s="1176" t="s">
        <v>2453</v>
      </c>
      <c r="V2" s="1177" t="s">
        <v>2453</v>
      </c>
      <c r="W2" s="1199" t="str">
        <f>J2</f>
        <v>Reduc. Iner.</v>
      </c>
      <c r="X2" s="334"/>
      <c r="Y2" s="334"/>
      <c r="Z2" s="334"/>
      <c r="AA2" s="334"/>
      <c r="AB2" s="334"/>
      <c r="AC2" s="334"/>
      <c r="AD2" s="334"/>
      <c r="AE2" s="334"/>
      <c r="AF2" s="334"/>
      <c r="AG2" s="334"/>
      <c r="AH2" s="334"/>
      <c r="AI2" s="334"/>
      <c r="AJ2" s="334"/>
      <c r="AK2" s="334"/>
      <c r="AL2" s="334"/>
      <c r="AM2" s="334"/>
      <c r="AN2" s="334"/>
      <c r="AO2" s="334"/>
      <c r="AP2" s="334"/>
      <c r="AQ2" s="334"/>
      <c r="AR2" s="334"/>
      <c r="AS2" s="334"/>
      <c r="AT2" s="334"/>
      <c r="AU2" s="334"/>
      <c r="AV2" s="334"/>
    </row>
    <row r="3" spans="1:57" ht="15.75">
      <c r="A3" s="8">
        <v>1</v>
      </c>
      <c r="B3" s="1162" t="s">
        <v>2832</v>
      </c>
      <c r="C3" s="1163" t="s">
        <v>2836</v>
      </c>
      <c r="D3" s="1163" t="s">
        <v>67</v>
      </c>
      <c r="E3" s="1164" t="s">
        <v>343</v>
      </c>
      <c r="F3" s="791">
        <v>0</v>
      </c>
      <c r="G3" s="1210">
        <v>2100000</v>
      </c>
      <c r="H3" s="1168">
        <f t="shared" ref="H3:H8" si="0">Q3</f>
        <v>36660</v>
      </c>
      <c r="I3" s="1169">
        <f>10*G3*F3/H3*U3</f>
        <v>0</v>
      </c>
      <c r="M3" s="1194"/>
      <c r="N3" s="334"/>
      <c r="O3" s="1190" t="str">
        <f t="shared" ref="O3:O8" si="1">E3</f>
        <v>HE 340 B</v>
      </c>
      <c r="P3" s="1161">
        <f>VLOOKUP(O3,IPE!R7:AE96,2,FALSE)</f>
        <v>134</v>
      </c>
      <c r="Q3" s="1191">
        <f>VLOOKUP(O3,IPE!$R$7:$AE$96,3,FALSE)</f>
        <v>36660</v>
      </c>
      <c r="R3" s="334"/>
      <c r="S3" s="1178" t="s">
        <v>2835</v>
      </c>
      <c r="T3" s="7">
        <v>1</v>
      </c>
      <c r="U3" s="7">
        <f>IF(C3=$S$3,$T$3,$T$4)</f>
        <v>0</v>
      </c>
      <c r="V3" s="350"/>
      <c r="W3" s="1200">
        <v>1</v>
      </c>
      <c r="X3" s="334"/>
      <c r="Y3" s="334"/>
      <c r="Z3" s="334"/>
      <c r="AA3" s="334"/>
      <c r="AB3" s="334"/>
      <c r="AC3" s="334"/>
      <c r="AD3" s="334"/>
      <c r="AE3" s="334"/>
      <c r="AF3" s="334"/>
      <c r="AG3" s="334"/>
      <c r="AH3" s="334"/>
      <c r="AI3" s="334"/>
      <c r="AJ3" s="334"/>
      <c r="AK3" s="334"/>
      <c r="AL3" s="334"/>
      <c r="AM3" s="334"/>
      <c r="AN3" s="334"/>
      <c r="AO3" s="334"/>
      <c r="AP3" s="334"/>
      <c r="AQ3" s="334"/>
      <c r="AR3" s="334"/>
      <c r="AS3" s="334"/>
      <c r="AT3" s="334"/>
      <c r="AU3" s="334"/>
      <c r="AV3" s="334"/>
    </row>
    <row r="4" spans="1:57" ht="15.75">
      <c r="A4" s="8">
        <v>2</v>
      </c>
      <c r="B4" s="1183" t="s">
        <v>2833</v>
      </c>
      <c r="C4" s="791" t="s">
        <v>2835</v>
      </c>
      <c r="D4" s="791" t="s">
        <v>68</v>
      </c>
      <c r="E4" s="889" t="s">
        <v>158</v>
      </c>
      <c r="F4" s="791">
        <v>20</v>
      </c>
      <c r="G4" s="82">
        <f>G3</f>
        <v>2100000</v>
      </c>
      <c r="H4" s="1168">
        <f t="shared" si="0"/>
        <v>33740</v>
      </c>
      <c r="I4" s="1169">
        <f>10*G4*F4/H4*U4*J4</f>
        <v>9958.5062240663901</v>
      </c>
      <c r="J4" s="1207">
        <v>0.8</v>
      </c>
      <c r="M4" s="1194"/>
      <c r="O4" s="1190" t="str">
        <f t="shared" si="1"/>
        <v>IPE 450</v>
      </c>
      <c r="P4" s="7">
        <f>VLOOKUP(O4,IPE!$R$7:$AE$96,2,FALSE)</f>
        <v>77.599999999999994</v>
      </c>
      <c r="Q4" s="1191">
        <f>VLOOKUP(O4,IPE!$R$7:$AE$96,3,FALSE)</f>
        <v>33740</v>
      </c>
      <c r="R4" s="334"/>
      <c r="S4" s="1178" t="s">
        <v>2836</v>
      </c>
      <c r="T4" s="7">
        <v>0</v>
      </c>
      <c r="U4" s="7">
        <f>IF(C4=$S$3,$T$3,$T$4)</f>
        <v>1</v>
      </c>
      <c r="V4" s="350"/>
      <c r="W4" s="1200">
        <v>0.8</v>
      </c>
      <c r="X4" s="334"/>
      <c r="Y4" s="334"/>
      <c r="Z4" s="334"/>
      <c r="AA4" s="334"/>
      <c r="AB4" s="334"/>
      <c r="AC4" s="334"/>
      <c r="AD4" s="334"/>
      <c r="AE4" s="334"/>
      <c r="AF4" s="334"/>
      <c r="AG4" s="334"/>
      <c r="AH4" s="334"/>
      <c r="AI4" s="334"/>
      <c r="AJ4" s="334"/>
      <c r="AK4" s="334"/>
      <c r="AL4" s="334"/>
      <c r="AM4" s="334"/>
      <c r="AN4" s="334"/>
      <c r="AO4" s="334"/>
      <c r="AP4" s="334"/>
      <c r="AQ4" s="334"/>
      <c r="AR4" s="334"/>
      <c r="AS4" s="334"/>
      <c r="AT4" s="334"/>
      <c r="AU4" s="334"/>
      <c r="AV4" s="334"/>
    </row>
    <row r="5" spans="1:57" ht="15.75">
      <c r="A5" s="8">
        <v>3</v>
      </c>
      <c r="B5" s="1162" t="s">
        <v>2831</v>
      </c>
      <c r="C5" s="791" t="s">
        <v>2836</v>
      </c>
      <c r="D5" s="791" t="s">
        <v>67</v>
      </c>
      <c r="E5" s="889" t="s">
        <v>186</v>
      </c>
      <c r="F5" s="791">
        <v>8</v>
      </c>
      <c r="G5" s="82">
        <f>G4</f>
        <v>2100000</v>
      </c>
      <c r="H5" s="1168">
        <f t="shared" si="0"/>
        <v>864.4</v>
      </c>
      <c r="I5" s="1169">
        <f>10*G5*F5/H5*U5</f>
        <v>0</v>
      </c>
      <c r="M5" s="1195"/>
      <c r="N5" s="330"/>
      <c r="O5" s="1190" t="str">
        <f t="shared" si="1"/>
        <v>HE 120 B</v>
      </c>
      <c r="P5" s="7">
        <f>VLOOKUP(O5,IPE!$R$7:$AE$96,2,FALSE)</f>
        <v>26.7</v>
      </c>
      <c r="Q5" s="1191">
        <f>VLOOKUP(O5,IPE!$R$7:$AE$96,3,FALSE)</f>
        <v>864.4</v>
      </c>
      <c r="R5" s="334"/>
      <c r="S5" s="1178" t="s">
        <v>2848</v>
      </c>
      <c r="T5" s="7">
        <v>1</v>
      </c>
      <c r="U5" s="7">
        <f>IF(C5=$S$3,$T$3,$T$4)</f>
        <v>0</v>
      </c>
      <c r="V5" s="350"/>
      <c r="W5" s="1200"/>
      <c r="X5" s="334"/>
      <c r="Y5" s="334"/>
      <c r="Z5" s="334"/>
      <c r="AA5" s="334"/>
      <c r="AB5" s="334"/>
      <c r="AC5" s="334"/>
      <c r="AD5" s="334"/>
      <c r="AE5" s="334"/>
      <c r="AF5" s="334"/>
      <c r="AG5" s="334"/>
      <c r="AH5" s="334"/>
      <c r="AI5" s="334"/>
      <c r="AJ5" s="334"/>
      <c r="AK5" s="334"/>
      <c r="AL5" s="334"/>
      <c r="AM5" s="334"/>
      <c r="AN5" s="334"/>
      <c r="AO5" s="334"/>
      <c r="AP5" s="334"/>
      <c r="AQ5" s="334"/>
      <c r="AR5" s="334"/>
      <c r="AS5" s="334"/>
      <c r="AT5" s="334"/>
      <c r="AU5" s="334"/>
      <c r="AV5" s="334"/>
    </row>
    <row r="6" spans="1:57" ht="15.75">
      <c r="A6" s="8">
        <v>4</v>
      </c>
      <c r="B6" s="1183" t="s">
        <v>2839</v>
      </c>
      <c r="C6" s="791" t="s">
        <v>2835</v>
      </c>
      <c r="D6" s="791" t="s">
        <v>67</v>
      </c>
      <c r="E6" s="889" t="s">
        <v>204</v>
      </c>
      <c r="F6" s="791">
        <v>6</v>
      </c>
      <c r="G6" s="82">
        <f>G5</f>
        <v>2100000</v>
      </c>
      <c r="H6" s="1168">
        <f t="shared" si="0"/>
        <v>1509</v>
      </c>
      <c r="I6" s="1169">
        <f>10*G6*F6/H6*U6</f>
        <v>83499.00596421471</v>
      </c>
      <c r="M6" s="1079"/>
      <c r="O6" s="1190" t="str">
        <f t="shared" si="1"/>
        <v>HE 140 B</v>
      </c>
      <c r="P6" s="7">
        <f>VLOOKUP(O6,IPE!$R$7:$AE$96,2,FALSE)</f>
        <v>33.700000000000003</v>
      </c>
      <c r="Q6" s="1191">
        <f>VLOOKUP(O6,IPE!$R$7:$AE$96,3,FALSE)</f>
        <v>1509</v>
      </c>
      <c r="R6" s="334"/>
      <c r="S6" s="1178" t="s">
        <v>2840</v>
      </c>
      <c r="T6" s="7">
        <v>0</v>
      </c>
      <c r="U6" s="7">
        <f>IF(C6=$S$3,$T$3,$T$4)</f>
        <v>1</v>
      </c>
      <c r="V6" s="350"/>
      <c r="W6" s="1200"/>
      <c r="X6" s="334"/>
      <c r="Y6" s="334"/>
      <c r="Z6" s="334"/>
      <c r="AA6" s="334"/>
      <c r="AB6" s="334"/>
      <c r="AC6" s="334"/>
      <c r="AD6" s="334"/>
      <c r="AE6" s="334"/>
      <c r="AF6" s="334"/>
      <c r="AG6" s="334"/>
      <c r="AH6" s="334"/>
      <c r="AI6" s="334"/>
      <c r="AJ6" s="334"/>
      <c r="AK6" s="334"/>
      <c r="AL6" s="334"/>
      <c r="AM6" s="334"/>
      <c r="AN6" s="334"/>
      <c r="AO6" s="334"/>
      <c r="AP6" s="334"/>
      <c r="AQ6" s="334"/>
      <c r="AR6" s="334"/>
      <c r="AS6" s="334"/>
      <c r="AT6" s="334"/>
      <c r="AU6" s="334"/>
      <c r="AV6" s="334"/>
    </row>
    <row r="7" spans="1:57" ht="15.75">
      <c r="A7" s="8">
        <v>5</v>
      </c>
      <c r="B7" s="1184" t="s">
        <v>2840</v>
      </c>
      <c r="C7" s="791" t="s">
        <v>2835</v>
      </c>
      <c r="D7" s="791" t="s">
        <v>463</v>
      </c>
      <c r="E7" s="889" t="s">
        <v>495</v>
      </c>
      <c r="F7" s="791">
        <v>6</v>
      </c>
      <c r="G7" s="82">
        <f>G6</f>
        <v>2100000</v>
      </c>
      <c r="H7" s="1168">
        <f t="shared" si="0"/>
        <v>3291</v>
      </c>
      <c r="I7" s="1169">
        <f>10*G7*F7/H7*U7</f>
        <v>0</v>
      </c>
      <c r="M7" s="1079"/>
      <c r="O7" s="1190" t="str">
        <f t="shared" si="1"/>
        <v>HE 140 M</v>
      </c>
      <c r="P7" s="7">
        <f>VLOOKUP(O7,IPE!$R$7:$AE$96,2,FALSE)</f>
        <v>63.2</v>
      </c>
      <c r="Q7" s="1191">
        <f>VLOOKUP(O7,IPE!$R$7:$AE$96,3,FALSE)</f>
        <v>3291</v>
      </c>
      <c r="R7" s="334"/>
      <c r="S7" s="1178" t="s">
        <v>2841</v>
      </c>
      <c r="T7" s="7">
        <v>1</v>
      </c>
      <c r="U7" s="7">
        <f>IF(B7=S5,T5,IF(B7=S6,T6,T7))</f>
        <v>0</v>
      </c>
      <c r="V7" s="350">
        <f>(I6+I8)/(I6+I7+I8)</f>
        <v>1</v>
      </c>
      <c r="W7" s="1200"/>
      <c r="X7" s="334"/>
      <c r="Y7" s="334"/>
      <c r="Z7" s="334"/>
      <c r="AA7" s="334"/>
      <c r="AB7" s="334"/>
      <c r="AC7" s="334"/>
      <c r="AD7" s="334"/>
      <c r="AE7" s="334"/>
      <c r="AF7" s="334"/>
      <c r="AG7" s="334"/>
      <c r="AH7" s="334"/>
      <c r="AI7" s="334"/>
      <c r="AJ7" s="334"/>
      <c r="AK7" s="334"/>
      <c r="AL7" s="334"/>
      <c r="AM7" s="334"/>
      <c r="AN7" s="334"/>
      <c r="AO7" s="334"/>
      <c r="AP7" s="334"/>
      <c r="AQ7" s="334"/>
      <c r="AR7" s="334"/>
      <c r="AS7" s="334"/>
      <c r="AT7" s="334"/>
      <c r="AU7" s="334"/>
      <c r="AV7" s="334"/>
    </row>
    <row r="8" spans="1:57" ht="15.75">
      <c r="A8" s="55">
        <v>6</v>
      </c>
      <c r="B8" s="1202" t="s">
        <v>2849</v>
      </c>
      <c r="C8" s="1203" t="s">
        <v>2836</v>
      </c>
      <c r="D8" s="1203" t="s">
        <v>68</v>
      </c>
      <c r="E8" s="1204" t="s">
        <v>51</v>
      </c>
      <c r="F8" s="1203"/>
      <c r="G8" s="84">
        <f>G7</f>
        <v>2100000</v>
      </c>
      <c r="H8" s="1205">
        <f t="shared" si="0"/>
        <v>8356</v>
      </c>
      <c r="I8" s="1206">
        <f>10*G8*F8/H8*U8</f>
        <v>0</v>
      </c>
      <c r="J8" s="2"/>
      <c r="M8" s="1079"/>
      <c r="N8" s="82"/>
      <c r="O8" s="1192" t="str">
        <f t="shared" si="1"/>
        <v>IPE 300</v>
      </c>
      <c r="P8" s="2">
        <f>VLOOKUP(O8,IPE!$R$7:$AE$96,2,FALSE)</f>
        <v>42.2</v>
      </c>
      <c r="Q8" s="1193">
        <f>VLOOKUP(O8,IPE!$R$7:$AE$96,3,FALSE)</f>
        <v>8356</v>
      </c>
      <c r="R8" s="334"/>
      <c r="S8" s="850"/>
      <c r="T8" s="2"/>
      <c r="U8" s="2">
        <f>IF(C8=$S$3,$T$3,$T$4)</f>
        <v>0</v>
      </c>
      <c r="V8" s="1179"/>
      <c r="W8" s="1201"/>
      <c r="X8" s="334"/>
      <c r="Y8" s="334"/>
      <c r="Z8" s="334"/>
      <c r="AA8" s="334"/>
      <c r="AB8" s="334"/>
      <c r="AC8" s="334"/>
      <c r="AD8" s="334"/>
      <c r="AE8" s="334"/>
      <c r="AF8" s="334"/>
      <c r="AG8" s="334"/>
      <c r="AH8" s="334"/>
      <c r="AI8" s="334"/>
      <c r="AJ8" s="334"/>
      <c r="AK8" s="334"/>
      <c r="AL8" s="334"/>
      <c r="AM8" s="334"/>
      <c r="AN8" s="334"/>
      <c r="AO8" s="334"/>
      <c r="AP8" s="334"/>
      <c r="AQ8" s="334"/>
      <c r="AR8" s="334"/>
      <c r="AS8" s="334"/>
      <c r="AT8" s="334"/>
      <c r="AU8" s="334"/>
      <c r="AV8" s="334"/>
      <c r="AW8" s="317"/>
      <c r="AX8" s="317"/>
      <c r="AY8" s="317"/>
      <c r="AZ8" s="317"/>
      <c r="BA8" s="317"/>
      <c r="BB8" s="317"/>
    </row>
    <row r="9" spans="1:57">
      <c r="B9" s="504"/>
      <c r="G9" s="361"/>
      <c r="I9" s="358"/>
      <c r="K9" s="1157"/>
      <c r="M9" s="1079"/>
      <c r="N9" s="82"/>
      <c r="O9" s="320"/>
      <c r="P9" s="320"/>
      <c r="Q9" s="321"/>
    </row>
    <row r="10" spans="1:57" ht="14.25">
      <c r="B10" s="1172" t="s">
        <v>2843</v>
      </c>
      <c r="C10" s="876"/>
      <c r="D10" s="1181" t="s">
        <v>2854</v>
      </c>
      <c r="E10" s="1180" t="s">
        <v>2855</v>
      </c>
      <c r="G10" s="357"/>
      <c r="H10" s="358"/>
      <c r="I10" s="358"/>
      <c r="K10" s="1158"/>
      <c r="M10" s="1079"/>
      <c r="N10" s="82"/>
      <c r="O10" s="356" t="s">
        <v>2838</v>
      </c>
      <c r="P10" s="356" t="s">
        <v>2837</v>
      </c>
      <c r="Q10" s="356" t="s">
        <v>2830</v>
      </c>
      <c r="R10" s="356" t="s">
        <v>2829</v>
      </c>
      <c r="S10" s="356" t="s">
        <v>2828</v>
      </c>
      <c r="T10" s="356" t="s">
        <v>2827</v>
      </c>
      <c r="U10" s="363" t="s">
        <v>68</v>
      </c>
      <c r="V10" s="364" t="s">
        <v>67</v>
      </c>
      <c r="W10" s="364" t="s">
        <v>674</v>
      </c>
      <c r="X10" s="365" t="s">
        <v>463</v>
      </c>
    </row>
    <row r="11" spans="1:57" s="82" customFormat="1" ht="14.25">
      <c r="B11" s="82" t="s">
        <v>2847</v>
      </c>
      <c r="C11" s="1171" t="s">
        <v>2846</v>
      </c>
      <c r="D11" s="1182">
        <f>(I5+I6)/(I4+I5+I3+I6)</f>
        <v>0.89344349115559785</v>
      </c>
      <c r="E11" s="1208">
        <f>D11</f>
        <v>0.89344349115559785</v>
      </c>
      <c r="F11"/>
      <c r="G11" s="363"/>
      <c r="H11" s="364"/>
      <c r="I11" s="364"/>
      <c r="J11" s="365"/>
      <c r="K11" s="362"/>
      <c r="M11" s="1196"/>
      <c r="O11" s="356" t="str">
        <f t="shared" ref="O11:O34" si="2">IF($D$8=$U$10,U11,IF($D$8=$V$10,V11,IF($D$8=$W$10,W11,X11)))</f>
        <v>IPE 80</v>
      </c>
      <c r="P11" s="356" t="str">
        <f t="shared" ref="P11:P34" si="3">IF($D$7=$U$10,U11,IF($D$7=$V$10,V11,IF($D$7=$W$10,W11,X11)))</f>
        <v>HE 100 M</v>
      </c>
      <c r="Q11" s="356" t="str">
        <f>IF($D$6=$U$10,U11,IF($D$6=$V$10,V11,IF(#REF!=$W$10,W11,RO18)))</f>
        <v>HE 100 B</v>
      </c>
      <c r="R11" s="356" t="str">
        <f t="shared" ref="R11:R34" si="4">IF($D$5=$U$10,U11,IF($D$5=$V$10,V11,IF($D$5=$W$10,W11,X11)))</f>
        <v>HE 100 B</v>
      </c>
      <c r="S11" s="356" t="str">
        <f t="shared" ref="S11:S34" si="5">IF($D$4=$U$10,U11,IF($D$4=$V$10,V11,IF($D$4=$W$10,W11,X11)))</f>
        <v>IPE 80</v>
      </c>
      <c r="T11" s="356" t="str">
        <f t="shared" ref="T11:T34" si="6">IF($D$3=$U$10,U11,IF($D$3=$V$10,V11,IF($D$3=$W$10,W11,X11)))</f>
        <v>HE 100 B</v>
      </c>
      <c r="U11" s="366" t="s">
        <v>124</v>
      </c>
      <c r="V11" s="367" t="s">
        <v>168</v>
      </c>
      <c r="W11" s="367" t="s">
        <v>675</v>
      </c>
      <c r="X11" s="368" t="s">
        <v>464</v>
      </c>
      <c r="BC11" s="317"/>
      <c r="BD11" s="317"/>
      <c r="BE11" s="317"/>
    </row>
    <row r="12" spans="1:57" s="82" customFormat="1" ht="14.25">
      <c r="B12" s="82" t="s">
        <v>2844</v>
      </c>
      <c r="C12" s="1171" t="s">
        <v>2845</v>
      </c>
      <c r="D12" s="1182">
        <f>IF(B7=S7,T7,IF(B7=S6,T6,V7))</f>
        <v>0</v>
      </c>
      <c r="E12" s="1208">
        <f>D12</f>
        <v>0</v>
      </c>
      <c r="F12"/>
      <c r="I12"/>
      <c r="J12"/>
      <c r="K12"/>
      <c r="M12" s="1197"/>
      <c r="O12" s="356" t="str">
        <f t="shared" si="2"/>
        <v>IPE 100</v>
      </c>
      <c r="P12" s="356" t="str">
        <f t="shared" si="3"/>
        <v>HE 120 M</v>
      </c>
      <c r="Q12" s="356" t="str">
        <f>IF($D$6=$U$10,U12,IF($D$6=$V$10,V12,IF(#REF!=$W$10,W12,RO19)))</f>
        <v>HE 120 B</v>
      </c>
      <c r="R12" s="356" t="str">
        <f t="shared" si="4"/>
        <v>HE 120 B</v>
      </c>
      <c r="S12" s="356" t="str">
        <f t="shared" si="5"/>
        <v>IPE 100</v>
      </c>
      <c r="T12" s="356" t="str">
        <f t="shared" si="6"/>
        <v>HE 120 B</v>
      </c>
      <c r="U12" s="370" t="s">
        <v>126</v>
      </c>
      <c r="V12" s="371" t="s">
        <v>186</v>
      </c>
      <c r="W12" s="371" t="s">
        <v>692</v>
      </c>
      <c r="X12" s="372" t="s">
        <v>479</v>
      </c>
      <c r="BC12" s="317"/>
      <c r="BD12" s="317"/>
      <c r="BE12" s="317"/>
    </row>
    <row r="13" spans="1:57" s="82" customFormat="1">
      <c r="F13"/>
      <c r="I13"/>
      <c r="J13"/>
      <c r="K13"/>
      <c r="M13" s="1197"/>
      <c r="N13" s="317"/>
      <c r="O13" s="356" t="str">
        <f t="shared" si="2"/>
        <v>IPE 120</v>
      </c>
      <c r="P13" s="356" t="str">
        <f t="shared" si="3"/>
        <v>HE 140 M</v>
      </c>
      <c r="Q13" s="356" t="str">
        <f>IF($D$6=$U$10,U13,IF($D$6=$V$10,V13,IF(#REF!=$W$10,W13,RO20)))</f>
        <v>HE 140 B</v>
      </c>
      <c r="R13" s="356" t="str">
        <f t="shared" si="4"/>
        <v>HE 140 B</v>
      </c>
      <c r="S13" s="356" t="str">
        <f t="shared" si="5"/>
        <v>IPE 120</v>
      </c>
      <c r="T13" s="356" t="str">
        <f t="shared" si="6"/>
        <v>HE 140 B</v>
      </c>
      <c r="U13" s="370" t="s">
        <v>128</v>
      </c>
      <c r="V13" s="371" t="s">
        <v>204</v>
      </c>
      <c r="W13" s="371" t="s">
        <v>707</v>
      </c>
      <c r="X13" s="372" t="s">
        <v>495</v>
      </c>
      <c r="BC13" s="317"/>
      <c r="BD13" s="317"/>
      <c r="BE13" s="317"/>
    </row>
    <row r="14" spans="1:57" s="82" customFormat="1" ht="15">
      <c r="B14" s="82" t="s">
        <v>53</v>
      </c>
      <c r="C14" s="1173" t="s">
        <v>34</v>
      </c>
      <c r="D14" s="564" t="s">
        <v>54</v>
      </c>
      <c r="E14" s="1180" t="s">
        <v>54</v>
      </c>
      <c r="F14"/>
      <c r="I14"/>
      <c r="J14"/>
      <c r="K14"/>
      <c r="M14" s="1197"/>
      <c r="N14" s="317"/>
      <c r="O14" s="356" t="str">
        <f t="shared" si="2"/>
        <v>IPE 140</v>
      </c>
      <c r="P14" s="356" t="str">
        <f t="shared" si="3"/>
        <v>HE 160 M</v>
      </c>
      <c r="Q14" s="356" t="str">
        <f>IF($D$6=$U$10,U14,IF($D$6=$V$10,V14,IF(#REF!=$W$10,W14,RO21)))</f>
        <v>HE 160 B</v>
      </c>
      <c r="R14" s="356" t="str">
        <f t="shared" si="4"/>
        <v>HE 160 B</v>
      </c>
      <c r="S14" s="356" t="str">
        <f t="shared" si="5"/>
        <v>IPE 140</v>
      </c>
      <c r="T14" s="356" t="str">
        <f t="shared" si="6"/>
        <v>HE 160 B</v>
      </c>
      <c r="U14" s="370" t="s">
        <v>130</v>
      </c>
      <c r="V14" s="371" t="s">
        <v>219</v>
      </c>
      <c r="W14" s="371" t="s">
        <v>724</v>
      </c>
      <c r="X14" s="372" t="s">
        <v>510</v>
      </c>
      <c r="AD14" s="330"/>
      <c r="AE14" s="330"/>
      <c r="AF14" s="330"/>
      <c r="AG14" s="330"/>
      <c r="AH14" s="330"/>
      <c r="AI14" s="330"/>
      <c r="AJ14" s="330"/>
      <c r="AK14" s="330"/>
      <c r="AL14" s="330"/>
      <c r="AM14" s="330"/>
      <c r="AN14" s="330"/>
      <c r="AO14" s="330"/>
      <c r="AP14" s="330"/>
      <c r="AQ14" s="330"/>
      <c r="AR14" s="330"/>
      <c r="AS14" s="330"/>
      <c r="AT14" s="330"/>
      <c r="AU14" s="330"/>
      <c r="AV14" s="330"/>
      <c r="AW14" s="317" t="e">
        <f>IF(#REF!/M3&gt;1.2,AU16,AU18)</f>
        <v>#REF!</v>
      </c>
      <c r="AX14" s="317"/>
      <c r="AY14" s="317"/>
      <c r="AZ14" s="317"/>
      <c r="BA14" s="317"/>
      <c r="BB14" s="317"/>
      <c r="BC14" s="317"/>
      <c r="BD14" s="317"/>
      <c r="BE14" s="317"/>
    </row>
    <row r="15" spans="1:57" s="82" customFormat="1" ht="16.5" customHeight="1">
      <c r="B15" s="82" t="s">
        <v>2850</v>
      </c>
      <c r="D15" s="1182">
        <f>SQRT((1-0.2*(D11+D12)-0.12*D11*D12)/(1-0.8*(D11+D12)+0.6*D11*D12))</f>
        <v>1.6968549575971921</v>
      </c>
      <c r="E15" s="1209">
        <f>SQRT((1-0.2*(E11+E12)-0.12*E11*E12)/(1-0.8*(E11+E12)+0.6*E11*E12))</f>
        <v>1.6968549575971921</v>
      </c>
      <c r="F15"/>
      <c r="G15"/>
      <c r="H15"/>
      <c r="I15"/>
      <c r="J15"/>
      <c r="K15"/>
      <c r="M15" s="1197"/>
      <c r="N15" s="356"/>
      <c r="O15" s="356" t="str">
        <f t="shared" si="2"/>
        <v>IPE 160</v>
      </c>
      <c r="P15" s="356" t="str">
        <f t="shared" si="3"/>
        <v>HE 200 M</v>
      </c>
      <c r="Q15" s="356" t="str">
        <f>IF($D$6=$U$10,U15,IF($D$6=$V$10,V15,IF(#REF!=$W$10,W15,RO22)))</f>
        <v>HE 180 B</v>
      </c>
      <c r="R15" s="356" t="str">
        <f t="shared" si="4"/>
        <v>HE 180 B</v>
      </c>
      <c r="S15" s="356" t="str">
        <f t="shared" si="5"/>
        <v>IPE 160</v>
      </c>
      <c r="T15" s="356" t="str">
        <f t="shared" si="6"/>
        <v>HE 180 B</v>
      </c>
      <c r="U15" s="370" t="s">
        <v>131</v>
      </c>
      <c r="V15" s="371" t="s">
        <v>236</v>
      </c>
      <c r="W15" s="371" t="s">
        <v>740</v>
      </c>
      <c r="X15" s="372" t="s">
        <v>524</v>
      </c>
      <c r="AD15" s="317"/>
      <c r="AE15" s="317"/>
      <c r="AF15" s="330"/>
      <c r="AG15" s="330"/>
      <c r="AH15" s="330"/>
      <c r="AI15" s="330"/>
      <c r="AJ15" s="330"/>
      <c r="AK15" s="330"/>
      <c r="AL15" s="330"/>
      <c r="AM15" s="330"/>
      <c r="AN15" s="330"/>
      <c r="AO15" s="330"/>
      <c r="AP15" s="330"/>
      <c r="AQ15" s="330"/>
      <c r="AR15" s="330"/>
      <c r="AS15" s="330"/>
      <c r="AT15" s="330"/>
      <c r="AU15" s="330"/>
      <c r="AV15" s="330"/>
      <c r="AW15" s="317"/>
      <c r="AX15" s="317"/>
      <c r="AY15" s="317"/>
      <c r="AZ15" s="317"/>
      <c r="BA15" s="317"/>
      <c r="BB15" s="317"/>
      <c r="BC15" s="317"/>
      <c r="BD15" s="317"/>
      <c r="BE15" s="317"/>
    </row>
    <row r="16" spans="1:57" s="82" customFormat="1" ht="14.25">
      <c r="B16" s="82" t="s">
        <v>2851</v>
      </c>
      <c r="D16" s="1182">
        <f>((1+0.145*(D11+D12)-0.265*D11*D12)/(2-0.364*(D11+D12)-0.247*D11*D12))</f>
        <v>0.67444373329555529</v>
      </c>
      <c r="E16" s="1209">
        <f>((1+0.145*(E11+E12)-0.265*E11*E12)/(2-0.364*(E11+E12)-0.247*E11*E12))</f>
        <v>0.67444373329555529</v>
      </c>
      <c r="G16"/>
      <c r="H16"/>
      <c r="I16"/>
      <c r="J16"/>
      <c r="K16"/>
      <c r="M16" s="1197"/>
      <c r="N16" s="356"/>
      <c r="O16" s="356" t="str">
        <f t="shared" si="2"/>
        <v>IPE 180</v>
      </c>
      <c r="P16" s="356" t="str">
        <f t="shared" si="3"/>
        <v>HE 220 M</v>
      </c>
      <c r="Q16" s="356" t="str">
        <f>IF($D$6=$U$10,U16,IF($D$6=$V$10,V16,IF(#REF!=$W$10,W16,RO23)))</f>
        <v>HE 200 B</v>
      </c>
      <c r="R16" s="356" t="str">
        <f t="shared" si="4"/>
        <v>HE 200 B</v>
      </c>
      <c r="S16" s="356" t="str">
        <f t="shared" si="5"/>
        <v>IPE 180</v>
      </c>
      <c r="T16" s="356" t="str">
        <f t="shared" si="6"/>
        <v>HE 200 B</v>
      </c>
      <c r="U16" s="370" t="s">
        <v>134</v>
      </c>
      <c r="V16" s="371" t="s">
        <v>251</v>
      </c>
      <c r="W16" s="371" t="s">
        <v>754</v>
      </c>
      <c r="X16" s="372" t="s">
        <v>537</v>
      </c>
      <c r="Y16" s="317"/>
      <c r="Z16" s="317"/>
      <c r="AA16" s="317"/>
      <c r="AB16" s="317"/>
      <c r="AC16" s="317"/>
      <c r="AD16" s="317"/>
      <c r="AE16" s="317"/>
      <c r="AF16" s="317"/>
      <c r="AG16" s="317"/>
      <c r="AH16" s="317"/>
      <c r="AI16" s="317"/>
      <c r="AJ16" s="317"/>
      <c r="AK16" s="317"/>
      <c r="AL16" s="317"/>
      <c r="AM16" s="317"/>
      <c r="AN16" s="317"/>
      <c r="AO16" s="317"/>
      <c r="AP16" s="317"/>
      <c r="AQ16" s="317"/>
      <c r="AR16" s="317"/>
      <c r="AS16" s="317"/>
      <c r="AT16" s="317"/>
      <c r="AU16" s="317"/>
      <c r="AV16" s="317"/>
      <c r="AW16" s="317"/>
      <c r="AX16" s="317"/>
      <c r="AY16" s="317"/>
      <c r="AZ16" s="317"/>
      <c r="BA16" s="317"/>
      <c r="BB16" s="317"/>
      <c r="BC16" s="317"/>
      <c r="BD16" s="317"/>
      <c r="BE16" s="317"/>
    </row>
    <row r="17" spans="1:57" s="82" customFormat="1">
      <c r="G17"/>
      <c r="H17"/>
      <c r="M17" s="1198"/>
      <c r="O17" s="356" t="str">
        <f t="shared" si="2"/>
        <v>IPE 200</v>
      </c>
      <c r="P17" s="356" t="str">
        <f t="shared" si="3"/>
        <v>HE 240 M</v>
      </c>
      <c r="Q17" s="356" t="str">
        <f>IF($D$6=$U$10,U17,IF($D$6=$V$10,V17,IF(#REF!=$W$10,W17,RO24)))</f>
        <v>HE 220 B</v>
      </c>
      <c r="R17" s="356" t="str">
        <f t="shared" si="4"/>
        <v>HE 220 B</v>
      </c>
      <c r="S17" s="356" t="str">
        <f t="shared" si="5"/>
        <v>IPE 200</v>
      </c>
      <c r="T17" s="356" t="str">
        <f t="shared" si="6"/>
        <v>HE 220 B</v>
      </c>
      <c r="U17" s="370" t="s">
        <v>137</v>
      </c>
      <c r="V17" s="371" t="s">
        <v>266</v>
      </c>
      <c r="W17" s="371" t="s">
        <v>768</v>
      </c>
      <c r="X17" s="372" t="s">
        <v>548</v>
      </c>
      <c r="Y17" s="317"/>
      <c r="Z17" s="317"/>
      <c r="AA17" s="317"/>
      <c r="AB17" s="317"/>
      <c r="AC17" s="317"/>
      <c r="AD17" s="317"/>
      <c r="AE17" s="317"/>
      <c r="AF17" s="317"/>
      <c r="AG17" s="317"/>
      <c r="AH17" s="317"/>
      <c r="AI17" s="317"/>
      <c r="AJ17" s="317"/>
      <c r="AK17" s="317"/>
      <c r="AL17" s="317"/>
      <c r="AM17" s="317"/>
      <c r="AN17" s="317"/>
      <c r="AO17" s="317"/>
      <c r="AP17" s="317"/>
      <c r="AQ17" s="317"/>
      <c r="AR17" s="317"/>
      <c r="AS17" s="317"/>
      <c r="AT17" s="317"/>
      <c r="AU17" s="317"/>
      <c r="AV17" s="317"/>
      <c r="AW17" s="317"/>
      <c r="AX17" s="317"/>
      <c r="AY17" s="317"/>
      <c r="AZ17" s="317"/>
      <c r="BA17" s="317"/>
      <c r="BB17" s="317"/>
      <c r="BC17" s="319"/>
      <c r="BD17" s="319"/>
      <c r="BE17" s="319"/>
    </row>
    <row r="18" spans="1:57" s="82" customFormat="1">
      <c r="G18"/>
      <c r="H18"/>
      <c r="M18" s="1198"/>
      <c r="O18" s="356" t="str">
        <f t="shared" si="2"/>
        <v>IPE 220</v>
      </c>
      <c r="P18" s="356" t="str">
        <f t="shared" si="3"/>
        <v>HE 260 M</v>
      </c>
      <c r="Q18" s="356" t="str">
        <f>IF($D$6=$U$10,U18,IF($D$6=$V$10,V18,IF(#REF!=$W$10,W18,RO25)))</f>
        <v>HE 240 B</v>
      </c>
      <c r="R18" s="356" t="str">
        <f t="shared" si="4"/>
        <v>HE 240 B</v>
      </c>
      <c r="S18" s="356" t="str">
        <f t="shared" si="5"/>
        <v>IPE 220</v>
      </c>
      <c r="T18" s="356" t="str">
        <f t="shared" si="6"/>
        <v>HE 240 B</v>
      </c>
      <c r="U18" s="370" t="s">
        <v>141</v>
      </c>
      <c r="V18" s="371" t="s">
        <v>282</v>
      </c>
      <c r="W18" s="371" t="s">
        <v>782</v>
      </c>
      <c r="X18" s="372" t="s">
        <v>557</v>
      </c>
      <c r="Y18" s="317"/>
      <c r="Z18" s="317"/>
      <c r="AA18" s="317"/>
      <c r="AB18" s="317"/>
      <c r="AC18" s="317"/>
      <c r="AD18" s="317"/>
      <c r="AE18" s="317"/>
      <c r="AF18" s="317"/>
      <c r="AG18" s="317"/>
      <c r="AH18" s="317"/>
      <c r="AI18" s="317"/>
      <c r="AJ18" s="317"/>
      <c r="AK18" s="317"/>
      <c r="AL18" s="317"/>
      <c r="AM18" s="317"/>
      <c r="AN18" s="317"/>
      <c r="AO18" s="317"/>
      <c r="AP18" s="317"/>
      <c r="AQ18" s="317"/>
      <c r="AR18" s="317"/>
      <c r="AS18" s="317"/>
      <c r="AT18" s="317"/>
      <c r="AU18" s="317"/>
      <c r="AV18" s="317"/>
      <c r="AW18" s="317"/>
      <c r="AX18" s="317"/>
      <c r="AY18" s="317"/>
      <c r="AZ18" s="317"/>
      <c r="BA18" s="317"/>
      <c r="BB18" s="317"/>
      <c r="BC18" s="319"/>
      <c r="BD18" s="319"/>
      <c r="BE18" s="319"/>
    </row>
    <row r="19" spans="1:57" s="82" customFormat="1">
      <c r="G19"/>
      <c r="H19"/>
      <c r="M19" s="1198"/>
      <c r="O19" s="356" t="str">
        <f t="shared" si="2"/>
        <v>IPE 240</v>
      </c>
      <c r="P19" s="356" t="str">
        <f t="shared" si="3"/>
        <v>HE 280 M</v>
      </c>
      <c r="Q19" s="356" t="str">
        <f>IF($D$6=$U$10,U19,IF($D$6=$V$10,V19,IF(#REF!=$W$10,W19,RO26)))</f>
        <v>HE 260 B</v>
      </c>
      <c r="R19" s="356" t="str">
        <f t="shared" si="4"/>
        <v>HE 260 B</v>
      </c>
      <c r="S19" s="356" t="str">
        <f t="shared" si="5"/>
        <v>IPE 240</v>
      </c>
      <c r="T19" s="356" t="str">
        <f t="shared" si="6"/>
        <v>HE 260 B</v>
      </c>
      <c r="U19" s="370" t="s">
        <v>143</v>
      </c>
      <c r="V19" s="371" t="s">
        <v>296</v>
      </c>
      <c r="W19" s="371" t="s">
        <v>797</v>
      </c>
      <c r="X19" s="372" t="s">
        <v>567</v>
      </c>
      <c r="Y19" s="317"/>
      <c r="Z19" s="317"/>
      <c r="AA19" s="317"/>
      <c r="AB19" s="317"/>
      <c r="AC19" s="317"/>
      <c r="AD19" s="317"/>
      <c r="AE19" s="317"/>
      <c r="AF19" s="317"/>
      <c r="AG19" s="317"/>
      <c r="AH19" s="317"/>
      <c r="AI19" s="317"/>
      <c r="AJ19" s="317"/>
      <c r="AK19" s="317"/>
      <c r="AL19" s="317"/>
      <c r="AM19" s="317"/>
      <c r="AN19" s="317"/>
      <c r="AO19" s="317"/>
      <c r="AP19" s="317"/>
      <c r="AQ19" s="317"/>
      <c r="AR19" s="317"/>
      <c r="AS19" s="317"/>
      <c r="AT19" s="317"/>
      <c r="AU19" s="317"/>
      <c r="AV19" s="317"/>
      <c r="AW19" s="317"/>
      <c r="AX19" s="317"/>
      <c r="AY19" s="317"/>
      <c r="AZ19" s="317"/>
      <c r="BA19" s="317"/>
      <c r="BB19" s="317"/>
      <c r="BC19" s="319"/>
      <c r="BD19" s="319"/>
      <c r="BE19" s="319"/>
    </row>
    <row r="20" spans="1:57" s="82" customFormat="1">
      <c r="G20"/>
      <c r="H20"/>
      <c r="M20" s="1198"/>
      <c r="O20" s="356" t="str">
        <f t="shared" si="2"/>
        <v>IPE 270</v>
      </c>
      <c r="P20" s="356" t="str">
        <f t="shared" si="3"/>
        <v>HE 300 M</v>
      </c>
      <c r="Q20" s="356" t="str">
        <f>IF($D$6=$U$10,U20,IF($D$6=$V$10,V20,IF(#REF!=$W$10,W20,RO27)))</f>
        <v>HE 280 B</v>
      </c>
      <c r="R20" s="356" t="str">
        <f t="shared" si="4"/>
        <v>HE 280 B</v>
      </c>
      <c r="S20" s="356" t="str">
        <f t="shared" si="5"/>
        <v>IPE 270</v>
      </c>
      <c r="T20" s="356" t="str">
        <f t="shared" si="6"/>
        <v>HE 280 B</v>
      </c>
      <c r="U20" s="370" t="s">
        <v>52</v>
      </c>
      <c r="V20" s="371" t="s">
        <v>309</v>
      </c>
      <c r="W20" s="371" t="s">
        <v>812</v>
      </c>
      <c r="X20" s="372" t="s">
        <v>575</v>
      </c>
      <c r="Y20" s="317"/>
      <c r="Z20" s="317"/>
      <c r="AA20" s="317"/>
      <c r="AB20" s="317"/>
      <c r="AC20" s="317"/>
      <c r="AD20" s="317"/>
      <c r="AE20" s="317"/>
      <c r="AF20" s="317"/>
      <c r="AG20" s="317"/>
      <c r="AH20" s="317"/>
      <c r="AI20" s="317"/>
      <c r="AJ20" s="317"/>
      <c r="AK20" s="317"/>
      <c r="AL20" s="317"/>
      <c r="AM20" s="317"/>
      <c r="AN20" s="317"/>
      <c r="AO20" s="317"/>
      <c r="AP20" s="317"/>
      <c r="AQ20" s="317"/>
      <c r="AR20" s="317"/>
      <c r="AS20" s="317"/>
      <c r="AT20" s="317"/>
      <c r="AU20" s="317"/>
      <c r="AV20" s="317"/>
      <c r="AW20" s="317"/>
      <c r="AX20" s="317"/>
      <c r="AY20" s="317"/>
      <c r="AZ20" s="317"/>
      <c r="BA20" s="317"/>
      <c r="BB20" s="317"/>
      <c r="BC20" s="317"/>
      <c r="BD20" s="317"/>
      <c r="BE20" s="317"/>
    </row>
    <row r="21" spans="1:57" s="82" customFormat="1" ht="14.45" customHeight="1">
      <c r="G21"/>
      <c r="H21"/>
      <c r="M21" s="1198"/>
      <c r="O21" s="356" t="str">
        <f t="shared" si="2"/>
        <v>IPE 300</v>
      </c>
      <c r="P21" s="356" t="str">
        <f t="shared" si="3"/>
        <v>HE 320 M</v>
      </c>
      <c r="Q21" s="356" t="str">
        <f>IF($D$6=$U$10,U21,IF($D$6=$V$10,V21,IF(#REF!=$W$10,W21,RO28)))</f>
        <v>HE 300 B</v>
      </c>
      <c r="R21" s="356" t="str">
        <f t="shared" si="4"/>
        <v>HE 300 B</v>
      </c>
      <c r="S21" s="356" t="str">
        <f t="shared" si="5"/>
        <v>IPE 300</v>
      </c>
      <c r="T21" s="356" t="str">
        <f t="shared" si="6"/>
        <v>HE 300 B</v>
      </c>
      <c r="U21" s="370" t="s">
        <v>51</v>
      </c>
      <c r="V21" s="371" t="s">
        <v>321</v>
      </c>
      <c r="W21" s="371" t="s">
        <v>825</v>
      </c>
      <c r="X21" s="372" t="s">
        <v>582</v>
      </c>
      <c r="Y21" s="317"/>
      <c r="Z21" s="317"/>
      <c r="AA21" s="317"/>
      <c r="AB21" s="317"/>
      <c r="AC21" s="317"/>
      <c r="AD21" s="317"/>
      <c r="AE21" s="317"/>
      <c r="AF21" s="317"/>
      <c r="AG21" s="317"/>
      <c r="AH21" s="317"/>
      <c r="AI21" s="317"/>
      <c r="AJ21" s="317"/>
      <c r="AK21" s="317"/>
      <c r="AL21" s="317"/>
      <c r="AM21" s="317"/>
      <c r="AN21" s="317"/>
      <c r="AO21" s="317"/>
      <c r="AP21" s="317"/>
      <c r="AQ21" s="317"/>
      <c r="AR21" s="317"/>
      <c r="AS21" s="317"/>
      <c r="AT21" s="317"/>
      <c r="AU21" s="317"/>
      <c r="AV21" s="317"/>
      <c r="AW21" s="317"/>
      <c r="AX21" s="317"/>
      <c r="AY21" s="317"/>
      <c r="AZ21" s="317"/>
      <c r="BA21" s="317"/>
      <c r="BB21" s="317"/>
      <c r="BC21" s="317"/>
      <c r="BD21" s="317"/>
      <c r="BE21" s="317"/>
    </row>
    <row r="22" spans="1:57" s="82" customFormat="1" ht="16.149999999999999" customHeight="1">
      <c r="G22"/>
      <c r="H22"/>
      <c r="M22" s="1198"/>
      <c r="O22" s="356" t="str">
        <f t="shared" si="2"/>
        <v>IPE 330</v>
      </c>
      <c r="P22" s="356" t="str">
        <f t="shared" si="3"/>
        <v>HE 340 M</v>
      </c>
      <c r="Q22" s="356" t="str">
        <f>IF($D$6=$U$10,U22,IF($D$6=$V$10,V22,IF(#REF!=$W$10,W22,RO29)))</f>
        <v>HE 320 B</v>
      </c>
      <c r="R22" s="356" t="str">
        <f t="shared" si="4"/>
        <v>HE 320 B</v>
      </c>
      <c r="S22" s="356" t="str">
        <f t="shared" si="5"/>
        <v>IPE 330</v>
      </c>
      <c r="T22" s="356" t="str">
        <f t="shared" si="6"/>
        <v>HE 320 B</v>
      </c>
      <c r="U22" s="370" t="s">
        <v>150</v>
      </c>
      <c r="V22" s="371" t="s">
        <v>331</v>
      </c>
      <c r="W22" s="371" t="s">
        <v>835</v>
      </c>
      <c r="X22" s="372" t="s">
        <v>590</v>
      </c>
      <c r="Y22" s="317"/>
      <c r="Z22" s="317"/>
      <c r="AA22" s="317"/>
      <c r="AB22" s="317"/>
      <c r="AC22" s="317"/>
      <c r="AD22" s="317"/>
      <c r="AE22" s="317"/>
      <c r="AF22" s="317"/>
      <c r="AG22" s="317"/>
      <c r="AH22" s="317"/>
      <c r="AI22" s="317"/>
      <c r="AJ22" s="317"/>
      <c r="AK22" s="317"/>
      <c r="AL22" s="317"/>
      <c r="AM22" s="317"/>
      <c r="AN22" s="317"/>
      <c r="AO22" s="317"/>
      <c r="AP22" s="317"/>
      <c r="AQ22" s="317"/>
      <c r="AR22" s="317"/>
      <c r="AS22" s="317"/>
      <c r="AT22" s="317"/>
      <c r="AU22" s="317"/>
      <c r="AV22" s="317"/>
      <c r="AW22" s="317"/>
      <c r="AX22" s="317"/>
      <c r="AY22" s="317"/>
      <c r="AZ22" s="317"/>
      <c r="BA22" s="317"/>
      <c r="BB22" s="317"/>
      <c r="BC22" s="317" t="s">
        <v>975</v>
      </c>
      <c r="BD22" s="317"/>
      <c r="BE22" s="317"/>
    </row>
    <row r="23" spans="1:57" s="82" customFormat="1">
      <c r="G23"/>
      <c r="H23"/>
      <c r="M23" s="1198"/>
      <c r="O23" s="356" t="str">
        <f t="shared" si="2"/>
        <v>IPE 360</v>
      </c>
      <c r="P23" s="356" t="str">
        <f t="shared" si="3"/>
        <v>HE 360 M</v>
      </c>
      <c r="Q23" s="356" t="str">
        <f>IF($D$6=$U$10,U23,IF($D$6=$V$10,V23,IF(#REF!=$W$10,W23,RO30)))</f>
        <v>HE 340 B</v>
      </c>
      <c r="R23" s="356" t="str">
        <f t="shared" si="4"/>
        <v>HE 340 B</v>
      </c>
      <c r="S23" s="356" t="str">
        <f t="shared" si="5"/>
        <v>IPE 360</v>
      </c>
      <c r="T23" s="356" t="str">
        <f t="shared" si="6"/>
        <v>HE 340 B</v>
      </c>
      <c r="U23" s="370" t="s">
        <v>154</v>
      </c>
      <c r="V23" s="371" t="s">
        <v>343</v>
      </c>
      <c r="W23" s="371" t="s">
        <v>844</v>
      </c>
      <c r="X23" s="372" t="s">
        <v>597</v>
      </c>
      <c r="Y23" s="317"/>
      <c r="Z23" s="317"/>
      <c r="AA23" s="317"/>
      <c r="AB23" s="317"/>
      <c r="AC23" s="317"/>
      <c r="AD23" s="317"/>
      <c r="AE23" s="317"/>
      <c r="AF23" s="317"/>
      <c r="AG23" s="317"/>
      <c r="AH23" s="317"/>
      <c r="AI23" s="317"/>
      <c r="AJ23" s="317"/>
      <c r="AK23" s="317"/>
      <c r="AL23" s="317"/>
      <c r="AM23" s="317"/>
      <c r="AN23" s="317"/>
      <c r="AO23" s="317"/>
      <c r="AP23" s="317"/>
      <c r="AQ23" s="317"/>
      <c r="AR23" s="317"/>
      <c r="AS23" s="317"/>
      <c r="AT23" s="317"/>
      <c r="AU23" s="317"/>
      <c r="AV23" s="317"/>
      <c r="AW23" s="317"/>
      <c r="AX23" s="317"/>
      <c r="AY23" s="317"/>
      <c r="AZ23" s="317"/>
      <c r="BA23" s="317"/>
      <c r="BB23" s="317"/>
      <c r="BC23" s="317"/>
      <c r="BD23" s="317"/>
      <c r="BE23" s="317"/>
    </row>
    <row r="24" spans="1:57" s="82" customFormat="1">
      <c r="G24"/>
      <c r="H24"/>
      <c r="M24" s="1198"/>
      <c r="O24" s="356" t="str">
        <f t="shared" si="2"/>
        <v>IPE 400</v>
      </c>
      <c r="P24" s="356" t="str">
        <f t="shared" si="3"/>
        <v>HE 400 M</v>
      </c>
      <c r="Q24" s="356" t="str">
        <f>IF($D$6=$U$10,U24,IF($D$6=$V$10,V24,IF(#REF!=$W$10,W24,RO31)))</f>
        <v>HE 360 B</v>
      </c>
      <c r="R24" s="356" t="str">
        <f t="shared" si="4"/>
        <v>HE 360 B</v>
      </c>
      <c r="S24" s="356" t="str">
        <f t="shared" si="5"/>
        <v>IPE 400</v>
      </c>
      <c r="T24" s="356" t="str">
        <f t="shared" si="6"/>
        <v>HE 360 B</v>
      </c>
      <c r="U24" s="370" t="s">
        <v>156</v>
      </c>
      <c r="V24" s="371" t="s">
        <v>355</v>
      </c>
      <c r="W24" s="371" t="s">
        <v>854</v>
      </c>
      <c r="X24" s="372" t="s">
        <v>605</v>
      </c>
      <c r="Y24" s="317"/>
      <c r="Z24" s="317"/>
      <c r="AA24" s="317"/>
      <c r="AB24" s="317"/>
      <c r="AC24" s="317"/>
      <c r="AD24" s="317"/>
      <c r="AE24" s="317"/>
      <c r="AF24" s="317"/>
      <c r="AG24" s="317"/>
      <c r="AH24" s="317"/>
      <c r="AI24" s="317"/>
      <c r="AJ24" s="317"/>
      <c r="AK24" s="317"/>
      <c r="AL24" s="317"/>
      <c r="AM24" s="317"/>
      <c r="AN24" s="317"/>
      <c r="AO24" s="317"/>
      <c r="AP24" s="317"/>
      <c r="AQ24" s="317"/>
      <c r="AR24" s="317"/>
      <c r="AS24" s="317"/>
      <c r="AT24" s="317"/>
      <c r="AU24" s="317"/>
      <c r="AV24" s="317"/>
      <c r="AW24" s="317"/>
      <c r="AX24" s="317"/>
      <c r="AY24" s="317"/>
      <c r="AZ24" s="317"/>
      <c r="BA24" s="317"/>
      <c r="BB24" s="317"/>
      <c r="BC24" s="317"/>
      <c r="BD24" s="317"/>
      <c r="BE24" s="317"/>
    </row>
    <row r="25" spans="1:57" s="82" customFormat="1">
      <c r="G25"/>
      <c r="H25"/>
      <c r="M25" s="1198"/>
      <c r="O25" s="356" t="str">
        <f t="shared" si="2"/>
        <v>IPE 450</v>
      </c>
      <c r="P25" s="356" t="str">
        <f t="shared" si="3"/>
        <v>HE 450 M</v>
      </c>
      <c r="Q25" s="356" t="str">
        <f>IF($D$6=$U$10,U25,IF($D$6=$V$10,V25,IF(#REF!=$W$10,W25,RO32)))</f>
        <v>HE 400 B</v>
      </c>
      <c r="R25" s="356" t="str">
        <f t="shared" si="4"/>
        <v>HE 400 B</v>
      </c>
      <c r="S25" s="356" t="str">
        <f t="shared" si="5"/>
        <v>IPE 450</v>
      </c>
      <c r="T25" s="356" t="str">
        <f t="shared" si="6"/>
        <v>HE 400 B</v>
      </c>
      <c r="U25" s="370" t="s">
        <v>158</v>
      </c>
      <c r="V25" s="371" t="s">
        <v>367</v>
      </c>
      <c r="W25" s="371" t="s">
        <v>864</v>
      </c>
      <c r="X25" s="372" t="s">
        <v>612</v>
      </c>
      <c r="Y25" s="317"/>
      <c r="Z25" s="317"/>
      <c r="AA25" s="317"/>
      <c r="AB25" s="317"/>
      <c r="AC25" s="317"/>
      <c r="AD25" s="317"/>
      <c r="AE25" s="317"/>
      <c r="AF25" s="317"/>
      <c r="AG25" s="317"/>
      <c r="AH25" s="317"/>
      <c r="AI25" s="317"/>
      <c r="AJ25" s="317"/>
      <c r="AK25" s="317"/>
      <c r="AL25" s="317"/>
      <c r="AM25" s="317"/>
      <c r="AN25" s="317"/>
      <c r="AO25" s="317"/>
      <c r="AP25" s="317"/>
      <c r="AQ25" s="317"/>
      <c r="AR25" s="317"/>
      <c r="AS25" s="317"/>
      <c r="AT25" s="317"/>
      <c r="AU25" s="317"/>
      <c r="AV25" s="317"/>
      <c r="AW25" s="317"/>
      <c r="AX25" s="317"/>
      <c r="AY25" s="317"/>
      <c r="AZ25" s="317"/>
      <c r="BA25" s="317"/>
      <c r="BB25" s="317"/>
      <c r="BC25" s="317"/>
      <c r="BD25" s="317"/>
      <c r="BE25" s="317"/>
    </row>
    <row r="26" spans="1:57" s="82" customFormat="1" ht="13.5">
      <c r="G26"/>
      <c r="H26" s="373"/>
      <c r="M26" s="1198"/>
      <c r="O26" s="356" t="str">
        <f t="shared" si="2"/>
        <v>IPE 500</v>
      </c>
      <c r="P26" s="356" t="str">
        <f t="shared" si="3"/>
        <v>HE 500 M</v>
      </c>
      <c r="Q26" s="356" t="str">
        <f>IF($D$6=$U$10,U26,IF($D$6=$V$10,V26,IF(#REF!=$W$10,W26,RO33)))</f>
        <v>HE 450 B</v>
      </c>
      <c r="R26" s="356" t="str">
        <f t="shared" si="4"/>
        <v>HE 450 B</v>
      </c>
      <c r="S26" s="356" t="str">
        <f t="shared" si="5"/>
        <v>IPE 500</v>
      </c>
      <c r="T26" s="356" t="str">
        <f t="shared" si="6"/>
        <v>HE 450 B</v>
      </c>
      <c r="U26" s="370" t="s">
        <v>160</v>
      </c>
      <c r="V26" s="371" t="s">
        <v>377</v>
      </c>
      <c r="W26" s="371" t="s">
        <v>873</v>
      </c>
      <c r="X26" s="372" t="s">
        <v>618</v>
      </c>
      <c r="Y26" s="317"/>
      <c r="Z26" s="317"/>
      <c r="AA26" s="317"/>
      <c r="AB26" s="317"/>
      <c r="AC26" s="317"/>
      <c r="AD26" s="317"/>
      <c r="AE26" s="317"/>
      <c r="AF26" s="317"/>
      <c r="AG26" s="317"/>
      <c r="AH26" s="317"/>
      <c r="AI26" s="317"/>
      <c r="AJ26" s="317"/>
      <c r="AK26" s="317"/>
      <c r="AL26" s="317"/>
      <c r="AM26" s="317"/>
      <c r="AN26" s="317"/>
      <c r="AO26" s="317"/>
      <c r="AP26" s="317"/>
      <c r="AQ26" s="317"/>
      <c r="AR26" s="317"/>
      <c r="AS26" s="317"/>
      <c r="AT26" s="317"/>
      <c r="AU26" s="317"/>
      <c r="AV26" s="317"/>
      <c r="AW26" s="317"/>
      <c r="AX26" s="317"/>
      <c r="AY26" s="317"/>
      <c r="AZ26" s="317"/>
      <c r="BA26" s="317"/>
      <c r="BB26" s="317"/>
      <c r="BC26" s="317"/>
      <c r="BD26" s="317"/>
      <c r="BE26" s="317"/>
    </row>
    <row r="27" spans="1:57" s="82" customFormat="1">
      <c r="G27"/>
      <c r="H27" s="363"/>
      <c r="M27" s="1198"/>
      <c r="O27" s="356" t="str">
        <f t="shared" si="2"/>
        <v xml:space="preserve">IPE 550                 </v>
      </c>
      <c r="P27" s="356" t="str">
        <f t="shared" si="3"/>
        <v>HE 550 M</v>
      </c>
      <c r="Q27" s="356" t="str">
        <f>IF($D$6=$U$10,U27,IF($D$6=$V$10,V27,IF(#REF!=$W$10,W27,RO34)))</f>
        <v>HE 500 B</v>
      </c>
      <c r="R27" s="356" t="str">
        <f t="shared" si="4"/>
        <v>HE 500 B</v>
      </c>
      <c r="S27" s="356" t="str">
        <f t="shared" si="5"/>
        <v xml:space="preserve">IPE 550                 </v>
      </c>
      <c r="T27" s="356" t="str">
        <f t="shared" si="6"/>
        <v>HE 500 B</v>
      </c>
      <c r="U27" s="370" t="s">
        <v>161</v>
      </c>
      <c r="V27" s="371" t="s">
        <v>386</v>
      </c>
      <c r="W27" s="371" t="s">
        <v>884</v>
      </c>
      <c r="X27" s="372" t="s">
        <v>625</v>
      </c>
      <c r="Y27" s="317"/>
      <c r="Z27" s="317"/>
      <c r="AA27" s="317"/>
      <c r="AB27" s="317"/>
      <c r="AC27" s="317"/>
      <c r="AD27" s="317"/>
      <c r="AE27" s="317"/>
      <c r="AF27" s="317"/>
      <c r="AG27" s="317"/>
      <c r="AH27" s="317"/>
      <c r="AI27" s="317"/>
      <c r="AJ27" s="317"/>
      <c r="AK27" s="317"/>
      <c r="AL27" s="317"/>
      <c r="AM27" s="317"/>
      <c r="AN27" s="317"/>
      <c r="AO27" s="317"/>
      <c r="AP27" s="317"/>
      <c r="AQ27" s="317"/>
      <c r="AR27" s="317"/>
      <c r="AS27" s="317"/>
      <c r="AT27" s="317"/>
      <c r="AU27" s="317"/>
      <c r="AV27" s="317"/>
      <c r="AW27" s="317"/>
      <c r="AX27" s="317"/>
      <c r="AY27" s="317"/>
      <c r="AZ27" s="317"/>
      <c r="BA27" s="317"/>
      <c r="BB27" s="317"/>
      <c r="BC27" s="317"/>
      <c r="BD27" s="317"/>
      <c r="BE27" s="317"/>
    </row>
    <row r="28" spans="1:57" s="82" customFormat="1">
      <c r="G28"/>
      <c r="H28"/>
      <c r="M28" s="1198"/>
      <c r="O28" s="356" t="str">
        <f t="shared" si="2"/>
        <v>IPE 600</v>
      </c>
      <c r="P28" s="356" t="str">
        <f t="shared" si="3"/>
        <v>HE 600 M</v>
      </c>
      <c r="Q28" s="356" t="str">
        <f>IF($D$6=$U$10,U28,IF($D$6=$V$10,V28,IF(#REF!=$W$10,W28,RO35)))</f>
        <v>HE 550 B</v>
      </c>
      <c r="R28" s="356" t="str">
        <f t="shared" si="4"/>
        <v>HE 550 B</v>
      </c>
      <c r="S28" s="356" t="str">
        <f t="shared" si="5"/>
        <v>IPE 600</v>
      </c>
      <c r="T28" s="356" t="str">
        <f t="shared" si="6"/>
        <v>HE 550 B</v>
      </c>
      <c r="U28" s="370" t="s">
        <v>163</v>
      </c>
      <c r="V28" s="371" t="s">
        <v>397</v>
      </c>
      <c r="W28" s="371" t="s">
        <v>893</v>
      </c>
      <c r="X28" s="372" t="s">
        <v>632</v>
      </c>
      <c r="Y28" s="317"/>
      <c r="Z28" s="317"/>
      <c r="AA28" s="317"/>
      <c r="AB28" s="317"/>
      <c r="AC28" s="317"/>
      <c r="AD28" s="317"/>
      <c r="AE28" s="317"/>
      <c r="AF28" s="317"/>
      <c r="AG28" s="317"/>
      <c r="AH28" s="317"/>
      <c r="AI28" s="317"/>
      <c r="AJ28" s="317"/>
      <c r="AK28" s="317"/>
      <c r="AL28" s="317"/>
      <c r="AM28" s="317"/>
      <c r="AN28" s="317"/>
      <c r="AO28" s="317"/>
      <c r="AP28" s="317"/>
      <c r="AQ28" s="317"/>
      <c r="AR28" s="317"/>
      <c r="AS28" s="317"/>
      <c r="AT28" s="317"/>
      <c r="AU28" s="317"/>
      <c r="AV28" s="317"/>
      <c r="AW28" s="317"/>
      <c r="AX28" s="317"/>
      <c r="AY28" s="317"/>
      <c r="AZ28" s="317"/>
      <c r="BA28" s="317"/>
      <c r="BB28" s="317"/>
      <c r="BC28" s="317"/>
      <c r="BD28" s="317"/>
      <c r="BE28" s="317"/>
    </row>
    <row r="29" spans="1:57" s="82" customFormat="1">
      <c r="G29"/>
      <c r="H29"/>
      <c r="M29" s="1198"/>
      <c r="O29" s="356">
        <f t="shared" si="2"/>
        <v>0</v>
      </c>
      <c r="P29" s="356" t="str">
        <f t="shared" si="3"/>
        <v>HE 650 M</v>
      </c>
      <c r="Q29" s="356" t="str">
        <f>IF($D$6=$U$10,U29,IF($D$6=$V$10,V29,IF(#REF!=$W$10,W29,RO36)))</f>
        <v>HE 600 B</v>
      </c>
      <c r="R29" s="356" t="str">
        <f t="shared" si="4"/>
        <v>HE 600 B</v>
      </c>
      <c r="S29" s="356">
        <f t="shared" si="5"/>
        <v>0</v>
      </c>
      <c r="T29" s="356" t="str">
        <f t="shared" si="6"/>
        <v>HE 600 B</v>
      </c>
      <c r="U29" s="374"/>
      <c r="V29" s="371" t="s">
        <v>406</v>
      </c>
      <c r="W29" s="371" t="s">
        <v>902</v>
      </c>
      <c r="X29" s="372" t="s">
        <v>639</v>
      </c>
      <c r="Y29" s="317"/>
      <c r="Z29" s="317"/>
      <c r="AA29" s="317"/>
      <c r="AB29" s="317"/>
      <c r="AC29" s="317"/>
      <c r="AD29" s="317"/>
      <c r="AE29" s="317"/>
      <c r="AF29" s="317"/>
      <c r="AG29" s="317"/>
      <c r="AH29" s="317"/>
      <c r="AI29" s="317"/>
      <c r="AJ29" s="317"/>
      <c r="AK29" s="317"/>
      <c r="AL29" s="317"/>
      <c r="AM29" s="317"/>
      <c r="AN29" s="317"/>
      <c r="AO29" s="317"/>
      <c r="AP29" s="317"/>
      <c r="AQ29" s="317"/>
      <c r="AR29" s="317"/>
      <c r="AS29" s="317"/>
      <c r="AT29" s="317"/>
      <c r="AU29" s="317"/>
      <c r="AV29" s="317"/>
      <c r="AW29" s="317"/>
      <c r="AX29" s="317"/>
      <c r="AY29" s="317"/>
      <c r="AZ29" s="317"/>
      <c r="BA29" s="317"/>
      <c r="BB29" s="317"/>
      <c r="BC29" s="317"/>
      <c r="BD29" s="317"/>
      <c r="BE29" s="317"/>
    </row>
    <row r="30" spans="1:57" s="82" customFormat="1">
      <c r="G30"/>
      <c r="H30"/>
      <c r="M30" s="1198"/>
      <c r="O30" s="356">
        <f t="shared" si="2"/>
        <v>0</v>
      </c>
      <c r="P30" s="356" t="str">
        <f t="shared" si="3"/>
        <v>HE 700 M</v>
      </c>
      <c r="Q30" s="356" t="str">
        <f>IF($D$6=$U$10,U30,IF($D$6=$V$10,V30,IF(#REF!=$W$10,W30,RO37)))</f>
        <v>HE 650 B</v>
      </c>
      <c r="R30" s="356" t="str">
        <f t="shared" si="4"/>
        <v>HE 650 B</v>
      </c>
      <c r="S30" s="356">
        <f t="shared" si="5"/>
        <v>0</v>
      </c>
      <c r="T30" s="356" t="str">
        <f t="shared" si="6"/>
        <v>HE 650 B</v>
      </c>
      <c r="U30" s="375"/>
      <c r="V30" s="371" t="s">
        <v>416</v>
      </c>
      <c r="W30" s="371" t="s">
        <v>912</v>
      </c>
      <c r="X30" s="372" t="s">
        <v>646</v>
      </c>
      <c r="Y30" s="317"/>
      <c r="Z30" s="317"/>
      <c r="AA30" s="317"/>
      <c r="AB30" s="317"/>
      <c r="AC30" s="317"/>
      <c r="AD30" s="317"/>
      <c r="AE30" s="317"/>
      <c r="AF30" s="317"/>
      <c r="AG30" s="317"/>
      <c r="AH30" s="317"/>
      <c r="AI30" s="317"/>
      <c r="AJ30" s="317"/>
      <c r="AK30" s="317"/>
      <c r="AL30" s="317"/>
      <c r="AM30" s="317"/>
      <c r="AN30" s="317"/>
      <c r="AO30" s="317"/>
      <c r="AP30" s="317"/>
      <c r="AQ30" s="317"/>
      <c r="AR30" s="317"/>
      <c r="AS30" s="317"/>
      <c r="AT30" s="317"/>
      <c r="AU30" s="317"/>
      <c r="AV30" s="317"/>
      <c r="AW30" s="317"/>
      <c r="AX30" s="317"/>
      <c r="AY30" s="317"/>
      <c r="AZ30" s="317"/>
      <c r="BA30" s="317"/>
      <c r="BB30" s="317"/>
      <c r="BC30" s="317"/>
      <c r="BD30" s="317"/>
      <c r="BE30" s="317"/>
    </row>
    <row r="31" spans="1:57" s="82" customFormat="1">
      <c r="A31"/>
      <c r="B31"/>
      <c r="C31"/>
      <c r="D31"/>
      <c r="E31"/>
      <c r="F31"/>
      <c r="G31"/>
      <c r="H31"/>
      <c r="I31"/>
      <c r="J31"/>
      <c r="K31"/>
      <c r="L31"/>
      <c r="M31"/>
      <c r="N31"/>
      <c r="O31" s="356">
        <f t="shared" si="2"/>
        <v>0</v>
      </c>
      <c r="P31" s="356" t="str">
        <f t="shared" si="3"/>
        <v>HE 800 M</v>
      </c>
      <c r="Q31" s="356" t="str">
        <f>IF($D$6=$U$10,U31,IF($D$6=$V$10,V31,IF(#REF!=$W$10,W31,RO38)))</f>
        <v>HE 700 B</v>
      </c>
      <c r="R31" s="356" t="str">
        <f t="shared" si="4"/>
        <v>HE 700 B</v>
      </c>
      <c r="S31" s="356">
        <f t="shared" si="5"/>
        <v>0</v>
      </c>
      <c r="T31" s="356" t="str">
        <f t="shared" si="6"/>
        <v>HE 700 B</v>
      </c>
      <c r="U31" s="374"/>
      <c r="V31" s="371" t="s">
        <v>426</v>
      </c>
      <c r="W31" s="371" t="s">
        <v>922</v>
      </c>
      <c r="X31" s="372" t="s">
        <v>653</v>
      </c>
      <c r="Y31" s="317"/>
      <c r="Z31" s="317"/>
      <c r="AA31" s="317"/>
      <c r="AB31" s="317"/>
      <c r="AC31" s="317"/>
      <c r="AD31" s="317"/>
      <c r="AE31" s="317"/>
      <c r="AF31" s="317"/>
      <c r="AG31" s="317"/>
      <c r="AH31" s="317"/>
      <c r="AI31" s="317"/>
      <c r="AJ31" s="317"/>
      <c r="AK31" s="317"/>
      <c r="AL31" s="317"/>
      <c r="AM31" s="317"/>
      <c r="AN31" s="317"/>
      <c r="AO31" s="317"/>
      <c r="AP31" s="317"/>
      <c r="AQ31" s="317"/>
      <c r="AR31" s="317"/>
      <c r="AS31" s="317"/>
      <c r="AT31" s="317"/>
      <c r="AU31" s="317"/>
      <c r="AV31" s="317"/>
      <c r="AW31" s="317"/>
      <c r="AX31" s="317"/>
      <c r="AY31" s="317"/>
      <c r="AZ31" s="317"/>
      <c r="BA31" s="317"/>
      <c r="BB31" s="317"/>
      <c r="BC31" s="317"/>
      <c r="BD31" s="317"/>
      <c r="BE31" s="317"/>
    </row>
    <row r="32" spans="1:57" s="82" customFormat="1" ht="13.5" thickBot="1">
      <c r="A32" s="8"/>
      <c r="B32" s="1251" t="s">
        <v>59</v>
      </c>
      <c r="C32" s="1251"/>
      <c r="D32" s="1251"/>
      <c r="E32" s="1251"/>
      <c r="F32" s="1251"/>
      <c r="G32" s="1251"/>
      <c r="H32" s="1251"/>
      <c r="I32" s="1251"/>
      <c r="J32" s="1251"/>
      <c r="K32" s="1251"/>
      <c r="L32" s="1251"/>
      <c r="M32" s="1251"/>
      <c r="N32" s="1251"/>
      <c r="O32" s="356">
        <f t="shared" si="2"/>
        <v>0</v>
      </c>
      <c r="P32" s="356" t="str">
        <f t="shared" si="3"/>
        <v>HE 900 M</v>
      </c>
      <c r="Q32" s="356" t="str">
        <f>IF($D$6=$U$10,U32,IF($D$6=$V$10,V32,IF(#REF!=$W$10,W32,RO39)))</f>
        <v>HE 800 B</v>
      </c>
      <c r="R32" s="356" t="str">
        <f t="shared" si="4"/>
        <v>HE 800 B</v>
      </c>
      <c r="S32" s="356">
        <f t="shared" si="5"/>
        <v>0</v>
      </c>
      <c r="T32" s="356" t="str">
        <f t="shared" si="6"/>
        <v>HE 800 B</v>
      </c>
      <c r="U32" s="375"/>
      <c r="V32" s="371" t="s">
        <v>436</v>
      </c>
      <c r="W32" s="371" t="s">
        <v>931</v>
      </c>
      <c r="X32" s="372" t="s">
        <v>660</v>
      </c>
      <c r="Y32" s="317"/>
      <c r="Z32" s="317"/>
      <c r="AA32" s="317"/>
      <c r="AB32" s="317"/>
      <c r="AC32" s="317"/>
      <c r="AD32" s="317"/>
      <c r="AE32" s="317"/>
      <c r="AF32" s="317"/>
      <c r="AG32" s="317"/>
      <c r="AH32" s="317"/>
      <c r="AI32" s="317"/>
      <c r="AJ32" s="317"/>
      <c r="AK32" s="317"/>
      <c r="AL32" s="317"/>
      <c r="AM32" s="317"/>
      <c r="AN32" s="317"/>
      <c r="AO32" s="317"/>
      <c r="AP32" s="317"/>
      <c r="AQ32" s="317"/>
      <c r="AR32" s="317"/>
      <c r="AS32" s="317"/>
      <c r="AT32" s="317"/>
      <c r="AU32" s="317"/>
      <c r="AV32" s="317"/>
      <c r="AW32" s="317"/>
      <c r="AX32" s="317"/>
      <c r="AY32" s="317"/>
      <c r="AZ32" s="317"/>
      <c r="BA32" s="317"/>
      <c r="BB32" s="317"/>
      <c r="BC32" s="317"/>
      <c r="BD32" s="317"/>
      <c r="BE32" s="317"/>
    </row>
    <row r="33" spans="1:57" s="82" customFormat="1">
      <c r="A33" s="8"/>
      <c r="B33" s="79" t="s">
        <v>57</v>
      </c>
      <c r="C33" s="80">
        <v>0</v>
      </c>
      <c r="D33" s="80">
        <v>0.1</v>
      </c>
      <c r="E33" s="80">
        <v>0.2</v>
      </c>
      <c r="F33" s="80">
        <v>0.3</v>
      </c>
      <c r="G33" s="80">
        <v>0.4</v>
      </c>
      <c r="H33" s="80">
        <v>0.5</v>
      </c>
      <c r="I33" s="80">
        <v>0.6</v>
      </c>
      <c r="J33" s="80">
        <v>0.7</v>
      </c>
      <c r="K33" s="80">
        <v>0.8</v>
      </c>
      <c r="L33" s="80">
        <v>0.9</v>
      </c>
      <c r="M33" s="80">
        <v>1</v>
      </c>
      <c r="N33" s="56" t="s">
        <v>55</v>
      </c>
      <c r="O33" s="356">
        <f t="shared" si="2"/>
        <v>0</v>
      </c>
      <c r="P33" s="356" t="str">
        <f t="shared" si="3"/>
        <v>HE 1000 M</v>
      </c>
      <c r="Q33" s="356" t="str">
        <f>IF($D$6=$U$10,U33,IF($D$6=$V$10,V33,IF(#REF!=$W$10,W33,RO40)))</f>
        <v>HE 900 B</v>
      </c>
      <c r="R33" s="356" t="str">
        <f t="shared" si="4"/>
        <v>HE 900 B</v>
      </c>
      <c r="S33" s="356">
        <f t="shared" si="5"/>
        <v>0</v>
      </c>
      <c r="T33" s="356" t="str">
        <f t="shared" si="6"/>
        <v>HE 900 B</v>
      </c>
      <c r="U33" s="374"/>
      <c r="V33" s="371" t="s">
        <v>446</v>
      </c>
      <c r="W33" s="371" t="s">
        <v>941</v>
      </c>
      <c r="X33" s="372" t="s">
        <v>667</v>
      </c>
      <c r="Y33" s="317"/>
      <c r="Z33" s="317"/>
      <c r="AA33" s="317"/>
      <c r="AB33" s="317"/>
      <c r="AC33" s="317"/>
      <c r="AD33" s="317"/>
      <c r="AE33" s="317"/>
      <c r="AF33" s="317"/>
      <c r="AG33" s="317"/>
      <c r="AH33" s="317"/>
      <c r="AI33" s="317"/>
      <c r="AJ33" s="317"/>
      <c r="AK33" s="317"/>
      <c r="AL33" s="317"/>
      <c r="AM33" s="317"/>
      <c r="AN33" s="317"/>
      <c r="AO33" s="317"/>
      <c r="AP33" s="317"/>
      <c r="AQ33" s="317"/>
      <c r="AR33" s="317"/>
      <c r="AS33" s="317"/>
      <c r="AT33" s="317"/>
      <c r="AU33" s="317"/>
      <c r="AV33" s="317"/>
      <c r="AW33" s="317"/>
      <c r="AX33" s="317"/>
      <c r="AY33" s="317"/>
      <c r="AZ33" s="317"/>
      <c r="BA33" s="317"/>
      <c r="BB33" s="317"/>
      <c r="BC33" s="317"/>
      <c r="BD33" s="317"/>
      <c r="BE33" s="317"/>
    </row>
    <row r="34" spans="1:57" s="82" customFormat="1">
      <c r="A34" s="8"/>
      <c r="B34" s="81">
        <v>0</v>
      </c>
      <c r="C34" s="40">
        <f t="shared" ref="C34:M43" si="7">((1+0.145*(C$33+$B34)-0.265*C$33*$B34)/(2-0.364*(C$33+$B34)-0.247*C$33*$B34))</f>
        <v>0.5</v>
      </c>
      <c r="D34" s="40">
        <f t="shared" si="7"/>
        <v>0.51665308616826233</v>
      </c>
      <c r="E34" s="40">
        <f t="shared" si="7"/>
        <v>0.53393524283935234</v>
      </c>
      <c r="F34" s="40">
        <f t="shared" si="7"/>
        <v>0.55188280093082298</v>
      </c>
      <c r="G34" s="40">
        <f t="shared" si="7"/>
        <v>0.57053494391716997</v>
      </c>
      <c r="H34" s="40">
        <f t="shared" si="7"/>
        <v>0.58993399339933994</v>
      </c>
      <c r="I34" s="40">
        <f t="shared" si="7"/>
        <v>0.61012572968118539</v>
      </c>
      <c r="J34" s="40">
        <f t="shared" si="7"/>
        <v>0.63115975246390088</v>
      </c>
      <c r="K34" s="40">
        <f t="shared" si="7"/>
        <v>0.65308988764044951</v>
      </c>
      <c r="L34" s="40">
        <f t="shared" si="7"/>
        <v>0.67597464721358524</v>
      </c>
      <c r="M34" s="40">
        <f t="shared" si="7"/>
        <v>0.69987775061124691</v>
      </c>
      <c r="N34" s="57"/>
      <c r="O34" s="356">
        <f t="shared" si="2"/>
        <v>0</v>
      </c>
      <c r="P34" s="356">
        <f t="shared" si="3"/>
        <v>0</v>
      </c>
      <c r="Q34" s="356" t="str">
        <f>IF($D$6=$U$10,U34,IF($D$6=$V$10,V34,IF(#REF!=$W$10,W34,RO41)))</f>
        <v>HE 1000 B</v>
      </c>
      <c r="R34" s="356" t="str">
        <f t="shared" si="4"/>
        <v>HE 1000 B</v>
      </c>
      <c r="S34" s="356">
        <f t="shared" si="5"/>
        <v>0</v>
      </c>
      <c r="T34" s="356" t="str">
        <f t="shared" si="6"/>
        <v>HE 1000 B</v>
      </c>
      <c r="U34" s="376"/>
      <c r="V34" s="371" t="s">
        <v>455</v>
      </c>
      <c r="W34" s="371" t="s">
        <v>949</v>
      </c>
      <c r="X34" s="378"/>
      <c r="Y34" s="317"/>
      <c r="Z34" s="317"/>
      <c r="AA34" s="317"/>
      <c r="AB34" s="317"/>
      <c r="AC34" s="317"/>
      <c r="AD34" s="317"/>
      <c r="AE34" s="317"/>
      <c r="AF34" s="317"/>
      <c r="AG34" s="317"/>
      <c r="AH34" s="317"/>
      <c r="AI34" s="317"/>
      <c r="AJ34" s="317"/>
      <c r="AK34" s="317"/>
      <c r="AL34" s="317"/>
      <c r="AM34" s="317"/>
      <c r="AN34" s="317"/>
      <c r="AO34" s="317"/>
      <c r="AP34" s="317"/>
      <c r="AQ34" s="317"/>
      <c r="AR34" s="317"/>
      <c r="AS34" s="317"/>
      <c r="AT34" s="317"/>
      <c r="AU34" s="317"/>
      <c r="AV34" s="317"/>
      <c r="AW34" s="317"/>
      <c r="AX34" s="317"/>
      <c r="AY34" s="317"/>
      <c r="AZ34" s="317"/>
      <c r="BA34" s="317"/>
      <c r="BB34" s="317"/>
      <c r="BC34" s="317"/>
      <c r="BD34" s="317"/>
      <c r="BE34" s="317"/>
    </row>
    <row r="35" spans="1:57" s="82" customFormat="1">
      <c r="A35" s="8"/>
      <c r="B35" s="81">
        <v>0.1</v>
      </c>
      <c r="C35" s="40">
        <f t="shared" si="7"/>
        <v>0.51665308616826233</v>
      </c>
      <c r="D35" s="40">
        <f t="shared" si="7"/>
        <v>0.53324362378099777</v>
      </c>
      <c r="E35" s="40">
        <f t="shared" si="7"/>
        <v>0.55051806602823117</v>
      </c>
      <c r="F35" s="40">
        <f t="shared" si="7"/>
        <v>0.56851959133509122</v>
      </c>
      <c r="G35" s="40">
        <f t="shared" si="7"/>
        <v>0.58729509103378097</v>
      </c>
      <c r="H35" s="40">
        <f t="shared" si="7"/>
        <v>0.60689557722198673</v>
      </c>
      <c r="I35" s="40">
        <f t="shared" si="7"/>
        <v>0.62737664559229755</v>
      </c>
      <c r="J35" s="40">
        <f t="shared" si="7"/>
        <v>0.64879900207506891</v>
      </c>
      <c r="K35" s="40">
        <f t="shared" si="7"/>
        <v>0.67122906380094871</v>
      </c>
      <c r="L35" s="40">
        <f t="shared" si="7"/>
        <v>0.69473964691374857</v>
      </c>
      <c r="M35" s="40">
        <f t="shared" si="7"/>
        <v>0.71941075623849138</v>
      </c>
      <c r="N35" s="57"/>
      <c r="S35" s="356"/>
      <c r="T35" s="356"/>
      <c r="U35" s="317"/>
      <c r="V35" s="317"/>
      <c r="W35" s="317"/>
      <c r="X35" s="317"/>
      <c r="Y35" s="317"/>
      <c r="Z35" s="317"/>
      <c r="AA35" s="317"/>
      <c r="AB35" s="317"/>
      <c r="AC35" s="317"/>
      <c r="AD35" s="317"/>
      <c r="AE35" s="317"/>
      <c r="AF35" s="317"/>
      <c r="AG35" s="317"/>
      <c r="AH35" s="317"/>
      <c r="AI35" s="317"/>
      <c r="AJ35" s="317"/>
      <c r="AK35" s="317"/>
      <c r="AL35" s="317"/>
      <c r="AM35" s="317"/>
      <c r="AN35" s="317"/>
      <c r="AO35" s="317"/>
      <c r="AP35" s="317"/>
      <c r="AQ35" s="317"/>
      <c r="AR35" s="317"/>
      <c r="AS35" s="317"/>
      <c r="AT35" s="317"/>
      <c r="AU35" s="317"/>
      <c r="AV35" s="317"/>
      <c r="AW35" s="317"/>
      <c r="AX35" s="317"/>
      <c r="AY35" s="317"/>
      <c r="AZ35" s="317"/>
      <c r="BA35" s="317"/>
      <c r="BB35" s="317"/>
      <c r="BC35" s="317"/>
      <c r="BD35" s="317"/>
      <c r="BE35" s="317"/>
    </row>
    <row r="36" spans="1:57" s="82" customFormat="1">
      <c r="A36" s="8"/>
      <c r="B36" s="81">
        <v>0.15</v>
      </c>
      <c r="C36" s="40">
        <f t="shared" si="7"/>
        <v>0.52521332373804874</v>
      </c>
      <c r="D36" s="40">
        <f t="shared" si="7"/>
        <v>0.5417927407566806</v>
      </c>
      <c r="E36" s="40">
        <f t="shared" si="7"/>
        <v>0.55908513341804322</v>
      </c>
      <c r="F36" s="40">
        <f t="shared" si="7"/>
        <v>0.57713750318478318</v>
      </c>
      <c r="G36" s="40">
        <f t="shared" si="7"/>
        <v>0.59600107564230409</v>
      </c>
      <c r="H36" s="40">
        <f t="shared" si="7"/>
        <v>0.6157317859445518</v>
      </c>
      <c r="I36" s="40">
        <f t="shared" si="7"/>
        <v>0.63639083278096165</v>
      </c>
      <c r="J36" s="40">
        <f t="shared" si="7"/>
        <v>0.6580453124202168</v>
      </c>
      <c r="K36" s="40">
        <f t="shared" si="7"/>
        <v>0.68076894666863652</v>
      </c>
      <c r="L36" s="40">
        <f t="shared" si="7"/>
        <v>0.70464292138306228</v>
      </c>
      <c r="M36" s="40">
        <f t="shared" si="7"/>
        <v>0.72975685563505688</v>
      </c>
      <c r="N36" s="57"/>
      <c r="S36" s="356"/>
      <c r="T36" s="356"/>
      <c r="U36" s="317"/>
      <c r="V36" s="317"/>
      <c r="W36" s="317"/>
      <c r="X36" s="317"/>
      <c r="Y36" s="317"/>
      <c r="Z36" s="317"/>
      <c r="AA36" s="317"/>
      <c r="AB36" s="317"/>
      <c r="AC36" s="317"/>
      <c r="AD36" s="317"/>
      <c r="AE36" s="317"/>
      <c r="AF36" s="317"/>
      <c r="AG36" s="317"/>
      <c r="AH36" s="317"/>
      <c r="AI36" s="317"/>
      <c r="AJ36" s="317"/>
      <c r="AK36" s="317"/>
      <c r="AL36" s="317"/>
      <c r="AM36" s="317"/>
      <c r="AN36" s="317"/>
      <c r="AO36" s="317"/>
      <c r="AP36" s="317"/>
      <c r="AQ36" s="317"/>
      <c r="AR36" s="317"/>
      <c r="AS36" s="317"/>
      <c r="AT36" s="317"/>
      <c r="AU36" s="317"/>
      <c r="AV36" s="317"/>
      <c r="AW36" s="317"/>
      <c r="AX36" s="317"/>
      <c r="AY36" s="317"/>
      <c r="AZ36" s="317"/>
      <c r="BA36" s="317"/>
      <c r="BB36" s="317"/>
      <c r="BC36" s="317"/>
      <c r="BD36" s="317"/>
      <c r="BE36" s="317"/>
    </row>
    <row r="37" spans="1:57" s="82" customFormat="1">
      <c r="A37" s="8"/>
      <c r="B37" s="81">
        <v>0.2</v>
      </c>
      <c r="C37" s="40">
        <f t="shared" si="7"/>
        <v>0.53393524283935234</v>
      </c>
      <c r="D37" s="40">
        <f t="shared" si="7"/>
        <v>0.55051806602823117</v>
      </c>
      <c r="E37" s="40">
        <f t="shared" si="7"/>
        <v>0.56784420879144715</v>
      </c>
      <c r="F37" s="40">
        <f t="shared" si="7"/>
        <v>0.58596479552790071</v>
      </c>
      <c r="G37" s="40">
        <f t="shared" si="7"/>
        <v>0.60493574898969249</v>
      </c>
      <c r="H37" s="40">
        <f t="shared" si="7"/>
        <v>0.6248183667538505</v>
      </c>
      <c r="I37" s="40">
        <f t="shared" si="7"/>
        <v>0.6456799828485672</v>
      </c>
      <c r="J37" s="40">
        <f t="shared" si="7"/>
        <v>0.66759472957956312</v>
      </c>
      <c r="K37" s="40">
        <f t="shared" si="7"/>
        <v>0.69064441771898177</v>
      </c>
      <c r="L37" s="40">
        <f t="shared" si="7"/>
        <v>0.71491955708167754</v>
      </c>
      <c r="M37" s="40">
        <f t="shared" si="7"/>
        <v>0.74052054432553827</v>
      </c>
      <c r="N37" s="57"/>
      <c r="S37" s="356"/>
      <c r="T37" s="356"/>
      <c r="U37" s="317"/>
      <c r="V37" s="317"/>
      <c r="W37" s="317"/>
      <c r="X37" s="317"/>
      <c r="Y37" s="317"/>
      <c r="Z37" s="317"/>
      <c r="AA37" s="317"/>
      <c r="AB37" s="317"/>
      <c r="AC37" s="317"/>
      <c r="AD37" s="317"/>
      <c r="AE37" s="317"/>
      <c r="AF37" s="317"/>
      <c r="AG37" s="317"/>
      <c r="AH37" s="317"/>
      <c r="AI37" s="317"/>
      <c r="AJ37" s="317"/>
      <c r="AK37" s="317"/>
      <c r="AL37" s="317"/>
      <c r="AM37" s="317"/>
      <c r="AN37" s="317"/>
      <c r="AO37" s="317"/>
      <c r="AP37" s="317"/>
      <c r="AQ37" s="317"/>
      <c r="AR37" s="317"/>
      <c r="AS37" s="317"/>
      <c r="AT37" s="317"/>
      <c r="AU37" s="317"/>
      <c r="AV37" s="317"/>
      <c r="AW37" s="317"/>
      <c r="AX37" s="317"/>
      <c r="AY37" s="317"/>
      <c r="AZ37" s="317"/>
      <c r="BA37" s="317"/>
      <c r="BB37" s="317"/>
      <c r="BC37" s="317"/>
      <c r="BD37" s="317"/>
      <c r="BE37" s="317"/>
    </row>
    <row r="38" spans="1:57" s="82" customFormat="1">
      <c r="A38" s="8"/>
      <c r="B38" s="81">
        <v>0.25</v>
      </c>
      <c r="C38" s="40">
        <f t="shared" si="7"/>
        <v>0.54282346778418011</v>
      </c>
      <c r="D38" s="40">
        <f t="shared" si="7"/>
        <v>0.5594251041429471</v>
      </c>
      <c r="E38" s="40">
        <f t="shared" si="7"/>
        <v>0.57680182032513638</v>
      </c>
      <c r="F38" s="40">
        <f t="shared" si="7"/>
        <v>0.59500919285343357</v>
      </c>
      <c r="G38" s="40">
        <f t="shared" si="7"/>
        <v>0.61410824178984291</v>
      </c>
      <c r="H38" s="40">
        <f t="shared" si="7"/>
        <v>0.63416611393617794</v>
      </c>
      <c r="I38" s="40">
        <f t="shared" si="7"/>
        <v>0.65525687157932944</v>
      </c>
      <c r="J38" s="40">
        <f t="shared" si="7"/>
        <v>0.67746240630673982</v>
      </c>
      <c r="K38" s="40">
        <f t="shared" si="7"/>
        <v>0.70087350165774043</v>
      </c>
      <c r="L38" s="40">
        <f t="shared" si="7"/>
        <v>0.72559107368145093</v>
      </c>
      <c r="M38" s="40">
        <f t="shared" si="7"/>
        <v>0.75172762514748026</v>
      </c>
      <c r="N38" s="57"/>
      <c r="S38" s="356"/>
      <c r="T38" s="356"/>
      <c r="U38" s="317"/>
      <c r="V38" s="317"/>
      <c r="W38" s="317"/>
      <c r="X38" s="317"/>
      <c r="Y38" s="317"/>
      <c r="Z38" s="317"/>
      <c r="AA38" s="317"/>
      <c r="AB38" s="317"/>
      <c r="AC38" s="317"/>
      <c r="AD38" s="317"/>
      <c r="AE38" s="317"/>
      <c r="AF38" s="317"/>
      <c r="AG38" s="317"/>
      <c r="AH38" s="317"/>
      <c r="AI38" s="317"/>
      <c r="AJ38" s="317"/>
      <c r="AK38" s="317"/>
      <c r="AL38" s="317"/>
      <c r="AM38" s="317"/>
      <c r="AN38" s="317"/>
      <c r="AO38" s="317"/>
      <c r="AP38" s="317"/>
      <c r="AQ38" s="317"/>
      <c r="AR38" s="317"/>
      <c r="AS38" s="317"/>
      <c r="AT38" s="317"/>
      <c r="AU38" s="317"/>
      <c r="AV38" s="317"/>
      <c r="AW38" s="317"/>
      <c r="AX38" s="317"/>
      <c r="AY38" s="317"/>
      <c r="AZ38" s="317"/>
      <c r="BA38" s="317"/>
      <c r="BB38" s="317"/>
      <c r="BC38" s="317"/>
      <c r="BD38" s="317"/>
      <c r="BE38" s="317"/>
    </row>
    <row r="39" spans="1:57" s="82" customFormat="1">
      <c r="A39" s="8"/>
      <c r="B39" s="81">
        <v>0.3</v>
      </c>
      <c r="C39" s="40">
        <f t="shared" si="7"/>
        <v>0.55188280093082298</v>
      </c>
      <c r="D39" s="40">
        <f t="shared" si="7"/>
        <v>0.56851959133509122</v>
      </c>
      <c r="E39" s="40">
        <f t="shared" si="7"/>
        <v>0.58596479552790071</v>
      </c>
      <c r="F39" s="40">
        <f t="shared" si="7"/>
        <v>0.60427880434473702</v>
      </c>
      <c r="G39" s="40">
        <f t="shared" si="7"/>
        <v>0.62352817738814137</v>
      </c>
      <c r="H39" s="40">
        <f t="shared" si="7"/>
        <v>0.64378645132346346</v>
      </c>
      <c r="I39" s="40">
        <f t="shared" si="7"/>
        <v>0.66513507868840371</v>
      </c>
      <c r="J39" s="40">
        <f t="shared" si="7"/>
        <v>0.68766452248237209</v>
      </c>
      <c r="K39" s="40">
        <f t="shared" si="7"/>
        <v>0.71147553755063875</v>
      </c>
      <c r="L39" s="40">
        <f t="shared" si="7"/>
        <v>0.73668067704191742</v>
      </c>
      <c r="M39" s="40">
        <f t="shared" si="7"/>
        <v>0.7634060714531562</v>
      </c>
      <c r="N39" s="57"/>
      <c r="S39" s="356"/>
      <c r="T39" s="356"/>
      <c r="U39" s="317"/>
      <c r="V39" s="317"/>
      <c r="W39" s="317"/>
      <c r="X39" s="317"/>
      <c r="Y39" s="317"/>
      <c r="Z39" s="317"/>
      <c r="AA39" s="317"/>
      <c r="AB39" s="317"/>
      <c r="AC39" s="317"/>
      <c r="AD39" s="317"/>
      <c r="AE39" s="317"/>
      <c r="AF39" s="317"/>
      <c r="AG39" s="317"/>
      <c r="AH39" s="317"/>
      <c r="AI39" s="317"/>
      <c r="AJ39" s="317"/>
      <c r="AK39" s="317"/>
      <c r="AL39" s="317"/>
      <c r="AM39" s="317"/>
      <c r="AN39" s="317"/>
      <c r="AO39" s="317"/>
      <c r="AP39" s="317"/>
      <c r="AQ39" s="317"/>
      <c r="AR39" s="317"/>
      <c r="AS39" s="317"/>
      <c r="AT39" s="317"/>
      <c r="AU39" s="317"/>
      <c r="AV39" s="317"/>
      <c r="AW39" s="317"/>
      <c r="AX39" s="317"/>
      <c r="AY39" s="317"/>
      <c r="AZ39" s="317"/>
      <c r="BA39" s="317"/>
      <c r="BB39" s="317"/>
      <c r="BC39" s="317"/>
      <c r="BD39" s="317"/>
      <c r="BE39" s="317"/>
    </row>
    <row r="40" spans="1:57" s="82" customFormat="1">
      <c r="A40" s="8"/>
      <c r="B40" s="81">
        <v>0.35</v>
      </c>
      <c r="C40" s="40">
        <f t="shared" si="7"/>
        <v>0.56111823133611027</v>
      </c>
      <c r="D40" s="40">
        <f t="shared" si="7"/>
        <v>0.5778075078451812</v>
      </c>
      <c r="E40" s="40">
        <f t="shared" si="7"/>
        <v>0.59534027859591243</v>
      </c>
      <c r="F40" s="40">
        <f t="shared" si="7"/>
        <v>0.61378214812960252</v>
      </c>
      <c r="G40" s="40">
        <f t="shared" si="7"/>
        <v>0.63320570543954813</v>
      </c>
      <c r="H40" s="40">
        <f t="shared" si="7"/>
        <v>0.65369147886789603</v>
      </c>
      <c r="I40" s="40">
        <f t="shared" si="7"/>
        <v>0.67532905206792615</v>
      </c>
      <c r="J40" s="40">
        <f t="shared" si="7"/>
        <v>0.69821837364387385</v>
      </c>
      <c r="K40" s="40">
        <f t="shared" si="7"/>
        <v>0.72247130085171674</v>
      </c>
      <c r="L40" s="40">
        <f t="shared" si="7"/>
        <v>0.74821342766298948</v>
      </c>
      <c r="M40" s="40">
        <f t="shared" si="7"/>
        <v>0.77558626023977795</v>
      </c>
      <c r="N40" s="57"/>
      <c r="S40" s="356"/>
      <c r="T40" s="356"/>
      <c r="U40" s="317"/>
      <c r="V40" s="317"/>
      <c r="W40" s="317"/>
      <c r="X40" s="317"/>
      <c r="Y40" s="317"/>
      <c r="Z40" s="317"/>
      <c r="AA40" s="317"/>
      <c r="AB40" s="317"/>
      <c r="AC40" s="317"/>
      <c r="AD40" s="317"/>
      <c r="AE40" s="317"/>
      <c r="AF40" s="317"/>
      <c r="AG40" s="317"/>
      <c r="AH40" s="317"/>
      <c r="AI40" s="317"/>
      <c r="AJ40" s="317"/>
      <c r="AK40" s="317"/>
      <c r="AL40" s="317"/>
      <c r="AM40" s="317"/>
      <c r="AN40" s="317"/>
      <c r="AO40" s="317"/>
      <c r="AP40" s="317"/>
      <c r="AQ40" s="317"/>
      <c r="AR40" s="317"/>
      <c r="AS40" s="317"/>
      <c r="AT40" s="317"/>
      <c r="AU40" s="317"/>
      <c r="AV40" s="317"/>
      <c r="AW40" s="317"/>
      <c r="AX40" s="317"/>
      <c r="AY40" s="317"/>
      <c r="AZ40" s="317"/>
      <c r="BA40" s="317"/>
      <c r="BB40" s="317"/>
      <c r="BC40" s="317"/>
      <c r="BD40" s="317"/>
      <c r="BE40" s="317"/>
    </row>
    <row r="41" spans="1:57" s="82" customFormat="1">
      <c r="A41" s="8"/>
      <c r="B41" s="81">
        <v>0.4</v>
      </c>
      <c r="C41" s="40">
        <f t="shared" si="7"/>
        <v>0.57053494391716997</v>
      </c>
      <c r="D41" s="40">
        <f t="shared" si="7"/>
        <v>0.58729509103378097</v>
      </c>
      <c r="E41" s="40">
        <f t="shared" si="7"/>
        <v>0.60493574898969249</v>
      </c>
      <c r="F41" s="40">
        <f t="shared" si="7"/>
        <v>0.62352817738814137</v>
      </c>
      <c r="G41" s="40">
        <f t="shared" si="7"/>
        <v>0.64315153838780792</v>
      </c>
      <c r="H41" s="40">
        <f t="shared" si="7"/>
        <v>0.66389402341343196</v>
      </c>
      <c r="I41" s="40">
        <f t="shared" si="7"/>
        <v>0.68585417829418027</v>
      </c>
      <c r="J41" s="40">
        <f t="shared" si="7"/>
        <v>0.70914246883249255</v>
      </c>
      <c r="K41" s="40">
        <f t="shared" si="7"/>
        <v>0.73388313928417426</v>
      </c>
      <c r="L41" s="40">
        <f t="shared" si="7"/>
        <v>0.76021642974378956</v>
      </c>
      <c r="M41" s="40">
        <f t="shared" si="7"/>
        <v>0.78830123598735258</v>
      </c>
      <c r="N41" s="57"/>
      <c r="S41" s="356"/>
      <c r="T41" s="356"/>
      <c r="U41" s="210"/>
      <c r="V41" s="210"/>
      <c r="BC41" s="317"/>
      <c r="BD41" s="317"/>
      <c r="BE41" s="317"/>
    </row>
    <row r="42" spans="1:57" s="82" customFormat="1" ht="19.5" customHeight="1">
      <c r="A42" s="8"/>
      <c r="B42" s="81">
        <v>0.45</v>
      </c>
      <c r="C42" s="40">
        <f t="shared" si="7"/>
        <v>0.58013832915804375</v>
      </c>
      <c r="D42" s="40">
        <f t="shared" si="7"/>
        <v>0.59698884935022101</v>
      </c>
      <c r="E42" s="40">
        <f t="shared" si="7"/>
        <v>0.61475904133427517</v>
      </c>
      <c r="F42" s="40">
        <f t="shared" si="7"/>
        <v>0.63352630848667535</v>
      </c>
      <c r="G42" s="40">
        <f t="shared" si="7"/>
        <v>0.65337699102141988</v>
      </c>
      <c r="H42" s="40">
        <f t="shared" si="7"/>
        <v>0.67440769411212764</v>
      </c>
      <c r="I42" s="40">
        <f t="shared" si="7"/>
        <v>0.69672686011952734</v>
      </c>
      <c r="J42" s="40">
        <f t="shared" si="7"/>
        <v>0.72045663892205014</v>
      </c>
      <c r="K42" s="40">
        <f t="shared" si="7"/>
        <v>0.74573512444371182</v>
      </c>
      <c r="L42" s="40">
        <f t="shared" si="7"/>
        <v>0.77271904384959167</v>
      </c>
      <c r="M42" s="40">
        <f t="shared" si="7"/>
        <v>0.80158701002902177</v>
      </c>
      <c r="N42" s="57"/>
      <c r="O42"/>
      <c r="P42"/>
      <c r="Q42"/>
      <c r="R42"/>
      <c r="S42"/>
      <c r="T42"/>
      <c r="U42"/>
      <c r="V42"/>
      <c r="W42"/>
      <c r="X42"/>
      <c r="Y42"/>
      <c r="Z42"/>
      <c r="AA42"/>
      <c r="AB42"/>
      <c r="AC42"/>
      <c r="AD42"/>
      <c r="AE42"/>
      <c r="AF42"/>
      <c r="AG42"/>
      <c r="AH42"/>
      <c r="AI42"/>
      <c r="AJ42"/>
      <c r="AK42"/>
      <c r="AL42"/>
      <c r="AM42"/>
      <c r="AN42"/>
      <c r="AO42"/>
      <c r="AP42"/>
      <c r="AQ42"/>
      <c r="AR42"/>
      <c r="AS42"/>
      <c r="AT42"/>
      <c r="AU42"/>
      <c r="AV42"/>
      <c r="AW42"/>
      <c r="AX42"/>
      <c r="AY42"/>
      <c r="AZ42"/>
      <c r="BA42"/>
      <c r="BB42"/>
      <c r="BC42" s="317"/>
      <c r="BD42" s="317"/>
      <c r="BE42" s="317"/>
    </row>
    <row r="43" spans="1:57" s="82" customFormat="1">
      <c r="A43" s="8"/>
      <c r="B43" s="81">
        <v>0.5</v>
      </c>
      <c r="C43" s="40">
        <f t="shared" si="7"/>
        <v>0.58993399339933994</v>
      </c>
      <c r="D43" s="40">
        <f t="shared" si="7"/>
        <v>0.60689557722198673</v>
      </c>
      <c r="E43" s="40">
        <f t="shared" si="7"/>
        <v>0.6248183667538505</v>
      </c>
      <c r="F43" s="40">
        <f t="shared" si="7"/>
        <v>0.64378645132346346</v>
      </c>
      <c r="G43" s="40">
        <f t="shared" si="7"/>
        <v>0.66389402341343196</v>
      </c>
      <c r="H43" s="40">
        <f t="shared" si="7"/>
        <v>0.68524694298872479</v>
      </c>
      <c r="I43" s="40">
        <f t="shared" si="7"/>
        <v>0.70796460176991161</v>
      </c>
      <c r="J43" s="40">
        <f t="shared" si="7"/>
        <v>0.73218215676316212</v>
      </c>
      <c r="K43" s="40">
        <f t="shared" si="7"/>
        <v>0.75805322128851527</v>
      </c>
      <c r="L43" s="40">
        <f t="shared" si="7"/>
        <v>0.78575312669929309</v>
      </c>
      <c r="M43" s="40">
        <f t="shared" si="7"/>
        <v>0.81548290116497557</v>
      </c>
      <c r="N43" s="57"/>
      <c r="O43"/>
      <c r="P43"/>
      <c r="Q43"/>
      <c r="R43"/>
      <c r="S43"/>
      <c r="T43"/>
      <c r="U43"/>
      <c r="V43"/>
      <c r="W43"/>
      <c r="X43"/>
      <c r="Y43"/>
      <c r="Z43"/>
      <c r="AA43"/>
      <c r="AB43"/>
      <c r="AC43"/>
      <c r="AD43"/>
      <c r="AE43"/>
      <c r="AF43"/>
      <c r="AG43"/>
      <c r="AH43"/>
      <c r="AI43"/>
      <c r="AJ43"/>
      <c r="AK43"/>
      <c r="AL43"/>
      <c r="AM43"/>
      <c r="AN43"/>
      <c r="AO43"/>
      <c r="AP43"/>
      <c r="AQ43"/>
      <c r="AR43"/>
      <c r="AS43"/>
      <c r="AT43"/>
      <c r="AU43"/>
      <c r="AV43"/>
      <c r="AW43"/>
      <c r="AX43"/>
      <c r="AY43"/>
      <c r="AZ43"/>
      <c r="BA43"/>
      <c r="BB43"/>
      <c r="BC43" s="317"/>
      <c r="BD43" s="317"/>
      <c r="BE43" s="317"/>
    </row>
    <row r="44" spans="1:57" s="82" customFormat="1">
      <c r="A44" s="8"/>
      <c r="B44" s="81">
        <v>0.55000000000000004</v>
      </c>
      <c r="C44" s="40">
        <f t="shared" ref="C44:M53" si="8">((1+0.145*(C$33+$B44)-0.265*C$33*$B44)/(2-0.364*(C$33+$B44)-0.247*C$33*$B44))</f>
        <v>0.59992776975219464</v>
      </c>
      <c r="D44" s="40">
        <f t="shared" si="8"/>
        <v>0.61702237093635603</v>
      </c>
      <c r="E44" s="40">
        <f t="shared" si="8"/>
        <v>0.63512233576298804</v>
      </c>
      <c r="F44" s="40">
        <f t="shared" si="8"/>
        <v>0.654319042091833</v>
      </c>
      <c r="G44" s="40">
        <f t="shared" si="8"/>
        <v>0.67471528758766397</v>
      </c>
      <c r="H44" s="40">
        <f t="shared" si="8"/>
        <v>0.69642713122025968</v>
      </c>
      <c r="I44" s="40">
        <f t="shared" si="8"/>
        <v>0.71958610298088521</v>
      </c>
      <c r="J44" s="40">
        <f t="shared" si="8"/>
        <v>0.74434187067428548</v>
      </c>
      <c r="K44" s="40">
        <f t="shared" si="8"/>
        <v>0.77086547802731598</v>
      </c>
      <c r="L44" s="40">
        <f t="shared" si="8"/>
        <v>0.79935330219603173</v>
      </c>
      <c r="M44" s="40">
        <f t="shared" si="8"/>
        <v>0.83003192430478101</v>
      </c>
      <c r="N44" s="57"/>
      <c r="O44"/>
      <c r="P44"/>
      <c r="Q44"/>
      <c r="R44"/>
      <c r="S44"/>
      <c r="T44"/>
      <c r="U44"/>
      <c r="V44"/>
      <c r="W44"/>
      <c r="X44"/>
      <c r="Y44"/>
      <c r="Z44"/>
      <c r="AA44"/>
      <c r="AB44"/>
      <c r="AC44"/>
      <c r="AD44"/>
      <c r="AE44"/>
      <c r="AF44"/>
      <c r="AG44"/>
      <c r="AH44"/>
      <c r="AI44"/>
      <c r="AJ44"/>
      <c r="AK44"/>
      <c r="AL44"/>
      <c r="AM44"/>
      <c r="AN44"/>
      <c r="AO44"/>
      <c r="AP44"/>
      <c r="AQ44"/>
      <c r="AR44"/>
      <c r="AS44"/>
      <c r="AT44"/>
      <c r="AU44"/>
      <c r="AV44"/>
      <c r="AW44"/>
      <c r="AX44"/>
      <c r="AY44"/>
      <c r="AZ44"/>
      <c r="BA44"/>
      <c r="BB44"/>
      <c r="BC44" s="317"/>
      <c r="BD44" s="317"/>
      <c r="BE44" s="317"/>
    </row>
    <row r="45" spans="1:57" s="82" customFormat="1">
      <c r="A45" s="8"/>
      <c r="B45" s="81">
        <v>0.6</v>
      </c>
      <c r="C45" s="40">
        <f t="shared" si="8"/>
        <v>0.61012572968118539</v>
      </c>
      <c r="D45" s="40">
        <f t="shared" si="8"/>
        <v>0.62737664559229755</v>
      </c>
      <c r="E45" s="40">
        <f t="shared" si="8"/>
        <v>0.6456799828485672</v>
      </c>
      <c r="F45" s="40">
        <f t="shared" si="8"/>
        <v>0.66513507868840371</v>
      </c>
      <c r="G45" s="40">
        <f t="shared" si="8"/>
        <v>0.68585417829418027</v>
      </c>
      <c r="H45" s="40">
        <f t="shared" si="8"/>
        <v>0.70796460176991161</v>
      </c>
      <c r="I45" s="40">
        <f t="shared" si="8"/>
        <v>0.7316113628347396</v>
      </c>
      <c r="J45" s="40">
        <f t="shared" si="8"/>
        <v>0.75696035304203602</v>
      </c>
      <c r="K45" s="40">
        <f t="shared" si="8"/>
        <v>0.78420223932820154</v>
      </c>
      <c r="L45" s="40">
        <f t="shared" si="8"/>
        <v>0.81355726855567845</v>
      </c>
      <c r="M45" s="40">
        <f t="shared" si="8"/>
        <v>0.84528123522924203</v>
      </c>
      <c r="N45" s="57"/>
      <c r="O45"/>
      <c r="P45"/>
      <c r="Q45"/>
      <c r="R45"/>
      <c r="S45"/>
      <c r="T45"/>
      <c r="U45"/>
      <c r="V45"/>
      <c r="W45"/>
      <c r="X45"/>
      <c r="Y45"/>
      <c r="Z45"/>
      <c r="AA45"/>
      <c r="AB45"/>
      <c r="AC45"/>
      <c r="AD45"/>
      <c r="AE45"/>
      <c r="AF45"/>
      <c r="AG45"/>
      <c r="AH45"/>
      <c r="AI45"/>
      <c r="AJ45"/>
      <c r="AK45"/>
      <c r="AL45"/>
      <c r="AM45"/>
      <c r="AN45"/>
      <c r="AO45"/>
      <c r="AP45"/>
      <c r="AQ45"/>
      <c r="AR45"/>
      <c r="AS45"/>
      <c r="AT45"/>
      <c r="AU45"/>
      <c r="AV45"/>
      <c r="AW45"/>
      <c r="AX45"/>
      <c r="AY45"/>
      <c r="AZ45"/>
      <c r="BA45"/>
      <c r="BB45"/>
      <c r="BC45" s="317"/>
      <c r="BD45" s="317"/>
      <c r="BE45" s="317"/>
    </row>
    <row r="46" spans="1:57" s="82" customFormat="1">
      <c r="A46" s="8"/>
      <c r="B46" s="81">
        <v>0.65</v>
      </c>
      <c r="C46" s="40">
        <f t="shared" si="8"/>
        <v>0.62053419530452525</v>
      </c>
      <c r="D46" s="40">
        <f t="shared" si="8"/>
        <v>0.6379661532077302</v>
      </c>
      <c r="E46" s="40">
        <f t="shared" si="8"/>
        <v>0.65650079288991803</v>
      </c>
      <c r="F46" s="40">
        <f t="shared" si="8"/>
        <v>0.67624615901895058</v>
      </c>
      <c r="G46" s="40">
        <f t="shared" si="8"/>
        <v>0.69732488832245532</v>
      </c>
      <c r="H46" s="40">
        <f t="shared" si="8"/>
        <v>0.71987675909734372</v>
      </c>
      <c r="I46" s="40">
        <f t="shared" si="8"/>
        <v>0.74406179461160926</v>
      </c>
      <c r="J46" s="40">
        <f t="shared" si="8"/>
        <v>0.77006406606432387</v>
      </c>
      <c r="K46" s="40">
        <f t="shared" si="8"/>
        <v>0.79809638625945112</v>
      </c>
      <c r="L46" s="40">
        <f t="shared" si="8"/>
        <v>0.82840614726962269</v>
      </c>
      <c r="M46" s="40">
        <f t="shared" si="8"/>
        <v>0.86128264115913944</v>
      </c>
      <c r="N46" s="57"/>
      <c r="O46"/>
      <c r="P46"/>
      <c r="Q46"/>
      <c r="R46"/>
      <c r="S46"/>
      <c r="T46"/>
      <c r="U46"/>
      <c r="V46"/>
      <c r="W46"/>
      <c r="X46"/>
      <c r="Y46"/>
      <c r="Z46"/>
      <c r="AA46"/>
      <c r="AB46"/>
      <c r="AC46"/>
      <c r="AD46"/>
      <c r="AE46"/>
      <c r="AF46"/>
      <c r="AG46"/>
      <c r="AH46"/>
      <c r="AI46"/>
      <c r="AJ46"/>
      <c r="AK46"/>
      <c r="AL46"/>
      <c r="AM46"/>
      <c r="AN46"/>
      <c r="AO46"/>
      <c r="AP46"/>
      <c r="AQ46"/>
      <c r="AR46"/>
      <c r="AS46"/>
      <c r="AT46"/>
      <c r="AU46"/>
      <c r="AV46"/>
      <c r="AW46"/>
      <c r="AX46"/>
      <c r="AY46"/>
      <c r="AZ46"/>
      <c r="BA46"/>
      <c r="BB46"/>
      <c r="BC46" s="317"/>
      <c r="BD46" s="317"/>
      <c r="BE46" s="317"/>
    </row>
    <row r="47" spans="1:57" s="82" customFormat="1">
      <c r="A47" s="8"/>
      <c r="B47" s="81">
        <v>0.7</v>
      </c>
      <c r="C47" s="40">
        <f t="shared" si="8"/>
        <v>0.63115975246390088</v>
      </c>
      <c r="D47" s="40">
        <f t="shared" si="8"/>
        <v>0.64879900207506891</v>
      </c>
      <c r="E47" s="40">
        <f t="shared" si="8"/>
        <v>0.66759472957956312</v>
      </c>
      <c r="F47" s="40">
        <f t="shared" si="8"/>
        <v>0.68766452248237209</v>
      </c>
      <c r="G47" s="40">
        <f t="shared" si="8"/>
        <v>0.70914246883249255</v>
      </c>
      <c r="H47" s="40">
        <f t="shared" si="8"/>
        <v>0.73218215676316212</v>
      </c>
      <c r="I47" s="40">
        <f t="shared" si="8"/>
        <v>0.75696035304203602</v>
      </c>
      <c r="J47" s="40">
        <f t="shared" si="8"/>
        <v>0.78368154698876114</v>
      </c>
      <c r="K47" s="40">
        <f t="shared" si="8"/>
        <v>0.81258360695609877</v>
      </c>
      <c r="L47" s="40">
        <f t="shared" si="8"/>
        <v>0.84394488070428453</v>
      </c>
      <c r="M47" s="40">
        <f t="shared" si="8"/>
        <v>0.87809318877762144</v>
      </c>
      <c r="N47" s="57"/>
      <c r="O47"/>
      <c r="P47"/>
      <c r="Q47"/>
      <c r="R47"/>
      <c r="S47"/>
      <c r="T47"/>
      <c r="U47"/>
      <c r="V47"/>
      <c r="W47"/>
      <c r="X47"/>
      <c r="Y47"/>
      <c r="Z47"/>
      <c r="AA47"/>
      <c r="AB47"/>
      <c r="AC47"/>
      <c r="AD47"/>
      <c r="AE47"/>
      <c r="AF47"/>
      <c r="AG47"/>
      <c r="AH47"/>
      <c r="AI47"/>
      <c r="AJ47"/>
      <c r="AK47"/>
      <c r="AL47"/>
      <c r="AM47"/>
      <c r="AN47"/>
      <c r="AO47"/>
      <c r="AP47"/>
      <c r="AQ47"/>
      <c r="AR47"/>
      <c r="AS47"/>
      <c r="AT47"/>
      <c r="AU47"/>
      <c r="AV47"/>
      <c r="AW47"/>
      <c r="AX47"/>
      <c r="AY47"/>
      <c r="AZ47"/>
      <c r="BA47"/>
      <c r="BB47"/>
      <c r="BC47" s="317"/>
      <c r="BD47" s="317"/>
      <c r="BE47" s="317"/>
    </row>
    <row r="48" spans="1:57" s="82" customFormat="1">
      <c r="A48" s="8"/>
      <c r="B48" s="81">
        <v>0.75</v>
      </c>
      <c r="C48" s="40">
        <f t="shared" si="8"/>
        <v>0.6420092646207296</v>
      </c>
      <c r="D48" s="40">
        <f t="shared" si="8"/>
        <v>0.6598836774666208</v>
      </c>
      <c r="E48" s="40">
        <f t="shared" si="8"/>
        <v>0.67897226602356009</v>
      </c>
      <c r="F48" s="40">
        <f t="shared" si="8"/>
        <v>0.6994030949447102</v>
      </c>
      <c r="G48" s="40">
        <f t="shared" si="8"/>
        <v>0.72132289524315008</v>
      </c>
      <c r="H48" s="40">
        <f t="shared" si="8"/>
        <v>0.74490059385489282</v>
      </c>
      <c r="I48" s="40">
        <f t="shared" si="8"/>
        <v>0.77033167555189819</v>
      </c>
      <c r="J48" s="40">
        <f t="shared" si="8"/>
        <v>0.79784361557512906</v>
      </c>
      <c r="K48" s="40">
        <f t="shared" si="8"/>
        <v>0.82770270270270274</v>
      </c>
      <c r="L48" s="40">
        <f t="shared" si="8"/>
        <v>0.86022268643397493</v>
      </c>
      <c r="M48" s="40">
        <f t="shared" si="8"/>
        <v>0.89577584376990016</v>
      </c>
      <c r="N48" s="57"/>
      <c r="O48"/>
      <c r="P48"/>
      <c r="Q48"/>
      <c r="R48"/>
      <c r="S48"/>
      <c r="T48"/>
      <c r="U48"/>
      <c r="V48"/>
      <c r="W48"/>
      <c r="X48"/>
      <c r="Y48"/>
      <c r="Z48"/>
      <c r="AA48"/>
      <c r="AB48"/>
      <c r="AC48"/>
      <c r="AD48"/>
      <c r="AE48"/>
      <c r="AF48"/>
      <c r="AG48"/>
      <c r="AH48"/>
      <c r="AI48"/>
      <c r="AJ48"/>
      <c r="AK48"/>
      <c r="AL48"/>
      <c r="AM48"/>
      <c r="AN48"/>
      <c r="AO48"/>
      <c r="AP48"/>
      <c r="AQ48"/>
      <c r="AR48"/>
      <c r="AS48"/>
      <c r="AT48"/>
      <c r="AU48"/>
      <c r="AV48"/>
      <c r="AW48"/>
      <c r="AX48"/>
      <c r="AY48"/>
      <c r="AZ48"/>
      <c r="BA48"/>
      <c r="BB48"/>
      <c r="BC48" s="317"/>
      <c r="BD48" s="317"/>
      <c r="BE48" s="317"/>
    </row>
    <row r="49" spans="1:54" s="82" customFormat="1">
      <c r="A49" s="8"/>
      <c r="B49" s="81">
        <v>0.8</v>
      </c>
      <c r="C49" s="40">
        <f t="shared" si="8"/>
        <v>0.65308988764044951</v>
      </c>
      <c r="D49" s="40">
        <f t="shared" si="8"/>
        <v>0.67122906380094871</v>
      </c>
      <c r="E49" s="40">
        <f t="shared" si="8"/>
        <v>0.69064441771898177</v>
      </c>
      <c r="F49" s="40">
        <f t="shared" si="8"/>
        <v>0.71147553755063875</v>
      </c>
      <c r="G49" s="40">
        <f t="shared" si="8"/>
        <v>0.73388313928417426</v>
      </c>
      <c r="H49" s="40">
        <f t="shared" si="8"/>
        <v>0.75805322128851527</v>
      </c>
      <c r="I49" s="40">
        <f t="shared" si="8"/>
        <v>0.78420223932820154</v>
      </c>
      <c r="J49" s="40">
        <f t="shared" si="8"/>
        <v>0.81258360695609877</v>
      </c>
      <c r="K49" s="40">
        <f t="shared" si="8"/>
        <v>0.8434959349593496</v>
      </c>
      <c r="L49" s="40">
        <f t="shared" si="8"/>
        <v>0.87729357798165131</v>
      </c>
      <c r="M49" s="40">
        <f t="shared" si="8"/>
        <v>0.91440027894002807</v>
      </c>
      <c r="N49" s="57"/>
      <c r="O49"/>
      <c r="P49"/>
      <c r="Q49"/>
      <c r="R49"/>
      <c r="S49"/>
      <c r="T49"/>
      <c r="U49"/>
      <c r="V49"/>
      <c r="W49"/>
      <c r="X49"/>
      <c r="Y49"/>
      <c r="Z49"/>
      <c r="AA49"/>
      <c r="AB49"/>
      <c r="AC49"/>
      <c r="AD49"/>
      <c r="AE49"/>
      <c r="AF49"/>
      <c r="AG49"/>
      <c r="AH49"/>
      <c r="AI49"/>
      <c r="AJ49"/>
      <c r="AK49"/>
      <c r="AL49"/>
      <c r="AM49"/>
      <c r="AN49"/>
      <c r="AO49"/>
      <c r="AP49"/>
      <c r="AQ49"/>
      <c r="AR49"/>
      <c r="AS49"/>
      <c r="AT49"/>
      <c r="AU49"/>
      <c r="AV49"/>
      <c r="AW49"/>
      <c r="AX49"/>
      <c r="AY49"/>
      <c r="AZ49"/>
      <c r="BA49"/>
      <c r="BB49"/>
    </row>
    <row r="50" spans="1:54">
      <c r="A50" s="8"/>
      <c r="B50" s="81">
        <v>0.85</v>
      </c>
      <c r="C50" s="40">
        <f t="shared" si="8"/>
        <v>0.66440908553176392</v>
      </c>
      <c r="D50" s="40">
        <f t="shared" si="8"/>
        <v>0.68284446839190438</v>
      </c>
      <c r="E50" s="40">
        <f t="shared" si="8"/>
        <v>0.70262277812680463</v>
      </c>
      <c r="F50" s="40">
        <f t="shared" si="8"/>
        <v>0.72389629975994718</v>
      </c>
      <c r="G50" s="40">
        <f t="shared" si="8"/>
        <v>0.74684124789530593</v>
      </c>
      <c r="H50" s="40">
        <f t="shared" si="8"/>
        <v>0.77166265918603627</v>
      </c>
      <c r="I50" s="40">
        <f t="shared" si="8"/>
        <v>0.79860053631251715</v>
      </c>
      <c r="J50" s="40">
        <f t="shared" si="8"/>
        <v>0.82793763359933581</v>
      </c>
      <c r="K50" s="40">
        <f t="shared" si="8"/>
        <v>0.86000941986617296</v>
      </c>
      <c r="L50" s="40">
        <f t="shared" si="8"/>
        <v>0.89521696357464997</v>
      </c>
      <c r="M50" s="40">
        <f t="shared" si="8"/>
        <v>0.93404379169838381</v>
      </c>
      <c r="N50" s="57"/>
    </row>
    <row r="51" spans="1:54">
      <c r="A51" s="8"/>
      <c r="B51" s="81">
        <v>0.9</v>
      </c>
      <c r="C51" s="40">
        <f t="shared" si="8"/>
        <v>0.67597464721358524</v>
      </c>
      <c r="D51" s="40">
        <f t="shared" si="8"/>
        <v>0.69473964691374857</v>
      </c>
      <c r="E51" s="40">
        <f t="shared" si="8"/>
        <v>0.71491955708167754</v>
      </c>
      <c r="F51" s="40">
        <f t="shared" si="8"/>
        <v>0.73668067704191742</v>
      </c>
      <c r="G51" s="40">
        <f t="shared" si="8"/>
        <v>0.76021642974378956</v>
      </c>
      <c r="H51" s="40">
        <f t="shared" si="8"/>
        <v>0.78575312669929309</v>
      </c>
      <c r="I51" s="40">
        <f t="shared" si="8"/>
        <v>0.81355726855567845</v>
      </c>
      <c r="J51" s="40">
        <f t="shared" si="8"/>
        <v>0.84394488070428453</v>
      </c>
      <c r="K51" s="40">
        <f t="shared" si="8"/>
        <v>0.87729357798165131</v>
      </c>
      <c r="L51" s="40">
        <f t="shared" si="8"/>
        <v>0.9140583369004045</v>
      </c>
      <c r="M51" s="40">
        <f t="shared" si="8"/>
        <v>0.9547923763925974</v>
      </c>
      <c r="N51" s="57"/>
    </row>
    <row r="52" spans="1:54">
      <c r="A52" s="8"/>
      <c r="B52" s="81">
        <v>0.95</v>
      </c>
      <c r="C52" s="40">
        <f t="shared" si="8"/>
        <v>0.6877947043888285</v>
      </c>
      <c r="D52" s="40">
        <f t="shared" si="8"/>
        <v>0.7069248307287993</v>
      </c>
      <c r="E52" s="40">
        <f t="shared" si="8"/>
        <v>0.72754762230607317</v>
      </c>
      <c r="F52" s="40">
        <f t="shared" si="8"/>
        <v>0.74984487371194308</v>
      </c>
      <c r="G52" s="40">
        <f t="shared" si="8"/>
        <v>0.7740291502325517</v>
      </c>
      <c r="H52" s="40">
        <f t="shared" si="8"/>
        <v>0.80035058584740293</v>
      </c>
      <c r="I52" s="40">
        <f t="shared" si="8"/>
        <v>0.82910556675238034</v>
      </c>
      <c r="J52" s="40">
        <f t="shared" si="8"/>
        <v>0.8606479401203907</v>
      </c>
      <c r="K52" s="40">
        <f t="shared" si="8"/>
        <v>0.89540364849227416</v>
      </c>
      <c r="L52" s="40">
        <f t="shared" si="8"/>
        <v>0.93389007678756342</v>
      </c>
      <c r="M52" s="40">
        <f t="shared" si="8"/>
        <v>0.97674198285254143</v>
      </c>
      <c r="N52" s="57"/>
    </row>
    <row r="53" spans="1:54">
      <c r="A53" s="8"/>
      <c r="B53" s="81">
        <v>1</v>
      </c>
      <c r="C53" s="40">
        <f t="shared" si="8"/>
        <v>0.69987775061124691</v>
      </c>
      <c r="D53" s="40">
        <f t="shared" si="8"/>
        <v>0.71941075623849138</v>
      </c>
      <c r="E53" s="40">
        <f t="shared" si="8"/>
        <v>0.74052054432553827</v>
      </c>
      <c r="F53" s="40">
        <f t="shared" si="8"/>
        <v>0.7634060714531562</v>
      </c>
      <c r="G53" s="40">
        <f t="shared" si="8"/>
        <v>0.78830123598735258</v>
      </c>
      <c r="H53" s="40">
        <f t="shared" si="8"/>
        <v>0.81548290116497557</v>
      </c>
      <c r="I53" s="40">
        <f t="shared" si="8"/>
        <v>0.84528123522924203</v>
      </c>
      <c r="J53" s="40">
        <f t="shared" si="8"/>
        <v>0.87809318877762144</v>
      </c>
      <c r="K53" s="40">
        <f t="shared" si="8"/>
        <v>0.91440027894002807</v>
      </c>
      <c r="L53" s="40">
        <f t="shared" si="8"/>
        <v>0.9547923763925974</v>
      </c>
      <c r="M53" s="40">
        <f t="shared" si="8"/>
        <v>1</v>
      </c>
      <c r="N53" s="57"/>
    </row>
    <row r="54" spans="1:54" ht="13.5" thickBot="1">
      <c r="B54" s="58" t="s">
        <v>56</v>
      </c>
      <c r="C54" s="59"/>
      <c r="D54" s="59"/>
      <c r="E54" s="59"/>
      <c r="F54" s="59"/>
      <c r="G54" s="59"/>
      <c r="H54" s="59"/>
      <c r="I54" s="59"/>
      <c r="J54" s="59"/>
      <c r="K54" s="59"/>
      <c r="L54" s="59"/>
      <c r="M54" s="59"/>
      <c r="N54" s="60"/>
    </row>
    <row r="57" spans="1:54" ht="13.5" thickBot="1">
      <c r="B57" s="1251" t="s">
        <v>60</v>
      </c>
      <c r="C57" s="1251"/>
      <c r="D57" s="1251"/>
      <c r="E57" s="1251"/>
      <c r="F57" s="1251"/>
      <c r="G57" s="1251"/>
      <c r="H57" s="1251"/>
      <c r="I57" s="1251"/>
      <c r="J57" s="1251"/>
      <c r="K57" s="1251"/>
      <c r="L57" s="1251"/>
      <c r="M57" s="1251"/>
      <c r="N57" s="1251"/>
    </row>
    <row r="58" spans="1:54">
      <c r="B58" s="79" t="s">
        <v>58</v>
      </c>
      <c r="C58" s="80">
        <v>0</v>
      </c>
      <c r="D58" s="80">
        <v>0.1</v>
      </c>
      <c r="E58" s="80">
        <v>0.2</v>
      </c>
      <c r="F58" s="80">
        <v>0.3</v>
      </c>
      <c r="G58" s="80">
        <v>0.4</v>
      </c>
      <c r="H58" s="80">
        <v>0.5</v>
      </c>
      <c r="I58" s="80">
        <v>0.6</v>
      </c>
      <c r="J58" s="80">
        <v>0.7</v>
      </c>
      <c r="K58" s="80">
        <v>0.8</v>
      </c>
      <c r="L58" s="80">
        <v>0.9</v>
      </c>
      <c r="M58" s="80">
        <v>1</v>
      </c>
      <c r="N58" s="65" t="s">
        <v>55</v>
      </c>
    </row>
    <row r="59" spans="1:54">
      <c r="B59" s="81">
        <v>0</v>
      </c>
      <c r="C59" s="40">
        <f t="shared" ref="C59:M68" si="9">SQRT(((1-0.2*(C$58+$B59)-0.12*C$58*$B59)/(1-0.8*(C$58+$B59)+0.6*C$58*$B59)))</f>
        <v>1</v>
      </c>
      <c r="D59" s="40">
        <f t="shared" si="9"/>
        <v>1.0320936930842799</v>
      </c>
      <c r="E59" s="40">
        <f t="shared" si="9"/>
        <v>1.0690449676496976</v>
      </c>
      <c r="F59" s="40">
        <f t="shared" si="9"/>
        <v>1.1121340320587072</v>
      </c>
      <c r="G59" s="40">
        <f t="shared" si="9"/>
        <v>1.1631599960755994</v>
      </c>
      <c r="H59" s="40">
        <f t="shared" si="9"/>
        <v>1.2247448713915889</v>
      </c>
      <c r="I59" s="40">
        <f t="shared" si="9"/>
        <v>1.3008872711759818</v>
      </c>
      <c r="J59" s="40">
        <f t="shared" si="9"/>
        <v>1.3980505908390635</v>
      </c>
      <c r="K59" s="40">
        <f t="shared" si="9"/>
        <v>1.5275252316519468</v>
      </c>
      <c r="L59" s="40">
        <f t="shared" si="9"/>
        <v>1.7113069358158486</v>
      </c>
      <c r="M59" s="40">
        <f t="shared" si="9"/>
        <v>2</v>
      </c>
      <c r="N59" s="63"/>
    </row>
    <row r="60" spans="1:54">
      <c r="B60" s="81">
        <v>0.1</v>
      </c>
      <c r="C60" s="40">
        <f t="shared" si="9"/>
        <v>1.0320936930842799</v>
      </c>
      <c r="D60" s="40">
        <f t="shared" si="9"/>
        <v>1.0645812948447542</v>
      </c>
      <c r="E60" s="40">
        <f t="shared" si="9"/>
        <v>1.1020470824881872</v>
      </c>
      <c r="F60" s="40">
        <f t="shared" si="9"/>
        <v>1.1458158590314689</v>
      </c>
      <c r="G60" s="40">
        <f t="shared" si="9"/>
        <v>1.1977543089529608</v>
      </c>
      <c r="H60" s="40">
        <f t="shared" si="9"/>
        <v>1.2605914917573056</v>
      </c>
      <c r="I60" s="40">
        <f t="shared" si="9"/>
        <v>1.3385053749071993</v>
      </c>
      <c r="J60" s="40">
        <f t="shared" si="9"/>
        <v>1.438282557920352</v>
      </c>
      <c r="K60" s="40">
        <f t="shared" si="9"/>
        <v>1.571856134421046</v>
      </c>
      <c r="L60" s="40">
        <f t="shared" si="9"/>
        <v>1.7626930005458208</v>
      </c>
      <c r="M60" s="40">
        <f t="shared" si="9"/>
        <v>2.0655911179772897</v>
      </c>
      <c r="N60" s="63"/>
    </row>
    <row r="61" spans="1:54">
      <c r="B61" s="81">
        <v>0.15</v>
      </c>
      <c r="C61" s="40">
        <f t="shared" si="9"/>
        <v>1.0498917693137362</v>
      </c>
      <c r="D61" s="40">
        <f t="shared" si="9"/>
        <v>1.0826191744491889</v>
      </c>
      <c r="E61" s="40">
        <f t="shared" si="9"/>
        <v>1.1203948200726066</v>
      </c>
      <c r="F61" s="40">
        <f t="shared" si="9"/>
        <v>1.1645694007037417</v>
      </c>
      <c r="G61" s="40">
        <f t="shared" si="9"/>
        <v>1.217048911790843</v>
      </c>
      <c r="H61" s="40">
        <f t="shared" si="9"/>
        <v>1.2806248474865698</v>
      </c>
      <c r="I61" s="40">
        <f t="shared" si="9"/>
        <v>1.3595801373143608</v>
      </c>
      <c r="J61" s="40">
        <f t="shared" si="9"/>
        <v>1.4608913906764187</v>
      </c>
      <c r="K61" s="40">
        <f t="shared" si="9"/>
        <v>1.5968719422671314</v>
      </c>
      <c r="L61" s="40">
        <f t="shared" si="9"/>
        <v>1.7918672890989276</v>
      </c>
      <c r="M61" s="40">
        <f t="shared" si="9"/>
        <v>2.1032188216552039</v>
      </c>
      <c r="N61" s="63"/>
    </row>
    <row r="62" spans="1:54">
      <c r="B62" s="81">
        <v>0.2</v>
      </c>
      <c r="C62" s="40">
        <f t="shared" si="9"/>
        <v>1.0690449676496976</v>
      </c>
      <c r="D62" s="40">
        <f t="shared" si="9"/>
        <v>1.1020470824881872</v>
      </c>
      <c r="E62" s="40">
        <f t="shared" si="9"/>
        <v>1.1401754250991381</v>
      </c>
      <c r="F62" s="40">
        <f t="shared" si="9"/>
        <v>1.184809514185998</v>
      </c>
      <c r="G62" s="40">
        <f t="shared" si="9"/>
        <v>1.2378991744876411</v>
      </c>
      <c r="H62" s="40">
        <f t="shared" si="9"/>
        <v>1.3023056476879764</v>
      </c>
      <c r="I62" s="40">
        <f t="shared" si="9"/>
        <v>1.3824294235551815</v>
      </c>
      <c r="J62" s="40">
        <f t="shared" si="9"/>
        <v>1.4854606715067911</v>
      </c>
      <c r="K62" s="40">
        <f t="shared" si="9"/>
        <v>1.6241421852282019</v>
      </c>
      <c r="L62" s="40">
        <f t="shared" si="9"/>
        <v>1.8238190122579834</v>
      </c>
      <c r="M62" s="40">
        <f t="shared" si="9"/>
        <v>2.1447610589527213</v>
      </c>
      <c r="N62" s="63"/>
    </row>
    <row r="63" spans="1:54">
      <c r="B63" s="81">
        <v>0.25</v>
      </c>
      <c r="C63" s="40">
        <f t="shared" si="9"/>
        <v>1.0897247358851683</v>
      </c>
      <c r="D63" s="40">
        <f t="shared" si="9"/>
        <v>1.1230425146876313</v>
      </c>
      <c r="E63" s="40">
        <f t="shared" si="9"/>
        <v>1.1615738165709848</v>
      </c>
      <c r="F63" s="40">
        <f t="shared" si="9"/>
        <v>1.2067304368032812</v>
      </c>
      <c r="G63" s="40">
        <f t="shared" si="9"/>
        <v>1.260511360079269</v>
      </c>
      <c r="H63" s="40">
        <f t="shared" si="9"/>
        <v>1.3258562278173698</v>
      </c>
      <c r="I63" s="40">
        <f t="shared" si="9"/>
        <v>1.4072980511881799</v>
      </c>
      <c r="J63" s="40">
        <f t="shared" si="9"/>
        <v>1.5122686671815728</v>
      </c>
      <c r="K63" s="40">
        <f t="shared" si="9"/>
        <v>1.6539994817757007</v>
      </c>
      <c r="L63" s="40">
        <f t="shared" si="9"/>
        <v>1.858981966961587</v>
      </c>
      <c r="M63" s="40">
        <f t="shared" si="9"/>
        <v>2.1908902300206643</v>
      </c>
      <c r="N63" s="63"/>
    </row>
    <row r="64" spans="1:54">
      <c r="B64" s="81">
        <v>0.3</v>
      </c>
      <c r="C64" s="40">
        <f t="shared" si="9"/>
        <v>1.1121340320587072</v>
      </c>
      <c r="D64" s="40">
        <f t="shared" si="9"/>
        <v>1.1458158590314689</v>
      </c>
      <c r="E64" s="40">
        <f t="shared" si="9"/>
        <v>1.184809514185998</v>
      </c>
      <c r="F64" s="40">
        <f t="shared" si="9"/>
        <v>1.2305631695633159</v>
      </c>
      <c r="G64" s="40">
        <f t="shared" si="9"/>
        <v>1.2851313162474876</v>
      </c>
      <c r="H64" s="40">
        <f t="shared" si="9"/>
        <v>1.351542328847553</v>
      </c>
      <c r="I64" s="40">
        <f t="shared" si="9"/>
        <v>1.4344796822412254</v>
      </c>
      <c r="J64" s="40">
        <f t="shared" si="9"/>
        <v>1.5416507764615233</v>
      </c>
      <c r="K64" s="40">
        <f t="shared" si="9"/>
        <v>1.686847516954199</v>
      </c>
      <c r="L64" s="40">
        <f t="shared" si="9"/>
        <v>1.8978883523589583</v>
      </c>
      <c r="M64" s="40">
        <f t="shared" si="9"/>
        <v>2.2424476423255526</v>
      </c>
      <c r="N64" s="63"/>
    </row>
    <row r="65" spans="2:14">
      <c r="B65" s="81">
        <v>0.35</v>
      </c>
      <c r="C65" s="40">
        <f t="shared" si="9"/>
        <v>1.1365151414154879</v>
      </c>
      <c r="D65" s="40">
        <f t="shared" si="9"/>
        <v>1.1706186217722403</v>
      </c>
      <c r="E65" s="40">
        <f t="shared" si="9"/>
        <v>1.2101453744251247</v>
      </c>
      <c r="F65" s="40">
        <f t="shared" si="9"/>
        <v>1.2565848657619103</v>
      </c>
      <c r="G65" s="40">
        <f t="shared" si="9"/>
        <v>1.3120547257282318</v>
      </c>
      <c r="H65" s="40">
        <f t="shared" si="9"/>
        <v>1.3796845334222987</v>
      </c>
      <c r="I65" s="40">
        <f t="shared" si="9"/>
        <v>1.4643299816236663</v>
      </c>
      <c r="J65" s="40">
        <f t="shared" si="9"/>
        <v>1.5740153842854985</v>
      </c>
      <c r="K65" s="40">
        <f t="shared" si="9"/>
        <v>1.7231816035199763</v>
      </c>
      <c r="L65" s="40">
        <f t="shared" si="9"/>
        <v>1.9411991057730187</v>
      </c>
      <c r="M65" s="40">
        <f t="shared" si="9"/>
        <v>2.3005016175407689</v>
      </c>
      <c r="N65" s="63"/>
    </row>
    <row r="66" spans="2:14">
      <c r="B66" s="81">
        <v>0.4</v>
      </c>
      <c r="C66" s="40">
        <f t="shared" si="9"/>
        <v>1.1631599960755994</v>
      </c>
      <c r="D66" s="40">
        <f t="shared" si="9"/>
        <v>1.1977543089529608</v>
      </c>
      <c r="E66" s="40">
        <f t="shared" si="9"/>
        <v>1.2378991744876411</v>
      </c>
      <c r="F66" s="40">
        <f t="shared" si="9"/>
        <v>1.2851313162474876</v>
      </c>
      <c r="G66" s="40">
        <f t="shared" si="9"/>
        <v>1.3416407864998741</v>
      </c>
      <c r="H66" s="40">
        <f t="shared" si="9"/>
        <v>1.4106735979665885</v>
      </c>
      <c r="I66" s="40">
        <f t="shared" si="9"/>
        <v>1.4972843634781869</v>
      </c>
      <c r="J66" s="40">
        <f t="shared" si="9"/>
        <v>1.6098654188057671</v>
      </c>
      <c r="K66" s="40">
        <f t="shared" si="9"/>
        <v>1.7636169730375724</v>
      </c>
      <c r="L66" s="40">
        <f t="shared" si="9"/>
        <v>1.9897464434170775</v>
      </c>
      <c r="M66" s="40">
        <f t="shared" si="9"/>
        <v>2.366431913239845</v>
      </c>
      <c r="N66" s="63"/>
    </row>
    <row r="67" spans="2:14">
      <c r="B67" s="81">
        <v>0.45</v>
      </c>
      <c r="C67" s="40">
        <f t="shared" si="9"/>
        <v>1.1924240017711822</v>
      </c>
      <c r="D67" s="40">
        <f t="shared" si="9"/>
        <v>1.2275930383487783</v>
      </c>
      <c r="E67" s="40">
        <f t="shared" si="9"/>
        <v>1.2684592086641744</v>
      </c>
      <c r="F67" s="40">
        <f t="shared" si="9"/>
        <v>1.3166138133378116</v>
      </c>
      <c r="G67" s="40">
        <f t="shared" si="9"/>
        <v>1.3743307632185831</v>
      </c>
      <c r="H67" s="40">
        <f t="shared" si="9"/>
        <v>1.4449913494550755</v>
      </c>
      <c r="I67" s="40">
        <f t="shared" si="9"/>
        <v>1.533882339378057</v>
      </c>
      <c r="J67" s="40">
        <f t="shared" si="9"/>
        <v>1.6498281987836969</v>
      </c>
      <c r="K67" s="40">
        <f t="shared" si="9"/>
        <v>1.8089284734953515</v>
      </c>
      <c r="L67" s="40">
        <f t="shared" si="9"/>
        <v>2.044594849391808</v>
      </c>
      <c r="M67" s="40">
        <f t="shared" si="9"/>
        <v>2.442055765873572</v>
      </c>
      <c r="N67" s="63"/>
    </row>
    <row r="68" spans="2:14">
      <c r="B68" s="81">
        <v>0.5</v>
      </c>
      <c r="C68" s="40">
        <f t="shared" si="9"/>
        <v>1.2247448713915889</v>
      </c>
      <c r="D68" s="40">
        <f t="shared" si="9"/>
        <v>1.2605914917573056</v>
      </c>
      <c r="E68" s="40">
        <f t="shared" si="9"/>
        <v>1.3023056476879764</v>
      </c>
      <c r="F68" s="40">
        <f t="shared" si="9"/>
        <v>1.351542328847553</v>
      </c>
      <c r="G68" s="40">
        <f t="shared" si="9"/>
        <v>1.4106735979665885</v>
      </c>
      <c r="H68" s="40">
        <f t="shared" si="9"/>
        <v>1.4832396974191326</v>
      </c>
      <c r="I68" s="40">
        <f t="shared" si="9"/>
        <v>1.5748015748023625</v>
      </c>
      <c r="J68" s="40">
        <f t="shared" si="9"/>
        <v>1.6946976131451887</v>
      </c>
      <c r="K68" s="40">
        <f t="shared" si="9"/>
        <v>1.8601075237738276</v>
      </c>
      <c r="L68" s="40">
        <f t="shared" si="9"/>
        <v>2.1071307505705468</v>
      </c>
      <c r="M68" s="40">
        <f t="shared" si="9"/>
        <v>2.5298221281347057</v>
      </c>
      <c r="N68" s="63"/>
    </row>
    <row r="69" spans="2:14">
      <c r="B69" s="81">
        <v>0.55000000000000004</v>
      </c>
      <c r="C69" s="40">
        <f t="shared" ref="C69:M78" si="10">SQRT(((1-0.2*(C$58+$B69)-0.12*C$58*$B69)/(1-0.8*(C$58+$B69)+0.6*C$58*$B69)))</f>
        <v>1.2606687567659136</v>
      </c>
      <c r="D69" s="40">
        <f t="shared" si="10"/>
        <v>1.297320675728447</v>
      </c>
      <c r="E69" s="40">
        <f t="shared" si="10"/>
        <v>1.3400403555514431</v>
      </c>
      <c r="F69" s="40">
        <f t="shared" si="10"/>
        <v>1.3905579999815361</v>
      </c>
      <c r="G69" s="40">
        <f t="shared" si="10"/>
        <v>1.4513619854823352</v>
      </c>
      <c r="H69" s="40">
        <f t="shared" si="10"/>
        <v>1.526181761531296</v>
      </c>
      <c r="I69" s="40">
        <f t="shared" si="10"/>
        <v>1.6209065764245645</v>
      </c>
      <c r="J69" s="40">
        <f t="shared" si="10"/>
        <v>1.7454951293983167</v>
      </c>
      <c r="K69" s="40">
        <f t="shared" si="10"/>
        <v>1.9184459290291964</v>
      </c>
      <c r="L69" s="40">
        <f t="shared" si="10"/>
        <v>2.1791982721838448</v>
      </c>
      <c r="M69" s="40">
        <f t="shared" si="10"/>
        <v>2.6331223544175359</v>
      </c>
      <c r="N69" s="63"/>
    </row>
    <row r="70" spans="2:14">
      <c r="B70" s="81">
        <v>0.6</v>
      </c>
      <c r="C70" s="40">
        <f t="shared" si="10"/>
        <v>1.3008872711759818</v>
      </c>
      <c r="D70" s="40">
        <f t="shared" si="10"/>
        <v>1.3385053749071993</v>
      </c>
      <c r="E70" s="40">
        <f t="shared" si="10"/>
        <v>1.3824294235551815</v>
      </c>
      <c r="F70" s="40">
        <f t="shared" si="10"/>
        <v>1.4344796822412254</v>
      </c>
      <c r="G70" s="40">
        <f t="shared" si="10"/>
        <v>1.4972843634781869</v>
      </c>
      <c r="H70" s="40">
        <f t="shared" si="10"/>
        <v>1.5748015748023625</v>
      </c>
      <c r="I70" s="40">
        <f t="shared" si="10"/>
        <v>1.6733200530681511</v>
      </c>
      <c r="J70" s="40">
        <f t="shared" si="10"/>
        <v>1.8035604200245807</v>
      </c>
      <c r="K70" s="40">
        <f t="shared" si="10"/>
        <v>1.9856628975878914</v>
      </c>
      <c r="L70" s="40">
        <f t="shared" si="10"/>
        <v>2.2633118753634678</v>
      </c>
      <c r="M70" s="40">
        <f t="shared" si="10"/>
        <v>2.7568097504180487</v>
      </c>
      <c r="N70" s="63"/>
    </row>
    <row r="71" spans="2:14">
      <c r="B71" s="81">
        <v>0.65</v>
      </c>
      <c r="C71" s="40">
        <f t="shared" si="10"/>
        <v>1.3462912017836259</v>
      </c>
      <c r="D71" s="40">
        <f t="shared" si="10"/>
        <v>1.38508159508996</v>
      </c>
      <c r="E71" s="40">
        <f t="shared" si="10"/>
        <v>1.4304653633621807</v>
      </c>
      <c r="F71" s="40">
        <f t="shared" si="10"/>
        <v>1.484372373947257</v>
      </c>
      <c r="G71" s="40">
        <f t="shared" si="10"/>
        <v>1.5496018271752297</v>
      </c>
      <c r="H71" s="40">
        <f t="shared" si="10"/>
        <v>1.6303931483485257</v>
      </c>
      <c r="I71" s="40">
        <f t="shared" si="10"/>
        <v>1.7335305607713427</v>
      </c>
      <c r="J71" s="40">
        <f t="shared" si="10"/>
        <v>1.8706902109341821</v>
      </c>
      <c r="K71" s="40">
        <f t="shared" si="10"/>
        <v>2.0641042405337666</v>
      </c>
      <c r="L71" s="40">
        <f t="shared" si="10"/>
        <v>2.3630031281790109</v>
      </c>
      <c r="M71" s="40">
        <f t="shared" si="10"/>
        <v>2.9081167199998803</v>
      </c>
      <c r="N71" s="63"/>
    </row>
    <row r="72" spans="2:14">
      <c r="B72" s="81">
        <v>0.7</v>
      </c>
      <c r="C72" s="40">
        <f t="shared" si="10"/>
        <v>1.3980505908390635</v>
      </c>
      <c r="D72" s="40">
        <f t="shared" si="10"/>
        <v>1.438282557920352</v>
      </c>
      <c r="E72" s="40">
        <f t="shared" si="10"/>
        <v>1.4854606715067911</v>
      </c>
      <c r="F72" s="40">
        <f t="shared" si="10"/>
        <v>1.5416507764615233</v>
      </c>
      <c r="G72" s="40">
        <f t="shared" si="10"/>
        <v>1.6098654188057671</v>
      </c>
      <c r="H72" s="40">
        <f t="shared" si="10"/>
        <v>1.6946976131451887</v>
      </c>
      <c r="I72" s="40">
        <f t="shared" si="10"/>
        <v>1.8035604200245807</v>
      </c>
      <c r="J72" s="40">
        <f t="shared" si="10"/>
        <v>1.9493588689617922</v>
      </c>
      <c r="K72" s="40">
        <f t="shared" si="10"/>
        <v>2.1570677264449984</v>
      </c>
      <c r="L72" s="40">
        <f t="shared" si="10"/>
        <v>2.4834143711381564</v>
      </c>
      <c r="M72" s="40">
        <f t="shared" si="10"/>
        <v>3.0983866769659363</v>
      </c>
      <c r="N72" s="63"/>
    </row>
    <row r="73" spans="2:14">
      <c r="B73" s="81">
        <v>0.75</v>
      </c>
      <c r="C73" s="40">
        <f t="shared" si="10"/>
        <v>1.4577379737113252</v>
      </c>
      <c r="D73" s="40">
        <f t="shared" si="10"/>
        <v>1.4997716721198433</v>
      </c>
      <c r="E73" s="40">
        <f t="shared" si="10"/>
        <v>1.5491933384829668</v>
      </c>
      <c r="F73" s="40">
        <f t="shared" si="10"/>
        <v>1.6082414862097365</v>
      </c>
      <c r="G73" s="40">
        <f t="shared" si="10"/>
        <v>1.6802014531230838</v>
      </c>
      <c r="H73" s="40">
        <f t="shared" si="10"/>
        <v>1.7701224063135672</v>
      </c>
      <c r="I73" s="40">
        <f t="shared" si="10"/>
        <v>1.8862382502860306</v>
      </c>
      <c r="J73" s="40">
        <f t="shared" si="10"/>
        <v>2.0430843223878683</v>
      </c>
      <c r="K73" s="40">
        <f t="shared" si="10"/>
        <v>2.2693611435820453</v>
      </c>
      <c r="L73" s="40">
        <f t="shared" si="10"/>
        <v>2.6323775877912889</v>
      </c>
      <c r="M73" s="40">
        <f t="shared" si="10"/>
        <v>3.346640106136308</v>
      </c>
      <c r="N73" s="63"/>
    </row>
    <row r="74" spans="2:14">
      <c r="B74" s="81">
        <v>0.8</v>
      </c>
      <c r="C74" s="40">
        <f t="shared" si="10"/>
        <v>1.5275252316519468</v>
      </c>
      <c r="D74" s="40">
        <f t="shared" si="10"/>
        <v>1.571856134421046</v>
      </c>
      <c r="E74" s="40">
        <f t="shared" si="10"/>
        <v>1.6241421852282019</v>
      </c>
      <c r="F74" s="40">
        <f t="shared" si="10"/>
        <v>1.686847516954199</v>
      </c>
      <c r="G74" s="40">
        <f t="shared" si="10"/>
        <v>1.7636169730375724</v>
      </c>
      <c r="H74" s="40">
        <f t="shared" si="10"/>
        <v>1.8601075237738276</v>
      </c>
      <c r="I74" s="40">
        <f t="shared" si="10"/>
        <v>1.9856628975878914</v>
      </c>
      <c r="J74" s="40">
        <f t="shared" si="10"/>
        <v>2.157067726444998</v>
      </c>
      <c r="K74" s="40">
        <f t="shared" si="10"/>
        <v>2.4083189157584619</v>
      </c>
      <c r="L74" s="40">
        <f t="shared" si="10"/>
        <v>2.8225284173355449</v>
      </c>
      <c r="M74" s="40">
        <f t="shared" si="10"/>
        <v>3.6878177829171634</v>
      </c>
      <c r="N74" s="63"/>
    </row>
    <row r="75" spans="2:14">
      <c r="B75" s="81">
        <v>0.85</v>
      </c>
      <c r="C75" s="40">
        <f t="shared" si="10"/>
        <v>1.6105123408406408</v>
      </c>
      <c r="D75" s="40">
        <f t="shared" si="10"/>
        <v>1.657846074956123</v>
      </c>
      <c r="E75" s="40">
        <f t="shared" si="10"/>
        <v>1.7138858130437609</v>
      </c>
      <c r="F75" s="40">
        <f t="shared" si="10"/>
        <v>1.7814012905406555</v>
      </c>
      <c r="G75" s="40">
        <f t="shared" si="10"/>
        <v>1.864529588994311</v>
      </c>
      <c r="H75" s="40">
        <f t="shared" si="10"/>
        <v>1.9697715603592212</v>
      </c>
      <c r="I75" s="40">
        <f t="shared" si="10"/>
        <v>2.108040705593313</v>
      </c>
      <c r="J75" s="40">
        <f t="shared" si="10"/>
        <v>2.2993867632870044</v>
      </c>
      <c r="K75" s="40">
        <f t="shared" si="10"/>
        <v>2.585800386024343</v>
      </c>
      <c r="L75" s="40">
        <f t="shared" si="10"/>
        <v>3.0758766147478283</v>
      </c>
      <c r="M75" s="40">
        <f t="shared" si="10"/>
        <v>4.1952353926806198</v>
      </c>
      <c r="N75" s="63"/>
    </row>
    <row r="76" spans="2:14">
      <c r="B76" s="81">
        <v>0.9</v>
      </c>
      <c r="C76" s="40">
        <f t="shared" si="10"/>
        <v>1.7113069358158486</v>
      </c>
      <c r="D76" s="40">
        <f t="shared" si="10"/>
        <v>1.7626930005458208</v>
      </c>
      <c r="E76" s="40">
        <f t="shared" si="10"/>
        <v>1.8238190122579836</v>
      </c>
      <c r="F76" s="40">
        <f t="shared" si="10"/>
        <v>1.8978883523589583</v>
      </c>
      <c r="G76" s="40">
        <f t="shared" si="10"/>
        <v>1.9897464434170777</v>
      </c>
      <c r="H76" s="40">
        <f t="shared" si="10"/>
        <v>2.1071307505705468</v>
      </c>
      <c r="I76" s="40">
        <f t="shared" si="10"/>
        <v>2.2633118753634678</v>
      </c>
      <c r="J76" s="40">
        <f t="shared" si="10"/>
        <v>2.4834143711381564</v>
      </c>
      <c r="K76" s="40">
        <f t="shared" si="10"/>
        <v>2.8225284173355458</v>
      </c>
      <c r="L76" s="40">
        <f t="shared" si="10"/>
        <v>3.435112807463538</v>
      </c>
      <c r="M76" s="40">
        <f t="shared" si="10"/>
        <v>5.0596442562694044</v>
      </c>
      <c r="N76" s="63"/>
    </row>
    <row r="77" spans="2:14">
      <c r="B77" s="81">
        <v>0.95</v>
      </c>
      <c r="C77" s="40">
        <f t="shared" si="10"/>
        <v>1.8371173070873836</v>
      </c>
      <c r="D77" s="40">
        <f t="shared" si="10"/>
        <v>1.8942065444876188</v>
      </c>
      <c r="E77" s="40">
        <f t="shared" si="10"/>
        <v>1.9625357045803207</v>
      </c>
      <c r="F77" s="40">
        <f t="shared" si="10"/>
        <v>2.0459630769592843</v>
      </c>
      <c r="G77" s="40">
        <f t="shared" si="10"/>
        <v>2.1504242196190795</v>
      </c>
      <c r="H77" s="40">
        <f t="shared" si="10"/>
        <v>2.285607140345864</v>
      </c>
      <c r="I77" s="40">
        <f t="shared" si="10"/>
        <v>2.4686266722732344</v>
      </c>
      <c r="J77" s="40">
        <f t="shared" si="10"/>
        <v>2.7332921680547391</v>
      </c>
      <c r="K77" s="40">
        <f t="shared" si="10"/>
        <v>3.1588876885023085</v>
      </c>
      <c r="L77" s="40">
        <f t="shared" si="10"/>
        <v>3.9977266266990132</v>
      </c>
      <c r="M77" s="40">
        <f t="shared" si="10"/>
        <v>7.0427267446636392</v>
      </c>
      <c r="N77" s="63"/>
    </row>
    <row r="78" spans="2:14">
      <c r="B78" s="81">
        <v>1</v>
      </c>
      <c r="C78" s="40">
        <f t="shared" si="10"/>
        <v>2</v>
      </c>
      <c r="D78" s="40">
        <f t="shared" si="10"/>
        <v>2.0655911179772897</v>
      </c>
      <c r="E78" s="40">
        <f t="shared" si="10"/>
        <v>2.1447610589527213</v>
      </c>
      <c r="F78" s="40">
        <f t="shared" si="10"/>
        <v>2.2424476423255526</v>
      </c>
      <c r="G78" s="40">
        <f t="shared" si="10"/>
        <v>2.366431913239845</v>
      </c>
      <c r="H78" s="40">
        <f t="shared" si="10"/>
        <v>2.5298221281347057</v>
      </c>
      <c r="I78" s="40">
        <f t="shared" si="10"/>
        <v>2.7568097504180487</v>
      </c>
      <c r="J78" s="40">
        <f t="shared" si="10"/>
        <v>3.0983866769659363</v>
      </c>
      <c r="K78" s="40">
        <f t="shared" si="10"/>
        <v>3.6878177829171634</v>
      </c>
      <c r="L78" s="40">
        <f t="shared" si="10"/>
        <v>5.0596442562694044</v>
      </c>
      <c r="M78" s="40" t="e">
        <f t="shared" si="10"/>
        <v>#NUM!</v>
      </c>
      <c r="N78" s="63"/>
    </row>
    <row r="79" spans="2:14" ht="13.5" thickBot="1">
      <c r="B79" s="64" t="s">
        <v>56</v>
      </c>
      <c r="C79" s="61"/>
      <c r="D79" s="61"/>
      <c r="E79" s="61"/>
      <c r="F79" s="61"/>
      <c r="G79" s="61"/>
      <c r="H79" s="61"/>
      <c r="I79" s="61"/>
      <c r="J79" s="61"/>
      <c r="K79" s="61"/>
      <c r="L79" s="61"/>
      <c r="M79" s="61"/>
      <c r="N79" s="62"/>
    </row>
  </sheetData>
  <sheetProtection selectLockedCells="1"/>
  <sortState xmlns:xlrd2="http://schemas.microsoft.com/office/spreadsheetml/2017/richdata2" ref="V11:V34">
    <sortCondition ref="V18:V41"/>
  </sortState>
  <mergeCells count="2">
    <mergeCell ref="B32:N32"/>
    <mergeCell ref="B57:N57"/>
  </mergeCells>
  <phoneticPr fontId="0" type="noConversion"/>
  <dataValidations count="10">
    <dataValidation type="list" allowBlank="1" showInputMessage="1" showErrorMessage="1" sqref="D3:D8" xr:uid="{00000000-0002-0000-0700-000000000000}">
      <formula1>$U$10:$X$10</formula1>
    </dataValidation>
    <dataValidation type="list" showInputMessage="1" showErrorMessage="1" sqref="E3" xr:uid="{00000000-0002-0000-0700-000001000000}">
      <formula1>$T$11:$T$34</formula1>
    </dataValidation>
    <dataValidation type="list" allowBlank="1" showInputMessage="1" showErrorMessage="1" sqref="C3:C8" xr:uid="{00000000-0002-0000-0700-000002000000}">
      <formula1>$S$3:$S$4</formula1>
    </dataValidation>
    <dataValidation type="list" showInputMessage="1" showErrorMessage="1" sqref="E4" xr:uid="{00000000-0002-0000-0700-000003000000}">
      <formula1>$S$11:$S$34</formula1>
    </dataValidation>
    <dataValidation type="list" showInputMessage="1" showErrorMessage="1" sqref="E5" xr:uid="{00000000-0002-0000-0700-000004000000}">
      <formula1>$R$11:$R$34</formula1>
    </dataValidation>
    <dataValidation type="list" showInputMessage="1" showErrorMessage="1" sqref="E6" xr:uid="{00000000-0002-0000-0700-000005000000}">
      <formula1>$Q$11:$Q$34</formula1>
    </dataValidation>
    <dataValidation type="list" showInputMessage="1" showErrorMessage="1" sqref="E7" xr:uid="{00000000-0002-0000-0700-000006000000}">
      <formula1>$P$11:$P$34</formula1>
    </dataValidation>
    <dataValidation type="list" showInputMessage="1" showErrorMessage="1" sqref="E8" xr:uid="{00000000-0002-0000-0700-000007000000}">
      <formula1>$O$11:$O$34</formula1>
    </dataValidation>
    <dataValidation type="list" allowBlank="1" showInputMessage="1" showErrorMessage="1" sqref="B7" xr:uid="{00000000-0002-0000-0700-000008000000}">
      <formula1>$S$5:$S$7</formula1>
    </dataValidation>
    <dataValidation type="list" allowBlank="1" showInputMessage="1" showErrorMessage="1" sqref="J4" xr:uid="{00000000-0002-0000-0700-000009000000}">
      <formula1>$W$3:$W$8</formula1>
    </dataValidation>
  </dataValidations>
  <pageMargins left="0.75" right="0.75" top="1" bottom="1" header="0" footer="0"/>
  <pageSetup paperSize="9" orientation="portrait" r:id="rId1"/>
  <headerFooter alignWithMargins="0"/>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Hoja9"/>
  <dimension ref="A1:Q3"/>
  <sheetViews>
    <sheetView workbookViewId="0">
      <selection activeCell="C4" sqref="C4"/>
    </sheetView>
  </sheetViews>
  <sheetFormatPr baseColWidth="10" defaultRowHeight="12.75"/>
  <cols>
    <col min="1" max="1" width="15.28515625" bestFit="1" customWidth="1"/>
    <col min="2" max="2" width="10.140625" bestFit="1" customWidth="1"/>
    <col min="3" max="3" width="5.7109375" bestFit="1" customWidth="1"/>
    <col min="4" max="13" width="4.5703125" bestFit="1" customWidth="1"/>
    <col min="14" max="14" width="5.42578125" bestFit="1" customWidth="1"/>
  </cols>
  <sheetData>
    <row r="1" spans="1:17">
      <c r="A1" t="s">
        <v>2876</v>
      </c>
      <c r="B1" s="1079" t="s">
        <v>2873</v>
      </c>
      <c r="C1" s="1079" t="s">
        <v>2875</v>
      </c>
      <c r="D1" s="1079"/>
      <c r="E1" s="1079"/>
      <c r="F1" s="1079"/>
      <c r="G1" s="1079"/>
      <c r="H1" s="1079"/>
      <c r="I1" s="1079"/>
      <c r="J1" s="1079"/>
      <c r="K1" s="1079"/>
      <c r="L1" s="1079"/>
      <c r="M1" s="1079"/>
      <c r="N1" s="1079"/>
      <c r="O1" s="1079"/>
      <c r="P1" s="1079"/>
      <c r="Q1" s="1079"/>
    </row>
    <row r="2" spans="1:17">
      <c r="A2" t="s">
        <v>2877</v>
      </c>
      <c r="B2" s="1229">
        <v>43769</v>
      </c>
      <c r="C2" t="s">
        <v>2874</v>
      </c>
    </row>
    <row r="3" spans="1:17">
      <c r="C3" s="504" t="s">
        <v>2881</v>
      </c>
    </row>
  </sheetData>
  <sheetProtection selectLockedCells="1"/>
  <phoneticPr fontId="0" type="noConversion"/>
  <pageMargins left="0.75" right="0.75" top="1" bottom="1" header="0" footer="0"/>
  <pageSetup paperSize="9" orientation="portrait" r:id="rId1"/>
  <headerFooter alignWithMargins="0">
    <oddHeader>&amp;L&amp;D&amp;CCoeficiente beta de pandeo&amp;R&amp;F</oddHeader>
    <oddFooter>&amp;LIgnacio Guerra</oddFooter>
  </headerFooter>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Hojas de cálculo</vt:lpstr>
      </vt:variant>
      <vt:variant>
        <vt:i4>17</vt:i4>
      </vt:variant>
      <vt:variant>
        <vt:lpstr>Rangos con nombre</vt:lpstr>
      </vt:variant>
      <vt:variant>
        <vt:i4>7</vt:i4>
      </vt:variant>
    </vt:vector>
  </HeadingPairs>
  <TitlesOfParts>
    <vt:vector size="24" baseType="lpstr">
      <vt:lpstr>General</vt:lpstr>
      <vt:lpstr>Pandeo</vt:lpstr>
      <vt:lpstr>PL</vt:lpstr>
      <vt:lpstr>Auxiliar Gi</vt:lpstr>
      <vt:lpstr>D G</vt:lpstr>
      <vt:lpstr>IPE</vt:lpstr>
      <vt:lpstr>Coef. X</vt:lpstr>
      <vt:lpstr>Rig.Beta</vt:lpstr>
      <vt:lpstr>Tab. Betas</vt:lpstr>
      <vt:lpstr>HUECOS</vt:lpstr>
      <vt:lpstr>HEB</vt:lpstr>
      <vt:lpstr>HEA</vt:lpstr>
      <vt:lpstr>HEM</vt:lpstr>
      <vt:lpstr>OTROS</vt:lpstr>
      <vt:lpstr>Hoja3</vt:lpstr>
      <vt:lpstr>Hoja9</vt:lpstr>
      <vt:lpstr>flexión</vt:lpstr>
      <vt:lpstr>'Auxiliar Gi'!Área_de_impresión</vt:lpstr>
      <vt:lpstr>'Coef. X'!Área_de_impresión</vt:lpstr>
      <vt:lpstr>General!Área_de_impresión</vt:lpstr>
      <vt:lpstr>Hoja3!Área_de_impresión</vt:lpstr>
      <vt:lpstr>OTROS!Área_de_impresión</vt:lpstr>
      <vt:lpstr>Pandeo!Área_de_impresión</vt:lpstr>
      <vt:lpstr>PL!Área_de_impresión</vt:lpstr>
    </vt:vector>
  </TitlesOfParts>
  <Company>UNILEON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Ignacio Guerra Romero</dc:creator>
  <cp:lastModifiedBy>Javier Alonso Fernández</cp:lastModifiedBy>
  <cp:lastPrinted>2022-01-19T11:20:41Z</cp:lastPrinted>
  <dcterms:created xsi:type="dcterms:W3CDTF">2006-09-14T10:14:03Z</dcterms:created>
  <dcterms:modified xsi:type="dcterms:W3CDTF">2022-05-11T14:56:43Z</dcterms:modified>
</cp:coreProperties>
</file>