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5" yWindow="0" windowWidth="10290" windowHeight="6315" tabRatio="809" firstSheet="15" activeTab="19"/>
  </bookViews>
  <sheets>
    <sheet name="Analysis" sheetId="1" r:id="rId1"/>
    <sheet name="Index1_Rules" sheetId="2" r:id="rId2"/>
    <sheet name="Index2_Ded" sheetId="8" r:id="rId3"/>
    <sheet name="Index3_Classes" sheetId="5" r:id="rId4"/>
    <sheet name="Index4_EQ" sheetId="15" r:id="rId5"/>
    <sheet name="TC1_Summary" sheetId="35" r:id="rId6"/>
    <sheet name="TC1_BLDG1" sheetId="9" r:id="rId7"/>
    <sheet name="TC1_PP1" sheetId="11" r:id="rId8"/>
    <sheet name="TC1_BLDG2" sheetId="60" r:id="rId9"/>
    <sheet name="TC1_PP2" sheetId="61" r:id="rId10"/>
    <sheet name="TC1_BLDG3" sheetId="62" r:id="rId11"/>
    <sheet name="TC1_PP3" sheetId="63" r:id="rId12"/>
    <sheet name="TC1_Blanket1" sheetId="16" r:id="rId13"/>
    <sheet name="TC2_Summary" sheetId="66" r:id="rId14"/>
    <sheet name="TC2_PP1" sheetId="18" r:id="rId15"/>
    <sheet name="TC2_PP2" sheetId="64" r:id="rId16"/>
    <sheet name="TC2_PP3" sheetId="65" r:id="rId17"/>
    <sheet name="TC3_Summary" sheetId="67" r:id="rId18"/>
    <sheet name="TC3_BLDG1" sheetId="23" r:id="rId19"/>
    <sheet name="TC3_PP1" sheetId="24" r:id="rId20"/>
    <sheet name="TC3_BLDG2" sheetId="68" r:id="rId21"/>
    <sheet name="TC3_PP2" sheetId="69" r:id="rId22"/>
    <sheet name="TC3_BLDG3" sheetId="99" r:id="rId23"/>
    <sheet name="TC3_PP3" sheetId="100" r:id="rId24"/>
    <sheet name="TC3_Blanket1" sheetId="94" r:id="rId25"/>
    <sheet name="TC4_Summary" sheetId="71" r:id="rId26"/>
    <sheet name="TC4_BLDG1" sheetId="29" r:id="rId27"/>
    <sheet name="TC4_PP1" sheetId="30" r:id="rId28"/>
    <sheet name="TC5_Summary" sheetId="72" r:id="rId29"/>
    <sheet name="TC5_BLDG1" sheetId="36" r:id="rId30"/>
    <sheet name="TC5_PP1" sheetId="37" r:id="rId31"/>
    <sheet name="TC5_BI1" sheetId="38" r:id="rId32"/>
    <sheet name="TC5_EE1" sheetId="39" r:id="rId33"/>
    <sheet name="TC5_EQ1" sheetId="40" r:id="rId34"/>
    <sheet name="TC5_Blanket1" sheetId="95" r:id="rId35"/>
    <sheet name="TC6_Summary" sheetId="73" r:id="rId36"/>
    <sheet name="TC6_BLDG1" sheetId="42" r:id="rId37"/>
    <sheet name="TC6_PP1" sheetId="43" r:id="rId38"/>
    <sheet name="TC6_BI1" sheetId="44" r:id="rId39"/>
    <sheet name="TC6_EE1" sheetId="45" r:id="rId40"/>
    <sheet name="TC6_EQ1" sheetId="46" r:id="rId41"/>
    <sheet name="TC6_Blanket1" sheetId="96" r:id="rId42"/>
    <sheet name="TC7_Summary" sheetId="74" r:id="rId43"/>
    <sheet name="TC7_BLDG1" sheetId="48" r:id="rId44"/>
    <sheet name="TC7_PP1" sheetId="49" r:id="rId45"/>
    <sheet name="TC7_BI1" sheetId="50" r:id="rId46"/>
    <sheet name="TC7_EE1" sheetId="51" r:id="rId47"/>
    <sheet name="TC7_EQ1" sheetId="52" r:id="rId48"/>
    <sheet name="TC8_Summary" sheetId="70" r:id="rId49"/>
    <sheet name="TC8_BLDG1" sheetId="54" r:id="rId50"/>
    <sheet name="TC8_PP1" sheetId="55" r:id="rId51"/>
    <sheet name="TC8_BI1" sheetId="56" r:id="rId52"/>
    <sheet name="TC8_EE1" sheetId="57" r:id="rId53"/>
    <sheet name="TC8_EQ1" sheetId="58" r:id="rId54"/>
    <sheet name="TC9_Summary" sheetId="75" r:id="rId55"/>
    <sheet name="TC9_BLDG1" sheetId="76" r:id="rId56"/>
    <sheet name="TC9_PP1" sheetId="77" r:id="rId57"/>
    <sheet name="TC9_BI1" sheetId="78" r:id="rId58"/>
    <sheet name="TC9_EE1" sheetId="79" r:id="rId59"/>
    <sheet name="TC9_EQ1" sheetId="80" r:id="rId60"/>
    <sheet name="TC9_Blanket1" sheetId="97" r:id="rId61"/>
    <sheet name="TC10_Summary" sheetId="82" r:id="rId62"/>
    <sheet name="TC10_BLDG1" sheetId="83" r:id="rId63"/>
    <sheet name="TC10_PP1" sheetId="84" r:id="rId64"/>
    <sheet name="TC10_BI1" sheetId="85" r:id="rId65"/>
    <sheet name="TC10_EE1" sheetId="86" r:id="rId66"/>
    <sheet name="TC10_EQ1" sheetId="87" r:id="rId67"/>
    <sheet name="TC10_Blanket1" sheetId="98" r:id="rId68"/>
  </sheets>
  <definedNames>
    <definedName name="DF_250Deductible">Index2_Ded!$A$20</definedName>
    <definedName name="DF_AgreedFctr">Index1_Rules!$H$76</definedName>
    <definedName name="DF_BI_AV">Index1_Rules!$H$79</definedName>
    <definedName name="DF_BI_BRF1">Index1_Rules!$H$77</definedName>
    <definedName name="DF_BI_BRF2">Index1_Rules!$H$78</definedName>
    <definedName name="DF_BI_Power">Index1_Rules!$H$80</definedName>
    <definedName name="DF_BL_Max">Index1_Rules!$K$10</definedName>
    <definedName name="DF_BrandLabel">Index1_Rules!$K$9</definedName>
    <definedName name="DF_CCUO_MiscPty">Index1_Rules!$L$35</definedName>
    <definedName name="DF_DebrisRem">Index1_Rules!$N$12</definedName>
    <definedName name="DF_EQ_OrdLaw">Index1_Rules!$K$14</definedName>
    <definedName name="DF_FBldgValue">Index1_Rules!$H$84</definedName>
    <definedName name="DF_FireVault">Index1_Rules!$H$86</definedName>
    <definedName name="DF_FPPValue">Index1_Rules!$H$85</definedName>
    <definedName name="DF_LL_AddInsured">Index1_Rules!$H$81</definedName>
    <definedName name="DF_LL_CIBldg">Index1_Rules!$H$82</definedName>
    <definedName name="DF_LL_CIPty">Index1_Rules!$H$83</definedName>
    <definedName name="DF_MoltenMaterial">Index4_EQ!$A$54</definedName>
    <definedName name="DF_MRPCredit">Index1_Rules!$AD$18</definedName>
    <definedName name="DF_OrdLaw">Index1_Rules!$K$13</definedName>
    <definedName name="DF_SellPrice">Index1_Rules!$H$87</definedName>
    <definedName name="DF_SepHeatCredit">Index1_Rules!$AD$19</definedName>
    <definedName name="DF_Sprinkler50">Index1_Rules!$H$75</definedName>
    <definedName name="DF_SprLkg">Index1_Rules!$C$46</definedName>
    <definedName name="DF_State">Index1_Rules!$F$1</definedName>
    <definedName name="DF_TerrorDT">Index1_Rules!$AH$32</definedName>
    <definedName name="DF_TerrorDTnbc">Index1_Rules!$AH$33</definedName>
    <definedName name="DF_Time_Law">Index1_Rules!$S$76</definedName>
    <definedName name="DF_Time_LawEQ">Index1_Rules!$S$77</definedName>
    <definedName name="List_AddtlClass">Index3_Classes!$T$63:$T$66</definedName>
    <definedName name="List_BCEG99">Index1_Rules!$AF$15</definedName>
    <definedName name="List_BI_Educ">Index1_Rules!$B$97:$B$99</definedName>
    <definedName name="List_BI_Mining">Index1_Rules!$B$87:$B$89</definedName>
    <definedName name="List_BI_OccType">Index1_Rules!$B$82:$B$84</definedName>
    <definedName name="List_Blank">Index1_Rules!$B$54</definedName>
    <definedName name="List_BlanketCoIns">Index1_Rules!$D$69:$D$70</definedName>
    <definedName name="List_CauseBldg">Index1_Rules!$D$50:$D$53</definedName>
    <definedName name="List_CCUO_Cause">Index1_Rules!$K$39:$M$39</definedName>
    <definedName name="List_ClassLC">Index3_Classes!$D$5:$O$5</definedName>
    <definedName name="List_Company">Index1_Rules!$C$12:$F$12</definedName>
    <definedName name="List_ConstrNum">Index1_Rules!$B$27:$B$35</definedName>
    <definedName name="List_ContentSP">Index3_Classes!$Q$6:$Q$15</definedName>
    <definedName name="List_ContentYd">Index3_Classes!$Q$49:$Q$51</definedName>
    <definedName name="List_DedSelect">Index2_Ded!$A$23:$A$31</definedName>
    <definedName name="List_Deductibles">Index2_Ded!$F$3:$M$3</definedName>
    <definedName name="List_EQBldgClass">Index4_EQ!$Q$55:$Q$69</definedName>
    <definedName name="List_EQDeductibles">Index4_EQ!$T$4:$Z$4</definedName>
    <definedName name="List_IGyr">Index1_Rules!$N$24:$O$24</definedName>
    <definedName name="List_LOI_Bldg">Index3_Classes!$AT$6:$AT$62</definedName>
    <definedName name="List_LOI_PP">Index3_Classes!$BE$6:$BE$59</definedName>
    <definedName name="List_MHCol">Index1_Rules!$S$96:$Y$96</definedName>
    <definedName name="List_MosLimit">Index1_Rules!$X$24:$X$26</definedName>
    <definedName name="List_NA">Index1_Rules!$B$52</definedName>
    <definedName name="List_NBC">Index1_Rules!$B$62:$B$63</definedName>
    <definedName name="List_No">Index1_Rules!$B$50</definedName>
    <definedName name="List_Occupancy">Index1_Rules!$D$56:$D$59</definedName>
    <definedName name="List_PolicyFormTypes">Index1_Rules!$B$115:$B$117</definedName>
    <definedName name="List_PolSymbols">Index1_Rules!$B$57:$B$59</definedName>
    <definedName name="List_PP_Types">Index1_Rules!$A$120:$A$124</definedName>
    <definedName name="List_PP_Types2">Index1_Rules!$A$127:$A$131</definedName>
    <definedName name="List_PPGrade">Index4_EQ!$L$4:$O$4</definedName>
    <definedName name="List_PPSeverity">Index4_EQ!$X$75:$Z$75</definedName>
    <definedName name="List_Ratings">Index1_Rules!$B$76:$B$79</definedName>
    <definedName name="List_RatingType">Index1_Rules!$B$66:$B$69</definedName>
    <definedName name="List_Relatives">Index3_Classes!$AU$5:$BC$5</definedName>
    <definedName name="List_SpecialClass">Index3_Classes!$T$56:$T$59</definedName>
    <definedName name="List_SpecialRisk">Index1_Rules!$B$102:$B$107</definedName>
    <definedName name="List_SpoilClass">Index1_Rules!$B$110:$B$112</definedName>
    <definedName name="List_SPTheft">Index1_Rules!$B$72:$B$73</definedName>
    <definedName name="List_VacantClasses">Index3_Classes!$Q$56:$Q$73</definedName>
    <definedName name="List_WHDed">Index2_Ded!$P$4:$R$4</definedName>
    <definedName name="List_YN">Index1_Rules!$B$49:$B$50</definedName>
    <definedName name="_xlnm.Print_Area" localSheetId="2">Index2_Ded!$A$1:$S$48</definedName>
    <definedName name="_xlnm.Print_Area" localSheetId="3">Index3_Classes!$A$1:$BN$108</definedName>
    <definedName name="_xlnm.Print_Area" localSheetId="4">Index4_EQ!$A$1:$F$55,Index4_EQ!$H$1:$O$79,Index4_EQ!$Q$1:$Z$94,Index4_EQ!$AB$1:$AE$36</definedName>
    <definedName name="_xlnm.Print_Area" localSheetId="12">TC1_Blanket1!$A$1:$AU$45,TC1_Blanket1!$Q$45:$AU$84</definedName>
    <definedName name="_xlnm.Print_Area" localSheetId="6">TC1_BLDG1!$A$1:$BR$66</definedName>
    <definedName name="_xlnm.Print_Area" localSheetId="8">TC1_BLDG2!$A$1:$BR$66</definedName>
    <definedName name="_xlnm.Print_Area" localSheetId="10">TC1_BLDG3!$A$1:$BR$66</definedName>
    <definedName name="_xlnm.Print_Area" localSheetId="64">TC10_BI1!$A$1:$AV$65</definedName>
    <definedName name="_xlnm.Print_Area" localSheetId="67">TC10_Blanket1!$A$1:$AU$45,TC10_Blanket1!$Q$45:$AU$84</definedName>
    <definedName name="_xlnm.Print_Area" localSheetId="62">TC10_BLDG1!$A$1:$BR$66</definedName>
    <definedName name="_xlnm.Print_Area" localSheetId="65">TC10_EE1!$A$1:$AN$53</definedName>
    <definedName name="_xlnm.Print_Area" localSheetId="66">TC10_EQ1!$A$1:$Z$59</definedName>
    <definedName name="_xlnm.Print_Area" localSheetId="24">TC3_Blanket1!$A$1:$AU$45,TC3_Blanket1!$Q$45:$AU$84</definedName>
    <definedName name="_xlnm.Print_Area" localSheetId="18">TC3_BLDG1!$A$1:$BR$66</definedName>
    <definedName name="_xlnm.Print_Area" localSheetId="20">TC3_BLDG2!$A$1:$BR$66</definedName>
    <definedName name="_xlnm.Print_Area" localSheetId="22">TC3_BLDG3!$A$1:$BR$66</definedName>
    <definedName name="_xlnm.Print_Area" localSheetId="26">TC4_BLDG1!$A$1:$BR$66</definedName>
    <definedName name="_xlnm.Print_Area" localSheetId="31">TC5_BI1!$A$1:$AV$65</definedName>
    <definedName name="_xlnm.Print_Area" localSheetId="34">TC5_Blanket1!$A$1:$AU$45,TC5_Blanket1!$Q$45:$AU$84</definedName>
    <definedName name="_xlnm.Print_Area" localSheetId="29">TC5_BLDG1!$A$1:$BR$66</definedName>
    <definedName name="_xlnm.Print_Area" localSheetId="32">TC5_EE1!$A$1:$AN$53</definedName>
    <definedName name="_xlnm.Print_Area" localSheetId="33">TC5_EQ1!$A$1:$Z$59</definedName>
    <definedName name="_xlnm.Print_Area" localSheetId="38">TC6_BI1!$A$1:$AV$65</definedName>
    <definedName name="_xlnm.Print_Area" localSheetId="41">TC6_Blanket1!$A$1:$AU$45,TC6_Blanket1!$Q$45:$AU$84</definedName>
    <definedName name="_xlnm.Print_Area" localSheetId="36">TC6_BLDG1!$A$1:$BR$66</definedName>
    <definedName name="_xlnm.Print_Area" localSheetId="39">TC6_EE1!$A$1:$AN$53</definedName>
    <definedName name="_xlnm.Print_Area" localSheetId="40">TC6_EQ1!$A$1:$Z$59</definedName>
    <definedName name="_xlnm.Print_Area" localSheetId="45">TC7_BI1!$A$1:$AV$65</definedName>
    <definedName name="_xlnm.Print_Area" localSheetId="43">TC7_BLDG1!$A$1:$BR$66</definedName>
    <definedName name="_xlnm.Print_Area" localSheetId="46">TC7_EE1!$A$1:$AN$53</definedName>
    <definedName name="_xlnm.Print_Area" localSheetId="47">TC7_EQ1!$A$1:$Z$59</definedName>
    <definedName name="_xlnm.Print_Area" localSheetId="51">TC8_BI1!$A$1:$AV$65</definedName>
    <definedName name="_xlnm.Print_Area" localSheetId="49">TC8_BLDG1!$A$1:$BR$66</definedName>
    <definedName name="_xlnm.Print_Area" localSheetId="52">TC8_EE1!$A$1:$AN$53</definedName>
    <definedName name="_xlnm.Print_Area" localSheetId="53">TC8_EQ1!$A$1:$Z$59</definedName>
    <definedName name="_xlnm.Print_Area" localSheetId="57">TC9_BI1!$A$1:$AV$65</definedName>
    <definedName name="_xlnm.Print_Area" localSheetId="60">TC9_Blanket1!$A$1:$AU$45,TC9_Blanket1!$Q$45:$AU$84</definedName>
    <definedName name="_xlnm.Print_Area" localSheetId="55">TC9_BLDG1!$A$1:$BR$66</definedName>
    <definedName name="_xlnm.Print_Area" localSheetId="58">TC9_EE1!$A$1:$AN$53</definedName>
    <definedName name="_xlnm.Print_Area" localSheetId="59">TC9_EQ1!$A$1:$Z$59</definedName>
    <definedName name="Summary1">TC1_Summary!$B$10</definedName>
    <definedName name="Summary10">TC10_Summary!$B$10</definedName>
    <definedName name="Summary2">TC2_Summary!$B$10</definedName>
    <definedName name="Summary3">TC3_Summary!$B$10</definedName>
    <definedName name="Summary4">TC4_Summary!$B$10</definedName>
    <definedName name="Summary5">TC5_Summary!$B$10</definedName>
    <definedName name="Summary6">TC6_Summary!$B$10</definedName>
    <definedName name="Summary7">TC7_Summary!$B$10</definedName>
    <definedName name="Summary8">TC8_Summary!$B$10</definedName>
    <definedName name="Summary9">TC9_Summary!$B$10</definedName>
    <definedName name="Table_AddtlClass">Index3_Classes!$Q$77:$W$80</definedName>
    <definedName name="Table_BCEG" localSheetId="4">Index4_EQ!$Q$5:$T$15</definedName>
    <definedName name="Table_BCEG">Index1_Rules!$AF$5:$AH$15</definedName>
    <definedName name="Table_BCEG_EQ" localSheetId="4">Index4_EQ!$Q$20:$T$30</definedName>
    <definedName name="Table_BCEG_EQ">Index4_EQ!$Q$75:$S$85</definedName>
    <definedName name="Table_BI_CoIns">Index1_Rules!$W$5:$Z$12</definedName>
    <definedName name="Table_BI_CoIns_EE">Index1_Rules!$R$5:$U$12</definedName>
    <definedName name="Table_BI_Educ">Index1_Rules!$W$48:$Y$54</definedName>
    <definedName name="Table_BI_EMR">Index1_Rules!$R$17:$T$18</definedName>
    <definedName name="Table_BI_IndDays">Index1_Rules!$R$22:$S$32</definedName>
    <definedName name="Table_BI_MaxInd">Index1_Rules!$X$17:$Z$19</definedName>
    <definedName name="Table_BI_Mining">Index1_Rules!$S$39:$U$41</definedName>
    <definedName name="Table_BI_Mos1">Index1_Rules!$X$24:$Z$26</definedName>
    <definedName name="Table_BI_Mos2">Index1_Rules!$X$27:$Z$29</definedName>
    <definedName name="Table_BI_Mos3">Index1_Rules!$X$30:$Z$32</definedName>
    <definedName name="Table_BI_OrdPR">Index1_Rules!$W$39:$X$41</definedName>
    <definedName name="Table_BI_Seasonal">Index1_Rules!$S$46:$T$47</definedName>
    <definedName name="Table_BI_Wait">Index1_Rules!$R$82:$T$83</definedName>
    <definedName name="Table_BroadLC">Index3_Classes!$R$89:$S$92</definedName>
    <definedName name="Table_BroadTime">Index3_Classes!$R$97:$S$99</definedName>
    <definedName name="Table_CCUO_Loss">Index1_Rules!$J$40:$M$42</definedName>
    <definedName name="Table_CCUO_LossPer5K">Index1_Rules!$K$39:$M$43</definedName>
    <definedName name="Table_CIdesc">Index1_Rules!$U$106:$V$109</definedName>
    <definedName name="Table_CIUnder80">Index1_Rules!$R$116:$V$119</definedName>
    <definedName name="Table_CivilAuth">Index1_Rules!$W$77:$X$79</definedName>
    <definedName name="Table_CoIns_Blanket">Index1_Rules!$J$4:$K$5</definedName>
    <definedName name="Table_CoIns1">Index1_Rules!$R$107:$S$109</definedName>
    <definedName name="Table_CoIns2">Index1_Rules!$R$124:$S$126</definedName>
    <definedName name="Table_Construction">Index1_Rules!$B$27:$D$35</definedName>
    <definedName name="Table_ContentA">Index3_Classes!$Q$6:$W$15</definedName>
    <definedName name="Table_ContentB">Index3_Classes!$Q$21:$W$30</definedName>
    <definedName name="Table_ContentC">Index3_Classes!$Q$35:$W$44</definedName>
    <definedName name="Table_ContentYd">Index3_Classes!$Q$49:$W$51</definedName>
    <definedName name="Table_DebrisRemoval">Index1_Rules!$M$15:$N$18</definedName>
    <definedName name="Table_Ded250">Index2_Ded!$A$14:$C$16</definedName>
    <definedName name="Table_DedMax">Index2_Ded!$E$29:$M$48</definedName>
    <definedName name="Table_DedMin">Index2_Ded!$E$4:$M$23</definedName>
    <definedName name="Table_EE_CoIns">Index1_Rules!$R$54:$T$56</definedName>
    <definedName name="Table_EQ_BCEG">Index4_EQ!$Q$75:$S$85</definedName>
    <definedName name="Table_EQ_BldgClass">Index4_EQ!$A$5:$B$21</definedName>
    <definedName name="Table_EQ_Class7">Index4_EQ!$AB$4:$AE$27</definedName>
    <definedName name="Table_EQ_CoIns">Index4_EQ!$A$43:$B$45</definedName>
    <definedName name="Table_EQ_Deductible">Index4_EQ!$S$5:$Z$49</definedName>
    <definedName name="Table_EQ_LC">Index4_EQ!$I$5:$O$19</definedName>
    <definedName name="Table_EQ_Masonry">Index4_EQ!$A$27:$C$30</definedName>
    <definedName name="Table_EQ_OptStory">Index4_EQ!$A$35:$C$37</definedName>
    <definedName name="Table_EQ_PPGrade">Index4_EQ!$E$4:$F$255</definedName>
    <definedName name="Table_EQ_SprLkg">Index4_EQ!$V$76:$Z$90</definedName>
    <definedName name="Table_EQ_SprLkgExt">Index4_EQ!$Q$91:$T$94</definedName>
    <definedName name="Table_EQ_Tiers">Index4_EQ!$A$50:$B$50</definedName>
    <definedName name="Table_G1_LC">Index3_Classes!$A$6:$O$108</definedName>
    <definedName name="Table_G2SymLC">Index1_Rules!$V$124:$X$127</definedName>
    <definedName name="Table_InflationGd">Index1_Rules!$M$25:$O$31</definedName>
    <definedName name="Table_LOI_Bldg">Index3_Classes!$AT$6:$BC$62</definedName>
    <definedName name="Table_LOI_PP">Index3_Classes!$BE$6:$BN$59</definedName>
    <definedName name="Table_MortgageHolder">Index1_Rules!$R$97:$Y$101</definedName>
    <definedName name="Table_Other_PierWharf">Index4_EQ!$AB$41:$AG$46</definedName>
    <definedName name="Table_Other_WaterBuyback">Index4_EQ!$AB$51:$AG$56</definedName>
    <definedName name="Table_PakMods">Index1_Rules!$B$13:$F$23</definedName>
    <definedName name="Table_PCR_Ded">Index1_Rules!$J$27:$K$31</definedName>
    <definedName name="Table_PlusEnd">Index1_Rules!$G$66:$H$68</definedName>
    <definedName name="Table_PolRemoval">Index1_Rules!$J$19:$K$22</definedName>
    <definedName name="Table_ProtClass">Index1_Rules!$AB$5:$AD$15</definedName>
    <definedName name="Table_PtyEnd">Index1_Rules!$F$40:$G$61</definedName>
    <definedName name="Table_Special_Bldg">Index3_Classes!$AK$5:$AL$6</definedName>
    <definedName name="Table_Special_PP">Index3_Classes!$AK$12:$AN$24</definedName>
    <definedName name="Table_SpecialCR">Index3_Classes!$AP$12:$AQ$21</definedName>
    <definedName name="Table_SpecialLC">Index3_Classes!$AB$6:$AH$73</definedName>
    <definedName name="Table_SpoilCOL">Index1_Rules!$N$84:$O$86</definedName>
    <definedName name="Table_SpoilColRef">Index1_Rules!$N$91:$O$95</definedName>
    <definedName name="Table_SpoilLC">Index1_Rules!$J$106:$O$108</definedName>
    <definedName name="Table_SpoilTypes">Index1_Rules!$J$84:$L$97</definedName>
    <definedName name="Table_SprLkg">Index1_Rules!$B$39:$D$44</definedName>
    <definedName name="Table_StateRates">Index1_Rules!$B$3:$D$8</definedName>
    <definedName name="Table_TerrMult">Index1_Rules!$G$28:$H$28</definedName>
    <definedName name="Table_TerrMult_SP">Index1_Rules!$G$33:$H$35</definedName>
    <definedName name="Table_TerrorFire">Index1_Rules!$AC$36:$AD$37</definedName>
    <definedName name="Table_Terrorism">Index1_Rules!$AC$26:$AD$28</definedName>
    <definedName name="Table_TerrorNBC">Index1_Rules!$AG$28:$AH$29</definedName>
    <definedName name="Table_Time_Special">Index3_Classes!$AL$44:$AN$49</definedName>
    <definedName name="Table_Time_Utility">Index1_Rules!$S$88:$X$90</definedName>
    <definedName name="Table_Utility_OHLines">Index1_Rules!$K$60:$P$61</definedName>
    <definedName name="Table_Utility_Svcs">Index1_Rules!$K$53:$P$56</definedName>
    <definedName name="Table_UtilityCol">Index1_Rules!$C$62:$D$66</definedName>
    <definedName name="Table_VacancyBasic">Index1_Rules!$K$67:$L$70</definedName>
    <definedName name="Table_VacancyOther">Index1_Rules!$O$66:$P$68</definedName>
    <definedName name="Table_VandalExcl">Index3_Classes!$AB$79:$AD$102</definedName>
    <definedName name="Table_VPFactors">Index1_Rules!$O$72:$P$73</definedName>
    <definedName name="Table_Watchman">Index3_Classes!$AQ$4:$AR$6</definedName>
    <definedName name="Table_WHDed">Index2_Ded!$O$5:$R$11</definedName>
    <definedName name="UI_CustNumber">Analysis!$E$2</definedName>
  </definedNames>
  <calcPr calcId="145621"/>
</workbook>
</file>

<file path=xl/calcChain.xml><?xml version="1.0" encoding="utf-8"?>
<calcChain xmlns="http://schemas.openxmlformats.org/spreadsheetml/2006/main">
  <c r="S65" i="94" l="1"/>
  <c r="T65" i="94"/>
  <c r="U65" i="94"/>
  <c r="V65" i="94"/>
  <c r="W65" i="94"/>
  <c r="S74" i="94"/>
  <c r="S74" i="95"/>
  <c r="S74" i="96"/>
  <c r="S74" i="97"/>
  <c r="S74" i="98"/>
  <c r="S74" i="16"/>
  <c r="AA74" i="94"/>
  <c r="AA74" i="95"/>
  <c r="AA74" i="96"/>
  <c r="AA74" i="97"/>
  <c r="AA74" i="98"/>
  <c r="AA74" i="16"/>
  <c r="AI74" i="94"/>
  <c r="AI74" i="95"/>
  <c r="AI74" i="96"/>
  <c r="AI74" i="97"/>
  <c r="AI74" i="98"/>
  <c r="AI74" i="16"/>
  <c r="AQ74" i="94"/>
  <c r="AQ74" i="95"/>
  <c r="AQ74" i="96"/>
  <c r="AQ74" i="97"/>
  <c r="AQ74" i="98"/>
  <c r="AQ74" i="16"/>
  <c r="AQ29" i="94"/>
  <c r="AQ29" i="95"/>
  <c r="AQ29" i="96"/>
  <c r="AQ29" i="97"/>
  <c r="AQ29" i="98"/>
  <c r="AQ29" i="16"/>
  <c r="AI29" i="94"/>
  <c r="AI29" i="95"/>
  <c r="AI29" i="96"/>
  <c r="AI29" i="97"/>
  <c r="AI29" i="98"/>
  <c r="AI29" i="16"/>
  <c r="AA29" i="94"/>
  <c r="AA29" i="95"/>
  <c r="AA29" i="96"/>
  <c r="AA29" i="97"/>
  <c r="AA29" i="98"/>
  <c r="AA29" i="16"/>
  <c r="S29" i="94"/>
  <c r="S29" i="95"/>
  <c r="S29" i="96"/>
  <c r="S29" i="97"/>
  <c r="S29" i="98"/>
  <c r="S29" i="16"/>
  <c r="AM65" i="95"/>
  <c r="AL65" i="95"/>
  <c r="AK65" i="95"/>
  <c r="AJ65" i="95"/>
  <c r="AI65" i="95"/>
  <c r="W65" i="95"/>
  <c r="V65" i="95"/>
  <c r="U65" i="95"/>
  <c r="T65" i="95"/>
  <c r="S65" i="95"/>
  <c r="AM65" i="96"/>
  <c r="AL65" i="96"/>
  <c r="AK65" i="96"/>
  <c r="AJ65" i="96"/>
  <c r="AI65" i="96"/>
  <c r="W65" i="96"/>
  <c r="V65" i="96"/>
  <c r="U65" i="96"/>
  <c r="T65" i="96"/>
  <c r="S65" i="96"/>
  <c r="AM65" i="97"/>
  <c r="AL65" i="97"/>
  <c r="AK65" i="97"/>
  <c r="AJ65" i="97"/>
  <c r="AI65" i="97"/>
  <c r="W65" i="97"/>
  <c r="V65" i="97"/>
  <c r="U65" i="97"/>
  <c r="T65" i="97"/>
  <c r="S65" i="97"/>
  <c r="AM65" i="98"/>
  <c r="AL65" i="98"/>
  <c r="AK65" i="98"/>
  <c r="AJ65" i="98"/>
  <c r="AI65" i="98"/>
  <c r="W65" i="98"/>
  <c r="V65" i="98"/>
  <c r="U65" i="98"/>
  <c r="T65" i="98"/>
  <c r="S65" i="98"/>
  <c r="AM65" i="94"/>
  <c r="AL65" i="94"/>
  <c r="AK65" i="94"/>
  <c r="AJ65" i="94"/>
  <c r="AI65" i="94"/>
  <c r="AM6" i="95"/>
  <c r="AL6" i="95"/>
  <c r="AK6" i="95"/>
  <c r="AJ6" i="95"/>
  <c r="AI6" i="95"/>
  <c r="AM6" i="96"/>
  <c r="AL6" i="96"/>
  <c r="AK6" i="96"/>
  <c r="AJ6" i="96"/>
  <c r="AI6" i="96"/>
  <c r="AM6" i="97"/>
  <c r="AL6" i="97"/>
  <c r="AK6" i="97"/>
  <c r="AJ6" i="97"/>
  <c r="AI6" i="97"/>
  <c r="AM6" i="98"/>
  <c r="AL6" i="98"/>
  <c r="AK6" i="98"/>
  <c r="AJ6" i="98"/>
  <c r="AI6" i="98"/>
  <c r="AM6" i="94"/>
  <c r="AL6" i="94"/>
  <c r="AK6" i="94"/>
  <c r="AJ6" i="94"/>
  <c r="AI6" i="94"/>
  <c r="W6" i="95"/>
  <c r="V6" i="95"/>
  <c r="U6" i="95"/>
  <c r="T6" i="95"/>
  <c r="S6" i="95"/>
  <c r="W6" i="96"/>
  <c r="V6" i="96"/>
  <c r="U6" i="96"/>
  <c r="T6" i="96"/>
  <c r="S6" i="96"/>
  <c r="W6" i="97"/>
  <c r="V6" i="97"/>
  <c r="U6" i="97"/>
  <c r="T6" i="97"/>
  <c r="S6" i="97"/>
  <c r="W6" i="98"/>
  <c r="V6" i="98"/>
  <c r="U6" i="98"/>
  <c r="T6" i="98"/>
  <c r="S6" i="98"/>
  <c r="W6" i="94"/>
  <c r="V6" i="94"/>
  <c r="U6" i="94"/>
  <c r="T6" i="94"/>
  <c r="S6" i="94"/>
  <c r="AM65" i="16"/>
  <c r="AL65" i="16"/>
  <c r="AK65" i="16"/>
  <c r="AJ65" i="16"/>
  <c r="AI65" i="16"/>
  <c r="T65" i="16"/>
  <c r="U65" i="16"/>
  <c r="V65" i="16"/>
  <c r="W65" i="16"/>
  <c r="S65" i="16"/>
  <c r="AJ6" i="16"/>
  <c r="AK6" i="16"/>
  <c r="AL6" i="16"/>
  <c r="AM6" i="16"/>
  <c r="AI6" i="16"/>
  <c r="T6" i="16"/>
  <c r="U6" i="16"/>
  <c r="V6" i="16"/>
  <c r="W6" i="16"/>
  <c r="S6" i="16"/>
  <c r="R28" i="11"/>
  <c r="R28" i="61"/>
  <c r="R28" i="63"/>
  <c r="R26" i="11" l="1"/>
  <c r="R26" i="61"/>
  <c r="R26" i="63"/>
  <c r="R26" i="18"/>
  <c r="R26" i="64"/>
  <c r="R26" i="65"/>
  <c r="R26" i="69"/>
  <c r="R26" i="100"/>
  <c r="R26" i="30"/>
  <c r="R26" i="37"/>
  <c r="R26" i="43"/>
  <c r="R26" i="49"/>
  <c r="R26" i="55"/>
  <c r="R26" i="77"/>
  <c r="R26" i="84"/>
  <c r="R26" i="24"/>
  <c r="R32" i="60"/>
  <c r="R32" i="62"/>
  <c r="R32" i="23"/>
  <c r="R32" i="68"/>
  <c r="R32" i="99"/>
  <c r="R32" i="29"/>
  <c r="R32" i="36"/>
  <c r="R32" i="42"/>
  <c r="R32" i="48"/>
  <c r="R32" i="54"/>
  <c r="R32" i="76"/>
  <c r="R32" i="83"/>
  <c r="R32" i="9"/>
  <c r="AE51" i="94"/>
  <c r="AD51" i="94"/>
  <c r="AC51" i="94"/>
  <c r="AB51" i="94"/>
  <c r="AA51" i="94"/>
  <c r="AE51" i="95"/>
  <c r="AD51" i="95"/>
  <c r="AC51" i="95"/>
  <c r="AB51" i="95"/>
  <c r="AA51" i="95"/>
  <c r="AE51" i="96"/>
  <c r="AD51" i="96"/>
  <c r="AC51" i="96"/>
  <c r="AB51" i="96"/>
  <c r="AA51" i="96"/>
  <c r="AE51" i="97"/>
  <c r="AD51" i="97"/>
  <c r="AC51" i="97"/>
  <c r="AB51" i="97"/>
  <c r="AA51" i="97"/>
  <c r="AE51" i="98"/>
  <c r="AD51" i="98"/>
  <c r="AC51" i="98"/>
  <c r="AB51" i="98"/>
  <c r="AA51" i="98"/>
  <c r="AE51" i="16"/>
  <c r="AD51" i="16"/>
  <c r="AC51" i="16"/>
  <c r="AB51" i="16"/>
  <c r="AA51" i="16"/>
  <c r="W51" i="94"/>
  <c r="V51" i="94"/>
  <c r="U51" i="94"/>
  <c r="T51" i="94"/>
  <c r="S51" i="94"/>
  <c r="W51" i="95"/>
  <c r="V51" i="95"/>
  <c r="U51" i="95"/>
  <c r="T51" i="95"/>
  <c r="S51" i="95"/>
  <c r="W51" i="96"/>
  <c r="V51" i="96"/>
  <c r="U51" i="96"/>
  <c r="T51" i="96"/>
  <c r="S51" i="96"/>
  <c r="W51" i="97"/>
  <c r="V51" i="97"/>
  <c r="U51" i="97"/>
  <c r="T51" i="97"/>
  <c r="S51" i="97"/>
  <c r="W51" i="98"/>
  <c r="V51" i="98"/>
  <c r="U51" i="98"/>
  <c r="T51" i="98"/>
  <c r="S51" i="98"/>
  <c r="W51" i="16"/>
  <c r="V51" i="16"/>
  <c r="U51" i="16"/>
  <c r="T51" i="16"/>
  <c r="S51" i="16"/>
  <c r="AU7" i="94"/>
  <c r="AT7" i="94"/>
  <c r="AS7" i="94"/>
  <c r="AR7" i="94"/>
  <c r="AQ7" i="94"/>
  <c r="AU7" i="95"/>
  <c r="AT7" i="95"/>
  <c r="AS7" i="95"/>
  <c r="AR7" i="95"/>
  <c r="AQ7" i="95"/>
  <c r="AU7" i="96"/>
  <c r="AT7" i="96"/>
  <c r="AS7" i="96"/>
  <c r="AR7" i="96"/>
  <c r="AQ7" i="96"/>
  <c r="AU7" i="97"/>
  <c r="AT7" i="97"/>
  <c r="AS7" i="97"/>
  <c r="AR7" i="97"/>
  <c r="AQ7" i="97"/>
  <c r="AU7" i="98"/>
  <c r="AT7" i="98"/>
  <c r="AS7" i="98"/>
  <c r="AR7" i="98"/>
  <c r="AQ7" i="98"/>
  <c r="AU7" i="16"/>
  <c r="AT7" i="16"/>
  <c r="AS7" i="16"/>
  <c r="AR7" i="16"/>
  <c r="AQ7" i="16"/>
  <c r="AU51" i="94"/>
  <c r="AT51" i="94"/>
  <c r="AS51" i="94"/>
  <c r="AR51" i="94"/>
  <c r="AQ51" i="94"/>
  <c r="AU51" i="95"/>
  <c r="AT51" i="95"/>
  <c r="AS51" i="95"/>
  <c r="AR51" i="95"/>
  <c r="AQ51" i="95"/>
  <c r="AU51" i="96"/>
  <c r="AT51" i="96"/>
  <c r="AS51" i="96"/>
  <c r="AR51" i="96"/>
  <c r="AQ51" i="96"/>
  <c r="AU51" i="97"/>
  <c r="AT51" i="97"/>
  <c r="AS51" i="97"/>
  <c r="AR51" i="97"/>
  <c r="AQ51" i="97"/>
  <c r="AU51" i="98"/>
  <c r="AT51" i="98"/>
  <c r="AS51" i="98"/>
  <c r="AR51" i="98"/>
  <c r="AQ51" i="98"/>
  <c r="AU51" i="16"/>
  <c r="AT51" i="16"/>
  <c r="AS51" i="16"/>
  <c r="AR51" i="16"/>
  <c r="AQ51" i="16"/>
  <c r="AM51" i="94"/>
  <c r="AL51" i="94"/>
  <c r="AK51" i="94"/>
  <c r="AJ51" i="94"/>
  <c r="AI51" i="94"/>
  <c r="AM51" i="95"/>
  <c r="AL51" i="95"/>
  <c r="AK51" i="95"/>
  <c r="AJ51" i="95"/>
  <c r="AI51" i="95"/>
  <c r="AM51" i="96"/>
  <c r="AL51" i="96"/>
  <c r="AK51" i="96"/>
  <c r="AJ51" i="96"/>
  <c r="AI51" i="96"/>
  <c r="AM51" i="97"/>
  <c r="AL51" i="97"/>
  <c r="AK51" i="97"/>
  <c r="AJ51" i="97"/>
  <c r="AI51" i="97"/>
  <c r="AM51" i="98"/>
  <c r="AL51" i="98"/>
  <c r="AK51" i="98"/>
  <c r="AJ51" i="98"/>
  <c r="AI51" i="98"/>
  <c r="AM51" i="16"/>
  <c r="AL51" i="16"/>
  <c r="AK51" i="16"/>
  <c r="AJ51" i="16"/>
  <c r="AI51" i="16"/>
  <c r="AJ7" i="94"/>
  <c r="AK7" i="94"/>
  <c r="AL7" i="94"/>
  <c r="AM7" i="94"/>
  <c r="AJ7" i="95"/>
  <c r="AK7" i="95"/>
  <c r="AL7" i="95"/>
  <c r="AM7" i="95"/>
  <c r="AJ7" i="96"/>
  <c r="AK7" i="96"/>
  <c r="AL7" i="96"/>
  <c r="AM7" i="96"/>
  <c r="AJ7" i="97"/>
  <c r="AK7" i="97"/>
  <c r="AL7" i="97"/>
  <c r="AM7" i="97"/>
  <c r="AJ7" i="98"/>
  <c r="AK7" i="98"/>
  <c r="AL7" i="98"/>
  <c r="AM7" i="98"/>
  <c r="AJ7" i="16"/>
  <c r="AK7" i="16"/>
  <c r="AL7" i="16"/>
  <c r="AM7" i="16"/>
  <c r="AI7" i="94"/>
  <c r="AI7" i="95"/>
  <c r="AI7" i="96"/>
  <c r="AI7" i="97"/>
  <c r="AI7" i="98"/>
  <c r="AI7" i="16"/>
  <c r="W7" i="94"/>
  <c r="V7" i="94"/>
  <c r="U7" i="94"/>
  <c r="T7" i="94"/>
  <c r="S7" i="94"/>
  <c r="W7" i="95"/>
  <c r="V7" i="95"/>
  <c r="U7" i="95"/>
  <c r="T7" i="95"/>
  <c r="S7" i="95"/>
  <c r="W7" i="96"/>
  <c r="V7" i="96"/>
  <c r="U7" i="96"/>
  <c r="T7" i="96"/>
  <c r="S7" i="96"/>
  <c r="W7" i="97"/>
  <c r="V7" i="97"/>
  <c r="U7" i="97"/>
  <c r="T7" i="97"/>
  <c r="S7" i="97"/>
  <c r="W7" i="98"/>
  <c r="V7" i="98"/>
  <c r="U7" i="98"/>
  <c r="T7" i="98"/>
  <c r="S7" i="98"/>
  <c r="W7" i="16"/>
  <c r="V7" i="16"/>
  <c r="U7" i="16"/>
  <c r="T7" i="16"/>
  <c r="S7" i="16"/>
  <c r="AB7" i="94"/>
  <c r="AC7" i="94"/>
  <c r="AD7" i="94"/>
  <c r="AE7" i="94"/>
  <c r="AB7" i="95"/>
  <c r="AC7" i="95"/>
  <c r="AD7" i="95"/>
  <c r="AE7" i="95"/>
  <c r="AB7" i="96"/>
  <c r="AC7" i="96"/>
  <c r="AD7" i="96"/>
  <c r="AE7" i="96"/>
  <c r="AB7" i="97"/>
  <c r="AC7" i="97"/>
  <c r="AD7" i="97"/>
  <c r="AE7" i="97"/>
  <c r="AB7" i="98"/>
  <c r="AC7" i="98"/>
  <c r="AD7" i="98"/>
  <c r="AE7" i="98"/>
  <c r="AB7" i="16"/>
  <c r="AC7" i="16"/>
  <c r="AD7" i="16"/>
  <c r="AE7" i="16"/>
  <c r="AA7" i="94"/>
  <c r="AA7" i="95"/>
  <c r="AA7" i="96"/>
  <c r="AA7" i="97"/>
  <c r="AA7" i="98"/>
  <c r="AA7" i="16"/>
  <c r="C69" i="100"/>
  <c r="B59" i="100"/>
  <c r="A59" i="100"/>
  <c r="B58" i="100"/>
  <c r="C57" i="100"/>
  <c r="F56" i="100"/>
  <c r="F54" i="100"/>
  <c r="F53" i="100"/>
  <c r="C53" i="100"/>
  <c r="I52" i="100"/>
  <c r="F51" i="100"/>
  <c r="Z48" i="100"/>
  <c r="Y48" i="100"/>
  <c r="X48" i="100"/>
  <c r="W48" i="100"/>
  <c r="AF47" i="100"/>
  <c r="AB47" i="100"/>
  <c r="BP46" i="100"/>
  <c r="AF46" i="100"/>
  <c r="AB46" i="100"/>
  <c r="Z46" i="100"/>
  <c r="Y46" i="100"/>
  <c r="X46" i="100"/>
  <c r="W46" i="100"/>
  <c r="E46" i="100"/>
  <c r="AF45" i="100"/>
  <c r="AB45" i="100"/>
  <c r="AB48" i="100" s="1"/>
  <c r="AB50" i="100" s="1"/>
  <c r="I45" i="100"/>
  <c r="F45" i="100"/>
  <c r="B45" i="100"/>
  <c r="A45" i="100"/>
  <c r="BT44" i="100"/>
  <c r="BP44" i="100"/>
  <c r="AF44" i="100"/>
  <c r="AF48" i="100" s="1"/>
  <c r="AF50" i="100" s="1"/>
  <c r="I44" i="100"/>
  <c r="BP43" i="100"/>
  <c r="U43" i="100"/>
  <c r="I43" i="100"/>
  <c r="B43" i="100"/>
  <c r="BT42" i="100"/>
  <c r="BP42" i="100"/>
  <c r="I42" i="100"/>
  <c r="I46" i="100" s="1"/>
  <c r="B42" i="100"/>
  <c r="BT41" i="100"/>
  <c r="BP41" i="100"/>
  <c r="E41" i="100"/>
  <c r="BT39" i="100"/>
  <c r="BP39" i="100"/>
  <c r="S40" i="100"/>
  <c r="R40" i="100"/>
  <c r="Q40" i="100"/>
  <c r="P40" i="100"/>
  <c r="Z53" i="100" s="1"/>
  <c r="C39" i="100"/>
  <c r="B39" i="100"/>
  <c r="BT38" i="100"/>
  <c r="BP38" i="100"/>
  <c r="AH38" i="100"/>
  <c r="C38" i="100"/>
  <c r="B38" i="100" s="1"/>
  <c r="BA37" i="100"/>
  <c r="AW37" i="100"/>
  <c r="AV37" i="100"/>
  <c r="AU37" i="100"/>
  <c r="AT37" i="100"/>
  <c r="AD37" i="100"/>
  <c r="F37" i="100"/>
  <c r="B37" i="100"/>
  <c r="BT36" i="100"/>
  <c r="BP36" i="100"/>
  <c r="AD36" i="100"/>
  <c r="F36" i="100"/>
  <c r="C36" i="100"/>
  <c r="A36" i="100"/>
  <c r="BT35" i="100"/>
  <c r="BP35" i="100"/>
  <c r="BA35" i="100"/>
  <c r="AH35" i="100"/>
  <c r="AD35" i="100"/>
  <c r="I35" i="100"/>
  <c r="B35" i="100"/>
  <c r="BA34" i="100"/>
  <c r="AH34" i="100"/>
  <c r="AD34" i="100"/>
  <c r="Z34" i="100"/>
  <c r="Y34" i="100"/>
  <c r="X34" i="100"/>
  <c r="W34" i="100"/>
  <c r="I34" i="100"/>
  <c r="I36" i="100" s="1"/>
  <c r="BA33" i="100"/>
  <c r="AH33" i="100"/>
  <c r="F33" i="100"/>
  <c r="C33" i="100"/>
  <c r="B33" i="100"/>
  <c r="BA32" i="100"/>
  <c r="AH32" i="100"/>
  <c r="AD32" i="100"/>
  <c r="Z32" i="100"/>
  <c r="Y32" i="100"/>
  <c r="X32" i="100"/>
  <c r="W32" i="100"/>
  <c r="BA31" i="100"/>
  <c r="AH31" i="100"/>
  <c r="AD31" i="100"/>
  <c r="S32" i="100"/>
  <c r="R32" i="100"/>
  <c r="Q32" i="100"/>
  <c r="P32" i="100"/>
  <c r="I31" i="100"/>
  <c r="BA30" i="100"/>
  <c r="AP30" i="100"/>
  <c r="I30" i="100"/>
  <c r="F30" i="100"/>
  <c r="E30" i="100"/>
  <c r="BL29" i="100"/>
  <c r="BK29" i="100"/>
  <c r="BJ29" i="100"/>
  <c r="BI29" i="100"/>
  <c r="BA29" i="100"/>
  <c r="AW29" i="100"/>
  <c r="AV29" i="100"/>
  <c r="AU29" i="100"/>
  <c r="AT29" i="100"/>
  <c r="U29" i="100"/>
  <c r="I29" i="100"/>
  <c r="D29" i="100"/>
  <c r="BP28" i="100"/>
  <c r="S29" i="100"/>
  <c r="S31" i="100" s="1"/>
  <c r="R29" i="100"/>
  <c r="R31" i="100" s="1"/>
  <c r="Q29" i="100"/>
  <c r="Q31" i="100" s="1"/>
  <c r="P29" i="100"/>
  <c r="P31" i="100" s="1"/>
  <c r="I28" i="100"/>
  <c r="E28" i="100"/>
  <c r="BT27" i="100"/>
  <c r="AP27" i="100"/>
  <c r="AP28" i="100" s="1"/>
  <c r="I27" i="100"/>
  <c r="BL26" i="100"/>
  <c r="BK26" i="100"/>
  <c r="BJ26" i="100"/>
  <c r="BI26" i="100"/>
  <c r="AW26" i="100"/>
  <c r="AV26" i="100"/>
  <c r="AU26" i="100"/>
  <c r="AT26" i="100"/>
  <c r="I26" i="100"/>
  <c r="E26" i="100"/>
  <c r="BT25" i="100"/>
  <c r="BP25" i="100"/>
  <c r="BL25" i="100"/>
  <c r="BK25" i="100"/>
  <c r="BJ25" i="100"/>
  <c r="BI25" i="100"/>
  <c r="AW25" i="100"/>
  <c r="AV25" i="100"/>
  <c r="AU25" i="100"/>
  <c r="AT25" i="100"/>
  <c r="Z25" i="100"/>
  <c r="Y25" i="100"/>
  <c r="X25" i="100"/>
  <c r="W25" i="100"/>
  <c r="I25" i="100"/>
  <c r="BT24" i="100"/>
  <c r="BP24" i="100"/>
  <c r="BL24" i="100"/>
  <c r="BK24" i="100"/>
  <c r="BJ24" i="100"/>
  <c r="BI24" i="100"/>
  <c r="AW24" i="100"/>
  <c r="AV24" i="100"/>
  <c r="AU24" i="100"/>
  <c r="AT24" i="100"/>
  <c r="AG24" i="100"/>
  <c r="AF24" i="100"/>
  <c r="AE24" i="100"/>
  <c r="AD24" i="100"/>
  <c r="F24" i="100"/>
  <c r="BT23" i="100"/>
  <c r="BL23" i="100"/>
  <c r="BK23" i="100"/>
  <c r="BJ23" i="100"/>
  <c r="BI23" i="100"/>
  <c r="AW23" i="100"/>
  <c r="AV23" i="100"/>
  <c r="AU23" i="100"/>
  <c r="AT23" i="100"/>
  <c r="AG23" i="100"/>
  <c r="AF23" i="100"/>
  <c r="AE23" i="100"/>
  <c r="AD23" i="100"/>
  <c r="S23" i="100"/>
  <c r="R23" i="100"/>
  <c r="Q23" i="100"/>
  <c r="P23" i="100"/>
  <c r="BT22" i="100"/>
  <c r="BP22" i="100"/>
  <c r="BL22" i="100"/>
  <c r="BK22" i="100"/>
  <c r="BJ22" i="100"/>
  <c r="BI22" i="100"/>
  <c r="AW22" i="100"/>
  <c r="AV22" i="100"/>
  <c r="AU22" i="100"/>
  <c r="AT22" i="100"/>
  <c r="AL22" i="100"/>
  <c r="S22" i="100"/>
  <c r="R22" i="100"/>
  <c r="Q22" i="100"/>
  <c r="P22" i="100"/>
  <c r="BT21" i="100"/>
  <c r="BL21" i="100"/>
  <c r="BK21" i="100"/>
  <c r="BJ21" i="100"/>
  <c r="BI21" i="100"/>
  <c r="AW21" i="100"/>
  <c r="AV21" i="100"/>
  <c r="AU21" i="100"/>
  <c r="AT21" i="100"/>
  <c r="AP21" i="100"/>
  <c r="AL21" i="100"/>
  <c r="S21" i="100"/>
  <c r="R21" i="100"/>
  <c r="Q21" i="100"/>
  <c r="P21" i="100"/>
  <c r="L21" i="100"/>
  <c r="K21" i="100"/>
  <c r="J21" i="100"/>
  <c r="I21" i="100"/>
  <c r="BT20" i="100"/>
  <c r="BP20" i="100"/>
  <c r="BL20" i="100"/>
  <c r="BK20" i="100"/>
  <c r="BJ20" i="100"/>
  <c r="BI20" i="100"/>
  <c r="BA20" i="100"/>
  <c r="BA22" i="100" s="1"/>
  <c r="BE23" i="100" s="1"/>
  <c r="AG20" i="100"/>
  <c r="AF20" i="100"/>
  <c r="AE20" i="100"/>
  <c r="AD20" i="100"/>
  <c r="Z20" i="100"/>
  <c r="Y20" i="100"/>
  <c r="X20" i="100"/>
  <c r="W20" i="100"/>
  <c r="L20" i="100"/>
  <c r="K20" i="100"/>
  <c r="J20" i="100"/>
  <c r="I20" i="100"/>
  <c r="BT19" i="100"/>
  <c r="BL19" i="100"/>
  <c r="BK19" i="100"/>
  <c r="BJ19" i="100"/>
  <c r="BI19" i="100"/>
  <c r="AU19" i="100"/>
  <c r="AL19" i="100"/>
  <c r="AG19" i="100"/>
  <c r="AF19" i="100"/>
  <c r="AE19" i="100"/>
  <c r="AD19" i="100"/>
  <c r="Q19" i="100"/>
  <c r="BT18" i="100"/>
  <c r="AV18" i="100"/>
  <c r="AV20" i="100" s="1"/>
  <c r="AT18" i="100"/>
  <c r="AT20" i="100" s="1"/>
  <c r="AL18" i="100"/>
  <c r="AL20" i="100" s="1"/>
  <c r="AL23" i="100" s="1"/>
  <c r="AG18" i="100"/>
  <c r="AF18" i="100"/>
  <c r="AE18" i="100"/>
  <c r="AD18" i="100"/>
  <c r="Z18" i="100"/>
  <c r="Y18" i="100"/>
  <c r="X18" i="100"/>
  <c r="W18" i="100"/>
  <c r="S18" i="100"/>
  <c r="R18" i="100"/>
  <c r="Q18" i="100"/>
  <c r="P18" i="100"/>
  <c r="S17" i="100"/>
  <c r="R17" i="100"/>
  <c r="Q17" i="100"/>
  <c r="P17" i="100"/>
  <c r="BC16" i="100"/>
  <c r="BB16" i="100"/>
  <c r="BA16" i="100"/>
  <c r="AD16" i="100"/>
  <c r="R16" i="100"/>
  <c r="B16" i="100"/>
  <c r="BP19" i="100" s="1"/>
  <c r="AD15" i="100"/>
  <c r="U15" i="100"/>
  <c r="H10" i="100" s="1"/>
  <c r="E15" i="100"/>
  <c r="BP14" i="100"/>
  <c r="AF14" i="100"/>
  <c r="P14" i="100"/>
  <c r="L14" i="100"/>
  <c r="K14" i="100"/>
  <c r="J14" i="100"/>
  <c r="I14" i="100"/>
  <c r="H14" i="100"/>
  <c r="BT13" i="100"/>
  <c r="P13" i="100"/>
  <c r="B13" i="100"/>
  <c r="BX12" i="100"/>
  <c r="BP12" i="100"/>
  <c r="BL12" i="100"/>
  <c r="BK12" i="100"/>
  <c r="BJ12" i="100"/>
  <c r="BI12" i="100"/>
  <c r="BC12" i="100"/>
  <c r="BC14" i="100" s="1"/>
  <c r="BB12" i="100"/>
  <c r="BB14" i="100" s="1"/>
  <c r="BA12" i="100"/>
  <c r="BA14" i="100" s="1"/>
  <c r="L12" i="100"/>
  <c r="K12" i="100"/>
  <c r="J12" i="100"/>
  <c r="I12" i="100"/>
  <c r="H12" i="100"/>
  <c r="B12" i="100"/>
  <c r="S5" i="100" s="1"/>
  <c r="BX11" i="100"/>
  <c r="BT11" i="100"/>
  <c r="BP11" i="100"/>
  <c r="AE11" i="100"/>
  <c r="Z11" i="100"/>
  <c r="Y11" i="100"/>
  <c r="X11" i="100"/>
  <c r="W11" i="100"/>
  <c r="BX10" i="100"/>
  <c r="BT10" i="100"/>
  <c r="BP10" i="100"/>
  <c r="AW10" i="100"/>
  <c r="AV10" i="100"/>
  <c r="AU10" i="100"/>
  <c r="AT10" i="100"/>
  <c r="AL10" i="100"/>
  <c r="AE10" i="100"/>
  <c r="Q10" i="100"/>
  <c r="L10" i="100"/>
  <c r="K10" i="100"/>
  <c r="J10" i="100"/>
  <c r="I10" i="100"/>
  <c r="B10" i="100"/>
  <c r="BX9" i="100"/>
  <c r="BT9" i="100"/>
  <c r="BP9" i="100"/>
  <c r="BL9" i="100"/>
  <c r="BK9" i="100"/>
  <c r="BJ9" i="100"/>
  <c r="BI9" i="100"/>
  <c r="Q9" i="100"/>
  <c r="BX8" i="100"/>
  <c r="BT8" i="100"/>
  <c r="BP8" i="100"/>
  <c r="BL8" i="100"/>
  <c r="BK8" i="100"/>
  <c r="BJ8" i="100"/>
  <c r="BI8" i="100"/>
  <c r="AG8" i="100"/>
  <c r="AF8" i="100"/>
  <c r="AE8" i="100"/>
  <c r="AD8" i="100"/>
  <c r="L8" i="100"/>
  <c r="K8" i="100"/>
  <c r="J8" i="100"/>
  <c r="I8" i="100"/>
  <c r="BX7" i="100"/>
  <c r="BT7" i="100"/>
  <c r="BP7" i="100"/>
  <c r="BL7" i="100"/>
  <c r="BK7" i="100"/>
  <c r="BJ7" i="100"/>
  <c r="BI7" i="100"/>
  <c r="BC7" i="100"/>
  <c r="BB7" i="100"/>
  <c r="BA7" i="100"/>
  <c r="AW7" i="100"/>
  <c r="AV7" i="100"/>
  <c r="AU7" i="100"/>
  <c r="AT7" i="100"/>
  <c r="AG7" i="100"/>
  <c r="AF7" i="100"/>
  <c r="AE7" i="100"/>
  <c r="AD7" i="100"/>
  <c r="S7" i="100"/>
  <c r="P7" i="100"/>
  <c r="BX6" i="100"/>
  <c r="BT6" i="100"/>
  <c r="BL6" i="100"/>
  <c r="BK6" i="100"/>
  <c r="BJ6" i="100"/>
  <c r="BI6" i="100"/>
  <c r="AW6" i="100"/>
  <c r="AV6" i="100"/>
  <c r="AU6" i="100"/>
  <c r="AT6" i="100"/>
  <c r="Z6" i="100"/>
  <c r="Y6" i="100"/>
  <c r="X6" i="100"/>
  <c r="W6" i="100"/>
  <c r="BX5" i="100"/>
  <c r="BT5" i="100"/>
  <c r="BP5" i="100"/>
  <c r="BL5" i="100"/>
  <c r="BK5" i="100"/>
  <c r="BJ5" i="100"/>
  <c r="BI5" i="100"/>
  <c r="BC5" i="100"/>
  <c r="BB5" i="100"/>
  <c r="BA5" i="100"/>
  <c r="AW5" i="100"/>
  <c r="AV5" i="100"/>
  <c r="AU5" i="100"/>
  <c r="AT5" i="100"/>
  <c r="AG5" i="100"/>
  <c r="AF5" i="100"/>
  <c r="AE5" i="100"/>
  <c r="AD5" i="100"/>
  <c r="R5" i="100"/>
  <c r="Q5" i="100"/>
  <c r="L5" i="100"/>
  <c r="L16" i="100" s="1"/>
  <c r="H5" i="100"/>
  <c r="BX4" i="100"/>
  <c r="BX14" i="100" s="1"/>
  <c r="BT4" i="100"/>
  <c r="BP4" i="100"/>
  <c r="BL4" i="100"/>
  <c r="BK4" i="100"/>
  <c r="BJ4" i="100"/>
  <c r="BI4" i="100"/>
  <c r="AP4" i="100"/>
  <c r="AO4" i="100"/>
  <c r="AN4" i="100"/>
  <c r="AM4" i="100"/>
  <c r="AL4" i="100"/>
  <c r="AD4" i="100"/>
  <c r="Z4" i="100"/>
  <c r="Y4" i="100"/>
  <c r="X4" i="100"/>
  <c r="W4" i="100"/>
  <c r="E4" i="100"/>
  <c r="AP29" i="100" s="1"/>
  <c r="BL3" i="100"/>
  <c r="BK3" i="100"/>
  <c r="BJ3" i="100"/>
  <c r="BI3" i="100"/>
  <c r="BC3" i="100"/>
  <c r="BC4" i="100" s="1"/>
  <c r="BB3" i="100"/>
  <c r="BB4" i="100" s="1"/>
  <c r="BA3" i="100"/>
  <c r="BA4" i="100" s="1"/>
  <c r="AW3" i="100"/>
  <c r="AV3" i="100"/>
  <c r="AU3" i="100"/>
  <c r="AT3" i="100"/>
  <c r="AP3" i="100"/>
  <c r="AP5" i="100" s="1"/>
  <c r="AG3" i="100"/>
  <c r="AG6" i="100" s="1"/>
  <c r="AG9" i="100" s="1"/>
  <c r="AF3" i="100"/>
  <c r="AF6" i="100" s="1"/>
  <c r="AE3" i="100"/>
  <c r="AE6" i="100" s="1"/>
  <c r="AE9" i="100" s="1"/>
  <c r="S3" i="100"/>
  <c r="R3" i="100"/>
  <c r="Q3" i="100"/>
  <c r="P3" i="100"/>
  <c r="H3" i="100"/>
  <c r="C3" i="100"/>
  <c r="BL2" i="100"/>
  <c r="BK2" i="100"/>
  <c r="BJ2" i="100"/>
  <c r="BI2" i="100"/>
  <c r="AV2" i="100"/>
  <c r="S2" i="100"/>
  <c r="R2" i="100"/>
  <c r="R4" i="100" s="1"/>
  <c r="R8" i="100" s="1"/>
  <c r="R20" i="100" s="1"/>
  <c r="R27" i="100" s="1"/>
  <c r="Q2" i="100"/>
  <c r="P2" i="100"/>
  <c r="U1" i="100"/>
  <c r="H8" i="100" s="1"/>
  <c r="B63" i="99"/>
  <c r="A63" i="99"/>
  <c r="B62" i="99"/>
  <c r="A49" i="99" s="1"/>
  <c r="C61" i="99"/>
  <c r="Z60" i="99"/>
  <c r="Y60" i="99"/>
  <c r="X60" i="99"/>
  <c r="W60" i="99"/>
  <c r="F58" i="99"/>
  <c r="Z57" i="99"/>
  <c r="Y57" i="99"/>
  <c r="X57" i="99"/>
  <c r="C57" i="99"/>
  <c r="Z54" i="99"/>
  <c r="Y54" i="99"/>
  <c r="X54" i="99"/>
  <c r="W54" i="99"/>
  <c r="Z53" i="99"/>
  <c r="Y53" i="99"/>
  <c r="X53" i="99"/>
  <c r="W53" i="99"/>
  <c r="X52" i="99"/>
  <c r="W52" i="99"/>
  <c r="AU51" i="99"/>
  <c r="AT51" i="99"/>
  <c r="AS51" i="99"/>
  <c r="AR51" i="99"/>
  <c r="Z51" i="99"/>
  <c r="Y51" i="99"/>
  <c r="X51" i="99"/>
  <c r="W51" i="99"/>
  <c r="BK50" i="99"/>
  <c r="Z50" i="99"/>
  <c r="Y50" i="99"/>
  <c r="X50" i="99"/>
  <c r="W50" i="99"/>
  <c r="Y49" i="99"/>
  <c r="F49" i="99"/>
  <c r="B49" i="99"/>
  <c r="BK48" i="99"/>
  <c r="AU48" i="99"/>
  <c r="AT48" i="99"/>
  <c r="AS48" i="99"/>
  <c r="AR48" i="99"/>
  <c r="AN48" i="99"/>
  <c r="AM48" i="99"/>
  <c r="AL48" i="99"/>
  <c r="AK48" i="99"/>
  <c r="Q49" i="99"/>
  <c r="N49" i="99"/>
  <c r="F48" i="99"/>
  <c r="AU47" i="99"/>
  <c r="AT47" i="99"/>
  <c r="AS47" i="99"/>
  <c r="AR47" i="99"/>
  <c r="AN47" i="99"/>
  <c r="AM47" i="99"/>
  <c r="AL47" i="99"/>
  <c r="AK47" i="99"/>
  <c r="Q48" i="99"/>
  <c r="N48" i="99"/>
  <c r="B47" i="99"/>
  <c r="BK46" i="99"/>
  <c r="AY46" i="99"/>
  <c r="AU46" i="99"/>
  <c r="AT46" i="99"/>
  <c r="AS46" i="99"/>
  <c r="AR46" i="99"/>
  <c r="F46" i="99"/>
  <c r="B46" i="99"/>
  <c r="BK45" i="99"/>
  <c r="BC45" i="99"/>
  <c r="AU45" i="99"/>
  <c r="AT45" i="99"/>
  <c r="AS45" i="99"/>
  <c r="AR45" i="99"/>
  <c r="AN45" i="99"/>
  <c r="AN46" i="99" s="1"/>
  <c r="AM45" i="99"/>
  <c r="AM46" i="99" s="1"/>
  <c r="AL45" i="99"/>
  <c r="AL46" i="99" s="1"/>
  <c r="AK45" i="99"/>
  <c r="AK46" i="99" s="1"/>
  <c r="BK44" i="99"/>
  <c r="AU44" i="99"/>
  <c r="AT44" i="99"/>
  <c r="AS44" i="99"/>
  <c r="AR44" i="99"/>
  <c r="W44" i="99"/>
  <c r="AY43" i="99"/>
  <c r="AU43" i="99"/>
  <c r="AT43" i="99"/>
  <c r="AS43" i="99"/>
  <c r="AR43" i="99"/>
  <c r="AG43" i="99"/>
  <c r="AF43" i="99"/>
  <c r="AE43" i="99"/>
  <c r="AD43" i="99"/>
  <c r="D43" i="99"/>
  <c r="E43" i="99" s="1"/>
  <c r="W57" i="99" s="1"/>
  <c r="A43" i="99"/>
  <c r="BC42" i="99"/>
  <c r="AY42" i="99"/>
  <c r="AT42" i="99"/>
  <c r="AR42" i="99"/>
  <c r="B42" i="99"/>
  <c r="BC41" i="99"/>
  <c r="AY41" i="99"/>
  <c r="AR41" i="99"/>
  <c r="I41" i="99"/>
  <c r="B41" i="99"/>
  <c r="W49" i="99" s="1"/>
  <c r="BK40" i="99"/>
  <c r="BG40" i="99"/>
  <c r="AU40" i="99"/>
  <c r="AT40" i="99"/>
  <c r="AS40" i="99"/>
  <c r="AR40" i="99"/>
  <c r="Z40" i="99"/>
  <c r="Y40" i="99"/>
  <c r="X40" i="99"/>
  <c r="W40" i="99"/>
  <c r="S41" i="99"/>
  <c r="R41" i="99"/>
  <c r="Q41" i="99"/>
  <c r="P41" i="99"/>
  <c r="C40" i="99"/>
  <c r="B40" i="99" s="1"/>
  <c r="BC39" i="99"/>
  <c r="AY39" i="99"/>
  <c r="AN39" i="99"/>
  <c r="AM39" i="99"/>
  <c r="AL39" i="99"/>
  <c r="AK39" i="99"/>
  <c r="BK38" i="99"/>
  <c r="BG38" i="99"/>
  <c r="BC38" i="99"/>
  <c r="AY38" i="99"/>
  <c r="AN38" i="99"/>
  <c r="AM38" i="99"/>
  <c r="AL38" i="99"/>
  <c r="AK38" i="99"/>
  <c r="A38" i="99"/>
  <c r="BG37" i="99"/>
  <c r="BC37" i="99"/>
  <c r="AY37" i="99"/>
  <c r="Z37" i="99"/>
  <c r="Y37" i="99"/>
  <c r="X37" i="99"/>
  <c r="W37" i="99"/>
  <c r="I37" i="99"/>
  <c r="E37" i="99"/>
  <c r="BK36" i="99"/>
  <c r="BG36" i="99"/>
  <c r="AN36" i="99"/>
  <c r="AN37" i="99" s="1"/>
  <c r="AM36" i="99"/>
  <c r="AM37" i="99" s="1"/>
  <c r="AL36" i="99"/>
  <c r="AL37" i="99" s="1"/>
  <c r="AK36" i="99"/>
  <c r="AK37" i="99" s="1"/>
  <c r="Z36" i="99"/>
  <c r="Y36" i="99"/>
  <c r="X36" i="99"/>
  <c r="W36" i="99"/>
  <c r="I36" i="99"/>
  <c r="F36" i="99"/>
  <c r="BK35" i="99"/>
  <c r="BC35" i="99"/>
  <c r="AY35" i="99"/>
  <c r="AG35" i="99"/>
  <c r="AF35" i="99"/>
  <c r="AE35" i="99"/>
  <c r="AD35" i="99"/>
  <c r="Z35" i="99"/>
  <c r="Y35" i="99"/>
  <c r="X35" i="99"/>
  <c r="W35" i="99"/>
  <c r="I35" i="99"/>
  <c r="B35" i="99"/>
  <c r="BK34" i="99"/>
  <c r="Z34" i="99"/>
  <c r="Y34" i="99"/>
  <c r="X34" i="99"/>
  <c r="W34" i="99"/>
  <c r="I34" i="99"/>
  <c r="I38" i="99" s="1"/>
  <c r="C33" i="99"/>
  <c r="B33" i="99"/>
  <c r="BG32" i="99"/>
  <c r="AU32" i="99"/>
  <c r="AT32" i="99"/>
  <c r="AS32" i="99"/>
  <c r="AR32" i="99"/>
  <c r="AG32" i="99"/>
  <c r="AF32" i="99"/>
  <c r="AE32" i="99"/>
  <c r="AD32" i="99"/>
  <c r="S33" i="99"/>
  <c r="R33" i="99"/>
  <c r="Q33" i="99"/>
  <c r="P33" i="99"/>
  <c r="E32" i="99"/>
  <c r="AG31" i="99"/>
  <c r="AF31" i="99"/>
  <c r="AE31" i="99"/>
  <c r="AD31" i="99"/>
  <c r="BK30" i="99"/>
  <c r="BG30" i="99"/>
  <c r="AG30" i="99"/>
  <c r="AF30" i="99"/>
  <c r="AE30" i="99"/>
  <c r="AD30" i="99"/>
  <c r="BG29" i="99"/>
  <c r="AU29" i="99"/>
  <c r="AT29" i="99"/>
  <c r="AS29" i="99"/>
  <c r="AR29" i="99"/>
  <c r="AN29" i="99"/>
  <c r="AM29" i="99"/>
  <c r="AL29" i="99"/>
  <c r="AK29" i="99"/>
  <c r="AG29" i="99"/>
  <c r="AF29" i="99"/>
  <c r="AE29" i="99"/>
  <c r="AD29" i="99"/>
  <c r="S29" i="99"/>
  <c r="S31" i="99" s="1"/>
  <c r="R29" i="99"/>
  <c r="R31" i="99" s="1"/>
  <c r="Q29" i="99"/>
  <c r="Q31" i="99" s="1"/>
  <c r="P29" i="99"/>
  <c r="P31" i="99" s="1"/>
  <c r="I29" i="99"/>
  <c r="BK28" i="99"/>
  <c r="BG28" i="99"/>
  <c r="AY28" i="99"/>
  <c r="AU28" i="99"/>
  <c r="AT28" i="99"/>
  <c r="AS28" i="99"/>
  <c r="AR28" i="99"/>
  <c r="AN28" i="99"/>
  <c r="AM28" i="99"/>
  <c r="AL28" i="99"/>
  <c r="AK28" i="99"/>
  <c r="AG28" i="99"/>
  <c r="AF28" i="99"/>
  <c r="AE28" i="99"/>
  <c r="AD28" i="99"/>
  <c r="S28" i="99"/>
  <c r="R28" i="99"/>
  <c r="Q28" i="99"/>
  <c r="P28" i="99"/>
  <c r="BC27" i="99"/>
  <c r="AU27" i="99"/>
  <c r="AT27" i="99"/>
  <c r="AS27" i="99"/>
  <c r="AR27" i="99"/>
  <c r="AG27" i="99"/>
  <c r="AF27" i="99"/>
  <c r="AE27" i="99"/>
  <c r="AD27" i="99"/>
  <c r="BK26" i="99"/>
  <c r="AU26" i="99"/>
  <c r="AT26" i="99"/>
  <c r="AS26" i="99"/>
  <c r="AR26" i="99"/>
  <c r="AN26" i="99"/>
  <c r="AN27" i="99" s="1"/>
  <c r="AM26" i="99"/>
  <c r="AM27" i="99" s="1"/>
  <c r="AL26" i="99"/>
  <c r="AL27" i="99" s="1"/>
  <c r="AK26" i="99"/>
  <c r="AK27" i="99" s="1"/>
  <c r="Z26" i="99"/>
  <c r="Y26" i="99"/>
  <c r="X26" i="99"/>
  <c r="W26" i="99"/>
  <c r="I26" i="99"/>
  <c r="BK25" i="99"/>
  <c r="AY25" i="99"/>
  <c r="AU25" i="99"/>
  <c r="AT25" i="99"/>
  <c r="AS25" i="99"/>
  <c r="AR25" i="99"/>
  <c r="AE25" i="99"/>
  <c r="Z25" i="99"/>
  <c r="Y25" i="99"/>
  <c r="X25" i="99"/>
  <c r="W25" i="99"/>
  <c r="I25" i="99"/>
  <c r="I27" i="99" s="1"/>
  <c r="BK24" i="99"/>
  <c r="BK27" i="99" s="1"/>
  <c r="BK29" i="99" s="1"/>
  <c r="BK31" i="99" s="1"/>
  <c r="BG24" i="99"/>
  <c r="BC24" i="99"/>
  <c r="AY24" i="99"/>
  <c r="AU24" i="99"/>
  <c r="AT24" i="99"/>
  <c r="AS24" i="99"/>
  <c r="AR24" i="99"/>
  <c r="AN24" i="99"/>
  <c r="AM24" i="99"/>
  <c r="AL24" i="99"/>
  <c r="AK24" i="99"/>
  <c r="AF24" i="99"/>
  <c r="AF26" i="99" s="1"/>
  <c r="AD24" i="99"/>
  <c r="AD26" i="99" s="1"/>
  <c r="S24" i="99"/>
  <c r="R24" i="99"/>
  <c r="Q24" i="99"/>
  <c r="P24" i="99"/>
  <c r="F24" i="99"/>
  <c r="E24" i="99"/>
  <c r="BC23" i="99"/>
  <c r="AU23" i="99"/>
  <c r="AT23" i="99"/>
  <c r="AS23" i="99"/>
  <c r="AR23" i="99"/>
  <c r="Z23" i="99"/>
  <c r="Z24" i="99" s="1"/>
  <c r="Y23" i="99"/>
  <c r="Y24" i="99" s="1"/>
  <c r="X23" i="99"/>
  <c r="X24" i="99" s="1"/>
  <c r="W23" i="99"/>
  <c r="W24" i="99" s="1"/>
  <c r="S23" i="99"/>
  <c r="R23" i="99"/>
  <c r="Q23" i="99"/>
  <c r="P23" i="99"/>
  <c r="D23" i="99"/>
  <c r="BG22" i="99"/>
  <c r="BC22" i="99"/>
  <c r="AY22" i="99"/>
  <c r="AU22" i="99"/>
  <c r="AT22" i="99"/>
  <c r="AS22" i="99"/>
  <c r="AR22" i="99"/>
  <c r="S22" i="99"/>
  <c r="Z32" i="99" s="1"/>
  <c r="R22" i="99"/>
  <c r="Y32" i="99" s="1"/>
  <c r="Q22" i="99"/>
  <c r="X32" i="99" s="1"/>
  <c r="P22" i="99"/>
  <c r="W32" i="99" s="1"/>
  <c r="E22" i="99"/>
  <c r="BG21" i="99"/>
  <c r="BC21" i="99"/>
  <c r="AU21" i="99"/>
  <c r="AT21" i="99"/>
  <c r="AS21" i="99"/>
  <c r="AR21" i="99"/>
  <c r="I21" i="99"/>
  <c r="BK20" i="99"/>
  <c r="BG20" i="99"/>
  <c r="BG23" i="99" s="1"/>
  <c r="BG25" i="99" s="1"/>
  <c r="BC20" i="99"/>
  <c r="AY20" i="99"/>
  <c r="Z20" i="99"/>
  <c r="Y20" i="99"/>
  <c r="X20" i="99"/>
  <c r="W20" i="99"/>
  <c r="Q20" i="99"/>
  <c r="I20" i="99"/>
  <c r="E20" i="99"/>
  <c r="BC19" i="99"/>
  <c r="AY19" i="99"/>
  <c r="AY21" i="99" s="1"/>
  <c r="Z19" i="99"/>
  <c r="Y19" i="99"/>
  <c r="X19" i="99"/>
  <c r="W19" i="99"/>
  <c r="S19" i="99"/>
  <c r="R19" i="99"/>
  <c r="Q19" i="99"/>
  <c r="P19" i="99"/>
  <c r="I19" i="99"/>
  <c r="I22" i="99" s="1"/>
  <c r="BK18" i="99"/>
  <c r="BC18" i="99"/>
  <c r="AG18" i="99"/>
  <c r="AF18" i="99"/>
  <c r="AE18" i="99"/>
  <c r="AD18" i="99"/>
  <c r="Z18" i="99"/>
  <c r="Y18" i="99"/>
  <c r="X18" i="99"/>
  <c r="W18" i="99"/>
  <c r="S18" i="99"/>
  <c r="R18" i="99"/>
  <c r="Q18" i="99"/>
  <c r="P18" i="99"/>
  <c r="AN17" i="99"/>
  <c r="AM17" i="99"/>
  <c r="AL17" i="99"/>
  <c r="AK17" i="99"/>
  <c r="S17" i="99"/>
  <c r="R17" i="99"/>
  <c r="Q17" i="99"/>
  <c r="P17" i="99"/>
  <c r="BK16" i="99"/>
  <c r="BG16" i="99"/>
  <c r="AN16" i="99"/>
  <c r="AM16" i="99"/>
  <c r="AL16" i="99"/>
  <c r="AK16" i="99"/>
  <c r="W16" i="99"/>
  <c r="S16" i="99"/>
  <c r="R16" i="99"/>
  <c r="Q16" i="99"/>
  <c r="P16" i="99"/>
  <c r="I16" i="99"/>
  <c r="B16" i="99"/>
  <c r="BK15" i="99"/>
  <c r="W15" i="99"/>
  <c r="BK14" i="99"/>
  <c r="BG14" i="99"/>
  <c r="AY14" i="99"/>
  <c r="AU14" i="99"/>
  <c r="AT14" i="99"/>
  <c r="AS14" i="99"/>
  <c r="AR14" i="99"/>
  <c r="AN14" i="99"/>
  <c r="AN15" i="99" s="1"/>
  <c r="AM14" i="99"/>
  <c r="AM15" i="99" s="1"/>
  <c r="AL14" i="99"/>
  <c r="AL15" i="99" s="1"/>
  <c r="AK14" i="99"/>
  <c r="AK15" i="99" s="1"/>
  <c r="Y14" i="99"/>
  <c r="P14" i="99"/>
  <c r="BG13" i="99"/>
  <c r="BC13" i="99"/>
  <c r="AG13" i="99"/>
  <c r="AF13" i="99"/>
  <c r="AE13" i="99"/>
  <c r="AD13" i="99"/>
  <c r="X13" i="99"/>
  <c r="P13" i="99"/>
  <c r="Q47" i="99" s="1"/>
  <c r="Q50" i="99" s="1"/>
  <c r="B13" i="99"/>
  <c r="BO12" i="99"/>
  <c r="BG12" i="99"/>
  <c r="BG15" i="99" s="1"/>
  <c r="BG17" i="99" s="1"/>
  <c r="AN12" i="99"/>
  <c r="AM12" i="99"/>
  <c r="AL12" i="99"/>
  <c r="AK12" i="99"/>
  <c r="AG12" i="99"/>
  <c r="AF12" i="99"/>
  <c r="AE12" i="99"/>
  <c r="AD12" i="99"/>
  <c r="X12" i="99"/>
  <c r="L12" i="99"/>
  <c r="K12" i="99"/>
  <c r="J12" i="99"/>
  <c r="I12" i="99"/>
  <c r="B12" i="99"/>
  <c r="Z49" i="99" s="1"/>
  <c r="BO11" i="99"/>
  <c r="AY11" i="99"/>
  <c r="AU11" i="99"/>
  <c r="AT11" i="99"/>
  <c r="AS11" i="99"/>
  <c r="AR11" i="99"/>
  <c r="Q11" i="99"/>
  <c r="L11" i="99"/>
  <c r="K11" i="99"/>
  <c r="J11" i="99"/>
  <c r="I11" i="99"/>
  <c r="BO10" i="99"/>
  <c r="BK10" i="99"/>
  <c r="BC10" i="99"/>
  <c r="AY10" i="99"/>
  <c r="AU10" i="99"/>
  <c r="AT10" i="99"/>
  <c r="AS10" i="99"/>
  <c r="AR10" i="99"/>
  <c r="AG10" i="99"/>
  <c r="AF10" i="99"/>
  <c r="AE10" i="99"/>
  <c r="AD10" i="99"/>
  <c r="Z10" i="99"/>
  <c r="Y10" i="99"/>
  <c r="X10" i="99"/>
  <c r="W10" i="99"/>
  <c r="Q10" i="99"/>
  <c r="L10" i="99"/>
  <c r="K10" i="99"/>
  <c r="J10" i="99"/>
  <c r="I10" i="99"/>
  <c r="B10" i="99"/>
  <c r="BO9" i="99"/>
  <c r="BC9" i="99"/>
  <c r="AY9" i="99"/>
  <c r="AU9" i="99"/>
  <c r="AT9" i="99"/>
  <c r="AS9" i="99"/>
  <c r="AR9" i="99"/>
  <c r="AE9" i="99"/>
  <c r="AD9" i="99"/>
  <c r="Z9" i="99"/>
  <c r="Y9" i="99"/>
  <c r="X9" i="99"/>
  <c r="W9" i="99"/>
  <c r="L9" i="99"/>
  <c r="K9" i="99"/>
  <c r="J9" i="99"/>
  <c r="I9" i="99"/>
  <c r="BO8" i="99"/>
  <c r="BK8" i="99"/>
  <c r="BG8" i="99"/>
  <c r="BC8" i="99"/>
  <c r="AY8" i="99"/>
  <c r="AU8" i="99"/>
  <c r="AT8" i="99"/>
  <c r="AS8" i="99"/>
  <c r="AR8" i="99"/>
  <c r="AF8" i="99"/>
  <c r="AD8" i="99"/>
  <c r="S8" i="99"/>
  <c r="P8" i="99"/>
  <c r="L8" i="99"/>
  <c r="L13" i="99" s="1"/>
  <c r="K8" i="99"/>
  <c r="J8" i="99"/>
  <c r="I8" i="99"/>
  <c r="I13" i="99" s="1"/>
  <c r="E8" i="99"/>
  <c r="BO7" i="99"/>
  <c r="BC7" i="99"/>
  <c r="AY7" i="99"/>
  <c r="AU7" i="99"/>
  <c r="AT7" i="99"/>
  <c r="AS7" i="99"/>
  <c r="AR7" i="99"/>
  <c r="BO6" i="99"/>
  <c r="BK6" i="99"/>
  <c r="BG6" i="99"/>
  <c r="BC6" i="99"/>
  <c r="AU6" i="99"/>
  <c r="AT6" i="99"/>
  <c r="AS6" i="99"/>
  <c r="AR6" i="99"/>
  <c r="AD6" i="99"/>
  <c r="W6" i="99"/>
  <c r="P6" i="99"/>
  <c r="BO5" i="99"/>
  <c r="BK5" i="99"/>
  <c r="BG5" i="99"/>
  <c r="BC5" i="99"/>
  <c r="AY5" i="99"/>
  <c r="AU5" i="99"/>
  <c r="AT5" i="99"/>
  <c r="AS5" i="99"/>
  <c r="AR5" i="99"/>
  <c r="AG5" i="99"/>
  <c r="AF5" i="99"/>
  <c r="AE5" i="99"/>
  <c r="AD5" i="99"/>
  <c r="Z5" i="99"/>
  <c r="Y5" i="99"/>
  <c r="X5" i="99"/>
  <c r="S5" i="99"/>
  <c r="AN5" i="99" s="1"/>
  <c r="R5" i="99"/>
  <c r="AM5" i="99" s="1"/>
  <c r="Q5" i="99"/>
  <c r="AL5" i="99" s="1"/>
  <c r="L5" i="99"/>
  <c r="E5" i="99"/>
  <c r="BO4" i="99"/>
  <c r="BK4" i="99"/>
  <c r="BK7" i="99" s="1"/>
  <c r="BK9" i="99" s="1"/>
  <c r="BK11" i="99" s="1"/>
  <c r="BG4" i="99"/>
  <c r="BC4" i="99"/>
  <c r="AY4" i="99"/>
  <c r="AY6" i="99" s="1"/>
  <c r="AU4" i="99"/>
  <c r="AT4" i="99"/>
  <c r="AS4" i="99"/>
  <c r="AR4" i="99"/>
  <c r="AU3" i="99"/>
  <c r="AT3" i="99"/>
  <c r="AS3" i="99"/>
  <c r="AR3" i="99"/>
  <c r="AN3" i="99"/>
  <c r="AM3" i="99"/>
  <c r="AL3" i="99"/>
  <c r="AK3" i="99"/>
  <c r="AG3" i="99"/>
  <c r="AF3" i="99"/>
  <c r="AE3" i="99"/>
  <c r="AD3" i="99"/>
  <c r="Z3" i="99"/>
  <c r="Y3" i="99"/>
  <c r="X3" i="99"/>
  <c r="W3" i="99"/>
  <c r="S3" i="99"/>
  <c r="R3" i="99"/>
  <c r="Q3" i="99"/>
  <c r="P3" i="99"/>
  <c r="H3" i="99"/>
  <c r="C3" i="99"/>
  <c r="AN2" i="99"/>
  <c r="AN4" i="99" s="1"/>
  <c r="AN7" i="99" s="1"/>
  <c r="AM2" i="99"/>
  <c r="AM4" i="99" s="1"/>
  <c r="AM7" i="99" s="1"/>
  <c r="AL2" i="99"/>
  <c r="AL4" i="99" s="1"/>
  <c r="AL7" i="99" s="1"/>
  <c r="AK2" i="99"/>
  <c r="AK4" i="99" s="1"/>
  <c r="AG2" i="99"/>
  <c r="AG4" i="99" s="1"/>
  <c r="AF2" i="99"/>
  <c r="AF4" i="99" s="1"/>
  <c r="AE2" i="99"/>
  <c r="AE4" i="99" s="1"/>
  <c r="AE7" i="99" s="1"/>
  <c r="AE11" i="99" s="1"/>
  <c r="AE16" i="99" s="1"/>
  <c r="AD2" i="99"/>
  <c r="AD4" i="99" s="1"/>
  <c r="Z2" i="99"/>
  <c r="Z4" i="99" s="1"/>
  <c r="Y2" i="99"/>
  <c r="Y4" i="99" s="1"/>
  <c r="Y8" i="99" s="1"/>
  <c r="Y11" i="99" s="1"/>
  <c r="X2" i="99"/>
  <c r="X4" i="99" s="1"/>
  <c r="W2" i="99"/>
  <c r="W4" i="99" s="1"/>
  <c r="S2" i="99"/>
  <c r="S4" i="99" s="1"/>
  <c r="S9" i="99" s="1"/>
  <c r="S21" i="99" s="1"/>
  <c r="S27" i="99" s="1"/>
  <c r="R2" i="99"/>
  <c r="R4" i="99" s="1"/>
  <c r="R9" i="99" s="1"/>
  <c r="Q2" i="99"/>
  <c r="Q4" i="99" s="1"/>
  <c r="Q9" i="99" s="1"/>
  <c r="Q21" i="99" s="1"/>
  <c r="Q27" i="99" s="1"/>
  <c r="P2" i="99"/>
  <c r="P4" i="99" s="1"/>
  <c r="AF14" i="61"/>
  <c r="AF14" i="63"/>
  <c r="AF14" i="64"/>
  <c r="AF14" i="65"/>
  <c r="AF14" i="24"/>
  <c r="AF14" i="69"/>
  <c r="AF14" i="30"/>
  <c r="AF14" i="37"/>
  <c r="AF14" i="43"/>
  <c r="AF14" i="49"/>
  <c r="AF14" i="55"/>
  <c r="AF14" i="77"/>
  <c r="AF14" i="84"/>
  <c r="AF14" i="11"/>
  <c r="AP3" i="18"/>
  <c r="AF14" i="18"/>
  <c r="AT42" i="62"/>
  <c r="AR42" i="62"/>
  <c r="AT42" i="23"/>
  <c r="AR42" i="23"/>
  <c r="AT42" i="68"/>
  <c r="AR42" i="68"/>
  <c r="AT42" i="29"/>
  <c r="AR42" i="29"/>
  <c r="AT42" i="36"/>
  <c r="AR42" i="36"/>
  <c r="AT42" i="42"/>
  <c r="AR42" i="42"/>
  <c r="AT42" i="48"/>
  <c r="AR42" i="48"/>
  <c r="AT42" i="54"/>
  <c r="AR42" i="54"/>
  <c r="AT42" i="76"/>
  <c r="AR42" i="76"/>
  <c r="AT42" i="83"/>
  <c r="AR42" i="83"/>
  <c r="AT42" i="60"/>
  <c r="AR42" i="60"/>
  <c r="AF8" i="62"/>
  <c r="AD8" i="62"/>
  <c r="AF8" i="23"/>
  <c r="AD8" i="23"/>
  <c r="AF8" i="68"/>
  <c r="AD8" i="68"/>
  <c r="AF8" i="29"/>
  <c r="AD8" i="29"/>
  <c r="AF8" i="36"/>
  <c r="AD8" i="36"/>
  <c r="AF8" i="42"/>
  <c r="AD8" i="42"/>
  <c r="AF8" i="48"/>
  <c r="AD8" i="48"/>
  <c r="AF8" i="54"/>
  <c r="AD8" i="54"/>
  <c r="AF8" i="76"/>
  <c r="AD8" i="76"/>
  <c r="AF8" i="83"/>
  <c r="AD8" i="83"/>
  <c r="AF8" i="60"/>
  <c r="AD8" i="60"/>
  <c r="Y14" i="62"/>
  <c r="Y14" i="23"/>
  <c r="Y14" i="68"/>
  <c r="Y14" i="29"/>
  <c r="Y14" i="36"/>
  <c r="Y14" i="42"/>
  <c r="Y14" i="48"/>
  <c r="Y14" i="54"/>
  <c r="Y14" i="76"/>
  <c r="Y14" i="83"/>
  <c r="Y14" i="60"/>
  <c r="AT42" i="9"/>
  <c r="AF8" i="9"/>
  <c r="Y14" i="9"/>
  <c r="S28" i="63"/>
  <c r="Q28" i="63"/>
  <c r="P28" i="63"/>
  <c r="S28" i="61"/>
  <c r="Q28" i="61"/>
  <c r="P28" i="61"/>
  <c r="S28" i="62"/>
  <c r="R28" i="62"/>
  <c r="Q28" i="62"/>
  <c r="P28" i="62"/>
  <c r="S28" i="23"/>
  <c r="R28" i="23"/>
  <c r="Q28" i="23"/>
  <c r="P28" i="23"/>
  <c r="S28" i="68"/>
  <c r="R28" i="68"/>
  <c r="Q28" i="68"/>
  <c r="P28" i="68"/>
  <c r="S28" i="60"/>
  <c r="R28" i="60"/>
  <c r="Q28" i="60"/>
  <c r="P28" i="60"/>
  <c r="S28" i="11"/>
  <c r="Q28" i="11"/>
  <c r="P28" i="11"/>
  <c r="U43" i="61"/>
  <c r="U43" i="63"/>
  <c r="H14" i="63" s="1"/>
  <c r="U43" i="64"/>
  <c r="H14" i="64" s="1"/>
  <c r="U43" i="65"/>
  <c r="U43" i="24"/>
  <c r="H14" i="24" s="1"/>
  <c r="U43" i="69"/>
  <c r="H14" i="69" s="1"/>
  <c r="U43" i="30"/>
  <c r="U43" i="37"/>
  <c r="H14" i="37" s="1"/>
  <c r="U43" i="43"/>
  <c r="H14" i="43" s="1"/>
  <c r="U43" i="49"/>
  <c r="U43" i="55"/>
  <c r="U43" i="77"/>
  <c r="H14" i="77" s="1"/>
  <c r="U43" i="84"/>
  <c r="U43" i="11"/>
  <c r="U29" i="61"/>
  <c r="H12" i="61" s="1"/>
  <c r="U29" i="63"/>
  <c r="U29" i="64"/>
  <c r="U29" i="65"/>
  <c r="H12" i="65" s="1"/>
  <c r="U29" i="24"/>
  <c r="U29" i="69"/>
  <c r="U29" i="30"/>
  <c r="H12" i="30" s="1"/>
  <c r="U29" i="37"/>
  <c r="U29" i="43"/>
  <c r="U29" i="49"/>
  <c r="H12" i="49" s="1"/>
  <c r="U29" i="55"/>
  <c r="U29" i="77"/>
  <c r="U29" i="84"/>
  <c r="H12" i="84" s="1"/>
  <c r="U29" i="11"/>
  <c r="U15" i="61"/>
  <c r="U15" i="63"/>
  <c r="U15" i="64"/>
  <c r="U15" i="65"/>
  <c r="U15" i="24"/>
  <c r="U15" i="69"/>
  <c r="U15" i="30"/>
  <c r="U15" i="37"/>
  <c r="U15" i="43"/>
  <c r="U15" i="49"/>
  <c r="U15" i="55"/>
  <c r="U15" i="77"/>
  <c r="U15" i="84"/>
  <c r="U15" i="11"/>
  <c r="U1" i="61"/>
  <c r="U1" i="63"/>
  <c r="H8" i="63" s="1"/>
  <c r="U1" i="64"/>
  <c r="H8" i="64" s="1"/>
  <c r="U1" i="65"/>
  <c r="U1" i="24"/>
  <c r="H8" i="24" s="1"/>
  <c r="U1" i="69"/>
  <c r="H8" i="69" s="1"/>
  <c r="U1" i="30"/>
  <c r="U1" i="37"/>
  <c r="H8" i="37" s="1"/>
  <c r="U1" i="43"/>
  <c r="H8" i="43" s="1"/>
  <c r="U1" i="49"/>
  <c r="U1" i="55"/>
  <c r="H8" i="55" s="1"/>
  <c r="U1" i="77"/>
  <c r="H8" i="77" s="1"/>
  <c r="U1" i="84"/>
  <c r="U1" i="11"/>
  <c r="H8" i="11" s="1"/>
  <c r="H14" i="61"/>
  <c r="H10" i="61"/>
  <c r="H8" i="61"/>
  <c r="H12" i="63"/>
  <c r="H10" i="63"/>
  <c r="H12" i="64"/>
  <c r="H10" i="64"/>
  <c r="H14" i="65"/>
  <c r="H10" i="65"/>
  <c r="H8" i="65"/>
  <c r="H12" i="24"/>
  <c r="H10" i="24"/>
  <c r="H12" i="69"/>
  <c r="H10" i="69"/>
  <c r="H14" i="30"/>
  <c r="H10" i="30"/>
  <c r="H8" i="30"/>
  <c r="H12" i="37"/>
  <c r="H10" i="37"/>
  <c r="H12" i="43"/>
  <c r="H10" i="43"/>
  <c r="H14" i="49"/>
  <c r="H10" i="49"/>
  <c r="H8" i="49"/>
  <c r="H14" i="55"/>
  <c r="H12" i="55"/>
  <c r="H10" i="55"/>
  <c r="H12" i="77"/>
  <c r="H10" i="77"/>
  <c r="H14" i="84"/>
  <c r="H10" i="84"/>
  <c r="H8" i="84"/>
  <c r="H14" i="11"/>
  <c r="H12" i="11"/>
  <c r="H10" i="11"/>
  <c r="P32" i="18"/>
  <c r="R21" i="99" l="1"/>
  <c r="R27" i="99" s="1"/>
  <c r="X8" i="99"/>
  <c r="X11" i="99" s="1"/>
  <c r="AD7" i="99"/>
  <c r="AD11" i="99" s="1"/>
  <c r="AD16" i="99" s="1"/>
  <c r="AG7" i="99"/>
  <c r="AG11" i="99" s="1"/>
  <c r="AG16" i="99" s="1"/>
  <c r="BG7" i="99"/>
  <c r="BG9" i="99" s="1"/>
  <c r="K13" i="99"/>
  <c r="BK17" i="99"/>
  <c r="BK19" i="99" s="1"/>
  <c r="BK21" i="99" s="1"/>
  <c r="BG31" i="99"/>
  <c r="BG33" i="99" s="1"/>
  <c r="BK37" i="99"/>
  <c r="BK39" i="99" s="1"/>
  <c r="BK41" i="99" s="1"/>
  <c r="BC40" i="99"/>
  <c r="BG39" i="99"/>
  <c r="BG41" i="99" s="1"/>
  <c r="AR39" i="99"/>
  <c r="BK47" i="99"/>
  <c r="BK49" i="99" s="1"/>
  <c r="BK51" i="99" s="1"/>
  <c r="Q4" i="100"/>
  <c r="Q8" i="100" s="1"/>
  <c r="Q20" i="100" s="1"/>
  <c r="Q27" i="100" s="1"/>
  <c r="AV4" i="100"/>
  <c r="AV9" i="100" s="1"/>
  <c r="AV11" i="100" s="1"/>
  <c r="AF9" i="100"/>
  <c r="BT12" i="100"/>
  <c r="BT14" i="100" s="1"/>
  <c r="BP21" i="100"/>
  <c r="BP23" i="100" s="1"/>
  <c r="BP27" i="100" s="1"/>
  <c r="BP29" i="100" s="1"/>
  <c r="AD33" i="100"/>
  <c r="BG47" i="99"/>
  <c r="Z8" i="99"/>
  <c r="Z11" i="99" s="1"/>
  <c r="AF7" i="99"/>
  <c r="AF11" i="99" s="1"/>
  <c r="AF16" i="99" s="1"/>
  <c r="BO14" i="99"/>
  <c r="J13" i="99"/>
  <c r="I31" i="99" s="1"/>
  <c r="AY23" i="99"/>
  <c r="AY40" i="99"/>
  <c r="N50" i="99"/>
  <c r="P4" i="100"/>
  <c r="S4" i="100"/>
  <c r="S8" i="100" s="1"/>
  <c r="S20" i="100" s="1"/>
  <c r="S27" i="100" s="1"/>
  <c r="BP6" i="100"/>
  <c r="BP13" i="100" s="1"/>
  <c r="BP15" i="100" s="1"/>
  <c r="W45" i="100"/>
  <c r="W17" i="100"/>
  <c r="W3" i="100"/>
  <c r="X45" i="100"/>
  <c r="X17" i="100"/>
  <c r="X3" i="100"/>
  <c r="Y45" i="100"/>
  <c r="Y17" i="100"/>
  <c r="Y3" i="100"/>
  <c r="Z45" i="100"/>
  <c r="Z17" i="100"/>
  <c r="Z3" i="100"/>
  <c r="BT26" i="100"/>
  <c r="BT28" i="100" s="1"/>
  <c r="P30" i="100"/>
  <c r="Q30" i="100"/>
  <c r="R30" i="100"/>
  <c r="S30" i="100"/>
  <c r="BA36" i="100"/>
  <c r="BA38" i="100" s="1"/>
  <c r="BP40" i="100"/>
  <c r="BP45" i="100" s="1"/>
  <c r="BP47" i="100" s="1"/>
  <c r="BT40" i="100"/>
  <c r="BT43" i="100" s="1"/>
  <c r="BT45" i="100" s="1"/>
  <c r="W39" i="100"/>
  <c r="X39" i="100"/>
  <c r="Y39" i="100"/>
  <c r="Z39" i="100"/>
  <c r="W53" i="100"/>
  <c r="X53" i="100"/>
  <c r="Y53" i="100"/>
  <c r="I38" i="100"/>
  <c r="AL44" i="99"/>
  <c r="AL49" i="99" s="1"/>
  <c r="AL35" i="99"/>
  <c r="AL40" i="99" s="1"/>
  <c r="AL23" i="99"/>
  <c r="AL25" i="99" s="1"/>
  <c r="AL11" i="99"/>
  <c r="AL13" i="99" s="1"/>
  <c r="AM44" i="99"/>
  <c r="AM49" i="99" s="1"/>
  <c r="AM35" i="99"/>
  <c r="AM40" i="99" s="1"/>
  <c r="AM23" i="99"/>
  <c r="AM25" i="99" s="1"/>
  <c r="AM11" i="99"/>
  <c r="AM13" i="99" s="1"/>
  <c r="AN44" i="99"/>
  <c r="AN49" i="99" s="1"/>
  <c r="AN35" i="99"/>
  <c r="AN40" i="99" s="1"/>
  <c r="AN23" i="99"/>
  <c r="AN25" i="99" s="1"/>
  <c r="AN11" i="99"/>
  <c r="AN13" i="99" s="1"/>
  <c r="Z55" i="99"/>
  <c r="Y55" i="99"/>
  <c r="X55" i="99"/>
  <c r="W55" i="99"/>
  <c r="AU49" i="99"/>
  <c r="AT49" i="99"/>
  <c r="AS49" i="99"/>
  <c r="AR49" i="99"/>
  <c r="AY44" i="99"/>
  <c r="BC43" i="99"/>
  <c r="Z38" i="99"/>
  <c r="Y38" i="99"/>
  <c r="X38" i="99"/>
  <c r="W38" i="99"/>
  <c r="AG33" i="99"/>
  <c r="AF33" i="99"/>
  <c r="AE33" i="99"/>
  <c r="AD33" i="99"/>
  <c r="AU30" i="99"/>
  <c r="AT30" i="99"/>
  <c r="AS30" i="99"/>
  <c r="AR30" i="99"/>
  <c r="AY26" i="99"/>
  <c r="AY27" i="99" s="1"/>
  <c r="AY29" i="99" s="1"/>
  <c r="BC25" i="99"/>
  <c r="S25" i="99"/>
  <c r="R25" i="99"/>
  <c r="Q25" i="99"/>
  <c r="P25" i="99"/>
  <c r="Z21" i="99"/>
  <c r="Z22" i="99" s="1"/>
  <c r="Z27" i="99" s="1"/>
  <c r="Y21" i="99"/>
  <c r="X21" i="99"/>
  <c r="W21" i="99"/>
  <c r="AG14" i="99"/>
  <c r="AF14" i="99"/>
  <c r="AE14" i="99"/>
  <c r="AD14" i="99"/>
  <c r="AY12" i="99"/>
  <c r="AU12" i="99"/>
  <c r="AU13" i="99" s="1"/>
  <c r="AU15" i="99" s="1"/>
  <c r="AT12" i="99"/>
  <c r="AS12" i="99"/>
  <c r="AR12" i="99"/>
  <c r="AR13" i="99" s="1"/>
  <c r="AR15" i="99" s="1"/>
  <c r="BC11" i="99"/>
  <c r="X22" i="99"/>
  <c r="X27" i="99" s="1"/>
  <c r="Y22" i="99"/>
  <c r="Y27" i="99" s="1"/>
  <c r="AS13" i="99"/>
  <c r="AS15" i="99" s="1"/>
  <c r="AT13" i="99"/>
  <c r="AT15" i="99" s="1"/>
  <c r="AY13" i="99"/>
  <c r="AY15" i="99" s="1"/>
  <c r="BC12" i="99"/>
  <c r="BC14" i="99" s="1"/>
  <c r="AL18" i="99"/>
  <c r="AM18" i="99"/>
  <c r="AN18" i="99"/>
  <c r="AD15" i="99"/>
  <c r="AD17" i="99" s="1"/>
  <c r="AD19" i="99" s="1"/>
  <c r="AE15" i="99"/>
  <c r="AE17" i="99" s="1"/>
  <c r="AE19" i="99" s="1"/>
  <c r="AF15" i="99"/>
  <c r="AF17" i="99" s="1"/>
  <c r="AF19" i="99" s="1"/>
  <c r="AG15" i="99"/>
  <c r="AG17" i="99" s="1"/>
  <c r="AG19" i="99" s="1"/>
  <c r="BC26" i="99"/>
  <c r="BC28" i="99" s="1"/>
  <c r="AD34" i="99"/>
  <c r="AD36" i="99" s="1"/>
  <c r="AF34" i="99"/>
  <c r="AF36" i="99" s="1"/>
  <c r="Q52" i="99"/>
  <c r="R50" i="99"/>
  <c r="X49" i="99"/>
  <c r="X56" i="99" s="1"/>
  <c r="X59" i="99" s="1"/>
  <c r="X61" i="99" s="1"/>
  <c r="AS39" i="99"/>
  <c r="AS50" i="99" s="1"/>
  <c r="AS52" i="99" s="1"/>
  <c r="P34" i="99"/>
  <c r="W31" i="99"/>
  <c r="W33" i="99" s="1"/>
  <c r="W39" i="99" s="1"/>
  <c r="Q34" i="99"/>
  <c r="X31" i="99"/>
  <c r="X33" i="99" s="1"/>
  <c r="X39" i="99" s="1"/>
  <c r="X41" i="99" s="1"/>
  <c r="R34" i="99"/>
  <c r="Y31" i="99"/>
  <c r="Y33" i="99" s="1"/>
  <c r="Y39" i="99" s="1"/>
  <c r="Y41" i="99" s="1"/>
  <c r="S34" i="99"/>
  <c r="Z31" i="99"/>
  <c r="Z33" i="99" s="1"/>
  <c r="Z39" i="99" s="1"/>
  <c r="Z41" i="99" s="1"/>
  <c r="N52" i="99"/>
  <c r="O50" i="99"/>
  <c r="AD38" i="100"/>
  <c r="AH36" i="100"/>
  <c r="AH37" i="100" s="1"/>
  <c r="AH39" i="100" s="1"/>
  <c r="BL27" i="100"/>
  <c r="BL28" i="100" s="1"/>
  <c r="BL30" i="100" s="1"/>
  <c r="BK27" i="100"/>
  <c r="BK28" i="100" s="1"/>
  <c r="BK30" i="100" s="1"/>
  <c r="BJ27" i="100"/>
  <c r="BJ28" i="100" s="1"/>
  <c r="BJ30" i="100" s="1"/>
  <c r="BI27" i="100"/>
  <c r="BI28" i="100" s="1"/>
  <c r="BI30" i="100" s="1"/>
  <c r="AW27" i="100"/>
  <c r="AV27" i="100"/>
  <c r="AU27" i="100"/>
  <c r="AT27" i="100"/>
  <c r="BP26" i="100"/>
  <c r="S24" i="100"/>
  <c r="S25" i="100" s="1"/>
  <c r="S28" i="100" s="1"/>
  <c r="R24" i="100"/>
  <c r="R25" i="100" s="1"/>
  <c r="Q24" i="100"/>
  <c r="Q25" i="100" s="1"/>
  <c r="Q28" i="100" s="1"/>
  <c r="P24" i="100"/>
  <c r="P25" i="100" s="1"/>
  <c r="AG21" i="100"/>
  <c r="AF21" i="100"/>
  <c r="AE21" i="100"/>
  <c r="AD21" i="100"/>
  <c r="BL10" i="100"/>
  <c r="BK10" i="100"/>
  <c r="BJ10" i="100"/>
  <c r="BJ11" i="100" s="1"/>
  <c r="BJ13" i="100" s="1"/>
  <c r="BI10" i="100"/>
  <c r="AW8" i="100"/>
  <c r="AV8" i="100"/>
  <c r="AU8" i="100"/>
  <c r="AT8" i="100"/>
  <c r="AP26" i="100"/>
  <c r="AP31" i="100" s="1"/>
  <c r="AL29" i="100" s="1"/>
  <c r="AP17" i="100"/>
  <c r="AD14" i="100"/>
  <c r="AD13" i="100"/>
  <c r="AD12" i="100"/>
  <c r="P12" i="100"/>
  <c r="P11" i="100"/>
  <c r="P6" i="100"/>
  <c r="P5" i="100"/>
  <c r="AD3" i="100"/>
  <c r="AD6" i="100" s="1"/>
  <c r="AD9" i="100" s="1"/>
  <c r="AD22" i="100" s="1"/>
  <c r="AD25" i="100" s="1"/>
  <c r="Z56" i="99"/>
  <c r="Z59" i="99" s="1"/>
  <c r="Z61" i="99" s="1"/>
  <c r="AL30" i="99"/>
  <c r="AM30" i="99"/>
  <c r="AN30" i="99"/>
  <c r="AR31" i="99"/>
  <c r="AR33" i="99" s="1"/>
  <c r="AS31" i="99"/>
  <c r="AS33" i="99" s="1"/>
  <c r="AT31" i="99"/>
  <c r="AT33" i="99" s="1"/>
  <c r="AU31" i="99"/>
  <c r="AU33" i="99" s="1"/>
  <c r="AE24" i="99"/>
  <c r="AE26" i="99" s="1"/>
  <c r="AE34" i="99" s="1"/>
  <c r="AE36" i="99" s="1"/>
  <c r="AG24" i="99"/>
  <c r="AG26" i="99" s="1"/>
  <c r="AG34" i="99" s="1"/>
  <c r="AG36" i="99" s="1"/>
  <c r="P26" i="99"/>
  <c r="Q26" i="99"/>
  <c r="R26" i="99"/>
  <c r="S26" i="99"/>
  <c r="P30" i="99"/>
  <c r="Q30" i="99"/>
  <c r="R30" i="99"/>
  <c r="S30" i="99"/>
  <c r="AY45" i="99"/>
  <c r="AY47" i="99" s="1"/>
  <c r="BC44" i="99"/>
  <c r="BC46" i="99" s="1"/>
  <c r="AR50" i="99"/>
  <c r="AR52" i="99" s="1"/>
  <c r="AT50" i="99"/>
  <c r="AT52" i="99" s="1"/>
  <c r="AU50" i="99"/>
  <c r="AU52" i="99" s="1"/>
  <c r="W56" i="99"/>
  <c r="W59" i="99" s="1"/>
  <c r="W61" i="99" s="1"/>
  <c r="Y56" i="99"/>
  <c r="Y59" i="99" s="1"/>
  <c r="Y61" i="99" s="1"/>
  <c r="P8" i="100"/>
  <c r="BI11" i="100"/>
  <c r="BI13" i="100" s="1"/>
  <c r="BK11" i="100"/>
  <c r="BK13" i="100" s="1"/>
  <c r="BL11" i="100"/>
  <c r="BL13" i="100" s="1"/>
  <c r="AE22" i="100"/>
  <c r="AE25" i="100" s="1"/>
  <c r="AF22" i="100"/>
  <c r="AF25" i="100" s="1"/>
  <c r="AG22" i="100"/>
  <c r="AG25" i="100" s="1"/>
  <c r="AT28" i="100"/>
  <c r="AT30" i="100" s="1"/>
  <c r="AV28" i="100"/>
  <c r="AV30" i="100" s="1"/>
  <c r="AD39" i="100"/>
  <c r="BA13" i="100"/>
  <c r="BB13" i="100"/>
  <c r="BC13" i="100"/>
  <c r="AP18" i="100"/>
  <c r="AP19" i="100" s="1"/>
  <c r="AP20" i="100"/>
  <c r="W31" i="100"/>
  <c r="X31" i="100"/>
  <c r="Y31" i="100"/>
  <c r="Z31" i="100"/>
  <c r="AC48" i="100"/>
  <c r="AG48" i="100"/>
  <c r="U43" i="18"/>
  <c r="U29" i="18"/>
  <c r="H12" i="18" s="1"/>
  <c r="H14" i="18"/>
  <c r="K2" i="95"/>
  <c r="K2" i="96"/>
  <c r="K2" i="98"/>
  <c r="K2" i="97"/>
  <c r="AU78" i="98"/>
  <c r="AT78" i="98"/>
  <c r="AS78" i="98"/>
  <c r="AR78" i="98"/>
  <c r="AQ78" i="98"/>
  <c r="AM78" i="98"/>
  <c r="AL78" i="98"/>
  <c r="AK78" i="98"/>
  <c r="AJ78" i="98"/>
  <c r="AI78" i="98"/>
  <c r="AE78" i="98"/>
  <c r="AD78" i="98"/>
  <c r="AC78" i="98"/>
  <c r="AB78" i="98"/>
  <c r="AA78" i="98"/>
  <c r="W78" i="98"/>
  <c r="V78" i="98"/>
  <c r="U78" i="98"/>
  <c r="T78" i="98"/>
  <c r="S78" i="98"/>
  <c r="AQ73" i="98"/>
  <c r="AI73" i="98"/>
  <c r="AA73" i="98"/>
  <c r="S73" i="98"/>
  <c r="AU66" i="98"/>
  <c r="AT66" i="98"/>
  <c r="AS66" i="98"/>
  <c r="AR66" i="98"/>
  <c r="AQ66" i="98"/>
  <c r="AM66" i="98"/>
  <c r="AL66" i="98"/>
  <c r="AK66" i="98"/>
  <c r="AJ66" i="98"/>
  <c r="AI66" i="98"/>
  <c r="AE66" i="98"/>
  <c r="AD66" i="98"/>
  <c r="AC66" i="98"/>
  <c r="AB66" i="98"/>
  <c r="AA66" i="98"/>
  <c r="W66" i="98"/>
  <c r="V66" i="98"/>
  <c r="U66" i="98"/>
  <c r="T66" i="98"/>
  <c r="S66" i="98"/>
  <c r="AU56" i="98"/>
  <c r="AT56" i="98"/>
  <c r="AS56" i="98"/>
  <c r="AR56" i="98"/>
  <c r="AQ56" i="98"/>
  <c r="AM56" i="98"/>
  <c r="AL56" i="98"/>
  <c r="AK56" i="98"/>
  <c r="AJ56" i="98"/>
  <c r="AI56" i="98"/>
  <c r="AE56" i="98"/>
  <c r="AD56" i="98"/>
  <c r="AC56" i="98"/>
  <c r="AB56" i="98"/>
  <c r="AA56" i="98"/>
  <c r="W56" i="98"/>
  <c r="V56" i="98"/>
  <c r="U56" i="98"/>
  <c r="T56" i="98"/>
  <c r="S56" i="98"/>
  <c r="AU52" i="98"/>
  <c r="AT52" i="98"/>
  <c r="AS52" i="98"/>
  <c r="AR52" i="98"/>
  <c r="AQ52" i="98"/>
  <c r="AM52" i="98"/>
  <c r="AL52" i="98"/>
  <c r="AK52" i="98"/>
  <c r="AJ52" i="98"/>
  <c r="AI52" i="98"/>
  <c r="AE52" i="98"/>
  <c r="AD52" i="98"/>
  <c r="AC52" i="98"/>
  <c r="AB52" i="98"/>
  <c r="AA52" i="98"/>
  <c r="W52" i="98"/>
  <c r="V52" i="98"/>
  <c r="U52" i="98"/>
  <c r="T52" i="98"/>
  <c r="S52" i="98"/>
  <c r="AU50" i="98"/>
  <c r="AT50" i="98"/>
  <c r="AS50" i="98"/>
  <c r="AR50" i="98"/>
  <c r="AQ50" i="98"/>
  <c r="AM50" i="98"/>
  <c r="AL50" i="98"/>
  <c r="AK50" i="98"/>
  <c r="AJ50" i="98"/>
  <c r="AI50" i="98"/>
  <c r="AE50" i="98"/>
  <c r="AD50" i="98"/>
  <c r="AC50" i="98"/>
  <c r="AB50" i="98"/>
  <c r="AA50" i="98"/>
  <c r="W50" i="98"/>
  <c r="V50" i="98"/>
  <c r="U50" i="98"/>
  <c r="T50" i="98"/>
  <c r="S50" i="98"/>
  <c r="AU49" i="98"/>
  <c r="AT49" i="98"/>
  <c r="AT53" i="98" s="1"/>
  <c r="AM49" i="98"/>
  <c r="AL49" i="98"/>
  <c r="AE49" i="98"/>
  <c r="AE53" i="98" s="1"/>
  <c r="AD49" i="98"/>
  <c r="AU48" i="98"/>
  <c r="AT48" i="98"/>
  <c r="AS48" i="98"/>
  <c r="AS49" i="98" s="1"/>
  <c r="AR48" i="98"/>
  <c r="AR49" i="98" s="1"/>
  <c r="AQ48" i="98"/>
  <c r="AQ49" i="98" s="1"/>
  <c r="AQ53" i="98" s="1"/>
  <c r="AM48" i="98"/>
  <c r="AL48" i="98"/>
  <c r="AK48" i="98"/>
  <c r="AK49" i="98" s="1"/>
  <c r="AK53" i="98" s="1"/>
  <c r="AJ48" i="98"/>
  <c r="AJ49" i="98" s="1"/>
  <c r="AI48" i="98"/>
  <c r="AI49" i="98" s="1"/>
  <c r="AE48" i="98"/>
  <c r="AD48" i="98"/>
  <c r="AC48" i="98"/>
  <c r="AC49" i="98" s="1"/>
  <c r="AB48" i="98"/>
  <c r="AB49" i="98" s="1"/>
  <c r="AB53" i="98" s="1"/>
  <c r="AA48" i="98"/>
  <c r="AA49" i="98" s="1"/>
  <c r="W48" i="98"/>
  <c r="V48" i="98"/>
  <c r="V53" i="98" s="1"/>
  <c r="U48" i="98"/>
  <c r="T48" i="98"/>
  <c r="S48" i="98"/>
  <c r="S53" i="98" s="1"/>
  <c r="O38" i="98"/>
  <c r="N38" i="98"/>
  <c r="M38" i="98"/>
  <c r="L38" i="98"/>
  <c r="I36" i="98"/>
  <c r="AU33" i="98"/>
  <c r="AT33" i="98"/>
  <c r="AS33" i="98"/>
  <c r="AR33" i="98"/>
  <c r="AQ33" i="98"/>
  <c r="AM33" i="98"/>
  <c r="AL33" i="98"/>
  <c r="AK33" i="98"/>
  <c r="AJ33" i="98"/>
  <c r="AI33" i="98"/>
  <c r="AE33" i="98"/>
  <c r="AD33" i="98"/>
  <c r="AC33" i="98"/>
  <c r="AB33" i="98"/>
  <c r="AA33" i="98"/>
  <c r="W33" i="98"/>
  <c r="V33" i="98"/>
  <c r="U33" i="98"/>
  <c r="T33" i="98"/>
  <c r="S33" i="98"/>
  <c r="O29" i="98"/>
  <c r="N29" i="98"/>
  <c r="M29" i="98"/>
  <c r="L29" i="98"/>
  <c r="I27" i="98"/>
  <c r="AQ28" i="98"/>
  <c r="AI28" i="98"/>
  <c r="AA28" i="98"/>
  <c r="S28" i="98"/>
  <c r="AU21" i="98"/>
  <c r="AT21" i="98"/>
  <c r="AS21" i="98"/>
  <c r="AR21" i="98"/>
  <c r="AQ21" i="98"/>
  <c r="AM21" i="98"/>
  <c r="AL21" i="98"/>
  <c r="AK21" i="98"/>
  <c r="AJ21" i="98"/>
  <c r="AI21" i="98"/>
  <c r="AE21" i="98"/>
  <c r="AD21" i="98"/>
  <c r="AC21" i="98"/>
  <c r="AB21" i="98"/>
  <c r="AA21" i="98"/>
  <c r="W21" i="98"/>
  <c r="V21" i="98"/>
  <c r="U21" i="98"/>
  <c r="T21" i="98"/>
  <c r="S21" i="98"/>
  <c r="O19" i="98"/>
  <c r="O18" i="98"/>
  <c r="I18" i="98"/>
  <c r="AT15" i="98" s="1"/>
  <c r="O17" i="98"/>
  <c r="O16" i="98"/>
  <c r="O15" i="98"/>
  <c r="O20" i="98" s="1"/>
  <c r="AS15" i="98"/>
  <c r="AM15" i="98"/>
  <c r="AJ15" i="98"/>
  <c r="AT13" i="98"/>
  <c r="AQ13" i="98"/>
  <c r="AK13" i="98"/>
  <c r="AU12" i="98"/>
  <c r="AT12" i="98"/>
  <c r="AS12" i="98"/>
  <c r="AR12" i="98"/>
  <c r="AQ12" i="98"/>
  <c r="AM12" i="98"/>
  <c r="AL12" i="98"/>
  <c r="AK12" i="98"/>
  <c r="AJ12" i="98"/>
  <c r="AI12" i="98"/>
  <c r="AE12" i="98"/>
  <c r="AD12" i="98"/>
  <c r="AC12" i="98"/>
  <c r="AB12" i="98"/>
  <c r="AA12" i="98"/>
  <c r="W12" i="98"/>
  <c r="V12" i="98"/>
  <c r="U12" i="98"/>
  <c r="T12" i="98"/>
  <c r="S12" i="98"/>
  <c r="O10" i="98"/>
  <c r="O9" i="98"/>
  <c r="I9" i="98"/>
  <c r="O8" i="98"/>
  <c r="O7" i="98"/>
  <c r="AU8" i="98"/>
  <c r="AT8" i="98"/>
  <c r="AS8" i="98"/>
  <c r="AR8" i="98"/>
  <c r="AQ8" i="98"/>
  <c r="AM8" i="98"/>
  <c r="AL8" i="98"/>
  <c r="AK8" i="98"/>
  <c r="AJ8" i="98"/>
  <c r="AI8" i="98"/>
  <c r="AE8" i="98"/>
  <c r="AD8" i="98"/>
  <c r="AC8" i="98"/>
  <c r="AB8" i="98"/>
  <c r="AA8" i="98"/>
  <c r="W8" i="98"/>
  <c r="V8" i="98"/>
  <c r="U8" i="98"/>
  <c r="T8" i="98"/>
  <c r="S8" i="98"/>
  <c r="O6" i="98"/>
  <c r="O11" i="98" s="1"/>
  <c r="AU5" i="98"/>
  <c r="AT5" i="98"/>
  <c r="AS5" i="98"/>
  <c r="AR5" i="98"/>
  <c r="AQ5" i="98"/>
  <c r="AM5" i="98"/>
  <c r="AL5" i="98"/>
  <c r="AK5" i="98"/>
  <c r="AJ5" i="98"/>
  <c r="AI5" i="98"/>
  <c r="AE5" i="98"/>
  <c r="AD5" i="98"/>
  <c r="AC5" i="98"/>
  <c r="AB5" i="98"/>
  <c r="AA5" i="98"/>
  <c r="W5" i="98"/>
  <c r="V5" i="98"/>
  <c r="U5" i="98"/>
  <c r="T5" i="98"/>
  <c r="S5" i="98"/>
  <c r="AM4" i="98"/>
  <c r="AL4" i="98"/>
  <c r="AK4" i="98"/>
  <c r="AJ4" i="98"/>
  <c r="AI4" i="98"/>
  <c r="W4" i="98"/>
  <c r="V4" i="98"/>
  <c r="U4" i="98"/>
  <c r="T4" i="98"/>
  <c r="S4" i="98"/>
  <c r="AU3" i="98"/>
  <c r="AU9" i="98" s="1"/>
  <c r="AT3" i="98"/>
  <c r="AT9" i="98" s="1"/>
  <c r="AS3" i="98"/>
  <c r="AS9" i="98" s="1"/>
  <c r="AR3" i="98"/>
  <c r="AR9" i="98" s="1"/>
  <c r="AQ3" i="98"/>
  <c r="AQ9" i="98" s="1"/>
  <c r="AM3" i="98"/>
  <c r="AM9" i="98" s="1"/>
  <c r="AL3" i="98"/>
  <c r="AL9" i="98" s="1"/>
  <c r="AK3" i="98"/>
  <c r="AK9" i="98" s="1"/>
  <c r="AJ3" i="98"/>
  <c r="AJ9" i="98" s="1"/>
  <c r="AI3" i="98"/>
  <c r="AI9" i="98" s="1"/>
  <c r="AE3" i="98"/>
  <c r="AE9" i="98" s="1"/>
  <c r="AD3" i="98"/>
  <c r="AD9" i="98" s="1"/>
  <c r="AC3" i="98"/>
  <c r="AC9" i="98" s="1"/>
  <c r="AB3" i="98"/>
  <c r="AB9" i="98" s="1"/>
  <c r="AA3" i="98"/>
  <c r="AA9" i="98" s="1"/>
  <c r="W3" i="98"/>
  <c r="V3" i="98"/>
  <c r="U3" i="98"/>
  <c r="U9" i="98" s="1"/>
  <c r="T3" i="98"/>
  <c r="S3" i="98"/>
  <c r="C3" i="98"/>
  <c r="K2" i="94"/>
  <c r="AU78" i="97"/>
  <c r="AT78" i="97"/>
  <c r="AS78" i="97"/>
  <c r="AR78" i="97"/>
  <c r="AQ78" i="97"/>
  <c r="AM78" i="97"/>
  <c r="AL78" i="97"/>
  <c r="AK78" i="97"/>
  <c r="AJ78" i="97"/>
  <c r="AI78" i="97"/>
  <c r="AE78" i="97"/>
  <c r="AD78" i="97"/>
  <c r="AC78" i="97"/>
  <c r="AB78" i="97"/>
  <c r="AA78" i="97"/>
  <c r="W78" i="97"/>
  <c r="V78" i="97"/>
  <c r="U78" i="97"/>
  <c r="T78" i="97"/>
  <c r="S78" i="97"/>
  <c r="AQ73" i="97"/>
  <c r="AI73" i="97"/>
  <c r="AA73" i="97"/>
  <c r="S73" i="97"/>
  <c r="AU66" i="97"/>
  <c r="AT66" i="97"/>
  <c r="AS66" i="97"/>
  <c r="AR66" i="97"/>
  <c r="AQ66" i="97"/>
  <c r="AM66" i="97"/>
  <c r="AL66" i="97"/>
  <c r="AK66" i="97"/>
  <c r="AJ66" i="97"/>
  <c r="AI66" i="97"/>
  <c r="AE66" i="97"/>
  <c r="AD66" i="97"/>
  <c r="AC66" i="97"/>
  <c r="AB66" i="97"/>
  <c r="AA66" i="97"/>
  <c r="W66" i="97"/>
  <c r="V66" i="97"/>
  <c r="U66" i="97"/>
  <c r="T66" i="97"/>
  <c r="S66" i="97"/>
  <c r="AU56" i="97"/>
  <c r="AT56" i="97"/>
  <c r="AS56" i="97"/>
  <c r="AR56" i="97"/>
  <c r="AQ56" i="97"/>
  <c r="AM56" i="97"/>
  <c r="AL56" i="97"/>
  <c r="AK56" i="97"/>
  <c r="AJ56" i="97"/>
  <c r="AI56" i="97"/>
  <c r="AE56" i="97"/>
  <c r="AD56" i="97"/>
  <c r="AC56" i="97"/>
  <c r="AB56" i="97"/>
  <c r="AA56" i="97"/>
  <c r="W56" i="97"/>
  <c r="V56" i="97"/>
  <c r="U56" i="97"/>
  <c r="T56" i="97"/>
  <c r="S56" i="97"/>
  <c r="AU52" i="97"/>
  <c r="AT52" i="97"/>
  <c r="AS52" i="97"/>
  <c r="AR52" i="97"/>
  <c r="AQ52" i="97"/>
  <c r="AM52" i="97"/>
  <c r="AL52" i="97"/>
  <c r="AK52" i="97"/>
  <c r="AJ52" i="97"/>
  <c r="AI52" i="97"/>
  <c r="AE52" i="97"/>
  <c r="AD52" i="97"/>
  <c r="AC52" i="97"/>
  <c r="AB52" i="97"/>
  <c r="AA52" i="97"/>
  <c r="W52" i="97"/>
  <c r="V52" i="97"/>
  <c r="U52" i="97"/>
  <c r="T52" i="97"/>
  <c r="S52" i="97"/>
  <c r="AU50" i="97"/>
  <c r="AT50" i="97"/>
  <c r="AS50" i="97"/>
  <c r="AR50" i="97"/>
  <c r="AQ50" i="97"/>
  <c r="AM50" i="97"/>
  <c r="AL50" i="97"/>
  <c r="AK50" i="97"/>
  <c r="AJ50" i="97"/>
  <c r="AI50" i="97"/>
  <c r="AE50" i="97"/>
  <c r="AD50" i="97"/>
  <c r="AC50" i="97"/>
  <c r="AB50" i="97"/>
  <c r="AA50" i="97"/>
  <c r="W50" i="97"/>
  <c r="V50" i="97"/>
  <c r="U50" i="97"/>
  <c r="T50" i="97"/>
  <c r="S50" i="97"/>
  <c r="AU49" i="97"/>
  <c r="AT49" i="97"/>
  <c r="AM49" i="97"/>
  <c r="AM53" i="97" s="1"/>
  <c r="AL49" i="97"/>
  <c r="AE49" i="97"/>
  <c r="AD49" i="97"/>
  <c r="AD53" i="97" s="1"/>
  <c r="AU48" i="97"/>
  <c r="AT48" i="97"/>
  <c r="AS48" i="97"/>
  <c r="AS49" i="97" s="1"/>
  <c r="AS53" i="97" s="1"/>
  <c r="AR48" i="97"/>
  <c r="AR49" i="97" s="1"/>
  <c r="AQ48" i="97"/>
  <c r="AQ49" i="97" s="1"/>
  <c r="AM48" i="97"/>
  <c r="AL48" i="97"/>
  <c r="AK48" i="97"/>
  <c r="AK49" i="97" s="1"/>
  <c r="AJ48" i="97"/>
  <c r="AJ49" i="97" s="1"/>
  <c r="AJ53" i="97" s="1"/>
  <c r="AI48" i="97"/>
  <c r="AI49" i="97" s="1"/>
  <c r="AE48" i="97"/>
  <c r="AD48" i="97"/>
  <c r="AC48" i="97"/>
  <c r="AC49" i="97" s="1"/>
  <c r="AB48" i="97"/>
  <c r="AB49" i="97" s="1"/>
  <c r="AA48" i="97"/>
  <c r="AA49" i="97" s="1"/>
  <c r="AA53" i="97" s="1"/>
  <c r="W48" i="97"/>
  <c r="V48" i="97"/>
  <c r="U48" i="97"/>
  <c r="U53" i="97" s="1"/>
  <c r="T48" i="97"/>
  <c r="S48" i="97"/>
  <c r="O38" i="97"/>
  <c r="N38" i="97"/>
  <c r="M38" i="97"/>
  <c r="L38" i="97"/>
  <c r="I36" i="97"/>
  <c r="AU33" i="97"/>
  <c r="AT33" i="97"/>
  <c r="AS33" i="97"/>
  <c r="AR33" i="97"/>
  <c r="AQ33" i="97"/>
  <c r="AM33" i="97"/>
  <c r="AL33" i="97"/>
  <c r="AK33" i="97"/>
  <c r="AJ33" i="97"/>
  <c r="AI33" i="97"/>
  <c r="AE33" i="97"/>
  <c r="AD33" i="97"/>
  <c r="AC33" i="97"/>
  <c r="AB33" i="97"/>
  <c r="AA33" i="97"/>
  <c r="W33" i="97"/>
  <c r="V33" i="97"/>
  <c r="U33" i="97"/>
  <c r="T33" i="97"/>
  <c r="S33" i="97"/>
  <c r="O29" i="97"/>
  <c r="N29" i="97"/>
  <c r="M29" i="97"/>
  <c r="L29" i="97"/>
  <c r="I27" i="97"/>
  <c r="AQ28" i="97"/>
  <c r="AI28" i="97"/>
  <c r="AA28" i="97"/>
  <c r="S28" i="97"/>
  <c r="AU21" i="97"/>
  <c r="AT21" i="97"/>
  <c r="AS21" i="97"/>
  <c r="AR21" i="97"/>
  <c r="AQ21" i="97"/>
  <c r="AM21" i="97"/>
  <c r="AL21" i="97"/>
  <c r="AK21" i="97"/>
  <c r="AJ21" i="97"/>
  <c r="AI21" i="97"/>
  <c r="AE21" i="97"/>
  <c r="AD21" i="97"/>
  <c r="AC21" i="97"/>
  <c r="AB21" i="97"/>
  <c r="AA21" i="97"/>
  <c r="W21" i="97"/>
  <c r="V21" i="97"/>
  <c r="U21" i="97"/>
  <c r="T21" i="97"/>
  <c r="S21" i="97"/>
  <c r="O19" i="97"/>
  <c r="O18" i="97"/>
  <c r="I18" i="97"/>
  <c r="AT15" i="97" s="1"/>
  <c r="O17" i="97"/>
  <c r="O16" i="97"/>
  <c r="O15" i="97"/>
  <c r="AU15" i="97"/>
  <c r="AS15" i="97"/>
  <c r="AR15" i="97"/>
  <c r="AM15" i="97"/>
  <c r="AL15" i="97"/>
  <c r="AJ15" i="97"/>
  <c r="AI15" i="97"/>
  <c r="AT13" i="97"/>
  <c r="AS13" i="97"/>
  <c r="AQ13" i="97"/>
  <c r="AM13" i="97"/>
  <c r="AK13" i="97"/>
  <c r="AJ13" i="97"/>
  <c r="AU12" i="97"/>
  <c r="AT12" i="97"/>
  <c r="AT14" i="97" s="1"/>
  <c r="AT16" i="97" s="1"/>
  <c r="AS12" i="97"/>
  <c r="AR12" i="97"/>
  <c r="AQ12" i="97"/>
  <c r="AQ14" i="97" s="1"/>
  <c r="AQ16" i="97" s="1"/>
  <c r="AM12" i="97"/>
  <c r="AL12" i="97"/>
  <c r="AK12" i="97"/>
  <c r="AK14" i="97" s="1"/>
  <c r="AK16" i="97" s="1"/>
  <c r="AJ12" i="97"/>
  <c r="AI12" i="97"/>
  <c r="AE12" i="97"/>
  <c r="AD12" i="97"/>
  <c r="AC12" i="97"/>
  <c r="AB12" i="97"/>
  <c r="AA12" i="97"/>
  <c r="W12" i="97"/>
  <c r="V12" i="97"/>
  <c r="U12" i="97"/>
  <c r="T12" i="97"/>
  <c r="S12" i="97"/>
  <c r="O10" i="97"/>
  <c r="O9" i="97"/>
  <c r="I9" i="97"/>
  <c r="O8" i="97"/>
  <c r="O7" i="97"/>
  <c r="AU8" i="97"/>
  <c r="AT8" i="97"/>
  <c r="AS8" i="97"/>
  <c r="AR8" i="97"/>
  <c r="AQ8" i="97"/>
  <c r="AM8" i="97"/>
  <c r="AL8" i="97"/>
  <c r="AK8" i="97"/>
  <c r="AJ8" i="97"/>
  <c r="AI8" i="97"/>
  <c r="AE8" i="97"/>
  <c r="AD8" i="97"/>
  <c r="AC8" i="97"/>
  <c r="AB8" i="97"/>
  <c r="AA8" i="97"/>
  <c r="W8" i="97"/>
  <c r="V8" i="97"/>
  <c r="U8" i="97"/>
  <c r="T8" i="97"/>
  <c r="S8" i="97"/>
  <c r="O6" i="97"/>
  <c r="O11" i="97" s="1"/>
  <c r="AU5" i="97"/>
  <c r="AT5" i="97"/>
  <c r="AS5" i="97"/>
  <c r="AR5" i="97"/>
  <c r="AQ5" i="97"/>
  <c r="AM5" i="97"/>
  <c r="AL5" i="97"/>
  <c r="AK5" i="97"/>
  <c r="AJ5" i="97"/>
  <c r="AI5" i="97"/>
  <c r="AE5" i="97"/>
  <c r="AD5" i="97"/>
  <c r="AC5" i="97"/>
  <c r="AB5" i="97"/>
  <c r="AA5" i="97"/>
  <c r="W5" i="97"/>
  <c r="V5" i="97"/>
  <c r="U5" i="97"/>
  <c r="T5" i="97"/>
  <c r="S5" i="97"/>
  <c r="AM4" i="97"/>
  <c r="AL4" i="97"/>
  <c r="AK4" i="97"/>
  <c r="AJ4" i="97"/>
  <c r="AI4" i="97"/>
  <c r="W4" i="97"/>
  <c r="V4" i="97"/>
  <c r="U4" i="97"/>
  <c r="T4" i="97"/>
  <c r="S4" i="97"/>
  <c r="AU3" i="97"/>
  <c r="AU9" i="97" s="1"/>
  <c r="AT3" i="97"/>
  <c r="AT9" i="97" s="1"/>
  <c r="AS3" i="97"/>
  <c r="AS9" i="97" s="1"/>
  <c r="AR3" i="97"/>
  <c r="AR9" i="97" s="1"/>
  <c r="AQ3" i="97"/>
  <c r="AQ9" i="97" s="1"/>
  <c r="AM3" i="97"/>
  <c r="AM9" i="97" s="1"/>
  <c r="AL3" i="97"/>
  <c r="AL9" i="97" s="1"/>
  <c r="AK3" i="97"/>
  <c r="AK9" i="97" s="1"/>
  <c r="AJ3" i="97"/>
  <c r="AJ9" i="97" s="1"/>
  <c r="AI3" i="97"/>
  <c r="AI9" i="97" s="1"/>
  <c r="AE3" i="97"/>
  <c r="AE9" i="97" s="1"/>
  <c r="AD3" i="97"/>
  <c r="AD9" i="97" s="1"/>
  <c r="AC3" i="97"/>
  <c r="AC9" i="97" s="1"/>
  <c r="AB3" i="97"/>
  <c r="AB9" i="97" s="1"/>
  <c r="AA3" i="97"/>
  <c r="AA9" i="97" s="1"/>
  <c r="W3" i="97"/>
  <c r="W9" i="97" s="1"/>
  <c r="V3" i="97"/>
  <c r="U3" i="97"/>
  <c r="T3" i="97"/>
  <c r="T9" i="97" s="1"/>
  <c r="S3" i="97"/>
  <c r="C3" i="97"/>
  <c r="AU78" i="96"/>
  <c r="AT78" i="96"/>
  <c r="AS78" i="96"/>
  <c r="AR78" i="96"/>
  <c r="AQ78" i="96"/>
  <c r="AM78" i="96"/>
  <c r="AL78" i="96"/>
  <c r="AK78" i="96"/>
  <c r="AJ78" i="96"/>
  <c r="AI78" i="96"/>
  <c r="AE78" i="96"/>
  <c r="AD78" i="96"/>
  <c r="AC78" i="96"/>
  <c r="AB78" i="96"/>
  <c r="AA78" i="96"/>
  <c r="W78" i="96"/>
  <c r="V78" i="96"/>
  <c r="U78" i="96"/>
  <c r="T78" i="96"/>
  <c r="S78" i="96"/>
  <c r="AQ73" i="96"/>
  <c r="AI73" i="96"/>
  <c r="AA73" i="96"/>
  <c r="S73" i="96"/>
  <c r="AU66" i="96"/>
  <c r="AT66" i="96"/>
  <c r="AS66" i="96"/>
  <c r="AR66" i="96"/>
  <c r="AQ66" i="96"/>
  <c r="AM66" i="96"/>
  <c r="AL66" i="96"/>
  <c r="AK66" i="96"/>
  <c r="AJ66" i="96"/>
  <c r="AI66" i="96"/>
  <c r="AE66" i="96"/>
  <c r="AD66" i="96"/>
  <c r="AC66" i="96"/>
  <c r="AB66" i="96"/>
  <c r="AA66" i="96"/>
  <c r="W66" i="96"/>
  <c r="V66" i="96"/>
  <c r="U66" i="96"/>
  <c r="T66" i="96"/>
  <c r="S66" i="96"/>
  <c r="AU56" i="96"/>
  <c r="AT56" i="96"/>
  <c r="AS56" i="96"/>
  <c r="AR56" i="96"/>
  <c r="AQ56" i="96"/>
  <c r="AM56" i="96"/>
  <c r="AL56" i="96"/>
  <c r="AK56" i="96"/>
  <c r="AJ56" i="96"/>
  <c r="AI56" i="96"/>
  <c r="AE56" i="96"/>
  <c r="AD56" i="96"/>
  <c r="AC56" i="96"/>
  <c r="AB56" i="96"/>
  <c r="AA56" i="96"/>
  <c r="W56" i="96"/>
  <c r="V56" i="96"/>
  <c r="U56" i="96"/>
  <c r="T56" i="96"/>
  <c r="S56" i="96"/>
  <c r="AU52" i="96"/>
  <c r="AT52" i="96"/>
  <c r="AS52" i="96"/>
  <c r="AR52" i="96"/>
  <c r="AQ52" i="96"/>
  <c r="AM52" i="96"/>
  <c r="AL52" i="96"/>
  <c r="AK52" i="96"/>
  <c r="AJ52" i="96"/>
  <c r="AI52" i="96"/>
  <c r="AE52" i="96"/>
  <c r="AD52" i="96"/>
  <c r="AC52" i="96"/>
  <c r="AB52" i="96"/>
  <c r="AA52" i="96"/>
  <c r="W52" i="96"/>
  <c r="V52" i="96"/>
  <c r="U52" i="96"/>
  <c r="T52" i="96"/>
  <c r="S52" i="96"/>
  <c r="AU50" i="96"/>
  <c r="AT50" i="96"/>
  <c r="AS50" i="96"/>
  <c r="AR50" i="96"/>
  <c r="AQ50" i="96"/>
  <c r="AM50" i="96"/>
  <c r="AL50" i="96"/>
  <c r="AK50" i="96"/>
  <c r="AJ50" i="96"/>
  <c r="AI50" i="96"/>
  <c r="AE50" i="96"/>
  <c r="AD50" i="96"/>
  <c r="AC50" i="96"/>
  <c r="AB50" i="96"/>
  <c r="AA50" i="96"/>
  <c r="W50" i="96"/>
  <c r="V50" i="96"/>
  <c r="U50" i="96"/>
  <c r="T50" i="96"/>
  <c r="S50" i="96"/>
  <c r="AU49" i="96"/>
  <c r="AT49" i="96"/>
  <c r="AT53" i="96" s="1"/>
  <c r="AM49" i="96"/>
  <c r="AL49" i="96"/>
  <c r="AE49" i="96"/>
  <c r="AE53" i="96" s="1"/>
  <c r="AD49" i="96"/>
  <c r="AU48" i="96"/>
  <c r="AT48" i="96"/>
  <c r="AS48" i="96"/>
  <c r="AS49" i="96" s="1"/>
  <c r="AR48" i="96"/>
  <c r="AR49" i="96" s="1"/>
  <c r="AQ48" i="96"/>
  <c r="AQ49" i="96" s="1"/>
  <c r="AQ53" i="96" s="1"/>
  <c r="AM48" i="96"/>
  <c r="AL48" i="96"/>
  <c r="AK48" i="96"/>
  <c r="AK49" i="96" s="1"/>
  <c r="AK53" i="96" s="1"/>
  <c r="AJ48" i="96"/>
  <c r="AJ49" i="96" s="1"/>
  <c r="AI48" i="96"/>
  <c r="AI49" i="96" s="1"/>
  <c r="AE48" i="96"/>
  <c r="AD48" i="96"/>
  <c r="AC48" i="96"/>
  <c r="AC49" i="96" s="1"/>
  <c r="AB48" i="96"/>
  <c r="AB49" i="96" s="1"/>
  <c r="AB53" i="96" s="1"/>
  <c r="AA48" i="96"/>
  <c r="AA49" i="96" s="1"/>
  <c r="W48" i="96"/>
  <c r="V48" i="96"/>
  <c r="V53" i="96" s="1"/>
  <c r="U48" i="96"/>
  <c r="T48" i="96"/>
  <c r="S48" i="96"/>
  <c r="S53" i="96" s="1"/>
  <c r="O38" i="96"/>
  <c r="N38" i="96"/>
  <c r="M38" i="96"/>
  <c r="L38" i="96"/>
  <c r="I36" i="96"/>
  <c r="AU33" i="96"/>
  <c r="AT33" i="96"/>
  <c r="AS33" i="96"/>
  <c r="AR33" i="96"/>
  <c r="AQ33" i="96"/>
  <c r="AM33" i="96"/>
  <c r="AL33" i="96"/>
  <c r="AK33" i="96"/>
  <c r="AJ33" i="96"/>
  <c r="AI33" i="96"/>
  <c r="AE33" i="96"/>
  <c r="AD33" i="96"/>
  <c r="AC33" i="96"/>
  <c r="AB33" i="96"/>
  <c r="AA33" i="96"/>
  <c r="W33" i="96"/>
  <c r="V33" i="96"/>
  <c r="U33" i="96"/>
  <c r="T33" i="96"/>
  <c r="S33" i="96"/>
  <c r="O29" i="96"/>
  <c r="N29" i="96"/>
  <c r="M29" i="96"/>
  <c r="L29" i="96"/>
  <c r="I27" i="96"/>
  <c r="AQ28" i="96"/>
  <c r="AI28" i="96"/>
  <c r="AA28" i="96"/>
  <c r="S28" i="96"/>
  <c r="AU21" i="96"/>
  <c r="AT21" i="96"/>
  <c r="AS21" i="96"/>
  <c r="AR21" i="96"/>
  <c r="AQ21" i="96"/>
  <c r="AM21" i="96"/>
  <c r="AL21" i="96"/>
  <c r="AK21" i="96"/>
  <c r="AJ21" i="96"/>
  <c r="AI21" i="96"/>
  <c r="AE21" i="96"/>
  <c r="AD21" i="96"/>
  <c r="AC21" i="96"/>
  <c r="AB21" i="96"/>
  <c r="AA21" i="96"/>
  <c r="W21" i="96"/>
  <c r="V21" i="96"/>
  <c r="U21" i="96"/>
  <c r="T21" i="96"/>
  <c r="S21" i="96"/>
  <c r="O19" i="96"/>
  <c r="O18" i="96"/>
  <c r="I18" i="96"/>
  <c r="AT15" i="96" s="1"/>
  <c r="O17" i="96"/>
  <c r="O16" i="96"/>
  <c r="O15" i="96"/>
  <c r="O20" i="96" s="1"/>
  <c r="AS15" i="96"/>
  <c r="AM15" i="96"/>
  <c r="AJ15" i="96"/>
  <c r="AT13" i="96"/>
  <c r="AQ13" i="96"/>
  <c r="AK13" i="96"/>
  <c r="AU12" i="96"/>
  <c r="AT12" i="96"/>
  <c r="AS12" i="96"/>
  <c r="AR12" i="96"/>
  <c r="AQ12" i="96"/>
  <c r="AM12" i="96"/>
  <c r="AL12" i="96"/>
  <c r="AK12" i="96"/>
  <c r="AJ12" i="96"/>
  <c r="AI12" i="96"/>
  <c r="AE12" i="96"/>
  <c r="AD12" i="96"/>
  <c r="AC12" i="96"/>
  <c r="AB12" i="96"/>
  <c r="AA12" i="96"/>
  <c r="W12" i="96"/>
  <c r="V12" i="96"/>
  <c r="U12" i="96"/>
  <c r="T12" i="96"/>
  <c r="S12" i="96"/>
  <c r="O10" i="96"/>
  <c r="O9" i="96"/>
  <c r="I9" i="96"/>
  <c r="O8" i="96"/>
  <c r="O7" i="96"/>
  <c r="AU8" i="96"/>
  <c r="AT8" i="96"/>
  <c r="AS8" i="96"/>
  <c r="AR8" i="96"/>
  <c r="AQ8" i="96"/>
  <c r="AM8" i="96"/>
  <c r="AL8" i="96"/>
  <c r="AK8" i="96"/>
  <c r="AJ8" i="96"/>
  <c r="AI8" i="96"/>
  <c r="AE8" i="96"/>
  <c r="AD8" i="96"/>
  <c r="AC8" i="96"/>
  <c r="AB8" i="96"/>
  <c r="AA8" i="96"/>
  <c r="W8" i="96"/>
  <c r="V8" i="96"/>
  <c r="U8" i="96"/>
  <c r="T8" i="96"/>
  <c r="S8" i="96"/>
  <c r="O6" i="96"/>
  <c r="O11" i="96" s="1"/>
  <c r="AU5" i="96"/>
  <c r="AT5" i="96"/>
  <c r="AS5" i="96"/>
  <c r="AR5" i="96"/>
  <c r="AQ5" i="96"/>
  <c r="AM5" i="96"/>
  <c r="AL5" i="96"/>
  <c r="AK5" i="96"/>
  <c r="AJ5" i="96"/>
  <c r="AI5" i="96"/>
  <c r="AE5" i="96"/>
  <c r="AD5" i="96"/>
  <c r="AC5" i="96"/>
  <c r="AB5" i="96"/>
  <c r="AA5" i="96"/>
  <c r="W5" i="96"/>
  <c r="V5" i="96"/>
  <c r="U5" i="96"/>
  <c r="T5" i="96"/>
  <c r="S5" i="96"/>
  <c r="AM4" i="96"/>
  <c r="AL4" i="96"/>
  <c r="AK4" i="96"/>
  <c r="AJ4" i="96"/>
  <c r="AI4" i="96"/>
  <c r="W4" i="96"/>
  <c r="V4" i="96"/>
  <c r="U4" i="96"/>
  <c r="T4" i="96"/>
  <c r="S4" i="96"/>
  <c r="AU3" i="96"/>
  <c r="AU9" i="96" s="1"/>
  <c r="AT3" i="96"/>
  <c r="AT9" i="96" s="1"/>
  <c r="AS3" i="96"/>
  <c r="AS9" i="96" s="1"/>
  <c r="AR3" i="96"/>
  <c r="AR9" i="96" s="1"/>
  <c r="AQ3" i="96"/>
  <c r="AQ9" i="96" s="1"/>
  <c r="AM3" i="96"/>
  <c r="AM9" i="96" s="1"/>
  <c r="AL3" i="96"/>
  <c r="AL9" i="96" s="1"/>
  <c r="AK3" i="96"/>
  <c r="AK9" i="96" s="1"/>
  <c r="AJ3" i="96"/>
  <c r="AJ9" i="96" s="1"/>
  <c r="AI3" i="96"/>
  <c r="AI9" i="96" s="1"/>
  <c r="AE3" i="96"/>
  <c r="AE9" i="96" s="1"/>
  <c r="AD3" i="96"/>
  <c r="AD9" i="96" s="1"/>
  <c r="AC3" i="96"/>
  <c r="AC9" i="96" s="1"/>
  <c r="AB3" i="96"/>
  <c r="AB9" i="96" s="1"/>
  <c r="AA3" i="96"/>
  <c r="AA9" i="96" s="1"/>
  <c r="W3" i="96"/>
  <c r="V3" i="96"/>
  <c r="U3" i="96"/>
  <c r="U9" i="96" s="1"/>
  <c r="T3" i="96"/>
  <c r="S3" i="96"/>
  <c r="C3" i="96"/>
  <c r="AU78" i="95"/>
  <c r="AT78" i="95"/>
  <c r="AS78" i="95"/>
  <c r="AR78" i="95"/>
  <c r="AQ78" i="95"/>
  <c r="AM78" i="95"/>
  <c r="AL78" i="95"/>
  <c r="AK78" i="95"/>
  <c r="AJ78" i="95"/>
  <c r="AI78" i="95"/>
  <c r="AE78" i="95"/>
  <c r="AD78" i="95"/>
  <c r="AC78" i="95"/>
  <c r="AB78" i="95"/>
  <c r="AA78" i="95"/>
  <c r="W78" i="95"/>
  <c r="V78" i="95"/>
  <c r="U78" i="95"/>
  <c r="T78" i="95"/>
  <c r="S78" i="95"/>
  <c r="AQ73" i="95"/>
  <c r="AI73" i="95"/>
  <c r="AA73" i="95"/>
  <c r="S73" i="95"/>
  <c r="AU66" i="95"/>
  <c r="AT66" i="95"/>
  <c r="AS66" i="95"/>
  <c r="AR66" i="95"/>
  <c r="AQ66" i="95"/>
  <c r="AM66" i="95"/>
  <c r="AL66" i="95"/>
  <c r="AK66" i="95"/>
  <c r="AJ66" i="95"/>
  <c r="AI66" i="95"/>
  <c r="AE66" i="95"/>
  <c r="AD66" i="95"/>
  <c r="AC66" i="95"/>
  <c r="AB66" i="95"/>
  <c r="AA66" i="95"/>
  <c r="W66" i="95"/>
  <c r="V66" i="95"/>
  <c r="U66" i="95"/>
  <c r="T66" i="95"/>
  <c r="S66" i="95"/>
  <c r="AU56" i="95"/>
  <c r="AT56" i="95"/>
  <c r="AS56" i="95"/>
  <c r="AR56" i="95"/>
  <c r="AQ56" i="95"/>
  <c r="AM56" i="95"/>
  <c r="AL56" i="95"/>
  <c r="AK56" i="95"/>
  <c r="AJ56" i="95"/>
  <c r="AI56" i="95"/>
  <c r="AE56" i="95"/>
  <c r="AD56" i="95"/>
  <c r="AC56" i="95"/>
  <c r="AB56" i="95"/>
  <c r="AA56" i="95"/>
  <c r="W56" i="95"/>
  <c r="V56" i="95"/>
  <c r="U56" i="95"/>
  <c r="T56" i="95"/>
  <c r="S56" i="95"/>
  <c r="AU52" i="95"/>
  <c r="AT52" i="95"/>
  <c r="AS52" i="95"/>
  <c r="AR52" i="95"/>
  <c r="AQ52" i="95"/>
  <c r="AM52" i="95"/>
  <c r="AL52" i="95"/>
  <c r="AK52" i="95"/>
  <c r="AJ52" i="95"/>
  <c r="AI52" i="95"/>
  <c r="AE52" i="95"/>
  <c r="AD52" i="95"/>
  <c r="AC52" i="95"/>
  <c r="AB52" i="95"/>
  <c r="AA52" i="95"/>
  <c r="W52" i="95"/>
  <c r="V52" i="95"/>
  <c r="U52" i="95"/>
  <c r="T52" i="95"/>
  <c r="S52" i="95"/>
  <c r="AU50" i="95"/>
  <c r="AT50" i="95"/>
  <c r="AS50" i="95"/>
  <c r="AR50" i="95"/>
  <c r="AQ50" i="95"/>
  <c r="AM50" i="95"/>
  <c r="AL50" i="95"/>
  <c r="AK50" i="95"/>
  <c r="AJ50" i="95"/>
  <c r="AI50" i="95"/>
  <c r="AE50" i="95"/>
  <c r="AD50" i="95"/>
  <c r="AC50" i="95"/>
  <c r="AB50" i="95"/>
  <c r="AA50" i="95"/>
  <c r="W50" i="95"/>
  <c r="V50" i="95"/>
  <c r="U50" i="95"/>
  <c r="T50" i="95"/>
  <c r="S50" i="95"/>
  <c r="AU49" i="95"/>
  <c r="AU53" i="95" s="1"/>
  <c r="AT49" i="95"/>
  <c r="AM49" i="95"/>
  <c r="AL49" i="95"/>
  <c r="AL53" i="95" s="1"/>
  <c r="AE49" i="95"/>
  <c r="AD49" i="95"/>
  <c r="AU48" i="95"/>
  <c r="AT48" i="95"/>
  <c r="AS48" i="95"/>
  <c r="AS49" i="95" s="1"/>
  <c r="AR48" i="95"/>
  <c r="AR49" i="95" s="1"/>
  <c r="AR53" i="95" s="1"/>
  <c r="AQ48" i="95"/>
  <c r="AQ49" i="95" s="1"/>
  <c r="AM48" i="95"/>
  <c r="AL48" i="95"/>
  <c r="AK48" i="95"/>
  <c r="AK49" i="95" s="1"/>
  <c r="AJ48" i="95"/>
  <c r="AJ49" i="95" s="1"/>
  <c r="AI48" i="95"/>
  <c r="AI49" i="95" s="1"/>
  <c r="AI53" i="95" s="1"/>
  <c r="AE48" i="95"/>
  <c r="AD48" i="95"/>
  <c r="AC48" i="95"/>
  <c r="AC49" i="95" s="1"/>
  <c r="AC53" i="95" s="1"/>
  <c r="AB48" i="95"/>
  <c r="AB49" i="95" s="1"/>
  <c r="AA48" i="95"/>
  <c r="AA49" i="95" s="1"/>
  <c r="W48" i="95"/>
  <c r="W53" i="95" s="1"/>
  <c r="V48" i="95"/>
  <c r="U48" i="95"/>
  <c r="T48" i="95"/>
  <c r="T53" i="95" s="1"/>
  <c r="S48" i="95"/>
  <c r="O38" i="95"/>
  <c r="N38" i="95"/>
  <c r="M38" i="95"/>
  <c r="L38" i="95"/>
  <c r="I36" i="95"/>
  <c r="AU33" i="95"/>
  <c r="AT33" i="95"/>
  <c r="AS33" i="95"/>
  <c r="AR33" i="95"/>
  <c r="AQ33" i="95"/>
  <c r="AM33" i="95"/>
  <c r="AL33" i="95"/>
  <c r="AK33" i="95"/>
  <c r="AJ33" i="95"/>
  <c r="AI33" i="95"/>
  <c r="AE33" i="95"/>
  <c r="AD33" i="95"/>
  <c r="AC33" i="95"/>
  <c r="AB33" i="95"/>
  <c r="AA33" i="95"/>
  <c r="W33" i="95"/>
  <c r="V33" i="95"/>
  <c r="U33" i="95"/>
  <c r="T33" i="95"/>
  <c r="S33" i="95"/>
  <c r="O29" i="95"/>
  <c r="N29" i="95"/>
  <c r="M29" i="95"/>
  <c r="L29" i="95"/>
  <c r="I27" i="95"/>
  <c r="AQ28" i="95"/>
  <c r="AI28" i="95"/>
  <c r="AA28" i="95"/>
  <c r="S28" i="95"/>
  <c r="AU21" i="95"/>
  <c r="AT21" i="95"/>
  <c r="AS21" i="95"/>
  <c r="AR21" i="95"/>
  <c r="AQ21" i="95"/>
  <c r="AM21" i="95"/>
  <c r="AL21" i="95"/>
  <c r="AK21" i="95"/>
  <c r="AJ21" i="95"/>
  <c r="AI21" i="95"/>
  <c r="AE21" i="95"/>
  <c r="AD21" i="95"/>
  <c r="AC21" i="95"/>
  <c r="AB21" i="95"/>
  <c r="AA21" i="95"/>
  <c r="W21" i="95"/>
  <c r="V21" i="95"/>
  <c r="U21" i="95"/>
  <c r="T21" i="95"/>
  <c r="S21" i="95"/>
  <c r="O19" i="95"/>
  <c r="O18" i="95"/>
  <c r="I18" i="95"/>
  <c r="O17" i="95"/>
  <c r="O16" i="95"/>
  <c r="O15" i="95"/>
  <c r="AU15" i="95"/>
  <c r="AT15" i="95"/>
  <c r="AS15" i="95"/>
  <c r="AR15" i="95"/>
  <c r="AQ15" i="95"/>
  <c r="AM15" i="95"/>
  <c r="AL15" i="95"/>
  <c r="AK15" i="95"/>
  <c r="AJ15" i="95"/>
  <c r="AI15" i="95"/>
  <c r="AU13" i="95"/>
  <c r="AT13" i="95"/>
  <c r="AS13" i="95"/>
  <c r="AR13" i="95"/>
  <c r="AQ13" i="95"/>
  <c r="AM13" i="95"/>
  <c r="AL13" i="95"/>
  <c r="AK13" i="95"/>
  <c r="AJ13" i="95"/>
  <c r="AI13" i="95"/>
  <c r="AU12" i="95"/>
  <c r="AT12" i="95"/>
  <c r="AT14" i="95" s="1"/>
  <c r="AT16" i="95" s="1"/>
  <c r="AS12" i="95"/>
  <c r="AS14" i="95" s="1"/>
  <c r="AS16" i="95" s="1"/>
  <c r="AR12" i="95"/>
  <c r="AQ12" i="95"/>
  <c r="AQ14" i="95" s="1"/>
  <c r="AQ16" i="95" s="1"/>
  <c r="AM12" i="95"/>
  <c r="AM14" i="95" s="1"/>
  <c r="AM16" i="95" s="1"/>
  <c r="AL12" i="95"/>
  <c r="AK12" i="95"/>
  <c r="AK14" i="95" s="1"/>
  <c r="AK16" i="95" s="1"/>
  <c r="AJ12" i="95"/>
  <c r="AJ14" i="95" s="1"/>
  <c r="AJ16" i="95" s="1"/>
  <c r="AI12" i="95"/>
  <c r="AE12" i="95"/>
  <c r="AD12" i="95"/>
  <c r="AC12" i="95"/>
  <c r="AB12" i="95"/>
  <c r="AA12" i="95"/>
  <c r="W12" i="95"/>
  <c r="V12" i="95"/>
  <c r="U12" i="95"/>
  <c r="T12" i="95"/>
  <c r="S12" i="95"/>
  <c r="O10" i="95"/>
  <c r="O9" i="95"/>
  <c r="I9" i="95"/>
  <c r="O8" i="95"/>
  <c r="O7" i="95"/>
  <c r="AU8" i="95"/>
  <c r="AT8" i="95"/>
  <c r="AS8" i="95"/>
  <c r="AR8" i="95"/>
  <c r="AQ8" i="95"/>
  <c r="AM8" i="95"/>
  <c r="AL8" i="95"/>
  <c r="AK8" i="95"/>
  <c r="AJ8" i="95"/>
  <c r="AI8" i="95"/>
  <c r="AE8" i="95"/>
  <c r="AD8" i="95"/>
  <c r="AC8" i="95"/>
  <c r="AB8" i="95"/>
  <c r="AA8" i="95"/>
  <c r="W8" i="95"/>
  <c r="V8" i="95"/>
  <c r="U8" i="95"/>
  <c r="T8" i="95"/>
  <c r="S8" i="95"/>
  <c r="O6" i="95"/>
  <c r="AU5" i="95"/>
  <c r="AT5" i="95"/>
  <c r="AS5" i="95"/>
  <c r="AR5" i="95"/>
  <c r="AQ5" i="95"/>
  <c r="AM5" i="95"/>
  <c r="AL5" i="95"/>
  <c r="AK5" i="95"/>
  <c r="AJ5" i="95"/>
  <c r="AI5" i="95"/>
  <c r="AE5" i="95"/>
  <c r="AD5" i="95"/>
  <c r="AC5" i="95"/>
  <c r="AB5" i="95"/>
  <c r="AA5" i="95"/>
  <c r="W5" i="95"/>
  <c r="V5" i="95"/>
  <c r="U5" i="95"/>
  <c r="T5" i="95"/>
  <c r="S5" i="95"/>
  <c r="AM4" i="95"/>
  <c r="AL4" i="95"/>
  <c r="AK4" i="95"/>
  <c r="AJ4" i="95"/>
  <c r="AI4" i="95"/>
  <c r="W4" i="95"/>
  <c r="V4" i="95"/>
  <c r="U4" i="95"/>
  <c r="T4" i="95"/>
  <c r="S4" i="95"/>
  <c r="AU3" i="95"/>
  <c r="AU9" i="95" s="1"/>
  <c r="AT3" i="95"/>
  <c r="AT9" i="95" s="1"/>
  <c r="AS3" i="95"/>
  <c r="AS9" i="95" s="1"/>
  <c r="AR3" i="95"/>
  <c r="AR9" i="95" s="1"/>
  <c r="AQ3" i="95"/>
  <c r="AQ9" i="95" s="1"/>
  <c r="AM3" i="95"/>
  <c r="AM9" i="95" s="1"/>
  <c r="AL3" i="95"/>
  <c r="AL9" i="95" s="1"/>
  <c r="AK3" i="95"/>
  <c r="AK9" i="95" s="1"/>
  <c r="AJ3" i="95"/>
  <c r="AJ9" i="95" s="1"/>
  <c r="AI3" i="95"/>
  <c r="AI9" i="95" s="1"/>
  <c r="AE3" i="95"/>
  <c r="AE9" i="95" s="1"/>
  <c r="AD3" i="95"/>
  <c r="AD9" i="95" s="1"/>
  <c r="AC3" i="95"/>
  <c r="AC9" i="95" s="1"/>
  <c r="AB3" i="95"/>
  <c r="AB9" i="95" s="1"/>
  <c r="AA3" i="95"/>
  <c r="AA9" i="95" s="1"/>
  <c r="W3" i="95"/>
  <c r="V3" i="95"/>
  <c r="V9" i="95" s="1"/>
  <c r="U3" i="95"/>
  <c r="T3" i="95"/>
  <c r="S3" i="95"/>
  <c r="S9" i="95" s="1"/>
  <c r="C3" i="95"/>
  <c r="AU78" i="94"/>
  <c r="AT78" i="94"/>
  <c r="AS78" i="94"/>
  <c r="AR78" i="94"/>
  <c r="AQ78" i="94"/>
  <c r="AM78" i="94"/>
  <c r="AL78" i="94"/>
  <c r="AK78" i="94"/>
  <c r="AJ78" i="94"/>
  <c r="AI78" i="94"/>
  <c r="AE78" i="94"/>
  <c r="AD78" i="94"/>
  <c r="AC78" i="94"/>
  <c r="AB78" i="94"/>
  <c r="AA78" i="94"/>
  <c r="W78" i="94"/>
  <c r="V78" i="94"/>
  <c r="U78" i="94"/>
  <c r="T78" i="94"/>
  <c r="S78" i="94"/>
  <c r="AQ73" i="94"/>
  <c r="AI73" i="94"/>
  <c r="AA73" i="94"/>
  <c r="S73" i="94"/>
  <c r="AU66" i="94"/>
  <c r="AT66" i="94"/>
  <c r="AS66" i="94"/>
  <c r="AR66" i="94"/>
  <c r="AQ66" i="94"/>
  <c r="AM66" i="94"/>
  <c r="AL66" i="94"/>
  <c r="AK66" i="94"/>
  <c r="AJ66" i="94"/>
  <c r="AI66" i="94"/>
  <c r="AE66" i="94"/>
  <c r="AD66" i="94"/>
  <c r="AC66" i="94"/>
  <c r="AB66" i="94"/>
  <c r="AA66" i="94"/>
  <c r="W66" i="94"/>
  <c r="V66" i="94"/>
  <c r="U66" i="94"/>
  <c r="T66" i="94"/>
  <c r="S66" i="94"/>
  <c r="AU56" i="94"/>
  <c r="AT56" i="94"/>
  <c r="AS56" i="94"/>
  <c r="AR56" i="94"/>
  <c r="AQ56" i="94"/>
  <c r="AM56" i="94"/>
  <c r="AL56" i="94"/>
  <c r="AK56" i="94"/>
  <c r="AJ56" i="94"/>
  <c r="AI56" i="94"/>
  <c r="AE56" i="94"/>
  <c r="AD56" i="94"/>
  <c r="AC56" i="94"/>
  <c r="AB56" i="94"/>
  <c r="AA56" i="94"/>
  <c r="W56" i="94"/>
  <c r="V56" i="94"/>
  <c r="U56" i="94"/>
  <c r="T56" i="94"/>
  <c r="S56" i="94"/>
  <c r="AU52" i="94"/>
  <c r="AT52" i="94"/>
  <c r="AS52" i="94"/>
  <c r="AR52" i="94"/>
  <c r="AQ52" i="94"/>
  <c r="AM52" i="94"/>
  <c r="AL52" i="94"/>
  <c r="AK52" i="94"/>
  <c r="AJ52" i="94"/>
  <c r="AI52" i="94"/>
  <c r="AE52" i="94"/>
  <c r="AD52" i="94"/>
  <c r="AC52" i="94"/>
  <c r="AB52" i="94"/>
  <c r="AA52" i="94"/>
  <c r="W52" i="94"/>
  <c r="V52" i="94"/>
  <c r="U52" i="94"/>
  <c r="T52" i="94"/>
  <c r="S52" i="94"/>
  <c r="AU50" i="94"/>
  <c r="AT50" i="94"/>
  <c r="AS50" i="94"/>
  <c r="AR50" i="94"/>
  <c r="AQ50" i="94"/>
  <c r="AM50" i="94"/>
  <c r="AL50" i="94"/>
  <c r="AK50" i="94"/>
  <c r="AJ50" i="94"/>
  <c r="AI50" i="94"/>
  <c r="AE50" i="94"/>
  <c r="AD50" i="94"/>
  <c r="AC50" i="94"/>
  <c r="AB50" i="94"/>
  <c r="AA50" i="94"/>
  <c r="W50" i="94"/>
  <c r="V50" i="94"/>
  <c r="U50" i="94"/>
  <c r="T50" i="94"/>
  <c r="S50" i="94"/>
  <c r="AU49" i="94"/>
  <c r="AT49" i="94"/>
  <c r="AM49" i="94"/>
  <c r="AM53" i="94" s="1"/>
  <c r="AL49" i="94"/>
  <c r="AE49" i="94"/>
  <c r="AD49" i="94"/>
  <c r="AD53" i="94" s="1"/>
  <c r="AU48" i="94"/>
  <c r="AT48" i="94"/>
  <c r="AS48" i="94"/>
  <c r="AS49" i="94" s="1"/>
  <c r="AS53" i="94" s="1"/>
  <c r="AR48" i="94"/>
  <c r="AR49" i="94" s="1"/>
  <c r="AQ48" i="94"/>
  <c r="AQ49" i="94" s="1"/>
  <c r="AM48" i="94"/>
  <c r="AL48" i="94"/>
  <c r="AK48" i="94"/>
  <c r="AK49" i="94" s="1"/>
  <c r="AJ48" i="94"/>
  <c r="AJ49" i="94" s="1"/>
  <c r="AJ53" i="94" s="1"/>
  <c r="AI48" i="94"/>
  <c r="AI49" i="94" s="1"/>
  <c r="AE48" i="94"/>
  <c r="AD48" i="94"/>
  <c r="AC48" i="94"/>
  <c r="AC49" i="94" s="1"/>
  <c r="AB48" i="94"/>
  <c r="AB49" i="94" s="1"/>
  <c r="AA48" i="94"/>
  <c r="AA49" i="94" s="1"/>
  <c r="AA53" i="94" s="1"/>
  <c r="W48" i="94"/>
  <c r="V48" i="94"/>
  <c r="U48" i="94"/>
  <c r="U53" i="94" s="1"/>
  <c r="T48" i="94"/>
  <c r="S48" i="94"/>
  <c r="O38" i="94"/>
  <c r="N38" i="94"/>
  <c r="M38" i="94"/>
  <c r="L38" i="94"/>
  <c r="I36" i="94"/>
  <c r="AU33" i="94"/>
  <c r="AT33" i="94"/>
  <c r="AS33" i="94"/>
  <c r="AR33" i="94"/>
  <c r="AQ33" i="94"/>
  <c r="AM33" i="94"/>
  <c r="AL33" i="94"/>
  <c r="AK33" i="94"/>
  <c r="AJ33" i="94"/>
  <c r="AI33" i="94"/>
  <c r="AE33" i="94"/>
  <c r="AD33" i="94"/>
  <c r="AC33" i="94"/>
  <c r="AB33" i="94"/>
  <c r="AA33" i="94"/>
  <c r="W33" i="94"/>
  <c r="V33" i="94"/>
  <c r="U33" i="94"/>
  <c r="T33" i="94"/>
  <c r="S33" i="94"/>
  <c r="O29" i="94"/>
  <c r="N29" i="94"/>
  <c r="M29" i="94"/>
  <c r="L29" i="94"/>
  <c r="I27" i="94"/>
  <c r="AQ28" i="94"/>
  <c r="AI28" i="94"/>
  <c r="AA28" i="94"/>
  <c r="S28" i="94"/>
  <c r="AU21" i="94"/>
  <c r="AT21" i="94"/>
  <c r="AS21" i="94"/>
  <c r="AR21" i="94"/>
  <c r="AQ21" i="94"/>
  <c r="AM21" i="94"/>
  <c r="AL21" i="94"/>
  <c r="AK21" i="94"/>
  <c r="AJ21" i="94"/>
  <c r="AI21" i="94"/>
  <c r="AE21" i="94"/>
  <c r="AD21" i="94"/>
  <c r="AC21" i="94"/>
  <c r="AB21" i="94"/>
  <c r="AA21" i="94"/>
  <c r="W21" i="94"/>
  <c r="V21" i="94"/>
  <c r="U21" i="94"/>
  <c r="T21" i="94"/>
  <c r="S21" i="94"/>
  <c r="O19" i="94"/>
  <c r="O18" i="94"/>
  <c r="I18" i="94"/>
  <c r="O17" i="94"/>
  <c r="O16" i="94"/>
  <c r="O15" i="94"/>
  <c r="AU15" i="94"/>
  <c r="AR15" i="94"/>
  <c r="AM15" i="94"/>
  <c r="AJ15" i="94"/>
  <c r="AI15" i="94"/>
  <c r="AS13" i="94"/>
  <c r="AR13" i="94"/>
  <c r="AM13" i="94"/>
  <c r="AL13" i="94"/>
  <c r="AJ13" i="94"/>
  <c r="AI13" i="94"/>
  <c r="AU12" i="94"/>
  <c r="AT12" i="94"/>
  <c r="AS12" i="94"/>
  <c r="AS14" i="94" s="1"/>
  <c r="AS16" i="94" s="1"/>
  <c r="AR12" i="94"/>
  <c r="AQ12" i="94"/>
  <c r="AM12" i="94"/>
  <c r="AM14" i="94" s="1"/>
  <c r="AM16" i="94" s="1"/>
  <c r="AL12" i="94"/>
  <c r="AK12" i="94"/>
  <c r="AJ12" i="94"/>
  <c r="AJ14" i="94" s="1"/>
  <c r="AJ16" i="94" s="1"/>
  <c r="AI12" i="94"/>
  <c r="AE12" i="94"/>
  <c r="AD12" i="94"/>
  <c r="AC12" i="94"/>
  <c r="AB12" i="94"/>
  <c r="AA12" i="94"/>
  <c r="W12" i="94"/>
  <c r="V12" i="94"/>
  <c r="U12" i="94"/>
  <c r="T12" i="94"/>
  <c r="S12" i="94"/>
  <c r="O10" i="94"/>
  <c r="O9" i="94"/>
  <c r="I9" i="94"/>
  <c r="O8" i="94"/>
  <c r="O7" i="94"/>
  <c r="AU8" i="94"/>
  <c r="AT8" i="94"/>
  <c r="AS8" i="94"/>
  <c r="AR8" i="94"/>
  <c r="AQ8" i="94"/>
  <c r="AM8" i="94"/>
  <c r="AL8" i="94"/>
  <c r="AK8" i="94"/>
  <c r="AJ8" i="94"/>
  <c r="AI8" i="94"/>
  <c r="AE8" i="94"/>
  <c r="AD8" i="94"/>
  <c r="AC8" i="94"/>
  <c r="AB8" i="94"/>
  <c r="AA8" i="94"/>
  <c r="W8" i="94"/>
  <c r="V8" i="94"/>
  <c r="U8" i="94"/>
  <c r="T8" i="94"/>
  <c r="S8" i="94"/>
  <c r="O6" i="94"/>
  <c r="AU5" i="94"/>
  <c r="AT5" i="94"/>
  <c r="AS5" i="94"/>
  <c r="AR5" i="94"/>
  <c r="AQ5" i="94"/>
  <c r="AM5" i="94"/>
  <c r="AL5" i="94"/>
  <c r="AK5" i="94"/>
  <c r="AJ5" i="94"/>
  <c r="AI5" i="94"/>
  <c r="AE5" i="94"/>
  <c r="AD5" i="94"/>
  <c r="AC5" i="94"/>
  <c r="AB5" i="94"/>
  <c r="AA5" i="94"/>
  <c r="W5" i="94"/>
  <c r="V5" i="94"/>
  <c r="U5" i="94"/>
  <c r="T5" i="94"/>
  <c r="S5" i="94"/>
  <c r="AM4" i="94"/>
  <c r="AL4" i="94"/>
  <c r="AK4" i="94"/>
  <c r="AJ4" i="94"/>
  <c r="AI4" i="94"/>
  <c r="W4" i="94"/>
  <c r="V4" i="94"/>
  <c r="U4" i="94"/>
  <c r="T4" i="94"/>
  <c r="S4" i="94"/>
  <c r="AU3" i="94"/>
  <c r="AU9" i="94" s="1"/>
  <c r="AT3" i="94"/>
  <c r="AT9" i="94" s="1"/>
  <c r="AS3" i="94"/>
  <c r="AS9" i="94" s="1"/>
  <c r="AR3" i="94"/>
  <c r="AR9" i="94" s="1"/>
  <c r="AQ3" i="94"/>
  <c r="AQ9" i="94" s="1"/>
  <c r="AM3" i="94"/>
  <c r="AM9" i="94" s="1"/>
  <c r="AL3" i="94"/>
  <c r="AL9" i="94" s="1"/>
  <c r="AK3" i="94"/>
  <c r="AK9" i="94" s="1"/>
  <c r="AJ3" i="94"/>
  <c r="AJ9" i="94" s="1"/>
  <c r="AI3" i="94"/>
  <c r="AI9" i="94" s="1"/>
  <c r="AE3" i="94"/>
  <c r="AE9" i="94" s="1"/>
  <c r="AD3" i="94"/>
  <c r="AD9" i="94" s="1"/>
  <c r="AC3" i="94"/>
  <c r="AC9" i="94" s="1"/>
  <c r="AB3" i="94"/>
  <c r="AB9" i="94" s="1"/>
  <c r="AA3" i="94"/>
  <c r="AA9" i="94" s="1"/>
  <c r="W3" i="94"/>
  <c r="V3" i="94"/>
  <c r="V9" i="94" s="1"/>
  <c r="U3" i="94"/>
  <c r="U9" i="94" s="1"/>
  <c r="T3" i="94"/>
  <c r="S3" i="94"/>
  <c r="S9" i="94" s="1"/>
  <c r="C3" i="94"/>
  <c r="W9" i="94" l="1"/>
  <c r="O20" i="94"/>
  <c r="AT15" i="94"/>
  <c r="AQ15" i="94"/>
  <c r="AK15" i="94"/>
  <c r="AU13" i="94"/>
  <c r="S53" i="94"/>
  <c r="V53" i="94"/>
  <c r="AB53" i="94"/>
  <c r="AK53" i="94"/>
  <c r="AQ53" i="94"/>
  <c r="AE53" i="94"/>
  <c r="AT53" i="94"/>
  <c r="T9" i="94"/>
  <c r="O11" i="94"/>
  <c r="AI14" i="94"/>
  <c r="AI16" i="94" s="1"/>
  <c r="AL14" i="94"/>
  <c r="AL16" i="94" s="1"/>
  <c r="AR14" i="94"/>
  <c r="AR16" i="94" s="1"/>
  <c r="AU14" i="94"/>
  <c r="AU16" i="94" s="1"/>
  <c r="AK13" i="94"/>
  <c r="AK14" i="94" s="1"/>
  <c r="AK16" i="94" s="1"/>
  <c r="AK17" i="94" s="1"/>
  <c r="AK18" i="94" s="1"/>
  <c r="AQ13" i="94"/>
  <c r="AQ14" i="94" s="1"/>
  <c r="AQ16" i="94" s="1"/>
  <c r="AQ17" i="94" s="1"/>
  <c r="AQ18" i="94" s="1"/>
  <c r="AT13" i="94"/>
  <c r="AT14" i="94" s="1"/>
  <c r="AT16" i="94" s="1"/>
  <c r="AL15" i="94"/>
  <c r="AS15" i="94"/>
  <c r="T53" i="94"/>
  <c r="W53" i="94"/>
  <c r="AC53" i="94"/>
  <c r="AI53" i="94"/>
  <c r="AR53" i="94"/>
  <c r="AL53" i="94"/>
  <c r="AU53" i="94"/>
  <c r="U9" i="95"/>
  <c r="O11" i="95"/>
  <c r="AI14" i="95"/>
  <c r="AI16" i="95" s="1"/>
  <c r="AL14" i="95"/>
  <c r="AL16" i="95" s="1"/>
  <c r="AR14" i="95"/>
  <c r="AR16" i="95" s="1"/>
  <c r="AU14" i="95"/>
  <c r="AU16" i="95" s="1"/>
  <c r="O20" i="95"/>
  <c r="S53" i="95"/>
  <c r="V53" i="95"/>
  <c r="AB53" i="95"/>
  <c r="AK53" i="95"/>
  <c r="AQ53" i="95"/>
  <c r="AE53" i="95"/>
  <c r="AT53" i="95"/>
  <c r="T9" i="96"/>
  <c r="W9" i="96"/>
  <c r="AK14" i="96"/>
  <c r="AK16" i="96" s="1"/>
  <c r="AQ14" i="96"/>
  <c r="AQ16" i="96" s="1"/>
  <c r="AT14" i="96"/>
  <c r="AT16" i="96" s="1"/>
  <c r="AJ13" i="96"/>
  <c r="AM13" i="96"/>
  <c r="AS13" i="96"/>
  <c r="AI15" i="96"/>
  <c r="AL15" i="96"/>
  <c r="AR15" i="96"/>
  <c r="AU15" i="96"/>
  <c r="U53" i="96"/>
  <c r="AA53" i="96"/>
  <c r="AJ53" i="96"/>
  <c r="AS53" i="96"/>
  <c r="AD53" i="96"/>
  <c r="AM53" i="96"/>
  <c r="S9" i="97"/>
  <c r="V9" i="97"/>
  <c r="AJ14" i="97"/>
  <c r="AJ16" i="97" s="1"/>
  <c r="AM14" i="97"/>
  <c r="AM16" i="97" s="1"/>
  <c r="AS14" i="97"/>
  <c r="AS16" i="97" s="1"/>
  <c r="AI13" i="97"/>
  <c r="AL13" i="97"/>
  <c r="AR13" i="97"/>
  <c r="AU13" i="97"/>
  <c r="AK15" i="97"/>
  <c r="AQ15" i="97"/>
  <c r="T53" i="97"/>
  <c r="W53" i="97"/>
  <c r="AC53" i="97"/>
  <c r="AI53" i="97"/>
  <c r="AR53" i="97"/>
  <c r="AL53" i="97"/>
  <c r="AU53" i="97"/>
  <c r="T9" i="98"/>
  <c r="W9" i="98"/>
  <c r="AK14" i="98"/>
  <c r="AK16" i="98" s="1"/>
  <c r="AQ14" i="98"/>
  <c r="AQ16" i="98" s="1"/>
  <c r="AT14" i="98"/>
  <c r="AT16" i="98" s="1"/>
  <c r="AJ13" i="98"/>
  <c r="AM13" i="98"/>
  <c r="AS13" i="98"/>
  <c r="AS14" i="98" s="1"/>
  <c r="AS16" i="98" s="1"/>
  <c r="AS17" i="98" s="1"/>
  <c r="AS18" i="98" s="1"/>
  <c r="AI15" i="98"/>
  <c r="AL15" i="98"/>
  <c r="AR15" i="98"/>
  <c r="AU15" i="98"/>
  <c r="U53" i="98"/>
  <c r="AA53" i="98"/>
  <c r="AJ53" i="98"/>
  <c r="AS53" i="98"/>
  <c r="AD53" i="98"/>
  <c r="AM53" i="98"/>
  <c r="AL14" i="96"/>
  <c r="AL16" i="96" s="1"/>
  <c r="AI14" i="98"/>
  <c r="AI16" i="98" s="1"/>
  <c r="AU14" i="98"/>
  <c r="AU16" i="98" s="1"/>
  <c r="BG46" i="99"/>
  <c r="BG48" i="99" s="1"/>
  <c r="T9" i="95"/>
  <c r="W9" i="95"/>
  <c r="U53" i="95"/>
  <c r="AA53" i="95"/>
  <c r="AJ53" i="95"/>
  <c r="AS53" i="95"/>
  <c r="AD53" i="95"/>
  <c r="AM53" i="95"/>
  <c r="S9" i="96"/>
  <c r="V9" i="96"/>
  <c r="AJ14" i="96"/>
  <c r="AJ16" i="96" s="1"/>
  <c r="AM14" i="96"/>
  <c r="AM16" i="96" s="1"/>
  <c r="AS14" i="96"/>
  <c r="AS16" i="96" s="1"/>
  <c r="AI13" i="96"/>
  <c r="AI14" i="96" s="1"/>
  <c r="AI16" i="96" s="1"/>
  <c r="AI17" i="96" s="1"/>
  <c r="AI18" i="96" s="1"/>
  <c r="AL13" i="96"/>
  <c r="AR13" i="96"/>
  <c r="AR14" i="96" s="1"/>
  <c r="AR16" i="96" s="1"/>
  <c r="AR17" i="96" s="1"/>
  <c r="AR18" i="96" s="1"/>
  <c r="AU13" i="96"/>
  <c r="AU14" i="96" s="1"/>
  <c r="AU16" i="96" s="1"/>
  <c r="AK15" i="96"/>
  <c r="AQ15" i="96"/>
  <c r="T53" i="96"/>
  <c r="W53" i="96"/>
  <c r="AC53" i="96"/>
  <c r="AI53" i="96"/>
  <c r="AR53" i="96"/>
  <c r="AL53" i="96"/>
  <c r="AU53" i="96"/>
  <c r="U9" i="97"/>
  <c r="AI14" i="97"/>
  <c r="AI16" i="97" s="1"/>
  <c r="AL14" i="97"/>
  <c r="AL16" i="97" s="1"/>
  <c r="AR14" i="97"/>
  <c r="AR16" i="97" s="1"/>
  <c r="AU14" i="97"/>
  <c r="AU16" i="97" s="1"/>
  <c r="O20" i="97"/>
  <c r="S53" i="97"/>
  <c r="V53" i="97"/>
  <c r="AB53" i="97"/>
  <c r="AK53" i="97"/>
  <c r="AQ53" i="97"/>
  <c r="AE53" i="97"/>
  <c r="AT53" i="97"/>
  <c r="S9" i="98"/>
  <c r="V9" i="98"/>
  <c r="AJ14" i="98"/>
  <c r="AJ16" i="98" s="1"/>
  <c r="AM14" i="98"/>
  <c r="AM16" i="98" s="1"/>
  <c r="AI13" i="98"/>
  <c r="AL13" i="98"/>
  <c r="AL14" i="98" s="1"/>
  <c r="AL16" i="98" s="1"/>
  <c r="AR13" i="98"/>
  <c r="AR14" i="98" s="1"/>
  <c r="AR16" i="98" s="1"/>
  <c r="AR17" i="98" s="1"/>
  <c r="AR18" i="98" s="1"/>
  <c r="AU13" i="98"/>
  <c r="AK15" i="98"/>
  <c r="AQ15" i="98"/>
  <c r="T53" i="98"/>
  <c r="W53" i="98"/>
  <c r="AC53" i="98"/>
  <c r="AI53" i="98"/>
  <c r="AR53" i="98"/>
  <c r="AL53" i="98"/>
  <c r="AU53" i="98"/>
  <c r="P20" i="100"/>
  <c r="P27" i="100" s="1"/>
  <c r="P28" i="100" s="1"/>
  <c r="BI32" i="100"/>
  <c r="R28" i="100"/>
  <c r="R33" i="100" s="1"/>
  <c r="BP49" i="100"/>
  <c r="I49" i="100" s="1"/>
  <c r="AV36" i="100"/>
  <c r="AV38" i="100" s="1"/>
  <c r="AV31" i="100" s="1"/>
  <c r="AV32" i="100"/>
  <c r="AT36" i="100"/>
  <c r="AT38" i="100" s="1"/>
  <c r="AT31" i="100" s="1"/>
  <c r="AT32" i="100" s="1"/>
  <c r="AG42" i="99"/>
  <c r="AG44" i="99" s="1"/>
  <c r="AG37" i="99" s="1"/>
  <c r="AG38" i="99"/>
  <c r="AE42" i="99"/>
  <c r="AE44" i="99" s="1"/>
  <c r="AE37" i="99" s="1"/>
  <c r="AE38" i="99"/>
  <c r="X44" i="100"/>
  <c r="X47" i="100" s="1"/>
  <c r="Q33" i="100"/>
  <c r="X30" i="100"/>
  <c r="X33" i="100" s="1"/>
  <c r="AU18" i="100"/>
  <c r="AU20" i="100" s="1"/>
  <c r="AU28" i="100" s="1"/>
  <c r="AU30" i="100" s="1"/>
  <c r="X16" i="100"/>
  <c r="X19" i="100" s="1"/>
  <c r="BB11" i="100"/>
  <c r="BB15" i="100" s="1"/>
  <c r="BB17" i="100" s="1"/>
  <c r="AM3" i="100"/>
  <c r="AM5" i="100" s="1"/>
  <c r="BB2" i="100"/>
  <c r="BB6" i="100" s="1"/>
  <c r="BB8" i="100" s="1"/>
  <c r="AU2" i="100"/>
  <c r="AU4" i="100" s="1"/>
  <c r="AU9" i="100" s="1"/>
  <c r="AU11" i="100" s="1"/>
  <c r="X2" i="100"/>
  <c r="X5" i="100" s="1"/>
  <c r="Y30" i="100"/>
  <c r="Y33" i="100" s="1"/>
  <c r="Y16" i="100"/>
  <c r="Y19" i="100" s="1"/>
  <c r="BC2" i="100"/>
  <c r="BC6" i="100" s="1"/>
  <c r="BC8" i="100" s="1"/>
  <c r="Y2" i="100"/>
  <c r="Y5" i="100" s="1"/>
  <c r="Z44" i="100"/>
  <c r="Z47" i="100" s="1"/>
  <c r="S33" i="100"/>
  <c r="Z30" i="100"/>
  <c r="Z33" i="100" s="1"/>
  <c r="AW18" i="100"/>
  <c r="AW20" i="100" s="1"/>
  <c r="AW28" i="100" s="1"/>
  <c r="AW30" i="100" s="1"/>
  <c r="Z16" i="100"/>
  <c r="Z19" i="100" s="1"/>
  <c r="AO3" i="100"/>
  <c r="AO5" i="100" s="1"/>
  <c r="AW2" i="100"/>
  <c r="AW4" i="100" s="1"/>
  <c r="AW9" i="100" s="1"/>
  <c r="AW11" i="100" s="1"/>
  <c r="Z2" i="100"/>
  <c r="Z5" i="100" s="1"/>
  <c r="W14" i="99"/>
  <c r="P12" i="99"/>
  <c r="W7" i="99"/>
  <c r="P7" i="99"/>
  <c r="AK6" i="99"/>
  <c r="W5" i="99"/>
  <c r="W8" i="99" s="1"/>
  <c r="W11" i="99" s="1"/>
  <c r="P5" i="99"/>
  <c r="S40" i="99"/>
  <c r="S42" i="99" s="1"/>
  <c r="S35" i="99" s="1"/>
  <c r="S36" i="99"/>
  <c r="R40" i="99"/>
  <c r="R42" i="99" s="1"/>
  <c r="R35" i="99" s="1"/>
  <c r="R36" i="99" s="1"/>
  <c r="K5" i="99" s="1"/>
  <c r="Q40" i="99"/>
  <c r="Q42" i="99" s="1"/>
  <c r="Q35" i="99" s="1"/>
  <c r="Q36" i="99"/>
  <c r="J5" i="99" s="1"/>
  <c r="W43" i="99"/>
  <c r="W45" i="99" s="1"/>
  <c r="W41" i="99"/>
  <c r="P40" i="99"/>
  <c r="P42" i="99" s="1"/>
  <c r="P35" i="99" s="1"/>
  <c r="P36" i="99" s="1"/>
  <c r="I5" i="99" s="1"/>
  <c r="I47" i="99" s="1"/>
  <c r="AF42" i="99"/>
  <c r="AF44" i="99" s="1"/>
  <c r="AF37" i="99" s="1"/>
  <c r="AF38" i="99"/>
  <c r="AD42" i="99"/>
  <c r="AD44" i="99" s="1"/>
  <c r="AD37" i="99" s="1"/>
  <c r="AD38" i="99"/>
  <c r="BI15" i="100"/>
  <c r="AY50" i="99"/>
  <c r="I44" i="99" s="1"/>
  <c r="AR35" i="99"/>
  <c r="AP22" i="100"/>
  <c r="AL30" i="100" s="1"/>
  <c r="AL31" i="100" s="1"/>
  <c r="AR17" i="99"/>
  <c r="AI17" i="98"/>
  <c r="AI18" i="98" s="1"/>
  <c r="AJ17" i="98"/>
  <c r="AJ18" i="98" s="1"/>
  <c r="AK17" i="98"/>
  <c r="AK18" i="98" s="1"/>
  <c r="AM19" i="98"/>
  <c r="AM20" i="98" s="1"/>
  <c r="AM22" i="98" s="1"/>
  <c r="AM17" i="98"/>
  <c r="AM18" i="98" s="1"/>
  <c r="AQ17" i="98"/>
  <c r="AQ18" i="98" s="1"/>
  <c r="AT19" i="98"/>
  <c r="AT17" i="98"/>
  <c r="AT18" i="98" s="1"/>
  <c r="AU19" i="98"/>
  <c r="AU17" i="98"/>
  <c r="AU18" i="98" s="1"/>
  <c r="AT20" i="98"/>
  <c r="AT22" i="98" s="1"/>
  <c r="AU20" i="98"/>
  <c r="AU22" i="98" s="1"/>
  <c r="AA71" i="98"/>
  <c r="S71" i="98"/>
  <c r="AE59" i="98"/>
  <c r="AD59" i="98"/>
  <c r="AC59" i="98"/>
  <c r="AB59" i="98"/>
  <c r="AA59" i="98"/>
  <c r="W59" i="98"/>
  <c r="V59" i="98"/>
  <c r="U59" i="98"/>
  <c r="T59" i="98"/>
  <c r="S59" i="98"/>
  <c r="AE57" i="98"/>
  <c r="AD57" i="98"/>
  <c r="AC57" i="98"/>
  <c r="AC58" i="98" s="1"/>
  <c r="AC60" i="98" s="1"/>
  <c r="AB57" i="98"/>
  <c r="AA57" i="98"/>
  <c r="W57" i="98"/>
  <c r="W58" i="98" s="1"/>
  <c r="W60" i="98" s="1"/>
  <c r="V57" i="98"/>
  <c r="U57" i="98"/>
  <c r="T57" i="98"/>
  <c r="T58" i="98" s="1"/>
  <c r="T60" i="98" s="1"/>
  <c r="S57" i="98"/>
  <c r="AQ71" i="98"/>
  <c r="AI71" i="98"/>
  <c r="AU59" i="98"/>
  <c r="AT59" i="98"/>
  <c r="AS59" i="98"/>
  <c r="AR59" i="98"/>
  <c r="AQ59" i="98"/>
  <c r="AM59" i="98"/>
  <c r="AL59" i="98"/>
  <c r="AK59" i="98"/>
  <c r="AJ59" i="98"/>
  <c r="AI59" i="98"/>
  <c r="AU57" i="98"/>
  <c r="AU58" i="98" s="1"/>
  <c r="AU60" i="98" s="1"/>
  <c r="AT57" i="98"/>
  <c r="AS57" i="98"/>
  <c r="AR57" i="98"/>
  <c r="AR58" i="98" s="1"/>
  <c r="AR60" i="98" s="1"/>
  <c r="AQ57" i="98"/>
  <c r="AM57" i="98"/>
  <c r="AL57" i="98"/>
  <c r="AL58" i="98" s="1"/>
  <c r="AL60" i="98" s="1"/>
  <c r="AK57" i="98"/>
  <c r="AJ57" i="98"/>
  <c r="AI57" i="98"/>
  <c r="AI58" i="98" s="1"/>
  <c r="AI60" i="98" s="1"/>
  <c r="S13" i="98"/>
  <c r="S14" i="98" s="1"/>
  <c r="S16" i="98" s="1"/>
  <c r="T13" i="98"/>
  <c r="T14" i="98" s="1"/>
  <c r="T16" i="98" s="1"/>
  <c r="U13" i="98"/>
  <c r="U14" i="98" s="1"/>
  <c r="U16" i="98" s="1"/>
  <c r="V13" i="98"/>
  <c r="V14" i="98" s="1"/>
  <c r="V16" i="98" s="1"/>
  <c r="W13" i="98"/>
  <c r="W14" i="98" s="1"/>
  <c r="W16" i="98" s="1"/>
  <c r="AA13" i="98"/>
  <c r="AA14" i="98" s="1"/>
  <c r="AA16" i="98" s="1"/>
  <c r="AB13" i="98"/>
  <c r="AB14" i="98" s="1"/>
  <c r="AB16" i="98" s="1"/>
  <c r="AC13" i="98"/>
  <c r="AC14" i="98" s="1"/>
  <c r="AC16" i="98" s="1"/>
  <c r="AD13" i="98"/>
  <c r="AD14" i="98" s="1"/>
  <c r="AD16" i="98" s="1"/>
  <c r="AE13" i="98"/>
  <c r="AE14" i="98" s="1"/>
  <c r="AE16" i="98" s="1"/>
  <c r="S15" i="98"/>
  <c r="T15" i="98"/>
  <c r="U15" i="98"/>
  <c r="V15" i="98"/>
  <c r="W15" i="98"/>
  <c r="AA15" i="98"/>
  <c r="AB15" i="98"/>
  <c r="AC15" i="98"/>
  <c r="AD15" i="98"/>
  <c r="AE15" i="98"/>
  <c r="S26" i="98"/>
  <c r="AA26" i="98"/>
  <c r="AI26" i="98"/>
  <c r="AQ26" i="98"/>
  <c r="S58" i="98"/>
  <c r="S60" i="98" s="1"/>
  <c r="U58" i="98"/>
  <c r="U60" i="98" s="1"/>
  <c r="V58" i="98"/>
  <c r="V60" i="98" s="1"/>
  <c r="AA58" i="98"/>
  <c r="AA60" i="98" s="1"/>
  <c r="AB58" i="98"/>
  <c r="AB60" i="98" s="1"/>
  <c r="AD58" i="98"/>
  <c r="AD60" i="98" s="1"/>
  <c r="AE58" i="98"/>
  <c r="AE60" i="98" s="1"/>
  <c r="AJ58" i="98"/>
  <c r="AJ60" i="98" s="1"/>
  <c r="AK58" i="98"/>
  <c r="AK60" i="98" s="1"/>
  <c r="AM58" i="98"/>
  <c r="AM60" i="98" s="1"/>
  <c r="AQ58" i="98"/>
  <c r="AQ60" i="98" s="1"/>
  <c r="AS58" i="98"/>
  <c r="AS60" i="98" s="1"/>
  <c r="AT58" i="98"/>
  <c r="AT60" i="98" s="1"/>
  <c r="AI17" i="97"/>
  <c r="AI18" i="97" s="1"/>
  <c r="AJ17" i="97"/>
  <c r="AJ18" i="97" s="1"/>
  <c r="AK17" i="97"/>
  <c r="AK18" i="97" s="1"/>
  <c r="AL19" i="97"/>
  <c r="AL20" i="97" s="1"/>
  <c r="AL22" i="97" s="1"/>
  <c r="AL17" i="97"/>
  <c r="AL18" i="97" s="1"/>
  <c r="AM19" i="97"/>
  <c r="AM17" i="97"/>
  <c r="AM18" i="97" s="1"/>
  <c r="AQ17" i="97"/>
  <c r="AQ18" i="97" s="1"/>
  <c r="AR17" i="97"/>
  <c r="AR18" i="97" s="1"/>
  <c r="AS17" i="97"/>
  <c r="AS18" i="97" s="1"/>
  <c r="AT19" i="97"/>
  <c r="AT17" i="97"/>
  <c r="AT18" i="97" s="1"/>
  <c r="AU19" i="97"/>
  <c r="AU20" i="97" s="1"/>
  <c r="AU22" i="97" s="1"/>
  <c r="AU17" i="97"/>
  <c r="AU18" i="97" s="1"/>
  <c r="AM20" i="97"/>
  <c r="AM22" i="97" s="1"/>
  <c r="AT20" i="97"/>
  <c r="AT22" i="97" s="1"/>
  <c r="AA71" i="97"/>
  <c r="S71" i="97"/>
  <c r="AE59" i="97"/>
  <c r="AD59" i="97"/>
  <c r="AC59" i="97"/>
  <c r="AB59" i="97"/>
  <c r="AA59" i="97"/>
  <c r="W59" i="97"/>
  <c r="V59" i="97"/>
  <c r="U59" i="97"/>
  <c r="T59" i="97"/>
  <c r="S59" i="97"/>
  <c r="AE57" i="97"/>
  <c r="AE58" i="97" s="1"/>
  <c r="AE60" i="97" s="1"/>
  <c r="AD57" i="97"/>
  <c r="AC57" i="97"/>
  <c r="AB57" i="97"/>
  <c r="AB58" i="97" s="1"/>
  <c r="AB60" i="97" s="1"/>
  <c r="AA57" i="97"/>
  <c r="W57" i="97"/>
  <c r="V57" i="97"/>
  <c r="V58" i="97" s="1"/>
  <c r="V60" i="97" s="1"/>
  <c r="U57" i="97"/>
  <c r="T57" i="97"/>
  <c r="S57" i="97"/>
  <c r="S58" i="97" s="1"/>
  <c r="S60" i="97" s="1"/>
  <c r="AQ71" i="97"/>
  <c r="AI71" i="97"/>
  <c r="AU59" i="97"/>
  <c r="AT59" i="97"/>
  <c r="AS59" i="97"/>
  <c r="AR59" i="97"/>
  <c r="AQ59" i="97"/>
  <c r="AM59" i="97"/>
  <c r="AL59" i="97"/>
  <c r="AK59" i="97"/>
  <c r="AJ59" i="97"/>
  <c r="AI59" i="97"/>
  <c r="AU57" i="97"/>
  <c r="AU58" i="97" s="1"/>
  <c r="AU60" i="97" s="1"/>
  <c r="AT57" i="97"/>
  <c r="AS57" i="97"/>
  <c r="AR57" i="97"/>
  <c r="AR58" i="97" s="1"/>
  <c r="AR60" i="97" s="1"/>
  <c r="AQ57" i="97"/>
  <c r="AM57" i="97"/>
  <c r="AL57" i="97"/>
  <c r="AL58" i="97" s="1"/>
  <c r="AL60" i="97" s="1"/>
  <c r="AK57" i="97"/>
  <c r="AJ57" i="97"/>
  <c r="AI57" i="97"/>
  <c r="AI58" i="97" s="1"/>
  <c r="AI60" i="97" s="1"/>
  <c r="S13" i="97"/>
  <c r="S14" i="97" s="1"/>
  <c r="S16" i="97" s="1"/>
  <c r="T13" i="97"/>
  <c r="T14" i="97" s="1"/>
  <c r="T16" i="97" s="1"/>
  <c r="U13" i="97"/>
  <c r="U14" i="97" s="1"/>
  <c r="U16" i="97" s="1"/>
  <c r="V13" i="97"/>
  <c r="V14" i="97" s="1"/>
  <c r="V16" i="97" s="1"/>
  <c r="W13" i="97"/>
  <c r="W14" i="97" s="1"/>
  <c r="W16" i="97" s="1"/>
  <c r="AA13" i="97"/>
  <c r="AA14" i="97" s="1"/>
  <c r="AA16" i="97" s="1"/>
  <c r="AB13" i="97"/>
  <c r="AB14" i="97" s="1"/>
  <c r="AB16" i="97" s="1"/>
  <c r="AC13" i="97"/>
  <c r="AC14" i="97" s="1"/>
  <c r="AC16" i="97" s="1"/>
  <c r="AD13" i="97"/>
  <c r="AD14" i="97" s="1"/>
  <c r="AD16" i="97" s="1"/>
  <c r="AE13" i="97"/>
  <c r="AE14" i="97" s="1"/>
  <c r="AE16" i="97" s="1"/>
  <c r="S15" i="97"/>
  <c r="T15" i="97"/>
  <c r="U15" i="97"/>
  <c r="V15" i="97"/>
  <c r="W15" i="97"/>
  <c r="AA15" i="97"/>
  <c r="AB15" i="97"/>
  <c r="AC15" i="97"/>
  <c r="AD15" i="97"/>
  <c r="AE15" i="97"/>
  <c r="S26" i="97"/>
  <c r="AA26" i="97"/>
  <c r="AI26" i="97"/>
  <c r="AQ26" i="97"/>
  <c r="T58" i="97"/>
  <c r="T60" i="97" s="1"/>
  <c r="U58" i="97"/>
  <c r="U60" i="97" s="1"/>
  <c r="W58" i="97"/>
  <c r="W60" i="97" s="1"/>
  <c r="AA58" i="97"/>
  <c r="AA60" i="97" s="1"/>
  <c r="AC58" i="97"/>
  <c r="AC60" i="97" s="1"/>
  <c r="AD58" i="97"/>
  <c r="AD60" i="97" s="1"/>
  <c r="AJ58" i="97"/>
  <c r="AJ60" i="97" s="1"/>
  <c r="AK58" i="97"/>
  <c r="AK60" i="97" s="1"/>
  <c r="AM58" i="97"/>
  <c r="AM60" i="97" s="1"/>
  <c r="AQ58" i="97"/>
  <c r="AQ60" i="97" s="1"/>
  <c r="AS58" i="97"/>
  <c r="AS60" i="97" s="1"/>
  <c r="AT58" i="97"/>
  <c r="AT60" i="97" s="1"/>
  <c r="AJ17" i="96"/>
  <c r="AJ18" i="96" s="1"/>
  <c r="AK17" i="96"/>
  <c r="AK18" i="96" s="1"/>
  <c r="AL19" i="96"/>
  <c r="AL20" i="96" s="1"/>
  <c r="AL22" i="96" s="1"/>
  <c r="AL17" i="96"/>
  <c r="AL18" i="96" s="1"/>
  <c r="AM19" i="96"/>
  <c r="AM17" i="96"/>
  <c r="AM18" i="96" s="1"/>
  <c r="AQ17" i="96"/>
  <c r="AQ18" i="96" s="1"/>
  <c r="AS17" i="96"/>
  <c r="AS18" i="96" s="1"/>
  <c r="AT19" i="96"/>
  <c r="AT17" i="96"/>
  <c r="AT18" i="96" s="1"/>
  <c r="AM20" i="96"/>
  <c r="AM22" i="96" s="1"/>
  <c r="AT20" i="96"/>
  <c r="AT22" i="96" s="1"/>
  <c r="AA71" i="96"/>
  <c r="S71" i="96"/>
  <c r="AE59" i="96"/>
  <c r="AD59" i="96"/>
  <c r="AC59" i="96"/>
  <c r="AB59" i="96"/>
  <c r="AA59" i="96"/>
  <c r="W59" i="96"/>
  <c r="V59" i="96"/>
  <c r="U59" i="96"/>
  <c r="T59" i="96"/>
  <c r="S59" i="96"/>
  <c r="AE57" i="96"/>
  <c r="AE58" i="96" s="1"/>
  <c r="AE60" i="96" s="1"/>
  <c r="AD57" i="96"/>
  <c r="AC57" i="96"/>
  <c r="AB57" i="96"/>
  <c r="AB58" i="96" s="1"/>
  <c r="AB60" i="96" s="1"/>
  <c r="AA57" i="96"/>
  <c r="W57" i="96"/>
  <c r="V57" i="96"/>
  <c r="V58" i="96" s="1"/>
  <c r="V60" i="96" s="1"/>
  <c r="U57" i="96"/>
  <c r="T57" i="96"/>
  <c r="S57" i="96"/>
  <c r="S58" i="96" s="1"/>
  <c r="S60" i="96" s="1"/>
  <c r="AQ71" i="96"/>
  <c r="AI71" i="96"/>
  <c r="AU59" i="96"/>
  <c r="AT59" i="96"/>
  <c r="AS59" i="96"/>
  <c r="AR59" i="96"/>
  <c r="AQ59" i="96"/>
  <c r="AM59" i="96"/>
  <c r="AL59" i="96"/>
  <c r="AK59" i="96"/>
  <c r="AJ59" i="96"/>
  <c r="AI59" i="96"/>
  <c r="AU57" i="96"/>
  <c r="AT57" i="96"/>
  <c r="AS57" i="96"/>
  <c r="AS58" i="96" s="1"/>
  <c r="AS60" i="96" s="1"/>
  <c r="AR57" i="96"/>
  <c r="AQ57" i="96"/>
  <c r="AM57" i="96"/>
  <c r="AM58" i="96" s="1"/>
  <c r="AM60" i="96" s="1"/>
  <c r="AL57" i="96"/>
  <c r="AK57" i="96"/>
  <c r="AJ57" i="96"/>
  <c r="AJ58" i="96" s="1"/>
  <c r="AJ60" i="96" s="1"/>
  <c r="AI57" i="96"/>
  <c r="S13" i="96"/>
  <c r="S14" i="96" s="1"/>
  <c r="S16" i="96" s="1"/>
  <c r="T13" i="96"/>
  <c r="T14" i="96" s="1"/>
  <c r="T16" i="96" s="1"/>
  <c r="U13" i="96"/>
  <c r="U14" i="96" s="1"/>
  <c r="U16" i="96" s="1"/>
  <c r="V13" i="96"/>
  <c r="V14" i="96" s="1"/>
  <c r="V16" i="96" s="1"/>
  <c r="W13" i="96"/>
  <c r="W14" i="96" s="1"/>
  <c r="W16" i="96" s="1"/>
  <c r="AA13" i="96"/>
  <c r="AA14" i="96" s="1"/>
  <c r="AA16" i="96" s="1"/>
  <c r="AB13" i="96"/>
  <c r="AB14" i="96" s="1"/>
  <c r="AB16" i="96" s="1"/>
  <c r="AC13" i="96"/>
  <c r="AC14" i="96" s="1"/>
  <c r="AC16" i="96" s="1"/>
  <c r="AD13" i="96"/>
  <c r="AD14" i="96" s="1"/>
  <c r="AD16" i="96" s="1"/>
  <c r="AE13" i="96"/>
  <c r="AE14" i="96" s="1"/>
  <c r="AE16" i="96" s="1"/>
  <c r="S15" i="96"/>
  <c r="T15" i="96"/>
  <c r="U15" i="96"/>
  <c r="V15" i="96"/>
  <c r="W15" i="96"/>
  <c r="AA15" i="96"/>
  <c r="AB15" i="96"/>
  <c r="AC15" i="96"/>
  <c r="AD15" i="96"/>
  <c r="AE15" i="96"/>
  <c r="S26" i="96"/>
  <c r="AA26" i="96"/>
  <c r="AI26" i="96"/>
  <c r="AQ26" i="96"/>
  <c r="T58" i="96"/>
  <c r="T60" i="96" s="1"/>
  <c r="U58" i="96"/>
  <c r="U60" i="96" s="1"/>
  <c r="W58" i="96"/>
  <c r="W60" i="96" s="1"/>
  <c r="AA58" i="96"/>
  <c r="AA60" i="96" s="1"/>
  <c r="AC58" i="96"/>
  <c r="AC60" i="96" s="1"/>
  <c r="AD58" i="96"/>
  <c r="AD60" i="96" s="1"/>
  <c r="AI58" i="96"/>
  <c r="AI60" i="96" s="1"/>
  <c r="AK58" i="96"/>
  <c r="AK60" i="96" s="1"/>
  <c r="AL58" i="96"/>
  <c r="AL60" i="96" s="1"/>
  <c r="AQ58" i="96"/>
  <c r="AQ60" i="96" s="1"/>
  <c r="AR58" i="96"/>
  <c r="AR60" i="96" s="1"/>
  <c r="AT58" i="96"/>
  <c r="AT60" i="96" s="1"/>
  <c r="AU58" i="96"/>
  <c r="AU60" i="96" s="1"/>
  <c r="AI17" i="95"/>
  <c r="AI18" i="95" s="1"/>
  <c r="AJ17" i="95"/>
  <c r="AJ18" i="95" s="1"/>
  <c r="AK17" i="95"/>
  <c r="AK18" i="95" s="1"/>
  <c r="AL19" i="95"/>
  <c r="AL17" i="95"/>
  <c r="AL18" i="95" s="1"/>
  <c r="AM19" i="95"/>
  <c r="AM20" i="95" s="1"/>
  <c r="AM22" i="95" s="1"/>
  <c r="AM17" i="95"/>
  <c r="AM18" i="95" s="1"/>
  <c r="AQ17" i="95"/>
  <c r="AQ18" i="95" s="1"/>
  <c r="AR17" i="95"/>
  <c r="AR18" i="95" s="1"/>
  <c r="AS17" i="95"/>
  <c r="AS18" i="95" s="1"/>
  <c r="AT19" i="95"/>
  <c r="AT17" i="95"/>
  <c r="AT18" i="95" s="1"/>
  <c r="AU19" i="95"/>
  <c r="AU17" i="95"/>
  <c r="AU18" i="95" s="1"/>
  <c r="AL20" i="95"/>
  <c r="AL22" i="95" s="1"/>
  <c r="AT20" i="95"/>
  <c r="AT22" i="95" s="1"/>
  <c r="AU20" i="95"/>
  <c r="AU22" i="95" s="1"/>
  <c r="AA71" i="95"/>
  <c r="S71" i="95"/>
  <c r="AE59" i="95"/>
  <c r="AD59" i="95"/>
  <c r="AC59" i="95"/>
  <c r="AB59" i="95"/>
  <c r="AA59" i="95"/>
  <c r="W59" i="95"/>
  <c r="V59" i="95"/>
  <c r="U59" i="95"/>
  <c r="T59" i="95"/>
  <c r="S59" i="95"/>
  <c r="AE57" i="95"/>
  <c r="AD57" i="95"/>
  <c r="AC57" i="95"/>
  <c r="AC58" i="95" s="1"/>
  <c r="AC60" i="95" s="1"/>
  <c r="AB57" i="95"/>
  <c r="AA57" i="95"/>
  <c r="W57" i="95"/>
  <c r="W58" i="95" s="1"/>
  <c r="W60" i="95" s="1"/>
  <c r="V57" i="95"/>
  <c r="U57" i="95"/>
  <c r="T57" i="95"/>
  <c r="T58" i="95" s="1"/>
  <c r="T60" i="95" s="1"/>
  <c r="S57" i="95"/>
  <c r="AQ71" i="95"/>
  <c r="AI71" i="95"/>
  <c r="AU59" i="95"/>
  <c r="AT59" i="95"/>
  <c r="AS59" i="95"/>
  <c r="AR59" i="95"/>
  <c r="AQ59" i="95"/>
  <c r="AM59" i="95"/>
  <c r="AL59" i="95"/>
  <c r="AK59" i="95"/>
  <c r="AJ59" i="95"/>
  <c r="AI59" i="95"/>
  <c r="AU57" i="95"/>
  <c r="AU58" i="95" s="1"/>
  <c r="AU60" i="95" s="1"/>
  <c r="AT57" i="95"/>
  <c r="AS57" i="95"/>
  <c r="AR57" i="95"/>
  <c r="AR58" i="95" s="1"/>
  <c r="AR60" i="95" s="1"/>
  <c r="AQ57" i="95"/>
  <c r="AM57" i="95"/>
  <c r="AL57" i="95"/>
  <c r="AL58" i="95" s="1"/>
  <c r="AL60" i="95" s="1"/>
  <c r="AK57" i="95"/>
  <c r="AJ57" i="95"/>
  <c r="AI57" i="95"/>
  <c r="AI58" i="95" s="1"/>
  <c r="AI60" i="95" s="1"/>
  <c r="S13" i="95"/>
  <c r="S14" i="95" s="1"/>
  <c r="S16" i="95" s="1"/>
  <c r="T13" i="95"/>
  <c r="T14" i="95" s="1"/>
  <c r="T16" i="95" s="1"/>
  <c r="U13" i="95"/>
  <c r="U14" i="95" s="1"/>
  <c r="U16" i="95" s="1"/>
  <c r="V13" i="95"/>
  <c r="V14" i="95" s="1"/>
  <c r="V16" i="95" s="1"/>
  <c r="W13" i="95"/>
  <c r="W14" i="95" s="1"/>
  <c r="W16" i="95" s="1"/>
  <c r="AA13" i="95"/>
  <c r="AA14" i="95" s="1"/>
  <c r="AA16" i="95" s="1"/>
  <c r="AB13" i="95"/>
  <c r="AB14" i="95" s="1"/>
  <c r="AB16" i="95" s="1"/>
  <c r="AC13" i="95"/>
  <c r="AC14" i="95" s="1"/>
  <c r="AC16" i="95" s="1"/>
  <c r="AD13" i="95"/>
  <c r="AD14" i="95" s="1"/>
  <c r="AD16" i="95" s="1"/>
  <c r="AE13" i="95"/>
  <c r="AE14" i="95" s="1"/>
  <c r="AE16" i="95" s="1"/>
  <c r="S15" i="95"/>
  <c r="T15" i="95"/>
  <c r="U15" i="95"/>
  <c r="V15" i="95"/>
  <c r="W15" i="95"/>
  <c r="AA15" i="95"/>
  <c r="AB15" i="95"/>
  <c r="AC15" i="95"/>
  <c r="AD15" i="95"/>
  <c r="AE15" i="95"/>
  <c r="S26" i="95"/>
  <c r="AA26" i="95"/>
  <c r="AI26" i="95"/>
  <c r="AQ26" i="95"/>
  <c r="S58" i="95"/>
  <c r="S60" i="95" s="1"/>
  <c r="U58" i="95"/>
  <c r="U60" i="95" s="1"/>
  <c r="V58" i="95"/>
  <c r="V60" i="95" s="1"/>
  <c r="AA58" i="95"/>
  <c r="AA60" i="95" s="1"/>
  <c r="AB58" i="95"/>
  <c r="AB60" i="95" s="1"/>
  <c r="AD58" i="95"/>
  <c r="AD60" i="95" s="1"/>
  <c r="AE58" i="95"/>
  <c r="AE60" i="95" s="1"/>
  <c r="AJ58" i="95"/>
  <c r="AJ60" i="95" s="1"/>
  <c r="AK58" i="95"/>
  <c r="AK60" i="95" s="1"/>
  <c r="AM58" i="95"/>
  <c r="AM60" i="95" s="1"/>
  <c r="AQ58" i="95"/>
  <c r="AQ60" i="95" s="1"/>
  <c r="AS58" i="95"/>
  <c r="AS60" i="95" s="1"/>
  <c r="AT58" i="95"/>
  <c r="AT60" i="95" s="1"/>
  <c r="AI17" i="94"/>
  <c r="AI18" i="94" s="1"/>
  <c r="AJ17" i="94"/>
  <c r="AJ18" i="94" s="1"/>
  <c r="AL19" i="94"/>
  <c r="AL20" i="94" s="1"/>
  <c r="AL22" i="94" s="1"/>
  <c r="AL17" i="94"/>
  <c r="AL18" i="94" s="1"/>
  <c r="AM19" i="94"/>
  <c r="AM17" i="94"/>
  <c r="AM18" i="94" s="1"/>
  <c r="AR17" i="94"/>
  <c r="AR18" i="94" s="1"/>
  <c r="AS17" i="94"/>
  <c r="AS18" i="94" s="1"/>
  <c r="AU19" i="94"/>
  <c r="AU20" i="94" s="1"/>
  <c r="AU22" i="94" s="1"/>
  <c r="AU17" i="94"/>
  <c r="AU18" i="94" s="1"/>
  <c r="AM20" i="94"/>
  <c r="AM22" i="94" s="1"/>
  <c r="AA71" i="94"/>
  <c r="S71" i="94"/>
  <c r="AE59" i="94"/>
  <c r="AD59" i="94"/>
  <c r="AC59" i="94"/>
  <c r="AB59" i="94"/>
  <c r="AA59" i="94"/>
  <c r="W59" i="94"/>
  <c r="V59" i="94"/>
  <c r="U59" i="94"/>
  <c r="T59" i="94"/>
  <c r="S59" i="94"/>
  <c r="AE57" i="94"/>
  <c r="AE58" i="94" s="1"/>
  <c r="AE60" i="94" s="1"/>
  <c r="AD57" i="94"/>
  <c r="AC57" i="94"/>
  <c r="AB57" i="94"/>
  <c r="AB58" i="94" s="1"/>
  <c r="AB60" i="94" s="1"/>
  <c r="AA57" i="94"/>
  <c r="W57" i="94"/>
  <c r="V57" i="94"/>
  <c r="V58" i="94" s="1"/>
  <c r="V60" i="94" s="1"/>
  <c r="U57" i="94"/>
  <c r="T57" i="94"/>
  <c r="S57" i="94"/>
  <c r="S58" i="94" s="1"/>
  <c r="S60" i="94" s="1"/>
  <c r="AQ71" i="94"/>
  <c r="AI71" i="94"/>
  <c r="AU59" i="94"/>
  <c r="AT59" i="94"/>
  <c r="AS59" i="94"/>
  <c r="AR59" i="94"/>
  <c r="AQ59" i="94"/>
  <c r="AM59" i="94"/>
  <c r="AL59" i="94"/>
  <c r="AK59" i="94"/>
  <c r="AJ59" i="94"/>
  <c r="AI59" i="94"/>
  <c r="AU57" i="94"/>
  <c r="AU58" i="94" s="1"/>
  <c r="AU60" i="94" s="1"/>
  <c r="AT57" i="94"/>
  <c r="AS57" i="94"/>
  <c r="AR57" i="94"/>
  <c r="AR58" i="94" s="1"/>
  <c r="AR60" i="94" s="1"/>
  <c r="AQ57" i="94"/>
  <c r="AM57" i="94"/>
  <c r="AL57" i="94"/>
  <c r="AL58" i="94" s="1"/>
  <c r="AL60" i="94" s="1"/>
  <c r="AK57" i="94"/>
  <c r="AJ57" i="94"/>
  <c r="AI57" i="94"/>
  <c r="AI58" i="94" s="1"/>
  <c r="AI60" i="94" s="1"/>
  <c r="S13" i="94"/>
  <c r="S14" i="94" s="1"/>
  <c r="T13" i="94"/>
  <c r="T14" i="94" s="1"/>
  <c r="U13" i="94"/>
  <c r="U14" i="94" s="1"/>
  <c r="V13" i="94"/>
  <c r="V14" i="94" s="1"/>
  <c r="W13" i="94"/>
  <c r="W14" i="94" s="1"/>
  <c r="AA13" i="94"/>
  <c r="AA14" i="94" s="1"/>
  <c r="AB13" i="94"/>
  <c r="AB14" i="94" s="1"/>
  <c r="AC13" i="94"/>
  <c r="AC14" i="94" s="1"/>
  <c r="AD13" i="94"/>
  <c r="AD14" i="94" s="1"/>
  <c r="AE13" i="94"/>
  <c r="AE14" i="94" s="1"/>
  <c r="S15" i="94"/>
  <c r="T15" i="94"/>
  <c r="U15" i="94"/>
  <c r="V15" i="94"/>
  <c r="W15" i="94"/>
  <c r="AA15" i="94"/>
  <c r="AB15" i="94"/>
  <c r="AC15" i="94"/>
  <c r="AD15" i="94"/>
  <c r="AE15" i="94"/>
  <c r="S26" i="94"/>
  <c r="AA26" i="94"/>
  <c r="AI26" i="94"/>
  <c r="AQ26" i="94"/>
  <c r="T58" i="94"/>
  <c r="U58" i="94"/>
  <c r="U60" i="94" s="1"/>
  <c r="W58" i="94"/>
  <c r="AA58" i="94"/>
  <c r="AA60" i="94" s="1"/>
  <c r="AC58" i="94"/>
  <c r="AD58" i="94"/>
  <c r="AD60" i="94" s="1"/>
  <c r="AJ58" i="94"/>
  <c r="AJ60" i="94" s="1"/>
  <c r="AK58" i="94"/>
  <c r="AK60" i="94" s="1"/>
  <c r="AM58" i="94"/>
  <c r="AM60" i="94" s="1"/>
  <c r="AQ58" i="94"/>
  <c r="AQ60" i="94" s="1"/>
  <c r="AS58" i="94"/>
  <c r="AS60" i="94" s="1"/>
  <c r="AT58" i="94"/>
  <c r="AT60" i="94" s="1"/>
  <c r="AU19" i="96" l="1"/>
  <c r="AU20" i="96" s="1"/>
  <c r="AU22" i="96" s="1"/>
  <c r="AU17" i="96"/>
  <c r="AU18" i="96" s="1"/>
  <c r="AL17" i="98"/>
  <c r="AL18" i="98" s="1"/>
  <c r="AL19" i="98"/>
  <c r="AL20" i="98" s="1"/>
  <c r="AL22" i="98" s="1"/>
  <c r="AT19" i="94"/>
  <c r="AT20" i="94" s="1"/>
  <c r="AT22" i="94" s="1"/>
  <c r="AT17" i="94"/>
  <c r="AT18" i="94" s="1"/>
  <c r="AC60" i="94"/>
  <c r="T60" i="94"/>
  <c r="I49" i="99"/>
  <c r="BC11" i="100"/>
  <c r="BC15" i="100" s="1"/>
  <c r="BC17" i="100" s="1"/>
  <c r="Y44" i="100"/>
  <c r="Y47" i="100" s="1"/>
  <c r="AN3" i="100"/>
  <c r="AN5" i="100" s="1"/>
  <c r="W60" i="94"/>
  <c r="W22" i="99"/>
  <c r="W27" i="99" s="1"/>
  <c r="AE16" i="94"/>
  <c r="AD16" i="94"/>
  <c r="AC16" i="94"/>
  <c r="AB16" i="94"/>
  <c r="AA16" i="94"/>
  <c r="W16" i="94"/>
  <c r="V16" i="94"/>
  <c r="U16" i="94"/>
  <c r="T16" i="94"/>
  <c r="S16" i="94"/>
  <c r="W44" i="100"/>
  <c r="W47" i="100" s="1"/>
  <c r="P33" i="100"/>
  <c r="W30" i="100"/>
  <c r="W33" i="100" s="1"/>
  <c r="W16" i="100"/>
  <c r="W19" i="100" s="1"/>
  <c r="BA11" i="100"/>
  <c r="BA15" i="100" s="1"/>
  <c r="BA17" i="100" s="1"/>
  <c r="BE17" i="100" s="1"/>
  <c r="BE21" i="100" s="1"/>
  <c r="AL3" i="100"/>
  <c r="AL5" i="100" s="1"/>
  <c r="AL7" i="100" s="1"/>
  <c r="AL11" i="100" s="1"/>
  <c r="AL12" i="100" s="1"/>
  <c r="BA2" i="100"/>
  <c r="BA6" i="100" s="1"/>
  <c r="BA8" i="100" s="1"/>
  <c r="BE8" i="100" s="1"/>
  <c r="BE20" i="100" s="1"/>
  <c r="BE22" i="100" s="1"/>
  <c r="BE24" i="100" s="1"/>
  <c r="AT2" i="100"/>
  <c r="AT4" i="100" s="1"/>
  <c r="AT9" i="100" s="1"/>
  <c r="AT11" i="100" s="1"/>
  <c r="AT13" i="100" s="1"/>
  <c r="W2" i="100"/>
  <c r="W5" i="100" s="1"/>
  <c r="AK5" i="99"/>
  <c r="AK7" i="99" s="1"/>
  <c r="P9" i="99"/>
  <c r="P21" i="99" s="1"/>
  <c r="P27" i="99" s="1"/>
  <c r="Z10" i="100"/>
  <c r="Z7" i="100"/>
  <c r="Z24" i="100"/>
  <c r="Z21" i="100"/>
  <c r="AW36" i="100"/>
  <c r="AW38" i="100" s="1"/>
  <c r="AW31" i="100" s="1"/>
  <c r="AW32" i="100"/>
  <c r="Z38" i="100"/>
  <c r="Z35" i="100"/>
  <c r="S39" i="100"/>
  <c r="S41" i="100" s="1"/>
  <c r="S34" i="100" s="1"/>
  <c r="S35" i="100" s="1"/>
  <c r="Z52" i="100"/>
  <c r="Z49" i="100"/>
  <c r="Y10" i="100"/>
  <c r="Y7" i="100"/>
  <c r="Y24" i="100"/>
  <c r="Y21" i="100"/>
  <c r="Y38" i="100"/>
  <c r="Y35" i="100"/>
  <c r="R39" i="100"/>
  <c r="R41" i="100" s="1"/>
  <c r="R34" i="100" s="1"/>
  <c r="R35" i="100"/>
  <c r="K5" i="100" s="1"/>
  <c r="K16" i="100" s="1"/>
  <c r="Y52" i="100"/>
  <c r="Y49" i="100"/>
  <c r="X10" i="100"/>
  <c r="X7" i="100"/>
  <c r="X24" i="100"/>
  <c r="X21" i="100"/>
  <c r="AU36" i="100"/>
  <c r="AU38" i="100" s="1"/>
  <c r="AU31" i="100" s="1"/>
  <c r="AU32" i="100" s="1"/>
  <c r="X38" i="100"/>
  <c r="X35" i="100"/>
  <c r="Q39" i="100"/>
  <c r="Q41" i="100" s="1"/>
  <c r="Q34" i="100" s="1"/>
  <c r="Q35" i="100"/>
  <c r="J5" i="100" s="1"/>
  <c r="J16" i="100" s="1"/>
  <c r="X52" i="100"/>
  <c r="X49" i="100"/>
  <c r="AE19" i="98"/>
  <c r="AE20" i="98" s="1"/>
  <c r="AE22" i="98" s="1"/>
  <c r="AE17" i="98"/>
  <c r="AE18" i="98" s="1"/>
  <c r="AD19" i="98"/>
  <c r="AD20" i="98" s="1"/>
  <c r="AD22" i="98" s="1"/>
  <c r="AD17" i="98"/>
  <c r="AD18" i="98" s="1"/>
  <c r="AC17" i="98"/>
  <c r="AC18" i="98" s="1"/>
  <c r="AB17" i="98"/>
  <c r="AB18" i="98" s="1"/>
  <c r="AA17" i="98"/>
  <c r="AA18" i="98" s="1"/>
  <c r="W19" i="98"/>
  <c r="W20" i="98" s="1"/>
  <c r="W22" i="98" s="1"/>
  <c r="W17" i="98"/>
  <c r="W18" i="98" s="1"/>
  <c r="V19" i="98"/>
  <c r="V20" i="98" s="1"/>
  <c r="V22" i="98" s="1"/>
  <c r="V17" i="98"/>
  <c r="V18" i="98" s="1"/>
  <c r="U17" i="98"/>
  <c r="U18" i="98" s="1"/>
  <c r="T17" i="98"/>
  <c r="T18" i="98" s="1"/>
  <c r="S17" i="98"/>
  <c r="S18" i="98" s="1"/>
  <c r="AU63" i="98"/>
  <c r="AU64" i="98" s="1"/>
  <c r="AU67" i="98" s="1"/>
  <c r="AU61" i="98"/>
  <c r="AU62" i="98" s="1"/>
  <c r="AT63" i="98"/>
  <c r="AT64" i="98" s="1"/>
  <c r="AT67" i="98" s="1"/>
  <c r="AT61" i="98"/>
  <c r="AT62" i="98" s="1"/>
  <c r="AS61" i="98"/>
  <c r="AS62" i="98" s="1"/>
  <c r="AR61" i="98"/>
  <c r="AR62" i="98" s="1"/>
  <c r="AQ61" i="98"/>
  <c r="AQ62" i="98" s="1"/>
  <c r="AM63" i="98"/>
  <c r="AM64" i="98" s="1"/>
  <c r="AM67" i="98" s="1"/>
  <c r="AM61" i="98"/>
  <c r="AM62" i="98" s="1"/>
  <c r="AL63" i="98"/>
  <c r="AL64" i="98" s="1"/>
  <c r="AL67" i="98" s="1"/>
  <c r="AL61" i="98"/>
  <c r="AL62" i="98" s="1"/>
  <c r="AK61" i="98"/>
  <c r="AK62" i="98" s="1"/>
  <c r="AJ61" i="98"/>
  <c r="AJ62" i="98" s="1"/>
  <c r="AI61" i="98"/>
  <c r="AI62" i="98" s="1"/>
  <c r="AE63" i="98"/>
  <c r="AE64" i="98" s="1"/>
  <c r="AE67" i="98" s="1"/>
  <c r="AE61" i="98"/>
  <c r="AE62" i="98" s="1"/>
  <c r="AD63" i="98"/>
  <c r="AD64" i="98" s="1"/>
  <c r="AD67" i="98" s="1"/>
  <c r="AD61" i="98"/>
  <c r="AD62" i="98" s="1"/>
  <c r="AC61" i="98"/>
  <c r="AC62" i="98" s="1"/>
  <c r="AB61" i="98"/>
  <c r="AB62" i="98" s="1"/>
  <c r="AA61" i="98"/>
  <c r="AA62" i="98" s="1"/>
  <c r="W63" i="98"/>
  <c r="W64" i="98" s="1"/>
  <c r="W67" i="98" s="1"/>
  <c r="W61" i="98"/>
  <c r="W62" i="98" s="1"/>
  <c r="V63" i="98"/>
  <c r="V64" i="98" s="1"/>
  <c r="V67" i="98" s="1"/>
  <c r="V61" i="98"/>
  <c r="V62" i="98" s="1"/>
  <c r="U61" i="98"/>
  <c r="U62" i="98" s="1"/>
  <c r="T61" i="98"/>
  <c r="T62" i="98" s="1"/>
  <c r="S61" i="98"/>
  <c r="S62" i="98" s="1"/>
  <c r="AS19" i="98"/>
  <c r="AS20" i="98" s="1"/>
  <c r="AS22" i="98" s="1"/>
  <c r="AR19" i="98"/>
  <c r="AR20" i="98" s="1"/>
  <c r="AR22" i="98" s="1"/>
  <c r="AQ19" i="98"/>
  <c r="AQ20" i="98" s="1"/>
  <c r="AQ22" i="98" s="1"/>
  <c r="AQ25" i="98" s="1"/>
  <c r="AQ27" i="98" s="1"/>
  <c r="AQ30" i="98" s="1"/>
  <c r="AK19" i="98"/>
  <c r="AK20" i="98" s="1"/>
  <c r="AK22" i="98" s="1"/>
  <c r="AJ19" i="98"/>
  <c r="AJ20" i="98" s="1"/>
  <c r="AJ22" i="98" s="1"/>
  <c r="AI19" i="98"/>
  <c r="AI20" i="98" s="1"/>
  <c r="AI22" i="98" s="1"/>
  <c r="AI25" i="98" s="1"/>
  <c r="AI27" i="98" s="1"/>
  <c r="AI30" i="98" s="1"/>
  <c r="AE19" i="97"/>
  <c r="AE20" i="97" s="1"/>
  <c r="AE22" i="97" s="1"/>
  <c r="AE17" i="97"/>
  <c r="AE18" i="97" s="1"/>
  <c r="AD19" i="97"/>
  <c r="AD20" i="97" s="1"/>
  <c r="AD22" i="97" s="1"/>
  <c r="AD17" i="97"/>
  <c r="AD18" i="97" s="1"/>
  <c r="AC17" i="97"/>
  <c r="AC18" i="97" s="1"/>
  <c r="AB17" i="97"/>
  <c r="AB18" i="97" s="1"/>
  <c r="AA17" i="97"/>
  <c r="AA18" i="97" s="1"/>
  <c r="W19" i="97"/>
  <c r="W20" i="97" s="1"/>
  <c r="W22" i="97" s="1"/>
  <c r="W17" i="97"/>
  <c r="W18" i="97" s="1"/>
  <c r="V19" i="97"/>
  <c r="V20" i="97" s="1"/>
  <c r="V22" i="97" s="1"/>
  <c r="V17" i="97"/>
  <c r="V18" i="97" s="1"/>
  <c r="U17" i="97"/>
  <c r="U18" i="97" s="1"/>
  <c r="T17" i="97"/>
  <c r="T18" i="97" s="1"/>
  <c r="S17" i="97"/>
  <c r="S18" i="97" s="1"/>
  <c r="AU63" i="97"/>
  <c r="AU64" i="97" s="1"/>
  <c r="AU67" i="97" s="1"/>
  <c r="AU61" i="97"/>
  <c r="AU62" i="97" s="1"/>
  <c r="AT63" i="97"/>
  <c r="AT64" i="97" s="1"/>
  <c r="AT67" i="97" s="1"/>
  <c r="AT61" i="97"/>
  <c r="AT62" i="97" s="1"/>
  <c r="AS61" i="97"/>
  <c r="AS62" i="97" s="1"/>
  <c r="AR61" i="97"/>
  <c r="AR62" i="97" s="1"/>
  <c r="AQ61" i="97"/>
  <c r="AQ62" i="97" s="1"/>
  <c r="AM63" i="97"/>
  <c r="AM64" i="97" s="1"/>
  <c r="AM67" i="97" s="1"/>
  <c r="AM61" i="97"/>
  <c r="AM62" i="97" s="1"/>
  <c r="AL63" i="97"/>
  <c r="AL64" i="97" s="1"/>
  <c r="AL67" i="97" s="1"/>
  <c r="AL61" i="97"/>
  <c r="AL62" i="97" s="1"/>
  <c r="AK61" i="97"/>
  <c r="AK62" i="97" s="1"/>
  <c r="AJ61" i="97"/>
  <c r="AJ62" i="97" s="1"/>
  <c r="AI61" i="97"/>
  <c r="AI62" i="97" s="1"/>
  <c r="AE63" i="97"/>
  <c r="AE64" i="97" s="1"/>
  <c r="AE67" i="97" s="1"/>
  <c r="AE61" i="97"/>
  <c r="AE62" i="97" s="1"/>
  <c r="AD63" i="97"/>
  <c r="AD64" i="97" s="1"/>
  <c r="AD67" i="97" s="1"/>
  <c r="AD61" i="97"/>
  <c r="AD62" i="97" s="1"/>
  <c r="AC61" i="97"/>
  <c r="AC62" i="97" s="1"/>
  <c r="AB61" i="97"/>
  <c r="AB62" i="97" s="1"/>
  <c r="AA61" i="97"/>
  <c r="AA62" i="97" s="1"/>
  <c r="W63" i="97"/>
  <c r="W64" i="97" s="1"/>
  <c r="W67" i="97" s="1"/>
  <c r="W61" i="97"/>
  <c r="W62" i="97" s="1"/>
  <c r="V63" i="97"/>
  <c r="V64" i="97" s="1"/>
  <c r="V67" i="97" s="1"/>
  <c r="V61" i="97"/>
  <c r="V62" i="97" s="1"/>
  <c r="U61" i="97"/>
  <c r="U62" i="97" s="1"/>
  <c r="T61" i="97"/>
  <c r="T62" i="97" s="1"/>
  <c r="S61" i="97"/>
  <c r="S62" i="97" s="1"/>
  <c r="AS19" i="97"/>
  <c r="AS20" i="97" s="1"/>
  <c r="AS22" i="97" s="1"/>
  <c r="AR19" i="97"/>
  <c r="AR20" i="97" s="1"/>
  <c r="AR22" i="97" s="1"/>
  <c r="AQ19" i="97"/>
  <c r="AQ20" i="97" s="1"/>
  <c r="AQ22" i="97" s="1"/>
  <c r="AQ25" i="97" s="1"/>
  <c r="AQ27" i="97" s="1"/>
  <c r="AQ30" i="97" s="1"/>
  <c r="AK19" i="97"/>
  <c r="AK20" i="97" s="1"/>
  <c r="AK22" i="97" s="1"/>
  <c r="AJ19" i="97"/>
  <c r="AJ20" i="97" s="1"/>
  <c r="AJ22" i="97" s="1"/>
  <c r="AI19" i="97"/>
  <c r="AI20" i="97" s="1"/>
  <c r="AI22" i="97" s="1"/>
  <c r="AI25" i="97" s="1"/>
  <c r="AI27" i="97" s="1"/>
  <c r="AI30" i="97" s="1"/>
  <c r="AE19" i="96"/>
  <c r="AE20" i="96" s="1"/>
  <c r="AE22" i="96" s="1"/>
  <c r="AE17" i="96"/>
  <c r="AE18" i="96" s="1"/>
  <c r="AD19" i="96"/>
  <c r="AD20" i="96" s="1"/>
  <c r="AD22" i="96" s="1"/>
  <c r="AD17" i="96"/>
  <c r="AD18" i="96" s="1"/>
  <c r="AC17" i="96"/>
  <c r="AC18" i="96" s="1"/>
  <c r="AB17" i="96"/>
  <c r="AB18" i="96" s="1"/>
  <c r="AA17" i="96"/>
  <c r="AA18" i="96" s="1"/>
  <c r="W19" i="96"/>
  <c r="W20" i="96" s="1"/>
  <c r="W22" i="96" s="1"/>
  <c r="W17" i="96"/>
  <c r="W18" i="96" s="1"/>
  <c r="V19" i="96"/>
  <c r="V20" i="96" s="1"/>
  <c r="V22" i="96" s="1"/>
  <c r="V17" i="96"/>
  <c r="V18" i="96" s="1"/>
  <c r="U17" i="96"/>
  <c r="U18" i="96" s="1"/>
  <c r="T17" i="96"/>
  <c r="T18" i="96" s="1"/>
  <c r="S17" i="96"/>
  <c r="S18" i="96" s="1"/>
  <c r="AU63" i="96"/>
  <c r="AU64" i="96" s="1"/>
  <c r="AU67" i="96" s="1"/>
  <c r="AU61" i="96"/>
  <c r="AU62" i="96" s="1"/>
  <c r="AT63" i="96"/>
  <c r="AT64" i="96" s="1"/>
  <c r="AT67" i="96" s="1"/>
  <c r="AT61" i="96"/>
  <c r="AT62" i="96" s="1"/>
  <c r="AS61" i="96"/>
  <c r="AS62" i="96" s="1"/>
  <c r="AR61" i="96"/>
  <c r="AR62" i="96" s="1"/>
  <c r="AQ61" i="96"/>
  <c r="AQ62" i="96" s="1"/>
  <c r="AM63" i="96"/>
  <c r="AM64" i="96" s="1"/>
  <c r="AM67" i="96" s="1"/>
  <c r="AM61" i="96"/>
  <c r="AM62" i="96" s="1"/>
  <c r="AL63" i="96"/>
  <c r="AL64" i="96" s="1"/>
  <c r="AL67" i="96" s="1"/>
  <c r="AL61" i="96"/>
  <c r="AL62" i="96" s="1"/>
  <c r="AK61" i="96"/>
  <c r="AK62" i="96" s="1"/>
  <c r="AJ61" i="96"/>
  <c r="AJ62" i="96" s="1"/>
  <c r="AI61" i="96"/>
  <c r="AI62" i="96" s="1"/>
  <c r="AE63" i="96"/>
  <c r="AE64" i="96" s="1"/>
  <c r="AE67" i="96" s="1"/>
  <c r="AE61" i="96"/>
  <c r="AE62" i="96" s="1"/>
  <c r="AD63" i="96"/>
  <c r="AD64" i="96" s="1"/>
  <c r="AD67" i="96" s="1"/>
  <c r="AD61" i="96"/>
  <c r="AD62" i="96" s="1"/>
  <c r="AC61" i="96"/>
  <c r="AC62" i="96" s="1"/>
  <c r="AB61" i="96"/>
  <c r="AB62" i="96" s="1"/>
  <c r="AA61" i="96"/>
  <c r="AA62" i="96" s="1"/>
  <c r="W63" i="96"/>
  <c r="W64" i="96" s="1"/>
  <c r="W67" i="96" s="1"/>
  <c r="W61" i="96"/>
  <c r="W62" i="96" s="1"/>
  <c r="V63" i="96"/>
  <c r="V64" i="96" s="1"/>
  <c r="V67" i="96" s="1"/>
  <c r="V61" i="96"/>
  <c r="V62" i="96" s="1"/>
  <c r="U61" i="96"/>
  <c r="U62" i="96" s="1"/>
  <c r="T61" i="96"/>
  <c r="T62" i="96" s="1"/>
  <c r="S61" i="96"/>
  <c r="S62" i="96" s="1"/>
  <c r="AS19" i="96"/>
  <c r="AS20" i="96" s="1"/>
  <c r="AS22" i="96" s="1"/>
  <c r="AR19" i="96"/>
  <c r="AR20" i="96" s="1"/>
  <c r="AR22" i="96" s="1"/>
  <c r="AQ19" i="96"/>
  <c r="AQ20" i="96" s="1"/>
  <c r="AQ22" i="96" s="1"/>
  <c r="AQ25" i="96" s="1"/>
  <c r="AQ27" i="96" s="1"/>
  <c r="AQ30" i="96" s="1"/>
  <c r="AK19" i="96"/>
  <c r="AK20" i="96" s="1"/>
  <c r="AK22" i="96" s="1"/>
  <c r="AJ19" i="96"/>
  <c r="AJ20" i="96" s="1"/>
  <c r="AJ22" i="96" s="1"/>
  <c r="AI19" i="96"/>
  <c r="AI20" i="96" s="1"/>
  <c r="AI22" i="96" s="1"/>
  <c r="AI25" i="96" s="1"/>
  <c r="AI27" i="96" s="1"/>
  <c r="AI30" i="96" s="1"/>
  <c r="AE19" i="95"/>
  <c r="AE20" i="95" s="1"/>
  <c r="AE22" i="95" s="1"/>
  <c r="AE17" i="95"/>
  <c r="AE18" i="95" s="1"/>
  <c r="AD19" i="95"/>
  <c r="AD20" i="95" s="1"/>
  <c r="AD22" i="95" s="1"/>
  <c r="AD17" i="95"/>
  <c r="AD18" i="95" s="1"/>
  <c r="AC17" i="95"/>
  <c r="AC18" i="95" s="1"/>
  <c r="AB17" i="95"/>
  <c r="AB18" i="95" s="1"/>
  <c r="AA17" i="95"/>
  <c r="AA18" i="95" s="1"/>
  <c r="W19" i="95"/>
  <c r="W20" i="95" s="1"/>
  <c r="W22" i="95" s="1"/>
  <c r="W17" i="95"/>
  <c r="W18" i="95" s="1"/>
  <c r="V19" i="95"/>
  <c r="V20" i="95" s="1"/>
  <c r="V22" i="95" s="1"/>
  <c r="V17" i="95"/>
  <c r="V18" i="95" s="1"/>
  <c r="U17" i="95"/>
  <c r="U18" i="95" s="1"/>
  <c r="T17" i="95"/>
  <c r="T18" i="95" s="1"/>
  <c r="S17" i="95"/>
  <c r="S18" i="95" s="1"/>
  <c r="AU63" i="95"/>
  <c r="AU64" i="95" s="1"/>
  <c r="AU67" i="95" s="1"/>
  <c r="AU61" i="95"/>
  <c r="AU62" i="95" s="1"/>
  <c r="AT63" i="95"/>
  <c r="AT64" i="95" s="1"/>
  <c r="AT67" i="95" s="1"/>
  <c r="AT61" i="95"/>
  <c r="AT62" i="95" s="1"/>
  <c r="AS61" i="95"/>
  <c r="AS62" i="95" s="1"/>
  <c r="AR61" i="95"/>
  <c r="AR62" i="95" s="1"/>
  <c r="AQ61" i="95"/>
  <c r="AQ62" i="95" s="1"/>
  <c r="AM63" i="95"/>
  <c r="AM64" i="95" s="1"/>
  <c r="AM67" i="95" s="1"/>
  <c r="AM61" i="95"/>
  <c r="AM62" i="95" s="1"/>
  <c r="AL63" i="95"/>
  <c r="AL64" i="95" s="1"/>
  <c r="AL67" i="95" s="1"/>
  <c r="AL61" i="95"/>
  <c r="AL62" i="95" s="1"/>
  <c r="AK61" i="95"/>
  <c r="AK62" i="95" s="1"/>
  <c r="AJ61" i="95"/>
  <c r="AJ62" i="95" s="1"/>
  <c r="AI61" i="95"/>
  <c r="AI62" i="95" s="1"/>
  <c r="AE63" i="95"/>
  <c r="AE64" i="95" s="1"/>
  <c r="AE67" i="95" s="1"/>
  <c r="AE61" i="95"/>
  <c r="AE62" i="95" s="1"/>
  <c r="AD63" i="95"/>
  <c r="AD64" i="95" s="1"/>
  <c r="AD67" i="95" s="1"/>
  <c r="AD61" i="95"/>
  <c r="AD62" i="95" s="1"/>
  <c r="AC61" i="95"/>
  <c r="AC62" i="95" s="1"/>
  <c r="AB61" i="95"/>
  <c r="AB62" i="95" s="1"/>
  <c r="AA61" i="95"/>
  <c r="AA62" i="95" s="1"/>
  <c r="W63" i="95"/>
  <c r="W64" i="95" s="1"/>
  <c r="W67" i="95" s="1"/>
  <c r="W61" i="95"/>
  <c r="W62" i="95" s="1"/>
  <c r="V63" i="95"/>
  <c r="V64" i="95" s="1"/>
  <c r="V67" i="95" s="1"/>
  <c r="V61" i="95"/>
  <c r="V62" i="95" s="1"/>
  <c r="U61" i="95"/>
  <c r="U62" i="95" s="1"/>
  <c r="T61" i="95"/>
  <c r="T62" i="95" s="1"/>
  <c r="S61" i="95"/>
  <c r="S62" i="95" s="1"/>
  <c r="AS19" i="95"/>
  <c r="AS20" i="95" s="1"/>
  <c r="AS22" i="95" s="1"/>
  <c r="AR19" i="95"/>
  <c r="AR20" i="95" s="1"/>
  <c r="AR22" i="95" s="1"/>
  <c r="AQ19" i="95"/>
  <c r="AQ20" i="95" s="1"/>
  <c r="AQ22" i="95" s="1"/>
  <c r="AQ25" i="95" s="1"/>
  <c r="AQ27" i="95" s="1"/>
  <c r="AQ30" i="95" s="1"/>
  <c r="AK19" i="95"/>
  <c r="AK20" i="95" s="1"/>
  <c r="AK22" i="95" s="1"/>
  <c r="AJ19" i="95"/>
  <c r="AJ20" i="95" s="1"/>
  <c r="AJ22" i="95" s="1"/>
  <c r="AI19" i="95"/>
  <c r="AI20" i="95" s="1"/>
  <c r="AI22" i="95" s="1"/>
  <c r="AI25" i="95" s="1"/>
  <c r="AI27" i="95" s="1"/>
  <c r="AI30" i="95" s="1"/>
  <c r="AE19" i="94"/>
  <c r="AE20" i="94" s="1"/>
  <c r="AE22" i="94" s="1"/>
  <c r="AE17" i="94"/>
  <c r="AE18" i="94" s="1"/>
  <c r="AD19" i="94"/>
  <c r="AD20" i="94" s="1"/>
  <c r="AD22" i="94" s="1"/>
  <c r="AD17" i="94"/>
  <c r="AD18" i="94" s="1"/>
  <c r="AC17" i="94"/>
  <c r="AC18" i="94" s="1"/>
  <c r="AB17" i="94"/>
  <c r="AB18" i="94" s="1"/>
  <c r="AA17" i="94"/>
  <c r="AA18" i="94" s="1"/>
  <c r="W19" i="94"/>
  <c r="W20" i="94" s="1"/>
  <c r="W22" i="94" s="1"/>
  <c r="W17" i="94"/>
  <c r="W18" i="94" s="1"/>
  <c r="V19" i="94"/>
  <c r="V20" i="94" s="1"/>
  <c r="V22" i="94" s="1"/>
  <c r="V17" i="94"/>
  <c r="V18" i="94" s="1"/>
  <c r="U17" i="94"/>
  <c r="U18" i="94" s="1"/>
  <c r="T17" i="94"/>
  <c r="T18" i="94" s="1"/>
  <c r="S17" i="94"/>
  <c r="S18" i="94" s="1"/>
  <c r="AU63" i="94"/>
  <c r="AU64" i="94" s="1"/>
  <c r="AU67" i="94" s="1"/>
  <c r="AU61" i="94"/>
  <c r="AU62" i="94" s="1"/>
  <c r="AT63" i="94"/>
  <c r="AT64" i="94" s="1"/>
  <c r="AT67" i="94" s="1"/>
  <c r="AT61" i="94"/>
  <c r="AT62" i="94" s="1"/>
  <c r="AS61" i="94"/>
  <c r="AS62" i="94" s="1"/>
  <c r="AR61" i="94"/>
  <c r="AR62" i="94" s="1"/>
  <c r="AQ61" i="94"/>
  <c r="AQ62" i="94" s="1"/>
  <c r="AM63" i="94"/>
  <c r="AM64" i="94" s="1"/>
  <c r="AM67" i="94" s="1"/>
  <c r="AM61" i="94"/>
  <c r="AM62" i="94" s="1"/>
  <c r="AL63" i="94"/>
  <c r="AL64" i="94" s="1"/>
  <c r="AL67" i="94" s="1"/>
  <c r="AL61" i="94"/>
  <c r="AL62" i="94" s="1"/>
  <c r="AK61" i="94"/>
  <c r="AK62" i="94" s="1"/>
  <c r="AJ61" i="94"/>
  <c r="AJ62" i="94" s="1"/>
  <c r="AI61" i="94"/>
  <c r="AI62" i="94" s="1"/>
  <c r="AE63" i="94"/>
  <c r="AE64" i="94" s="1"/>
  <c r="AE67" i="94" s="1"/>
  <c r="AE61" i="94"/>
  <c r="AE62" i="94" s="1"/>
  <c r="AD63" i="94"/>
  <c r="AD64" i="94" s="1"/>
  <c r="AD67" i="94" s="1"/>
  <c r="AD61" i="94"/>
  <c r="AD62" i="94" s="1"/>
  <c r="AC61" i="94"/>
  <c r="AC62" i="94" s="1"/>
  <c r="AB61" i="94"/>
  <c r="AB62" i="94" s="1"/>
  <c r="AA61" i="94"/>
  <c r="AA62" i="94" s="1"/>
  <c r="W63" i="94"/>
  <c r="W64" i="94" s="1"/>
  <c r="W67" i="94" s="1"/>
  <c r="W61" i="94"/>
  <c r="W62" i="94" s="1"/>
  <c r="V63" i="94"/>
  <c r="V64" i="94" s="1"/>
  <c r="V67" i="94" s="1"/>
  <c r="V61" i="94"/>
  <c r="V62" i="94" s="1"/>
  <c r="U61" i="94"/>
  <c r="U62" i="94" s="1"/>
  <c r="T61" i="94"/>
  <c r="T62" i="94" s="1"/>
  <c r="S61" i="94"/>
  <c r="S62" i="94" s="1"/>
  <c r="AS19" i="94"/>
  <c r="AS20" i="94" s="1"/>
  <c r="AS22" i="94" s="1"/>
  <c r="AR19" i="94"/>
  <c r="AR20" i="94" s="1"/>
  <c r="AR22" i="94" s="1"/>
  <c r="AQ19" i="94"/>
  <c r="AQ20" i="94" s="1"/>
  <c r="AQ22" i="94" s="1"/>
  <c r="AQ25" i="94" s="1"/>
  <c r="AQ27" i="94" s="1"/>
  <c r="AQ30" i="94" s="1"/>
  <c r="AK19" i="94"/>
  <c r="AK20" i="94" s="1"/>
  <c r="AK22" i="94" s="1"/>
  <c r="AJ19" i="94"/>
  <c r="AJ20" i="94" s="1"/>
  <c r="AJ22" i="94" s="1"/>
  <c r="AI19" i="94"/>
  <c r="AI20" i="94" s="1"/>
  <c r="AI22" i="94" s="1"/>
  <c r="AI25" i="94" s="1"/>
  <c r="AI27" i="94" s="1"/>
  <c r="AI30" i="94" s="1"/>
  <c r="AK44" i="99" l="1"/>
  <c r="AK49" i="99" s="1"/>
  <c r="AK53" i="99" s="1"/>
  <c r="AK35" i="99"/>
  <c r="AK40" i="99" s="1"/>
  <c r="AK52" i="99" s="1"/>
  <c r="AK23" i="99"/>
  <c r="AK25" i="99" s="1"/>
  <c r="AK30" i="99" s="1"/>
  <c r="AK11" i="99"/>
  <c r="AK13" i="99" s="1"/>
  <c r="AK18" i="99" s="1"/>
  <c r="AK51" i="99" s="1"/>
  <c r="W10" i="100"/>
  <c r="W7" i="100"/>
  <c r="W24" i="100"/>
  <c r="W21" i="100"/>
  <c r="W38" i="100"/>
  <c r="W35" i="100"/>
  <c r="P39" i="100"/>
  <c r="P41" i="100" s="1"/>
  <c r="P34" i="100" s="1"/>
  <c r="P35" i="100" s="1"/>
  <c r="I5" i="100" s="1"/>
  <c r="I16" i="100" s="1"/>
  <c r="I54" i="100" s="1"/>
  <c r="I56" i="100" s="1"/>
  <c r="W52" i="100"/>
  <c r="W49" i="100"/>
  <c r="AM34" i="98"/>
  <c r="AM35" i="98" s="1"/>
  <c r="L19" i="98" s="1"/>
  <c r="AL34" i="98"/>
  <c r="AL35" i="98" s="1"/>
  <c r="L18" i="98" s="1"/>
  <c r="AK34" i="98"/>
  <c r="AK35" i="98" s="1"/>
  <c r="L17" i="98" s="1"/>
  <c r="AJ34" i="98"/>
  <c r="AJ35" i="98" s="1"/>
  <c r="L16" i="98" s="1"/>
  <c r="AI34" i="98"/>
  <c r="AI35" i="98" s="1"/>
  <c r="L15" i="98" s="1"/>
  <c r="L14" i="98"/>
  <c r="AU34" i="98"/>
  <c r="AU35" i="98" s="1"/>
  <c r="M19" i="98" s="1"/>
  <c r="AT34" i="98"/>
  <c r="AT35" i="98" s="1"/>
  <c r="M18" i="98" s="1"/>
  <c r="AS34" i="98"/>
  <c r="AS35" i="98" s="1"/>
  <c r="M17" i="98" s="1"/>
  <c r="AR34" i="98"/>
  <c r="AR35" i="98" s="1"/>
  <c r="M16" i="98" s="1"/>
  <c r="AQ34" i="98"/>
  <c r="AQ35" i="98" s="1"/>
  <c r="M15" i="98" s="1"/>
  <c r="M14" i="98"/>
  <c r="S63" i="98"/>
  <c r="S64" i="98" s="1"/>
  <c r="S67" i="98" s="1"/>
  <c r="T63" i="98"/>
  <c r="T64" i="98" s="1"/>
  <c r="T67" i="98" s="1"/>
  <c r="U63" i="98"/>
  <c r="U64" i="98" s="1"/>
  <c r="U67" i="98" s="1"/>
  <c r="AA63" i="98"/>
  <c r="AA64" i="98" s="1"/>
  <c r="AA67" i="98" s="1"/>
  <c r="AB63" i="98"/>
  <c r="AB64" i="98" s="1"/>
  <c r="AB67" i="98" s="1"/>
  <c r="AC63" i="98"/>
  <c r="AC64" i="98" s="1"/>
  <c r="AC67" i="98" s="1"/>
  <c r="AI63" i="98"/>
  <c r="AI64" i="98" s="1"/>
  <c r="AI67" i="98" s="1"/>
  <c r="AJ63" i="98"/>
  <c r="AJ64" i="98" s="1"/>
  <c r="AJ67" i="98" s="1"/>
  <c r="AK63" i="98"/>
  <c r="AK64" i="98" s="1"/>
  <c r="AK67" i="98" s="1"/>
  <c r="AQ63" i="98"/>
  <c r="AQ64" i="98" s="1"/>
  <c r="AQ67" i="98" s="1"/>
  <c r="AR63" i="98"/>
  <c r="AR64" i="98" s="1"/>
  <c r="AR67" i="98" s="1"/>
  <c r="AS63" i="98"/>
  <c r="AS64" i="98" s="1"/>
  <c r="AS67" i="98" s="1"/>
  <c r="S19" i="98"/>
  <c r="S20" i="98" s="1"/>
  <c r="S22" i="98" s="1"/>
  <c r="T19" i="98"/>
  <c r="T20" i="98" s="1"/>
  <c r="T22" i="98" s="1"/>
  <c r="U19" i="98"/>
  <c r="U20" i="98" s="1"/>
  <c r="U22" i="98" s="1"/>
  <c r="AA19" i="98"/>
  <c r="AA20" i="98" s="1"/>
  <c r="AA22" i="98" s="1"/>
  <c r="AB19" i="98"/>
  <c r="AB20" i="98" s="1"/>
  <c r="AB22" i="98" s="1"/>
  <c r="AC19" i="98"/>
  <c r="AC20" i="98" s="1"/>
  <c r="AC22" i="98" s="1"/>
  <c r="AM34" i="97"/>
  <c r="AM35" i="97" s="1"/>
  <c r="L19" i="97" s="1"/>
  <c r="AL34" i="97"/>
  <c r="AL35" i="97" s="1"/>
  <c r="L18" i="97" s="1"/>
  <c r="AK34" i="97"/>
  <c r="AK35" i="97" s="1"/>
  <c r="L17" i="97" s="1"/>
  <c r="AJ34" i="97"/>
  <c r="AJ35" i="97" s="1"/>
  <c r="L16" i="97" s="1"/>
  <c r="AI34" i="97"/>
  <c r="AI35" i="97" s="1"/>
  <c r="L15" i="97" s="1"/>
  <c r="L14" i="97"/>
  <c r="AU34" i="97"/>
  <c r="AU35" i="97" s="1"/>
  <c r="M19" i="97" s="1"/>
  <c r="AT34" i="97"/>
  <c r="AT35" i="97" s="1"/>
  <c r="M18" i="97" s="1"/>
  <c r="AS34" i="97"/>
  <c r="AS35" i="97" s="1"/>
  <c r="M17" i="97" s="1"/>
  <c r="AR34" i="97"/>
  <c r="AR35" i="97" s="1"/>
  <c r="M16" i="97" s="1"/>
  <c r="AQ34" i="97"/>
  <c r="AQ35" i="97" s="1"/>
  <c r="M15" i="97" s="1"/>
  <c r="M14" i="97"/>
  <c r="S63" i="97"/>
  <c r="S64" i="97" s="1"/>
  <c r="S67" i="97" s="1"/>
  <c r="T63" i="97"/>
  <c r="T64" i="97" s="1"/>
  <c r="T67" i="97" s="1"/>
  <c r="U63" i="97"/>
  <c r="U64" i="97" s="1"/>
  <c r="U67" i="97" s="1"/>
  <c r="AA63" i="97"/>
  <c r="AA64" i="97" s="1"/>
  <c r="AA67" i="97" s="1"/>
  <c r="AB63" i="97"/>
  <c r="AB64" i="97" s="1"/>
  <c r="AB67" i="97" s="1"/>
  <c r="AC63" i="97"/>
  <c r="AC64" i="97" s="1"/>
  <c r="AC67" i="97" s="1"/>
  <c r="AI63" i="97"/>
  <c r="AI64" i="97" s="1"/>
  <c r="AI67" i="97" s="1"/>
  <c r="AJ63" i="97"/>
  <c r="AJ64" i="97" s="1"/>
  <c r="AJ67" i="97" s="1"/>
  <c r="AK63" i="97"/>
  <c r="AK64" i="97" s="1"/>
  <c r="AK67" i="97" s="1"/>
  <c r="AQ63" i="97"/>
  <c r="AQ64" i="97" s="1"/>
  <c r="AQ67" i="97" s="1"/>
  <c r="AR63" i="97"/>
  <c r="AR64" i="97" s="1"/>
  <c r="AR67" i="97" s="1"/>
  <c r="AS63" i="97"/>
  <c r="AS64" i="97" s="1"/>
  <c r="AS67" i="97" s="1"/>
  <c r="S19" i="97"/>
  <c r="S20" i="97" s="1"/>
  <c r="S22" i="97" s="1"/>
  <c r="T19" i="97"/>
  <c r="T20" i="97" s="1"/>
  <c r="T22" i="97" s="1"/>
  <c r="U19" i="97"/>
  <c r="U20" i="97" s="1"/>
  <c r="U22" i="97" s="1"/>
  <c r="AA19" i="97"/>
  <c r="AA20" i="97" s="1"/>
  <c r="AA22" i="97" s="1"/>
  <c r="AB19" i="97"/>
  <c r="AB20" i="97" s="1"/>
  <c r="AB22" i="97" s="1"/>
  <c r="AC19" i="97"/>
  <c r="AC20" i="97" s="1"/>
  <c r="AC22" i="97" s="1"/>
  <c r="AM34" i="96"/>
  <c r="AM35" i="96" s="1"/>
  <c r="L19" i="96" s="1"/>
  <c r="AL34" i="96"/>
  <c r="AL35" i="96" s="1"/>
  <c r="L18" i="96" s="1"/>
  <c r="AK34" i="96"/>
  <c r="AK35" i="96" s="1"/>
  <c r="L17" i="96" s="1"/>
  <c r="AJ34" i="96"/>
  <c r="AJ35" i="96" s="1"/>
  <c r="L16" i="96" s="1"/>
  <c r="AI34" i="96"/>
  <c r="AI35" i="96" s="1"/>
  <c r="L15" i="96" s="1"/>
  <c r="L14" i="96"/>
  <c r="AU34" i="96"/>
  <c r="AU35" i="96" s="1"/>
  <c r="M19" i="96" s="1"/>
  <c r="AT34" i="96"/>
  <c r="AT35" i="96" s="1"/>
  <c r="M18" i="96" s="1"/>
  <c r="AS34" i="96"/>
  <c r="AS35" i="96" s="1"/>
  <c r="M17" i="96" s="1"/>
  <c r="AR34" i="96"/>
  <c r="AR35" i="96" s="1"/>
  <c r="M16" i="96" s="1"/>
  <c r="AQ34" i="96"/>
  <c r="AQ35" i="96" s="1"/>
  <c r="M15" i="96" s="1"/>
  <c r="M14" i="96"/>
  <c r="S63" i="96"/>
  <c r="S64" i="96" s="1"/>
  <c r="S67" i="96" s="1"/>
  <c r="T63" i="96"/>
  <c r="T64" i="96" s="1"/>
  <c r="T67" i="96" s="1"/>
  <c r="U63" i="96"/>
  <c r="U64" i="96" s="1"/>
  <c r="U67" i="96" s="1"/>
  <c r="AA63" i="96"/>
  <c r="AA64" i="96" s="1"/>
  <c r="AA67" i="96" s="1"/>
  <c r="AB63" i="96"/>
  <c r="AB64" i="96" s="1"/>
  <c r="AB67" i="96" s="1"/>
  <c r="AC63" i="96"/>
  <c r="AC64" i="96" s="1"/>
  <c r="AC67" i="96" s="1"/>
  <c r="AI63" i="96"/>
  <c r="AI64" i="96" s="1"/>
  <c r="AI67" i="96" s="1"/>
  <c r="AJ63" i="96"/>
  <c r="AJ64" i="96" s="1"/>
  <c r="AJ67" i="96" s="1"/>
  <c r="AK63" i="96"/>
  <c r="AK64" i="96" s="1"/>
  <c r="AK67" i="96" s="1"/>
  <c r="AQ63" i="96"/>
  <c r="AQ64" i="96" s="1"/>
  <c r="AQ67" i="96" s="1"/>
  <c r="AR63" i="96"/>
  <c r="AR64" i="96" s="1"/>
  <c r="AR67" i="96" s="1"/>
  <c r="AS63" i="96"/>
  <c r="AS64" i="96" s="1"/>
  <c r="AS67" i="96" s="1"/>
  <c r="S19" i="96"/>
  <c r="S20" i="96" s="1"/>
  <c r="S22" i="96" s="1"/>
  <c r="T19" i="96"/>
  <c r="T20" i="96" s="1"/>
  <c r="T22" i="96" s="1"/>
  <c r="U19" i="96"/>
  <c r="U20" i="96" s="1"/>
  <c r="U22" i="96" s="1"/>
  <c r="AA19" i="96"/>
  <c r="AA20" i="96" s="1"/>
  <c r="AA22" i="96" s="1"/>
  <c r="AB19" i="96"/>
  <c r="AB20" i="96" s="1"/>
  <c r="AB22" i="96" s="1"/>
  <c r="AC19" i="96"/>
  <c r="AC20" i="96" s="1"/>
  <c r="AC22" i="96" s="1"/>
  <c r="AM34" i="95"/>
  <c r="AM35" i="95" s="1"/>
  <c r="L19" i="95" s="1"/>
  <c r="AL34" i="95"/>
  <c r="AL35" i="95" s="1"/>
  <c r="L18" i="95" s="1"/>
  <c r="AK34" i="95"/>
  <c r="AK35" i="95" s="1"/>
  <c r="L17" i="95" s="1"/>
  <c r="AJ34" i="95"/>
  <c r="AJ35" i="95" s="1"/>
  <c r="L16" i="95" s="1"/>
  <c r="AI34" i="95"/>
  <c r="AI35" i="95" s="1"/>
  <c r="L15" i="95" s="1"/>
  <c r="L14" i="95"/>
  <c r="AU34" i="95"/>
  <c r="AU35" i="95" s="1"/>
  <c r="M19" i="95" s="1"/>
  <c r="AT34" i="95"/>
  <c r="AT35" i="95" s="1"/>
  <c r="M18" i="95" s="1"/>
  <c r="AS34" i="95"/>
  <c r="AS35" i="95" s="1"/>
  <c r="M17" i="95" s="1"/>
  <c r="AR34" i="95"/>
  <c r="AR35" i="95" s="1"/>
  <c r="M16" i="95" s="1"/>
  <c r="AQ34" i="95"/>
  <c r="AQ35" i="95" s="1"/>
  <c r="M15" i="95" s="1"/>
  <c r="M14" i="95"/>
  <c r="S63" i="95"/>
  <c r="S64" i="95" s="1"/>
  <c r="S67" i="95" s="1"/>
  <c r="T63" i="95"/>
  <c r="T64" i="95" s="1"/>
  <c r="T67" i="95" s="1"/>
  <c r="U63" i="95"/>
  <c r="U64" i="95" s="1"/>
  <c r="U67" i="95" s="1"/>
  <c r="AA63" i="95"/>
  <c r="AA64" i="95" s="1"/>
  <c r="AA67" i="95" s="1"/>
  <c r="AB63" i="95"/>
  <c r="AB64" i="95" s="1"/>
  <c r="AB67" i="95" s="1"/>
  <c r="AC63" i="95"/>
  <c r="AC64" i="95" s="1"/>
  <c r="AC67" i="95" s="1"/>
  <c r="AI63" i="95"/>
  <c r="AI64" i="95" s="1"/>
  <c r="AI67" i="95" s="1"/>
  <c r="AJ63" i="95"/>
  <c r="AJ64" i="95" s="1"/>
  <c r="AJ67" i="95" s="1"/>
  <c r="AK63" i="95"/>
  <c r="AK64" i="95" s="1"/>
  <c r="AK67" i="95" s="1"/>
  <c r="AQ63" i="95"/>
  <c r="AQ64" i="95" s="1"/>
  <c r="AQ67" i="95" s="1"/>
  <c r="AR63" i="95"/>
  <c r="AR64" i="95" s="1"/>
  <c r="AR67" i="95" s="1"/>
  <c r="AS63" i="95"/>
  <c r="AS64" i="95" s="1"/>
  <c r="AS67" i="95" s="1"/>
  <c r="S19" i="95"/>
  <c r="S20" i="95" s="1"/>
  <c r="S22" i="95" s="1"/>
  <c r="T19" i="95"/>
  <c r="T20" i="95" s="1"/>
  <c r="T22" i="95" s="1"/>
  <c r="U19" i="95"/>
  <c r="U20" i="95" s="1"/>
  <c r="U22" i="95" s="1"/>
  <c r="AA19" i="95"/>
  <c r="AA20" i="95" s="1"/>
  <c r="AA22" i="95" s="1"/>
  <c r="AB19" i="95"/>
  <c r="AB20" i="95" s="1"/>
  <c r="AB22" i="95" s="1"/>
  <c r="AC19" i="95"/>
  <c r="AC20" i="95" s="1"/>
  <c r="AC22" i="95" s="1"/>
  <c r="AM34" i="94"/>
  <c r="AM35" i="94" s="1"/>
  <c r="L19" i="94" s="1"/>
  <c r="AL34" i="94"/>
  <c r="AL35" i="94" s="1"/>
  <c r="L18" i="94" s="1"/>
  <c r="AK34" i="94"/>
  <c r="AK35" i="94" s="1"/>
  <c r="L17" i="94" s="1"/>
  <c r="AJ34" i="94"/>
  <c r="AJ35" i="94" s="1"/>
  <c r="L16" i="94" s="1"/>
  <c r="AI34" i="94"/>
  <c r="AI35" i="94" s="1"/>
  <c r="L15" i="94" s="1"/>
  <c r="L14" i="94"/>
  <c r="AU34" i="94"/>
  <c r="AU35" i="94" s="1"/>
  <c r="M19" i="94" s="1"/>
  <c r="AT34" i="94"/>
  <c r="AT35" i="94" s="1"/>
  <c r="M18" i="94" s="1"/>
  <c r="AS34" i="94"/>
  <c r="AS35" i="94" s="1"/>
  <c r="M17" i="94" s="1"/>
  <c r="AR34" i="94"/>
  <c r="AR35" i="94" s="1"/>
  <c r="M16" i="94" s="1"/>
  <c r="AQ34" i="94"/>
  <c r="AQ35" i="94" s="1"/>
  <c r="M15" i="94" s="1"/>
  <c r="M14" i="94"/>
  <c r="S63" i="94"/>
  <c r="S64" i="94" s="1"/>
  <c r="S67" i="94" s="1"/>
  <c r="T63" i="94"/>
  <c r="T64" i="94" s="1"/>
  <c r="T67" i="94" s="1"/>
  <c r="U63" i="94"/>
  <c r="U64" i="94" s="1"/>
  <c r="U67" i="94" s="1"/>
  <c r="AA63" i="94"/>
  <c r="AA64" i="94" s="1"/>
  <c r="AA67" i="94" s="1"/>
  <c r="AB63" i="94"/>
  <c r="AB64" i="94" s="1"/>
  <c r="AB67" i="94" s="1"/>
  <c r="AC63" i="94"/>
  <c r="AC64" i="94" s="1"/>
  <c r="AC67" i="94" s="1"/>
  <c r="AI63" i="94"/>
  <c r="AI64" i="94" s="1"/>
  <c r="AI67" i="94" s="1"/>
  <c r="AJ63" i="94"/>
  <c r="AJ64" i="94" s="1"/>
  <c r="AJ67" i="94" s="1"/>
  <c r="AK63" i="94"/>
  <c r="AK64" i="94" s="1"/>
  <c r="AK67" i="94" s="1"/>
  <c r="AQ63" i="94"/>
  <c r="AQ64" i="94" s="1"/>
  <c r="AQ67" i="94" s="1"/>
  <c r="AR63" i="94"/>
  <c r="AR64" i="94" s="1"/>
  <c r="AR67" i="94" s="1"/>
  <c r="AS63" i="94"/>
  <c r="AS64" i="94" s="1"/>
  <c r="AS67" i="94" s="1"/>
  <c r="S19" i="94"/>
  <c r="S20" i="94" s="1"/>
  <c r="S22" i="94" s="1"/>
  <c r="T19" i="94"/>
  <c r="T20" i="94" s="1"/>
  <c r="T22" i="94" s="1"/>
  <c r="U19" i="94"/>
  <c r="U20" i="94" s="1"/>
  <c r="U22" i="94" s="1"/>
  <c r="AA19" i="94"/>
  <c r="AA20" i="94" s="1"/>
  <c r="AA22" i="94" s="1"/>
  <c r="AB19" i="94"/>
  <c r="AB20" i="94" s="1"/>
  <c r="AB22" i="94" s="1"/>
  <c r="AC19" i="94"/>
  <c r="AC20" i="94" s="1"/>
  <c r="AC22" i="94" s="1"/>
  <c r="M20" i="94" l="1"/>
  <c r="L20" i="94"/>
  <c r="M20" i="95"/>
  <c r="L20" i="95"/>
  <c r="M20" i="96"/>
  <c r="L20" i="96"/>
  <c r="M20" i="97"/>
  <c r="L20" i="97"/>
  <c r="M20" i="98"/>
  <c r="L20" i="98"/>
  <c r="AA25" i="98"/>
  <c r="AA27" i="98" s="1"/>
  <c r="AA30" i="98" s="1"/>
  <c r="S25" i="98"/>
  <c r="S27" i="98" s="1"/>
  <c r="S30" i="98" s="1"/>
  <c r="AQ70" i="98"/>
  <c r="AQ72" i="98" s="1"/>
  <c r="AQ75" i="98" s="1"/>
  <c r="AI70" i="98"/>
  <c r="AI72" i="98" s="1"/>
  <c r="AI75" i="98" s="1"/>
  <c r="AA70" i="98"/>
  <c r="AA72" i="98" s="1"/>
  <c r="AA75" i="98" s="1"/>
  <c r="S70" i="98"/>
  <c r="S72" i="98" s="1"/>
  <c r="S75" i="98" s="1"/>
  <c r="AA25" i="97"/>
  <c r="AA27" i="97" s="1"/>
  <c r="AA30" i="97" s="1"/>
  <c r="S25" i="97"/>
  <c r="S27" i="97" s="1"/>
  <c r="S30" i="97" s="1"/>
  <c r="AQ70" i="97"/>
  <c r="AQ72" i="97" s="1"/>
  <c r="AQ75" i="97" s="1"/>
  <c r="AI70" i="97"/>
  <c r="AI72" i="97" s="1"/>
  <c r="AI75" i="97" s="1"/>
  <c r="AA70" i="97"/>
  <c r="AA72" i="97" s="1"/>
  <c r="AA75" i="97" s="1"/>
  <c r="S70" i="97"/>
  <c r="S72" i="97" s="1"/>
  <c r="S75" i="97" s="1"/>
  <c r="AA25" i="96"/>
  <c r="AA27" i="96" s="1"/>
  <c r="AA30" i="96" s="1"/>
  <c r="S25" i="96"/>
  <c r="S27" i="96" s="1"/>
  <c r="S30" i="96" s="1"/>
  <c r="AQ70" i="96"/>
  <c r="AQ72" i="96" s="1"/>
  <c r="AQ75" i="96" s="1"/>
  <c r="AI70" i="96"/>
  <c r="AI72" i="96" s="1"/>
  <c r="AI75" i="96" s="1"/>
  <c r="AA70" i="96"/>
  <c r="AA72" i="96" s="1"/>
  <c r="AA75" i="96" s="1"/>
  <c r="S70" i="96"/>
  <c r="S72" i="96" s="1"/>
  <c r="S75" i="96" s="1"/>
  <c r="AA25" i="95"/>
  <c r="AA27" i="95" s="1"/>
  <c r="AA30" i="95" s="1"/>
  <c r="S25" i="95"/>
  <c r="S27" i="95" s="1"/>
  <c r="S30" i="95" s="1"/>
  <c r="AQ70" i="95"/>
  <c r="AQ72" i="95" s="1"/>
  <c r="AQ75" i="95" s="1"/>
  <c r="AI70" i="95"/>
  <c r="AI72" i="95" s="1"/>
  <c r="AI75" i="95" s="1"/>
  <c r="AA70" i="95"/>
  <c r="AA72" i="95" s="1"/>
  <c r="AA75" i="95" s="1"/>
  <c r="S70" i="95"/>
  <c r="S72" i="95" s="1"/>
  <c r="S75" i="95" s="1"/>
  <c r="AA25" i="94"/>
  <c r="AA27" i="94" s="1"/>
  <c r="AA30" i="94" s="1"/>
  <c r="S25" i="94"/>
  <c r="S27" i="94" s="1"/>
  <c r="S30" i="94" s="1"/>
  <c r="AQ70" i="94"/>
  <c r="AQ72" i="94" s="1"/>
  <c r="AQ75" i="94" s="1"/>
  <c r="AI70" i="94"/>
  <c r="AI72" i="94" s="1"/>
  <c r="AI75" i="94" s="1"/>
  <c r="AA70" i="94"/>
  <c r="AA72" i="94" s="1"/>
  <c r="AA75" i="94" s="1"/>
  <c r="S70" i="94"/>
  <c r="S72" i="94" s="1"/>
  <c r="S75" i="94" s="1"/>
  <c r="W79" i="98" l="1"/>
  <c r="W80" i="98" s="1"/>
  <c r="N10" i="98" s="1"/>
  <c r="V79" i="98"/>
  <c r="V80" i="98" s="1"/>
  <c r="N9" i="98" s="1"/>
  <c r="U79" i="98"/>
  <c r="U80" i="98" s="1"/>
  <c r="N8" i="98" s="1"/>
  <c r="T79" i="98"/>
  <c r="T80" i="98" s="1"/>
  <c r="N7" i="98" s="1"/>
  <c r="S79" i="98"/>
  <c r="S80" i="98" s="1"/>
  <c r="N6" i="98" s="1"/>
  <c r="N11" i="98" s="1"/>
  <c r="N5" i="98"/>
  <c r="AE79" i="98"/>
  <c r="AE80" i="98" s="1"/>
  <c r="AD79" i="98"/>
  <c r="AD80" i="98" s="1"/>
  <c r="AC79" i="98"/>
  <c r="AC80" i="98" s="1"/>
  <c r="AB79" i="98"/>
  <c r="AB80" i="98" s="1"/>
  <c r="AA79" i="98"/>
  <c r="AA80" i="98" s="1"/>
  <c r="O5" i="98"/>
  <c r="AM79" i="98"/>
  <c r="AM80" i="98" s="1"/>
  <c r="N19" i="98" s="1"/>
  <c r="AL79" i="98"/>
  <c r="AL80" i="98" s="1"/>
  <c r="N18" i="98" s="1"/>
  <c r="AK79" i="98"/>
  <c r="AK80" i="98" s="1"/>
  <c r="N17" i="98" s="1"/>
  <c r="AJ79" i="98"/>
  <c r="AJ80" i="98" s="1"/>
  <c r="N16" i="98" s="1"/>
  <c r="AI79" i="98"/>
  <c r="AI80" i="98" s="1"/>
  <c r="N15" i="98" s="1"/>
  <c r="N20" i="98" s="1"/>
  <c r="N14" i="98"/>
  <c r="AU79" i="98"/>
  <c r="AU80" i="98" s="1"/>
  <c r="AT79" i="98"/>
  <c r="AT80" i="98" s="1"/>
  <c r="AS79" i="98"/>
  <c r="AS80" i="98" s="1"/>
  <c r="AR79" i="98"/>
  <c r="AR80" i="98" s="1"/>
  <c r="AQ79" i="98"/>
  <c r="AQ80" i="98" s="1"/>
  <c r="O14" i="98"/>
  <c r="W34" i="98"/>
  <c r="W35" i="98" s="1"/>
  <c r="L10" i="98" s="1"/>
  <c r="V34" i="98"/>
  <c r="V35" i="98" s="1"/>
  <c r="L9" i="98" s="1"/>
  <c r="U34" i="98"/>
  <c r="U35" i="98" s="1"/>
  <c r="L8" i="98" s="1"/>
  <c r="T34" i="98"/>
  <c r="T35" i="98" s="1"/>
  <c r="L7" i="98" s="1"/>
  <c r="S34" i="98"/>
  <c r="S35" i="98" s="1"/>
  <c r="L6" i="98" s="1"/>
  <c r="L11" i="98" s="1"/>
  <c r="L5" i="98"/>
  <c r="AE34" i="98"/>
  <c r="AE35" i="98" s="1"/>
  <c r="M10" i="98" s="1"/>
  <c r="AD34" i="98"/>
  <c r="AD35" i="98" s="1"/>
  <c r="M9" i="98" s="1"/>
  <c r="AC34" i="98"/>
  <c r="AC35" i="98" s="1"/>
  <c r="M8" i="98" s="1"/>
  <c r="AB34" i="98"/>
  <c r="AB35" i="98" s="1"/>
  <c r="M7" i="98" s="1"/>
  <c r="AA34" i="98"/>
  <c r="AA35" i="98" s="1"/>
  <c r="M6" i="98" s="1"/>
  <c r="M11" i="98" s="1"/>
  <c r="M5" i="98"/>
  <c r="W79" i="97"/>
  <c r="W80" i="97" s="1"/>
  <c r="N10" i="97" s="1"/>
  <c r="V79" i="97"/>
  <c r="V80" i="97" s="1"/>
  <c r="N9" i="97" s="1"/>
  <c r="U79" i="97"/>
  <c r="U80" i="97" s="1"/>
  <c r="N8" i="97" s="1"/>
  <c r="T79" i="97"/>
  <c r="T80" i="97" s="1"/>
  <c r="N7" i="97" s="1"/>
  <c r="S79" i="97"/>
  <c r="S80" i="97" s="1"/>
  <c r="N6" i="97" s="1"/>
  <c r="N11" i="97" s="1"/>
  <c r="N5" i="97"/>
  <c r="AE79" i="97"/>
  <c r="AE80" i="97" s="1"/>
  <c r="AD79" i="97"/>
  <c r="AD80" i="97" s="1"/>
  <c r="AC79" i="97"/>
  <c r="AC80" i="97" s="1"/>
  <c r="AB79" i="97"/>
  <c r="AB80" i="97" s="1"/>
  <c r="AA79" i="97"/>
  <c r="AA80" i="97" s="1"/>
  <c r="O5" i="97"/>
  <c r="AM79" i="97"/>
  <c r="AM80" i="97" s="1"/>
  <c r="N19" i="97" s="1"/>
  <c r="AL79" i="97"/>
  <c r="AL80" i="97" s="1"/>
  <c r="N18" i="97" s="1"/>
  <c r="AK79" i="97"/>
  <c r="AK80" i="97" s="1"/>
  <c r="N17" i="97" s="1"/>
  <c r="AJ79" i="97"/>
  <c r="AJ80" i="97" s="1"/>
  <c r="N16" i="97" s="1"/>
  <c r="AI79" i="97"/>
  <c r="AI80" i="97" s="1"/>
  <c r="N15" i="97" s="1"/>
  <c r="N20" i="97" s="1"/>
  <c r="N14" i="97"/>
  <c r="AU79" i="97"/>
  <c r="AU80" i="97" s="1"/>
  <c r="AT79" i="97"/>
  <c r="AT80" i="97" s="1"/>
  <c r="AS79" i="97"/>
  <c r="AS80" i="97" s="1"/>
  <c r="AR79" i="97"/>
  <c r="AR80" i="97" s="1"/>
  <c r="AQ79" i="97"/>
  <c r="AQ80" i="97" s="1"/>
  <c r="O14" i="97"/>
  <c r="W34" i="97"/>
  <c r="W35" i="97" s="1"/>
  <c r="L10" i="97" s="1"/>
  <c r="V34" i="97"/>
  <c r="V35" i="97" s="1"/>
  <c r="L9" i="97" s="1"/>
  <c r="U34" i="97"/>
  <c r="U35" i="97" s="1"/>
  <c r="L8" i="97" s="1"/>
  <c r="T34" i="97"/>
  <c r="T35" i="97" s="1"/>
  <c r="L7" i="97" s="1"/>
  <c r="S34" i="97"/>
  <c r="S35" i="97" s="1"/>
  <c r="L6" i="97" s="1"/>
  <c r="L11" i="97" s="1"/>
  <c r="L5" i="97"/>
  <c r="AE34" i="97"/>
  <c r="AE35" i="97" s="1"/>
  <c r="M10" i="97" s="1"/>
  <c r="AD34" i="97"/>
  <c r="AD35" i="97" s="1"/>
  <c r="M9" i="97" s="1"/>
  <c r="AC34" i="97"/>
  <c r="AC35" i="97" s="1"/>
  <c r="M8" i="97" s="1"/>
  <c r="AB34" i="97"/>
  <c r="AB35" i="97" s="1"/>
  <c r="M7" i="97" s="1"/>
  <c r="AA34" i="97"/>
  <c r="AA35" i="97" s="1"/>
  <c r="M6" i="97" s="1"/>
  <c r="M11" i="97" s="1"/>
  <c r="M5" i="97"/>
  <c r="W79" i="96"/>
  <c r="W80" i="96" s="1"/>
  <c r="N10" i="96" s="1"/>
  <c r="V79" i="96"/>
  <c r="V80" i="96" s="1"/>
  <c r="N9" i="96" s="1"/>
  <c r="U79" i="96"/>
  <c r="U80" i="96" s="1"/>
  <c r="N8" i="96" s="1"/>
  <c r="T79" i="96"/>
  <c r="T80" i="96" s="1"/>
  <c r="N7" i="96" s="1"/>
  <c r="S79" i="96"/>
  <c r="S80" i="96" s="1"/>
  <c r="N6" i="96" s="1"/>
  <c r="N11" i="96" s="1"/>
  <c r="N5" i="96"/>
  <c r="AE79" i="96"/>
  <c r="AE80" i="96" s="1"/>
  <c r="AD79" i="96"/>
  <c r="AD80" i="96" s="1"/>
  <c r="AC79" i="96"/>
  <c r="AC80" i="96" s="1"/>
  <c r="AB79" i="96"/>
  <c r="AB80" i="96" s="1"/>
  <c r="AA79" i="96"/>
  <c r="AA80" i="96" s="1"/>
  <c r="O5" i="96"/>
  <c r="AM79" i="96"/>
  <c r="AM80" i="96" s="1"/>
  <c r="N19" i="96" s="1"/>
  <c r="AL79" i="96"/>
  <c r="AL80" i="96" s="1"/>
  <c r="N18" i="96" s="1"/>
  <c r="AK79" i="96"/>
  <c r="AK80" i="96" s="1"/>
  <c r="N17" i="96" s="1"/>
  <c r="AJ79" i="96"/>
  <c r="AJ80" i="96" s="1"/>
  <c r="N16" i="96" s="1"/>
  <c r="AI79" i="96"/>
  <c r="AI80" i="96" s="1"/>
  <c r="N15" i="96" s="1"/>
  <c r="N20" i="96" s="1"/>
  <c r="N14" i="96"/>
  <c r="AU79" i="96"/>
  <c r="AU80" i="96" s="1"/>
  <c r="AT79" i="96"/>
  <c r="AT80" i="96" s="1"/>
  <c r="AS79" i="96"/>
  <c r="AS80" i="96" s="1"/>
  <c r="AR79" i="96"/>
  <c r="AR80" i="96" s="1"/>
  <c r="AQ79" i="96"/>
  <c r="AQ80" i="96" s="1"/>
  <c r="O14" i="96"/>
  <c r="W34" i="96"/>
  <c r="W35" i="96" s="1"/>
  <c r="L10" i="96" s="1"/>
  <c r="V34" i="96"/>
  <c r="V35" i="96" s="1"/>
  <c r="L9" i="96" s="1"/>
  <c r="U34" i="96"/>
  <c r="U35" i="96" s="1"/>
  <c r="L8" i="96" s="1"/>
  <c r="T34" i="96"/>
  <c r="T35" i="96" s="1"/>
  <c r="L7" i="96" s="1"/>
  <c r="S34" i="96"/>
  <c r="S35" i="96" s="1"/>
  <c r="L6" i="96" s="1"/>
  <c r="L11" i="96" s="1"/>
  <c r="L5" i="96"/>
  <c r="AE34" i="96"/>
  <c r="AE35" i="96" s="1"/>
  <c r="M10" i="96" s="1"/>
  <c r="AD34" i="96"/>
  <c r="AD35" i="96" s="1"/>
  <c r="M9" i="96" s="1"/>
  <c r="AC34" i="96"/>
  <c r="AC35" i="96" s="1"/>
  <c r="M8" i="96" s="1"/>
  <c r="AB34" i="96"/>
  <c r="AB35" i="96" s="1"/>
  <c r="M7" i="96" s="1"/>
  <c r="AA34" i="96"/>
  <c r="AA35" i="96" s="1"/>
  <c r="M6" i="96" s="1"/>
  <c r="M11" i="96" s="1"/>
  <c r="M5" i="96"/>
  <c r="W79" i="95"/>
  <c r="W80" i="95" s="1"/>
  <c r="N10" i="95" s="1"/>
  <c r="V79" i="95"/>
  <c r="V80" i="95" s="1"/>
  <c r="N9" i="95" s="1"/>
  <c r="U79" i="95"/>
  <c r="U80" i="95" s="1"/>
  <c r="N8" i="95" s="1"/>
  <c r="T79" i="95"/>
  <c r="T80" i="95" s="1"/>
  <c r="N7" i="95" s="1"/>
  <c r="S79" i="95"/>
  <c r="S80" i="95" s="1"/>
  <c r="N6" i="95" s="1"/>
  <c r="N11" i="95" s="1"/>
  <c r="N5" i="95"/>
  <c r="AE79" i="95"/>
  <c r="AE80" i="95" s="1"/>
  <c r="AD79" i="95"/>
  <c r="AD80" i="95" s="1"/>
  <c r="AC79" i="95"/>
  <c r="AC80" i="95" s="1"/>
  <c r="AB79" i="95"/>
  <c r="AB80" i="95" s="1"/>
  <c r="AA79" i="95"/>
  <c r="AA80" i="95" s="1"/>
  <c r="O5" i="95"/>
  <c r="AM79" i="95"/>
  <c r="AM80" i="95" s="1"/>
  <c r="N19" i="95" s="1"/>
  <c r="AL79" i="95"/>
  <c r="AL80" i="95" s="1"/>
  <c r="N18" i="95" s="1"/>
  <c r="AK79" i="95"/>
  <c r="AK80" i="95" s="1"/>
  <c r="N17" i="95" s="1"/>
  <c r="AJ79" i="95"/>
  <c r="AJ80" i="95" s="1"/>
  <c r="N16" i="95" s="1"/>
  <c r="AI79" i="95"/>
  <c r="AI80" i="95" s="1"/>
  <c r="N15" i="95" s="1"/>
  <c r="N20" i="95" s="1"/>
  <c r="N14" i="95"/>
  <c r="AU79" i="95"/>
  <c r="AU80" i="95" s="1"/>
  <c r="AT79" i="95"/>
  <c r="AT80" i="95" s="1"/>
  <c r="AS79" i="95"/>
  <c r="AS80" i="95" s="1"/>
  <c r="AR79" i="95"/>
  <c r="AR80" i="95" s="1"/>
  <c r="AQ79" i="95"/>
  <c r="AQ80" i="95" s="1"/>
  <c r="O14" i="95"/>
  <c r="W34" i="95"/>
  <c r="W35" i="95" s="1"/>
  <c r="L10" i="95" s="1"/>
  <c r="V34" i="95"/>
  <c r="V35" i="95" s="1"/>
  <c r="L9" i="95" s="1"/>
  <c r="U34" i="95"/>
  <c r="U35" i="95" s="1"/>
  <c r="L8" i="95" s="1"/>
  <c r="T34" i="95"/>
  <c r="T35" i="95" s="1"/>
  <c r="L7" i="95" s="1"/>
  <c r="S34" i="95"/>
  <c r="S35" i="95" s="1"/>
  <c r="L6" i="95" s="1"/>
  <c r="L11" i="95" s="1"/>
  <c r="L5" i="95"/>
  <c r="AE34" i="95"/>
  <c r="AE35" i="95" s="1"/>
  <c r="M10" i="95" s="1"/>
  <c r="AD34" i="95"/>
  <c r="AD35" i="95" s="1"/>
  <c r="M9" i="95" s="1"/>
  <c r="AC34" i="95"/>
  <c r="AC35" i="95" s="1"/>
  <c r="M8" i="95" s="1"/>
  <c r="AB34" i="95"/>
  <c r="AB35" i="95" s="1"/>
  <c r="M7" i="95" s="1"/>
  <c r="AA34" i="95"/>
  <c r="AA35" i="95" s="1"/>
  <c r="M6" i="95" s="1"/>
  <c r="M11" i="95" s="1"/>
  <c r="M5" i="95"/>
  <c r="W79" i="94"/>
  <c r="W80" i="94" s="1"/>
  <c r="N10" i="94" s="1"/>
  <c r="V79" i="94"/>
  <c r="V80" i="94" s="1"/>
  <c r="N9" i="94" s="1"/>
  <c r="U79" i="94"/>
  <c r="U80" i="94" s="1"/>
  <c r="N8" i="94" s="1"/>
  <c r="T79" i="94"/>
  <c r="T80" i="94" s="1"/>
  <c r="N7" i="94" s="1"/>
  <c r="S79" i="94"/>
  <c r="S80" i="94" s="1"/>
  <c r="N6" i="94" s="1"/>
  <c r="N11" i="94" s="1"/>
  <c r="N5" i="94"/>
  <c r="AE79" i="94"/>
  <c r="AE80" i="94" s="1"/>
  <c r="AD79" i="94"/>
  <c r="AD80" i="94" s="1"/>
  <c r="AC79" i="94"/>
  <c r="AC80" i="94" s="1"/>
  <c r="AB79" i="94"/>
  <c r="AB80" i="94" s="1"/>
  <c r="AA79" i="94"/>
  <c r="AA80" i="94" s="1"/>
  <c r="O5" i="94"/>
  <c r="AM79" i="94"/>
  <c r="AM80" i="94" s="1"/>
  <c r="N19" i="94" s="1"/>
  <c r="AL79" i="94"/>
  <c r="AL80" i="94" s="1"/>
  <c r="N18" i="94" s="1"/>
  <c r="AK79" i="94"/>
  <c r="AK80" i="94" s="1"/>
  <c r="N17" i="94" s="1"/>
  <c r="AJ79" i="94"/>
  <c r="AJ80" i="94" s="1"/>
  <c r="N16" i="94" s="1"/>
  <c r="AI79" i="94"/>
  <c r="AI80" i="94" s="1"/>
  <c r="N15" i="94" s="1"/>
  <c r="N20" i="94" s="1"/>
  <c r="N14" i="94"/>
  <c r="AU79" i="94"/>
  <c r="AU80" i="94" s="1"/>
  <c r="AT79" i="94"/>
  <c r="AT80" i="94" s="1"/>
  <c r="AS79" i="94"/>
  <c r="AS80" i="94" s="1"/>
  <c r="AR79" i="94"/>
  <c r="AR80" i="94" s="1"/>
  <c r="AQ79" i="94"/>
  <c r="AQ80" i="94" s="1"/>
  <c r="O14" i="94"/>
  <c r="W34" i="94"/>
  <c r="W35" i="94" s="1"/>
  <c r="L10" i="94" s="1"/>
  <c r="V34" i="94"/>
  <c r="V35" i="94" s="1"/>
  <c r="L9" i="94" s="1"/>
  <c r="U34" i="94"/>
  <c r="U35" i="94" s="1"/>
  <c r="L8" i="94" s="1"/>
  <c r="T34" i="94"/>
  <c r="T35" i="94" s="1"/>
  <c r="L7" i="94" s="1"/>
  <c r="S34" i="94"/>
  <c r="S35" i="94" s="1"/>
  <c r="L6" i="94" s="1"/>
  <c r="L11" i="94" s="1"/>
  <c r="L5" i="94"/>
  <c r="AE34" i="94"/>
  <c r="AE35" i="94" s="1"/>
  <c r="M10" i="94" s="1"/>
  <c r="AD34" i="94"/>
  <c r="AD35" i="94" s="1"/>
  <c r="M9" i="94" s="1"/>
  <c r="AC34" i="94"/>
  <c r="AC35" i="94" s="1"/>
  <c r="M8" i="94" s="1"/>
  <c r="AB34" i="94"/>
  <c r="AB35" i="94" s="1"/>
  <c r="M7" i="94" s="1"/>
  <c r="AA34" i="94"/>
  <c r="AA35" i="94" s="1"/>
  <c r="M6" i="94" s="1"/>
  <c r="M11" i="94" s="1"/>
  <c r="M5" i="94"/>
  <c r="AU78" i="16" l="1"/>
  <c r="AT78" i="16"/>
  <c r="AS78" i="16"/>
  <c r="AR78" i="16"/>
  <c r="AQ78" i="16"/>
  <c r="AM78" i="16"/>
  <c r="AL78" i="16"/>
  <c r="AK78" i="16"/>
  <c r="AJ78" i="16"/>
  <c r="AI78" i="16"/>
  <c r="AQ73" i="16"/>
  <c r="AI73" i="16"/>
  <c r="AU66" i="16"/>
  <c r="AT66" i="16"/>
  <c r="AS66" i="16"/>
  <c r="AR66" i="16"/>
  <c r="AQ66" i="16"/>
  <c r="AM66" i="16"/>
  <c r="AL66" i="16"/>
  <c r="AK66" i="16"/>
  <c r="AJ66" i="16"/>
  <c r="AI66" i="16"/>
  <c r="AU56" i="16"/>
  <c r="AT56" i="16"/>
  <c r="AS56" i="16"/>
  <c r="AR56" i="16"/>
  <c r="AQ56" i="16"/>
  <c r="AM56" i="16"/>
  <c r="AL56" i="16"/>
  <c r="AK56" i="16"/>
  <c r="AJ56" i="16"/>
  <c r="AI56" i="16"/>
  <c r="AU52" i="16"/>
  <c r="AT52" i="16"/>
  <c r="AS52" i="16"/>
  <c r="AR52" i="16"/>
  <c r="AQ52" i="16"/>
  <c r="AM52" i="16"/>
  <c r="AL52" i="16"/>
  <c r="AK52" i="16"/>
  <c r="AJ52" i="16"/>
  <c r="AI52" i="16"/>
  <c r="AU50" i="16"/>
  <c r="AT50" i="16"/>
  <c r="AS50" i="16"/>
  <c r="AR50" i="16"/>
  <c r="AQ50" i="16"/>
  <c r="AM50" i="16"/>
  <c r="AL50" i="16"/>
  <c r="AK50" i="16"/>
  <c r="AJ50" i="16"/>
  <c r="AI50" i="16"/>
  <c r="AU49" i="16"/>
  <c r="AU53" i="16" s="1"/>
  <c r="AT49" i="16"/>
  <c r="AM49" i="16"/>
  <c r="AL49" i="16"/>
  <c r="AL53" i="16" s="1"/>
  <c r="AU48" i="16"/>
  <c r="AT48" i="16"/>
  <c r="AS48" i="16"/>
  <c r="AS49" i="16" s="1"/>
  <c r="AS53" i="16" s="1"/>
  <c r="AR48" i="16"/>
  <c r="AR49" i="16" s="1"/>
  <c r="AR53" i="16" s="1"/>
  <c r="AQ48" i="16"/>
  <c r="AQ49" i="16" s="1"/>
  <c r="AM48" i="16"/>
  <c r="AL48" i="16"/>
  <c r="AK48" i="16"/>
  <c r="AK49" i="16" s="1"/>
  <c r="AK53" i="16" s="1"/>
  <c r="AJ48" i="16"/>
  <c r="AJ49" i="16" s="1"/>
  <c r="AJ53" i="16" s="1"/>
  <c r="AI48" i="16"/>
  <c r="AI49" i="16" s="1"/>
  <c r="AI53" i="16" s="1"/>
  <c r="AU33" i="16"/>
  <c r="AT33" i="16"/>
  <c r="AS33" i="16"/>
  <c r="AR33" i="16"/>
  <c r="AQ33" i="16"/>
  <c r="AM33" i="16"/>
  <c r="AL33" i="16"/>
  <c r="AK33" i="16"/>
  <c r="AJ33" i="16"/>
  <c r="AI33" i="16"/>
  <c r="AQ28" i="16"/>
  <c r="AI28" i="16"/>
  <c r="AU21" i="16"/>
  <c r="AT21" i="16"/>
  <c r="AS21" i="16"/>
  <c r="AR21" i="16"/>
  <c r="AQ21" i="16"/>
  <c r="AM21" i="16"/>
  <c r="AL21" i="16"/>
  <c r="AK21" i="16"/>
  <c r="AJ21" i="16"/>
  <c r="AI21" i="16"/>
  <c r="AU12" i="16"/>
  <c r="AT12" i="16"/>
  <c r="AS12" i="16"/>
  <c r="AR12" i="16"/>
  <c r="AQ12" i="16"/>
  <c r="AM12" i="16"/>
  <c r="AL12" i="16"/>
  <c r="AK12" i="16"/>
  <c r="AJ12" i="16"/>
  <c r="AI12" i="16"/>
  <c r="AU8" i="16"/>
  <c r="AT8" i="16"/>
  <c r="AS8" i="16"/>
  <c r="AR8" i="16"/>
  <c r="AQ8" i="16"/>
  <c r="AM8" i="16"/>
  <c r="AL8" i="16"/>
  <c r="AK8" i="16"/>
  <c r="AJ8" i="16"/>
  <c r="AI8" i="16"/>
  <c r="AU5" i="16"/>
  <c r="AT5" i="16"/>
  <c r="AS5" i="16"/>
  <c r="AR5" i="16"/>
  <c r="AQ5" i="16"/>
  <c r="AM5" i="16"/>
  <c r="AL5" i="16"/>
  <c r="AK5" i="16"/>
  <c r="AJ5" i="16"/>
  <c r="AI5" i="16"/>
  <c r="AM4" i="16"/>
  <c r="AL4" i="16"/>
  <c r="AK4" i="16"/>
  <c r="AJ4" i="16"/>
  <c r="AI4" i="16"/>
  <c r="AU3" i="16"/>
  <c r="AU9" i="16" s="1"/>
  <c r="AT3" i="16"/>
  <c r="AT9" i="16" s="1"/>
  <c r="AS3" i="16"/>
  <c r="AR3" i="16"/>
  <c r="AR9" i="16" s="1"/>
  <c r="AQ3" i="16"/>
  <c r="AQ9" i="16" s="1"/>
  <c r="AM3" i="16"/>
  <c r="AL3" i="16"/>
  <c r="AL9" i="16" s="1"/>
  <c r="AK3" i="16"/>
  <c r="AK9" i="16" s="1"/>
  <c r="AJ3" i="16"/>
  <c r="AI3" i="16"/>
  <c r="AI9" i="16" s="1"/>
  <c r="AJ9" i="16" l="1"/>
  <c r="AM9" i="16"/>
  <c r="AS9" i="16"/>
  <c r="AT53" i="16"/>
  <c r="AQ53" i="16"/>
  <c r="AM53" i="16"/>
  <c r="H3" i="84"/>
  <c r="H3" i="85"/>
  <c r="H3" i="86"/>
  <c r="H3" i="87"/>
  <c r="H3" i="83"/>
  <c r="H3" i="77"/>
  <c r="H3" i="78"/>
  <c r="H3" i="79"/>
  <c r="H3" i="80"/>
  <c r="H3" i="76"/>
  <c r="H3" i="55"/>
  <c r="H3" i="56"/>
  <c r="H3" i="57"/>
  <c r="H3" i="58"/>
  <c r="H3" i="54"/>
  <c r="H3" i="49"/>
  <c r="H3" i="50"/>
  <c r="H3" i="51"/>
  <c r="H3" i="52"/>
  <c r="H3" i="48"/>
  <c r="H3" i="43"/>
  <c r="H3" i="44"/>
  <c r="H3" i="45"/>
  <c r="H3" i="46"/>
  <c r="H3" i="42"/>
  <c r="H3" i="37"/>
  <c r="H3" i="38"/>
  <c r="H3" i="39"/>
  <c r="H3" i="40"/>
  <c r="H3" i="36"/>
  <c r="H3" i="30"/>
  <c r="H3" i="29"/>
  <c r="H3" i="24"/>
  <c r="H3" i="68"/>
  <c r="H3" i="69"/>
  <c r="H3" i="23"/>
  <c r="H3" i="64"/>
  <c r="H3" i="65"/>
  <c r="H3" i="18"/>
  <c r="K2" i="16"/>
  <c r="H3" i="60"/>
  <c r="H3" i="61"/>
  <c r="H3" i="62"/>
  <c r="H3" i="63"/>
  <c r="H3" i="11"/>
  <c r="H3" i="9"/>
  <c r="E47" i="66" l="1"/>
  <c r="C47" i="66"/>
  <c r="E46" i="66"/>
  <c r="C46" i="66"/>
  <c r="E45" i="66"/>
  <c r="C45" i="66"/>
  <c r="E44" i="66"/>
  <c r="C44" i="66"/>
  <c r="E43" i="66"/>
  <c r="C43" i="66"/>
  <c r="E48" i="66" l="1"/>
  <c r="C48" i="66"/>
  <c r="E37" i="66"/>
  <c r="C37" i="66"/>
  <c r="E36" i="66"/>
  <c r="C36" i="66"/>
  <c r="E35" i="66"/>
  <c r="C35" i="66"/>
  <c r="E34" i="66"/>
  <c r="C34" i="66"/>
  <c r="E33" i="66"/>
  <c r="C33" i="66"/>
  <c r="E38" i="66" l="1"/>
  <c r="C38" i="66"/>
  <c r="E28" i="66"/>
  <c r="C28" i="66"/>
  <c r="E27" i="66"/>
  <c r="C27" i="66"/>
  <c r="E19" i="66" l="1"/>
  <c r="C19" i="66"/>
  <c r="E18" i="66"/>
  <c r="C18" i="66"/>
  <c r="E17" i="66"/>
  <c r="C17" i="66"/>
  <c r="E16" i="66"/>
  <c r="C16" i="66"/>
  <c r="E15" i="66"/>
  <c r="C15" i="66"/>
  <c r="E20" i="66" l="1"/>
  <c r="C20" i="66"/>
  <c r="B4" i="66"/>
  <c r="B3" i="66"/>
  <c r="E47" i="71"/>
  <c r="C47" i="71"/>
  <c r="E46" i="71"/>
  <c r="C46" i="71"/>
  <c r="E45" i="71"/>
  <c r="C45" i="71"/>
  <c r="E44" i="71"/>
  <c r="C44" i="71"/>
  <c r="E43" i="71"/>
  <c r="C43" i="71"/>
  <c r="C48" i="71" l="1"/>
  <c r="E48" i="71"/>
  <c r="E37" i="71"/>
  <c r="C37" i="71"/>
  <c r="E36" i="71"/>
  <c r="C36" i="71"/>
  <c r="E35" i="71"/>
  <c r="C35" i="71"/>
  <c r="E34" i="71"/>
  <c r="C34" i="71"/>
  <c r="E33" i="71"/>
  <c r="C33" i="71"/>
  <c r="C38" i="71" l="1"/>
  <c r="E38" i="71"/>
  <c r="E28" i="71"/>
  <c r="C28" i="71"/>
  <c r="E27" i="71"/>
  <c r="C27" i="71"/>
  <c r="E26" i="71"/>
  <c r="C26" i="71"/>
  <c r="E25" i="71"/>
  <c r="C25" i="71"/>
  <c r="E24" i="71"/>
  <c r="C24" i="71"/>
  <c r="C29" i="71" l="1"/>
  <c r="E29" i="71"/>
  <c r="E19" i="71"/>
  <c r="C19" i="71"/>
  <c r="E18" i="71"/>
  <c r="C18" i="71"/>
  <c r="E17" i="71"/>
  <c r="C17" i="71"/>
  <c r="E16" i="71"/>
  <c r="C16" i="71"/>
  <c r="E15" i="71"/>
  <c r="C15" i="71"/>
  <c r="C20" i="71" l="1"/>
  <c r="E20" i="71"/>
  <c r="B4" i="71"/>
  <c r="B3" i="71"/>
  <c r="E47" i="72"/>
  <c r="C47" i="72"/>
  <c r="E46" i="72"/>
  <c r="C46" i="72"/>
  <c r="E45" i="72"/>
  <c r="C45" i="72"/>
  <c r="E44" i="72"/>
  <c r="C44" i="72"/>
  <c r="E43" i="72"/>
  <c r="C43" i="72"/>
  <c r="E48" i="72" l="1"/>
  <c r="C48" i="72"/>
  <c r="E51" i="71"/>
  <c r="E37" i="72"/>
  <c r="C37" i="72"/>
  <c r="E36" i="72"/>
  <c r="C36" i="72"/>
  <c r="E35" i="72"/>
  <c r="C35" i="72"/>
  <c r="E34" i="72"/>
  <c r="C34" i="72"/>
  <c r="E33" i="72"/>
  <c r="C33" i="72"/>
  <c r="E38" i="72" l="1"/>
  <c r="C38" i="72"/>
  <c r="E28" i="72"/>
  <c r="C28" i="72"/>
  <c r="E27" i="72"/>
  <c r="C27" i="72"/>
  <c r="E26" i="72"/>
  <c r="C26" i="72"/>
  <c r="E25" i="72"/>
  <c r="C25" i="72"/>
  <c r="E24" i="72"/>
  <c r="C24" i="72"/>
  <c r="E29" i="72" l="1"/>
  <c r="C29" i="72"/>
  <c r="E19" i="72"/>
  <c r="C19" i="72"/>
  <c r="E18" i="72"/>
  <c r="C18" i="72"/>
  <c r="E17" i="72"/>
  <c r="C17" i="72"/>
  <c r="E16" i="72"/>
  <c r="C16" i="72"/>
  <c r="E15" i="72"/>
  <c r="C15" i="72"/>
  <c r="E20" i="72" l="1"/>
  <c r="C20" i="72"/>
  <c r="B4" i="72"/>
  <c r="B3" i="72"/>
  <c r="E47" i="73"/>
  <c r="C47" i="73"/>
  <c r="E46" i="73"/>
  <c r="C46" i="73"/>
  <c r="E45" i="73"/>
  <c r="C45" i="73"/>
  <c r="E44" i="73"/>
  <c r="C44" i="73"/>
  <c r="E43" i="73"/>
  <c r="C43" i="73"/>
  <c r="C48" i="73" l="1"/>
  <c r="E48" i="73"/>
  <c r="E51" i="72"/>
  <c r="E37" i="73"/>
  <c r="C37" i="73"/>
  <c r="E36" i="73"/>
  <c r="C36" i="73"/>
  <c r="E35" i="73"/>
  <c r="C35" i="73"/>
  <c r="E34" i="73"/>
  <c r="C34" i="73"/>
  <c r="E33" i="73"/>
  <c r="C33" i="73"/>
  <c r="E38" i="73" l="1"/>
  <c r="C38" i="73"/>
  <c r="E28" i="73"/>
  <c r="C28" i="73"/>
  <c r="E27" i="73"/>
  <c r="C27" i="73"/>
  <c r="E26" i="73"/>
  <c r="C26" i="73"/>
  <c r="E25" i="73"/>
  <c r="C25" i="73"/>
  <c r="E24" i="73"/>
  <c r="C24" i="73"/>
  <c r="E29" i="73" l="1"/>
  <c r="C29" i="73"/>
  <c r="E19" i="73"/>
  <c r="C19" i="73"/>
  <c r="E18" i="73"/>
  <c r="C18" i="73"/>
  <c r="E17" i="73"/>
  <c r="C17" i="73"/>
  <c r="E16" i="73"/>
  <c r="C16" i="73"/>
  <c r="E15" i="73"/>
  <c r="C15" i="73"/>
  <c r="E20" i="73" l="1"/>
  <c r="C20" i="73"/>
  <c r="B4" i="73"/>
  <c r="B3" i="73"/>
  <c r="E47" i="74"/>
  <c r="C47" i="74"/>
  <c r="E46" i="74"/>
  <c r="C46" i="74"/>
  <c r="E45" i="74"/>
  <c r="C45" i="74"/>
  <c r="E44" i="74"/>
  <c r="C44" i="74"/>
  <c r="E43" i="74"/>
  <c r="C43" i="74"/>
  <c r="C48" i="74" l="1"/>
  <c r="E48" i="74"/>
  <c r="E51" i="73"/>
  <c r="E37" i="74"/>
  <c r="C37" i="74"/>
  <c r="E36" i="74"/>
  <c r="C36" i="74"/>
  <c r="E35" i="74"/>
  <c r="C35" i="74"/>
  <c r="E34" i="74"/>
  <c r="C34" i="74"/>
  <c r="E33" i="74"/>
  <c r="C33" i="74"/>
  <c r="E38" i="74" l="1"/>
  <c r="C38" i="74"/>
  <c r="E28" i="74"/>
  <c r="C28" i="74"/>
  <c r="E27" i="74"/>
  <c r="C27" i="74"/>
  <c r="E26" i="74"/>
  <c r="C26" i="74"/>
  <c r="E25" i="74"/>
  <c r="C25" i="74"/>
  <c r="E24" i="74"/>
  <c r="C24" i="74"/>
  <c r="C29" i="74" l="1"/>
  <c r="E29" i="74"/>
  <c r="E19" i="74"/>
  <c r="C19" i="74"/>
  <c r="E18" i="74"/>
  <c r="C18" i="74"/>
  <c r="E17" i="74"/>
  <c r="C17" i="74"/>
  <c r="E16" i="74"/>
  <c r="C16" i="74"/>
  <c r="E15" i="74"/>
  <c r="C15" i="74"/>
  <c r="C20" i="74" l="1"/>
  <c r="E20" i="74"/>
  <c r="B4" i="74"/>
  <c r="B3" i="74"/>
  <c r="E47" i="70"/>
  <c r="C47" i="70"/>
  <c r="E46" i="70"/>
  <c r="C46" i="70"/>
  <c r="E45" i="70"/>
  <c r="C45" i="70"/>
  <c r="E44" i="70"/>
  <c r="C44" i="70"/>
  <c r="E43" i="70"/>
  <c r="C43" i="70"/>
  <c r="E48" i="70" l="1"/>
  <c r="C48" i="70"/>
  <c r="E51" i="74"/>
  <c r="E37" i="70"/>
  <c r="C37" i="70"/>
  <c r="E36" i="70"/>
  <c r="C36" i="70"/>
  <c r="E35" i="70"/>
  <c r="C35" i="70"/>
  <c r="E34" i="70"/>
  <c r="C34" i="70"/>
  <c r="E33" i="70"/>
  <c r="C33" i="70"/>
  <c r="E38" i="70" l="1"/>
  <c r="C38" i="70"/>
  <c r="E28" i="70"/>
  <c r="C28" i="70"/>
  <c r="E27" i="70"/>
  <c r="C27" i="70"/>
  <c r="E26" i="70"/>
  <c r="C26" i="70"/>
  <c r="E25" i="70"/>
  <c r="C25" i="70"/>
  <c r="E24" i="70"/>
  <c r="C24" i="70"/>
  <c r="E29" i="70" l="1"/>
  <c r="C29" i="70"/>
  <c r="E19" i="70"/>
  <c r="C19" i="70"/>
  <c r="E18" i="70"/>
  <c r="C18" i="70"/>
  <c r="E17" i="70"/>
  <c r="C17" i="70"/>
  <c r="E16" i="70"/>
  <c r="C16" i="70"/>
  <c r="E15" i="70"/>
  <c r="C15" i="70"/>
  <c r="C20" i="70" l="1"/>
  <c r="E20" i="70"/>
  <c r="B4" i="70"/>
  <c r="B3" i="70"/>
  <c r="E47" i="75"/>
  <c r="C47" i="75"/>
  <c r="E46" i="75"/>
  <c r="C46" i="75"/>
  <c r="E45" i="75"/>
  <c r="C45" i="75"/>
  <c r="E44" i="75"/>
  <c r="C44" i="75"/>
  <c r="E43" i="75"/>
  <c r="C43" i="75"/>
  <c r="E48" i="75" l="1"/>
  <c r="C48" i="75"/>
  <c r="E51" i="70"/>
  <c r="E37" i="75"/>
  <c r="C37" i="75"/>
  <c r="E36" i="75"/>
  <c r="C36" i="75"/>
  <c r="E35" i="75"/>
  <c r="C35" i="75"/>
  <c r="E34" i="75"/>
  <c r="C34" i="75"/>
  <c r="E33" i="75"/>
  <c r="C33" i="75"/>
  <c r="E38" i="75" l="1"/>
  <c r="C38" i="75"/>
  <c r="E28" i="75"/>
  <c r="C28" i="75"/>
  <c r="E27" i="75"/>
  <c r="C27" i="75"/>
  <c r="E26" i="75"/>
  <c r="C26" i="75"/>
  <c r="E25" i="75"/>
  <c r="C25" i="75"/>
  <c r="E24" i="75"/>
  <c r="C24" i="75"/>
  <c r="E29" i="75" l="1"/>
  <c r="C29" i="75"/>
  <c r="E19" i="75"/>
  <c r="C19" i="75"/>
  <c r="E18" i="75"/>
  <c r="C18" i="75"/>
  <c r="E17" i="75"/>
  <c r="C17" i="75"/>
  <c r="E16" i="75"/>
  <c r="C16" i="75"/>
  <c r="E15" i="75"/>
  <c r="C15" i="75"/>
  <c r="E20" i="75" l="1"/>
  <c r="C20" i="75"/>
  <c r="B4" i="75"/>
  <c r="B3" i="75"/>
  <c r="E47" i="82"/>
  <c r="C47" i="82"/>
  <c r="E46" i="82"/>
  <c r="C46" i="82"/>
  <c r="E45" i="82"/>
  <c r="C45" i="82"/>
  <c r="E44" i="82"/>
  <c r="C44" i="82"/>
  <c r="E43" i="82"/>
  <c r="C43" i="82"/>
  <c r="C48" i="82" l="1"/>
  <c r="E48" i="82"/>
  <c r="E51" i="75"/>
  <c r="E37" i="82"/>
  <c r="C37" i="82"/>
  <c r="E36" i="82"/>
  <c r="C36" i="82"/>
  <c r="E35" i="82"/>
  <c r="C35" i="82"/>
  <c r="E34" i="82"/>
  <c r="C34" i="82"/>
  <c r="E33" i="82"/>
  <c r="C33" i="82"/>
  <c r="E38" i="82" l="1"/>
  <c r="C38" i="82"/>
  <c r="E28" i="82"/>
  <c r="C28" i="82"/>
  <c r="E27" i="82"/>
  <c r="C27" i="82"/>
  <c r="E26" i="82"/>
  <c r="C26" i="82"/>
  <c r="E25" i="82"/>
  <c r="C25" i="82"/>
  <c r="E24" i="82"/>
  <c r="C24" i="82"/>
  <c r="C29" i="82" l="1"/>
  <c r="E29" i="82"/>
  <c r="E19" i="82"/>
  <c r="C19" i="82"/>
  <c r="E18" i="82"/>
  <c r="C18" i="82"/>
  <c r="E17" i="82"/>
  <c r="C17" i="82"/>
  <c r="E16" i="82"/>
  <c r="C16" i="82"/>
  <c r="E15" i="82"/>
  <c r="C15" i="82"/>
  <c r="C20" i="82" l="1"/>
  <c r="E20" i="82"/>
  <c r="B4" i="82"/>
  <c r="B3" i="82"/>
  <c r="E47" i="35"/>
  <c r="C47" i="35"/>
  <c r="E46" i="35"/>
  <c r="C46" i="35"/>
  <c r="E45" i="35"/>
  <c r="C45" i="35"/>
  <c r="E44" i="35"/>
  <c r="C44" i="35"/>
  <c r="E43" i="35"/>
  <c r="C43" i="35"/>
  <c r="E48" i="35" l="1"/>
  <c r="C48" i="35"/>
  <c r="E51" i="82"/>
  <c r="E37" i="35"/>
  <c r="C37" i="35"/>
  <c r="E36" i="35"/>
  <c r="C36" i="35"/>
  <c r="E35" i="35"/>
  <c r="C35" i="35"/>
  <c r="E34" i="35"/>
  <c r="C34" i="35"/>
  <c r="E33" i="35"/>
  <c r="C33" i="35"/>
  <c r="E38" i="35" l="1"/>
  <c r="C38" i="35"/>
  <c r="E28" i="35"/>
  <c r="C28" i="35"/>
  <c r="E27" i="35"/>
  <c r="C27" i="35"/>
  <c r="E19" i="35" l="1"/>
  <c r="C19" i="35"/>
  <c r="E18" i="35"/>
  <c r="C18" i="35"/>
  <c r="B4" i="35" l="1"/>
  <c r="B3" i="35"/>
  <c r="C44" i="67"/>
  <c r="E44" i="67"/>
  <c r="C45" i="67"/>
  <c r="E45" i="67"/>
  <c r="C46" i="67"/>
  <c r="E46" i="67"/>
  <c r="C47" i="67"/>
  <c r="E47" i="67"/>
  <c r="E43" i="67"/>
  <c r="C43" i="67"/>
  <c r="C34" i="67"/>
  <c r="E34" i="67"/>
  <c r="C35" i="67"/>
  <c r="E35" i="67"/>
  <c r="C36" i="67"/>
  <c r="E36" i="67"/>
  <c r="C37" i="67"/>
  <c r="E37" i="67"/>
  <c r="E33" i="67"/>
  <c r="C33" i="67"/>
  <c r="C18" i="67"/>
  <c r="E18" i="67"/>
  <c r="C19" i="67"/>
  <c r="E19" i="67"/>
  <c r="E28" i="67"/>
  <c r="C28" i="67"/>
  <c r="E27" i="67"/>
  <c r="C27" i="67"/>
  <c r="E26" i="67"/>
  <c r="C17" i="67"/>
  <c r="C26" i="67"/>
  <c r="E17" i="67"/>
  <c r="E48" i="67" l="1"/>
  <c r="E38" i="67"/>
  <c r="C48" i="67"/>
  <c r="C38" i="67"/>
  <c r="O19" i="16"/>
  <c r="O18" i="16"/>
  <c r="O17" i="16"/>
  <c r="O16" i="16"/>
  <c r="O15" i="16"/>
  <c r="W4" i="16"/>
  <c r="V4" i="16"/>
  <c r="U4" i="16"/>
  <c r="T4" i="16"/>
  <c r="S4" i="16"/>
  <c r="O10" i="16" l="1"/>
  <c r="O9" i="16"/>
  <c r="O8" i="16"/>
  <c r="O7" i="16"/>
  <c r="O6" i="16"/>
  <c r="AE78" i="16"/>
  <c r="AD78" i="16"/>
  <c r="AC78" i="16"/>
  <c r="AB78" i="16"/>
  <c r="AA78" i="16"/>
  <c r="W78" i="16"/>
  <c r="V78" i="16"/>
  <c r="U78" i="16"/>
  <c r="T78" i="16"/>
  <c r="S78" i="16"/>
  <c r="AE49" i="16"/>
  <c r="AD49" i="16"/>
  <c r="AE48" i="16"/>
  <c r="AD48" i="16"/>
  <c r="AC48" i="16"/>
  <c r="AC49" i="16" s="1"/>
  <c r="AB48" i="16"/>
  <c r="AB49" i="16" s="1"/>
  <c r="AA48" i="16"/>
  <c r="AA49" i="16" s="1"/>
  <c r="AE66" i="16"/>
  <c r="AD66" i="16"/>
  <c r="AC66" i="16"/>
  <c r="AB66" i="16"/>
  <c r="AA66" i="16"/>
  <c r="AE56" i="16"/>
  <c r="AD56" i="16"/>
  <c r="AC56" i="16"/>
  <c r="AB56" i="16"/>
  <c r="AA56" i="16"/>
  <c r="AE12" i="16"/>
  <c r="AD12" i="16"/>
  <c r="AC12" i="16"/>
  <c r="AB12" i="16"/>
  <c r="AA12" i="16"/>
  <c r="AA73" i="16"/>
  <c r="AA28" i="16"/>
  <c r="S28" i="16"/>
  <c r="S73" i="16"/>
  <c r="W66" i="16"/>
  <c r="V66" i="16"/>
  <c r="U66" i="16"/>
  <c r="T66" i="16"/>
  <c r="S66" i="16"/>
  <c r="W56" i="16"/>
  <c r="V56" i="16"/>
  <c r="U56" i="16"/>
  <c r="T56" i="16"/>
  <c r="S56" i="16"/>
  <c r="W48" i="16"/>
  <c r="V48" i="16"/>
  <c r="U48" i="16"/>
  <c r="T48" i="16"/>
  <c r="S48" i="16"/>
  <c r="AE52" i="16"/>
  <c r="AD52" i="16"/>
  <c r="AC52" i="16"/>
  <c r="AB52" i="16"/>
  <c r="AA52" i="16"/>
  <c r="W52" i="16"/>
  <c r="W53" i="16" s="1"/>
  <c r="V52" i="16"/>
  <c r="U52" i="16"/>
  <c r="T52" i="16"/>
  <c r="S52" i="16"/>
  <c r="S8" i="16"/>
  <c r="AE50" i="16"/>
  <c r="AE53" i="16" s="1"/>
  <c r="AD50" i="16"/>
  <c r="AC50" i="16"/>
  <c r="AB50" i="16"/>
  <c r="AA50" i="16"/>
  <c r="W50" i="16"/>
  <c r="V50" i="16"/>
  <c r="V53" i="16" s="1"/>
  <c r="U50" i="16"/>
  <c r="T50" i="16"/>
  <c r="S50" i="16"/>
  <c r="S28" i="9"/>
  <c r="R28" i="9"/>
  <c r="Q28" i="9"/>
  <c r="P28" i="9"/>
  <c r="AD53" i="16" l="1"/>
  <c r="S53" i="16"/>
  <c r="AA53" i="16"/>
  <c r="AC53" i="16"/>
  <c r="T53" i="16"/>
  <c r="AB53" i="16"/>
  <c r="U53" i="16"/>
  <c r="O53" i="87"/>
  <c r="C51" i="87"/>
  <c r="B50" i="87"/>
  <c r="C49" i="87"/>
  <c r="O48" i="87"/>
  <c r="C47" i="87"/>
  <c r="A45" i="87"/>
  <c r="O43" i="87"/>
  <c r="B43" i="87"/>
  <c r="B42" i="87"/>
  <c r="A44" i="87" s="1"/>
  <c r="C39" i="87"/>
  <c r="O38" i="87"/>
  <c r="B38" i="87"/>
  <c r="S37" i="87"/>
  <c r="C37" i="87"/>
  <c r="A35" i="87"/>
  <c r="S34" i="87"/>
  <c r="S33" i="87"/>
  <c r="B33" i="87"/>
  <c r="S32" i="87"/>
  <c r="B32" i="87"/>
  <c r="A34" i="87" s="1"/>
  <c r="S31" i="87"/>
  <c r="S30" i="87"/>
  <c r="O29" i="87"/>
  <c r="O26" i="87"/>
  <c r="O25" i="87"/>
  <c r="B25" i="87"/>
  <c r="S24" i="87"/>
  <c r="O24" i="87"/>
  <c r="O23" i="87"/>
  <c r="O22" i="87"/>
  <c r="S21" i="87"/>
  <c r="S20" i="87"/>
  <c r="O20" i="87"/>
  <c r="S19" i="87"/>
  <c r="O19" i="87"/>
  <c r="J19" i="87"/>
  <c r="S18" i="87"/>
  <c r="J18" i="87"/>
  <c r="J21" i="87" s="1"/>
  <c r="S17" i="87"/>
  <c r="S16" i="87"/>
  <c r="S15" i="87"/>
  <c r="S14" i="87"/>
  <c r="O14" i="87"/>
  <c r="E14" i="87"/>
  <c r="F14" i="87" s="1"/>
  <c r="D14" i="87"/>
  <c r="S13" i="87"/>
  <c r="F13" i="87"/>
  <c r="E13" i="87"/>
  <c r="W12" i="87"/>
  <c r="S12" i="87"/>
  <c r="J12" i="87"/>
  <c r="B12" i="87"/>
  <c r="W11" i="87"/>
  <c r="S11" i="87"/>
  <c r="O11" i="87"/>
  <c r="J11" i="87"/>
  <c r="B11" i="87"/>
  <c r="W10" i="87"/>
  <c r="S10" i="87"/>
  <c r="O10" i="87"/>
  <c r="J10" i="87"/>
  <c r="W9" i="87"/>
  <c r="S9" i="87"/>
  <c r="O9" i="87"/>
  <c r="J9" i="87"/>
  <c r="D9" i="87"/>
  <c r="W8" i="87"/>
  <c r="S8" i="87"/>
  <c r="O8" i="87"/>
  <c r="J8" i="87"/>
  <c r="W7" i="87"/>
  <c r="S7" i="87"/>
  <c r="O7" i="87"/>
  <c r="W6" i="87"/>
  <c r="S6" i="87"/>
  <c r="O6" i="87"/>
  <c r="W5" i="87"/>
  <c r="S5" i="87"/>
  <c r="J5" i="87"/>
  <c r="E5" i="87"/>
  <c r="W4" i="87"/>
  <c r="W14" i="87" s="1"/>
  <c r="S4" i="87"/>
  <c r="O4" i="87"/>
  <c r="S3" i="87"/>
  <c r="S23" i="87" s="1"/>
  <c r="S25" i="87" s="1"/>
  <c r="O3" i="87"/>
  <c r="C3" i="87"/>
  <c r="W59" i="86"/>
  <c r="W57" i="86"/>
  <c r="W56" i="86"/>
  <c r="W50" i="86"/>
  <c r="W48" i="86"/>
  <c r="S48" i="86"/>
  <c r="R48" i="86"/>
  <c r="Q48" i="86"/>
  <c r="P48" i="86"/>
  <c r="AD45" i="86"/>
  <c r="AG42" i="86"/>
  <c r="AF42" i="86"/>
  <c r="AE42" i="86"/>
  <c r="AD42" i="86"/>
  <c r="S42" i="86"/>
  <c r="R42" i="86"/>
  <c r="Q42" i="86"/>
  <c r="P42" i="86"/>
  <c r="Q34" i="86"/>
  <c r="P34" i="86"/>
  <c r="AG33" i="86"/>
  <c r="AF33" i="86"/>
  <c r="AE33" i="86"/>
  <c r="AD33" i="86"/>
  <c r="F32" i="86"/>
  <c r="F31" i="86"/>
  <c r="AD29" i="86"/>
  <c r="F29" i="86"/>
  <c r="AG26" i="86"/>
  <c r="AF26" i="86"/>
  <c r="AE26" i="86"/>
  <c r="AD26" i="86"/>
  <c r="S25" i="86"/>
  <c r="R25" i="86"/>
  <c r="Q25" i="86"/>
  <c r="P25" i="86"/>
  <c r="F25" i="86"/>
  <c r="AG34" i="86" s="1"/>
  <c r="F22" i="86"/>
  <c r="AG19" i="86"/>
  <c r="AF19" i="86"/>
  <c r="AE19" i="86"/>
  <c r="AD19" i="86"/>
  <c r="W17" i="86"/>
  <c r="S17" i="86"/>
  <c r="R17" i="86"/>
  <c r="Q17" i="86"/>
  <c r="P17" i="86"/>
  <c r="E16" i="86"/>
  <c r="AD15" i="86"/>
  <c r="D14" i="86"/>
  <c r="I13" i="86"/>
  <c r="E13" i="86"/>
  <c r="AK12" i="86"/>
  <c r="AG12" i="86"/>
  <c r="AF12" i="86"/>
  <c r="AE12" i="86"/>
  <c r="AD12" i="86"/>
  <c r="I12" i="86"/>
  <c r="AK11" i="86"/>
  <c r="AK10" i="86"/>
  <c r="W10" i="86"/>
  <c r="Q10" i="86"/>
  <c r="P10" i="86"/>
  <c r="AK9" i="86"/>
  <c r="W9" i="86"/>
  <c r="W11" i="86" s="1"/>
  <c r="W21" i="86" s="1"/>
  <c r="Q9" i="86"/>
  <c r="P9" i="86"/>
  <c r="L9" i="86"/>
  <c r="K9" i="86"/>
  <c r="J9" i="86"/>
  <c r="I9" i="86"/>
  <c r="AK8" i="86"/>
  <c r="AK7" i="86"/>
  <c r="AK6" i="86"/>
  <c r="AK5" i="86"/>
  <c r="L5" i="86"/>
  <c r="K5" i="86"/>
  <c r="J5" i="86"/>
  <c r="I5" i="86"/>
  <c r="AK4" i="86"/>
  <c r="AG4" i="86"/>
  <c r="AF4" i="86"/>
  <c r="AE4" i="86"/>
  <c r="AD4" i="86"/>
  <c r="Z4" i="86"/>
  <c r="Y4" i="86"/>
  <c r="X4" i="86"/>
  <c r="W4" i="86"/>
  <c r="AG3" i="86"/>
  <c r="AF3" i="86"/>
  <c r="AF5" i="86" s="1"/>
  <c r="AE3" i="86"/>
  <c r="AD3" i="86"/>
  <c r="E3" i="86"/>
  <c r="C3" i="86"/>
  <c r="O30" i="86" s="1"/>
  <c r="F58" i="85"/>
  <c r="F57" i="85"/>
  <c r="F55" i="85"/>
  <c r="W54" i="85"/>
  <c r="F51" i="85"/>
  <c r="AM34" i="85" s="1"/>
  <c r="F48" i="85"/>
  <c r="W47" i="85"/>
  <c r="AD46" i="85"/>
  <c r="W46" i="85"/>
  <c r="W48" i="85" s="1"/>
  <c r="W58" i="85" s="1"/>
  <c r="AL45" i="85"/>
  <c r="AO42" i="85"/>
  <c r="AN42" i="85"/>
  <c r="AM42" i="85"/>
  <c r="AL42" i="85"/>
  <c r="E42" i="85"/>
  <c r="Z41" i="85"/>
  <c r="Y41" i="85"/>
  <c r="X41" i="85"/>
  <c r="W41" i="85"/>
  <c r="D40" i="85"/>
  <c r="E39" i="85"/>
  <c r="S37" i="85"/>
  <c r="R37" i="85"/>
  <c r="Q37" i="85"/>
  <c r="P37" i="85"/>
  <c r="AO34" i="85"/>
  <c r="AL34" i="85"/>
  <c r="AO33" i="85"/>
  <c r="AN33" i="85"/>
  <c r="AM33" i="85"/>
  <c r="AL33" i="85"/>
  <c r="Z33" i="85"/>
  <c r="Y33" i="85"/>
  <c r="X33" i="85"/>
  <c r="W33" i="85"/>
  <c r="S31" i="85"/>
  <c r="R31" i="85"/>
  <c r="Q31" i="85"/>
  <c r="P31" i="85"/>
  <c r="AL29" i="85"/>
  <c r="Z29" i="85"/>
  <c r="Y29" i="85"/>
  <c r="X29" i="85"/>
  <c r="W29" i="85"/>
  <c r="S29" i="85"/>
  <c r="R29" i="85"/>
  <c r="Q29" i="85"/>
  <c r="P29" i="85"/>
  <c r="AD28" i="85"/>
  <c r="S28" i="85"/>
  <c r="R28" i="85"/>
  <c r="Q28" i="85"/>
  <c r="P28" i="85"/>
  <c r="AH27" i="85"/>
  <c r="Z27" i="85"/>
  <c r="Y27" i="85"/>
  <c r="X27" i="85"/>
  <c r="W27" i="85"/>
  <c r="S27" i="85"/>
  <c r="R27" i="85"/>
  <c r="Q27" i="85"/>
  <c r="P27" i="85"/>
  <c r="AO26" i="85"/>
  <c r="AN26" i="85"/>
  <c r="AM26" i="85"/>
  <c r="AL26" i="85"/>
  <c r="Z26" i="85"/>
  <c r="Y26" i="85"/>
  <c r="X26" i="85"/>
  <c r="W26" i="85"/>
  <c r="P26" i="85"/>
  <c r="I26" i="85"/>
  <c r="X25" i="85"/>
  <c r="W25" i="85"/>
  <c r="R25" i="85"/>
  <c r="P25" i="85"/>
  <c r="AD24" i="85"/>
  <c r="W24" i="85"/>
  <c r="Q24" i="85"/>
  <c r="P24" i="85"/>
  <c r="AH23" i="85"/>
  <c r="W23" i="85"/>
  <c r="P23" i="85"/>
  <c r="AD22" i="85"/>
  <c r="X22" i="85"/>
  <c r="W22" i="85"/>
  <c r="Q22" i="85"/>
  <c r="P22" i="85"/>
  <c r="I22" i="85"/>
  <c r="W21" i="85"/>
  <c r="I21" i="85"/>
  <c r="X20" i="85"/>
  <c r="W20" i="85"/>
  <c r="Q20" i="85"/>
  <c r="P20" i="85"/>
  <c r="I20" i="85"/>
  <c r="AO19" i="85"/>
  <c r="AN19" i="85"/>
  <c r="AM19" i="85"/>
  <c r="AL19" i="85"/>
  <c r="AD19" i="85"/>
  <c r="X19" i="85"/>
  <c r="W19" i="85"/>
  <c r="Q19" i="85"/>
  <c r="P19" i="85"/>
  <c r="I19" i="85"/>
  <c r="AH18" i="85"/>
  <c r="X18" i="85"/>
  <c r="X7" i="85" s="1"/>
  <c r="W18" i="85"/>
  <c r="Q18" i="85"/>
  <c r="P18" i="85"/>
  <c r="AD44" i="85" s="1"/>
  <c r="X17" i="85"/>
  <c r="W17" i="85"/>
  <c r="Q17" i="85"/>
  <c r="P17" i="85"/>
  <c r="X16" i="85"/>
  <c r="W16" i="85"/>
  <c r="Q16" i="85"/>
  <c r="AL15" i="85"/>
  <c r="AL48" i="85" s="1"/>
  <c r="X15" i="85"/>
  <c r="W15" i="85"/>
  <c r="S15" i="85"/>
  <c r="R15" i="85"/>
  <c r="Q15" i="85"/>
  <c r="P15" i="85"/>
  <c r="AD14" i="85"/>
  <c r="E14" i="85"/>
  <c r="F14" i="85" s="1"/>
  <c r="D14" i="85"/>
  <c r="AH13" i="85"/>
  <c r="W13" i="85"/>
  <c r="I13" i="85"/>
  <c r="E13" i="85"/>
  <c r="AS12" i="85"/>
  <c r="AO12" i="85"/>
  <c r="AN12" i="85"/>
  <c r="AM12" i="85"/>
  <c r="AL12" i="85"/>
  <c r="Q12" i="85"/>
  <c r="P12" i="85"/>
  <c r="I12" i="85"/>
  <c r="AS11" i="85"/>
  <c r="AS10" i="85"/>
  <c r="AD10" i="85"/>
  <c r="AS9" i="85"/>
  <c r="AH9" i="85"/>
  <c r="AD9" i="85"/>
  <c r="L9" i="85"/>
  <c r="K9" i="85"/>
  <c r="J9" i="85"/>
  <c r="I9" i="85"/>
  <c r="D9" i="85"/>
  <c r="AS8" i="85"/>
  <c r="AS7" i="85"/>
  <c r="AS6" i="85"/>
  <c r="AS5" i="85"/>
  <c r="AD5" i="85"/>
  <c r="L5" i="85"/>
  <c r="K5" i="85"/>
  <c r="J5" i="85"/>
  <c r="I5" i="85"/>
  <c r="E5" i="85"/>
  <c r="AS4" i="85"/>
  <c r="AO4" i="85"/>
  <c r="AN4" i="85"/>
  <c r="AM4" i="85"/>
  <c r="AL4" i="85"/>
  <c r="AH4" i="85"/>
  <c r="AD4" i="85"/>
  <c r="AD6" i="85" s="1"/>
  <c r="AD13" i="85" s="1"/>
  <c r="AD15" i="85" s="1"/>
  <c r="W4" i="85"/>
  <c r="E4" i="85"/>
  <c r="AO3" i="85"/>
  <c r="AN3" i="85"/>
  <c r="AN5" i="85" s="1"/>
  <c r="AM3" i="85"/>
  <c r="AL3" i="85"/>
  <c r="E3" i="85"/>
  <c r="C3" i="85"/>
  <c r="O8" i="85" s="1"/>
  <c r="C69" i="84"/>
  <c r="B59" i="84"/>
  <c r="A59" i="84"/>
  <c r="F56" i="84"/>
  <c r="B58" i="84"/>
  <c r="A45" i="84" s="1"/>
  <c r="C57" i="84"/>
  <c r="F54" i="84"/>
  <c r="F53" i="84"/>
  <c r="I52" i="84"/>
  <c r="F51" i="84"/>
  <c r="C53" i="84"/>
  <c r="B28" i="87" s="1"/>
  <c r="Z48" i="84"/>
  <c r="Y48" i="84"/>
  <c r="X48" i="84"/>
  <c r="W48" i="84"/>
  <c r="AF47" i="84"/>
  <c r="AB47" i="84"/>
  <c r="BP46" i="84"/>
  <c r="AF46" i="84"/>
  <c r="AB46" i="84"/>
  <c r="Z46" i="84"/>
  <c r="Y46" i="84"/>
  <c r="X46" i="84"/>
  <c r="W46" i="84"/>
  <c r="E46" i="84"/>
  <c r="AF45" i="84"/>
  <c r="AB45" i="84"/>
  <c r="I45" i="84"/>
  <c r="F45" i="84"/>
  <c r="BT44" i="84"/>
  <c r="BP44" i="84"/>
  <c r="AF44" i="84"/>
  <c r="AF48" i="84" s="1"/>
  <c r="I44" i="84"/>
  <c r="BP43" i="84"/>
  <c r="I43" i="84"/>
  <c r="BT42" i="84"/>
  <c r="BP42" i="84"/>
  <c r="I42" i="84"/>
  <c r="BT41" i="84"/>
  <c r="BP41" i="84"/>
  <c r="E41" i="84"/>
  <c r="B43" i="84"/>
  <c r="B42" i="84"/>
  <c r="BT39" i="84"/>
  <c r="BP39" i="84"/>
  <c r="S40" i="84"/>
  <c r="R40" i="84"/>
  <c r="Q40" i="84"/>
  <c r="P40" i="84"/>
  <c r="Z53" i="84" s="1"/>
  <c r="BT38" i="84"/>
  <c r="BP38" i="84"/>
  <c r="AH38" i="84"/>
  <c r="BA37" i="84"/>
  <c r="AW37" i="84"/>
  <c r="AV37" i="84"/>
  <c r="AU37" i="84"/>
  <c r="AT37" i="84"/>
  <c r="AD37" i="84"/>
  <c r="F37" i="84"/>
  <c r="C39" i="84"/>
  <c r="B39" i="84"/>
  <c r="BT36" i="84"/>
  <c r="BP36" i="84"/>
  <c r="AD36" i="84"/>
  <c r="F36" i="84"/>
  <c r="C38" i="84"/>
  <c r="B38" i="84" s="1"/>
  <c r="BT35" i="84"/>
  <c r="BP35" i="84"/>
  <c r="BA35" i="84"/>
  <c r="AH35" i="84"/>
  <c r="AD35" i="84"/>
  <c r="I35" i="84"/>
  <c r="B37" i="84"/>
  <c r="BA34" i="84"/>
  <c r="AH34" i="84"/>
  <c r="AD34" i="84"/>
  <c r="Z34" i="84"/>
  <c r="Y34" i="84"/>
  <c r="X34" i="84"/>
  <c r="W34" i="84"/>
  <c r="I34" i="84"/>
  <c r="C36" i="84"/>
  <c r="A36" i="84"/>
  <c r="BA33" i="84"/>
  <c r="AH33" i="84"/>
  <c r="F33" i="84"/>
  <c r="B35" i="84"/>
  <c r="BA32" i="84"/>
  <c r="AH32" i="84"/>
  <c r="AD32" i="84"/>
  <c r="Z32" i="84"/>
  <c r="Y32" i="84"/>
  <c r="X32" i="84"/>
  <c r="W32" i="84"/>
  <c r="BA31" i="84"/>
  <c r="AH31" i="84"/>
  <c r="AD31" i="84"/>
  <c r="S32" i="84"/>
  <c r="R32" i="84"/>
  <c r="Q32" i="84"/>
  <c r="P32" i="84"/>
  <c r="I31" i="84"/>
  <c r="C33" i="84"/>
  <c r="B33" i="84"/>
  <c r="BA30" i="84"/>
  <c r="AP30" i="84"/>
  <c r="I30" i="84"/>
  <c r="F30" i="84"/>
  <c r="E30" i="84"/>
  <c r="BL29" i="84"/>
  <c r="BK29" i="84"/>
  <c r="BJ29" i="84"/>
  <c r="BI29" i="84"/>
  <c r="BA29" i="84"/>
  <c r="BA36" i="84" s="1"/>
  <c r="BA38" i="84" s="1"/>
  <c r="AW29" i="84"/>
  <c r="AV29" i="84"/>
  <c r="AU29" i="84"/>
  <c r="AT29" i="84"/>
  <c r="I29" i="84"/>
  <c r="D29" i="84"/>
  <c r="BP28" i="84"/>
  <c r="S29" i="84"/>
  <c r="S31" i="84" s="1"/>
  <c r="R29" i="84"/>
  <c r="R31" i="84" s="1"/>
  <c r="Q29" i="84"/>
  <c r="Q31" i="84" s="1"/>
  <c r="P29" i="84"/>
  <c r="P31" i="84" s="1"/>
  <c r="I28" i="84"/>
  <c r="E28" i="84"/>
  <c r="BT27" i="84"/>
  <c r="AP27" i="84"/>
  <c r="AP28" i="84" s="1"/>
  <c r="I27" i="84"/>
  <c r="BL26" i="84"/>
  <c r="BK26" i="84"/>
  <c r="BJ26" i="84"/>
  <c r="BI26" i="84"/>
  <c r="AW26" i="84"/>
  <c r="AV26" i="84"/>
  <c r="AU26" i="84"/>
  <c r="AT26" i="84"/>
  <c r="I26" i="84"/>
  <c r="E26" i="84"/>
  <c r="BT25" i="84"/>
  <c r="BP25" i="84"/>
  <c r="BL25" i="84"/>
  <c r="BK25" i="84"/>
  <c r="BJ25" i="84"/>
  <c r="BI25" i="84"/>
  <c r="AW25" i="84"/>
  <c r="AV25" i="84"/>
  <c r="AU25" i="84"/>
  <c r="AT25" i="84"/>
  <c r="Z25" i="84"/>
  <c r="Y25" i="84"/>
  <c r="X25" i="84"/>
  <c r="W25" i="84"/>
  <c r="I25" i="84"/>
  <c r="BT24" i="84"/>
  <c r="BP24" i="84"/>
  <c r="BL24" i="84"/>
  <c r="BK24" i="84"/>
  <c r="BJ24" i="84"/>
  <c r="BI24" i="84"/>
  <c r="AW24" i="84"/>
  <c r="AV24" i="84"/>
  <c r="AU24" i="84"/>
  <c r="AT24" i="84"/>
  <c r="AG24" i="84"/>
  <c r="AF24" i="84"/>
  <c r="AE24" i="84"/>
  <c r="AD24" i="84"/>
  <c r="F24" i="84"/>
  <c r="BT23" i="84"/>
  <c r="BL23" i="84"/>
  <c r="BK23" i="84"/>
  <c r="BJ23" i="84"/>
  <c r="BI23" i="84"/>
  <c r="AW23" i="84"/>
  <c r="AV23" i="84"/>
  <c r="AU23" i="84"/>
  <c r="AT23" i="84"/>
  <c r="AG23" i="84"/>
  <c r="AF23" i="84"/>
  <c r="AE23" i="84"/>
  <c r="AD23" i="84"/>
  <c r="S23" i="84"/>
  <c r="R23" i="84"/>
  <c r="Q23" i="84"/>
  <c r="P23" i="84"/>
  <c r="BT22" i="84"/>
  <c r="BP22" i="84"/>
  <c r="BL22" i="84"/>
  <c r="BK22" i="84"/>
  <c r="BJ22" i="84"/>
  <c r="BI22" i="84"/>
  <c r="AW22" i="84"/>
  <c r="AV22" i="84"/>
  <c r="AU22" i="84"/>
  <c r="AT22" i="84"/>
  <c r="AL22" i="84"/>
  <c r="S22" i="84"/>
  <c r="R22" i="84"/>
  <c r="Q22" i="84"/>
  <c r="P22" i="84"/>
  <c r="BT21" i="84"/>
  <c r="BL21" i="84"/>
  <c r="BK21" i="84"/>
  <c r="BJ21" i="84"/>
  <c r="BI21" i="84"/>
  <c r="AW21" i="84"/>
  <c r="AV21" i="84"/>
  <c r="AU21" i="84"/>
  <c r="AT21" i="84"/>
  <c r="AP21" i="84"/>
  <c r="AL21" i="84"/>
  <c r="S21" i="84"/>
  <c r="R21" i="84"/>
  <c r="Q21" i="84"/>
  <c r="P21" i="84"/>
  <c r="L21" i="84"/>
  <c r="K21" i="84"/>
  <c r="J21" i="84"/>
  <c r="I21" i="84"/>
  <c r="BT20" i="84"/>
  <c r="BP20" i="84"/>
  <c r="BL20" i="84"/>
  <c r="BK20" i="84"/>
  <c r="BJ20" i="84"/>
  <c r="BI20" i="84"/>
  <c r="BA20" i="84"/>
  <c r="BA22" i="84" s="1"/>
  <c r="BE23" i="84" s="1"/>
  <c r="AG20" i="84"/>
  <c r="AF20" i="84"/>
  <c r="AE20" i="84"/>
  <c r="AD20" i="84"/>
  <c r="Z20" i="84"/>
  <c r="Y20" i="84"/>
  <c r="X20" i="84"/>
  <c r="W20" i="84"/>
  <c r="L20" i="84"/>
  <c r="K20" i="84"/>
  <c r="J20" i="84"/>
  <c r="I20" i="84"/>
  <c r="BT19" i="84"/>
  <c r="BL19" i="84"/>
  <c r="BK19" i="84"/>
  <c r="BJ19" i="84"/>
  <c r="BI19" i="84"/>
  <c r="AU19" i="84"/>
  <c r="AL19" i="84"/>
  <c r="AG19" i="84"/>
  <c r="AF19" i="84"/>
  <c r="AE19" i="84"/>
  <c r="AD19" i="84"/>
  <c r="Q19" i="84"/>
  <c r="BT18" i="84"/>
  <c r="AV18" i="84"/>
  <c r="AV20" i="84" s="1"/>
  <c r="AT18" i="84"/>
  <c r="AT20" i="84" s="1"/>
  <c r="AL18" i="84"/>
  <c r="AG18" i="84"/>
  <c r="AF18" i="84"/>
  <c r="AE18" i="84"/>
  <c r="AD18" i="84"/>
  <c r="Z18" i="84"/>
  <c r="Y18" i="84"/>
  <c r="X18" i="84"/>
  <c r="W18" i="84"/>
  <c r="S18" i="84"/>
  <c r="R18" i="84"/>
  <c r="Q18" i="84"/>
  <c r="P18" i="84"/>
  <c r="S17" i="84"/>
  <c r="R17" i="84"/>
  <c r="Q17" i="84"/>
  <c r="P17" i="84"/>
  <c r="BC16" i="84"/>
  <c r="BB16" i="84"/>
  <c r="BA16" i="84"/>
  <c r="AD16" i="84"/>
  <c r="R16" i="84"/>
  <c r="B16" i="84"/>
  <c r="AD15" i="84"/>
  <c r="E15" i="84"/>
  <c r="BP14" i="84"/>
  <c r="P14" i="84"/>
  <c r="L14" i="84"/>
  <c r="K14" i="84"/>
  <c r="J14" i="84"/>
  <c r="I14" i="84"/>
  <c r="BT13" i="84"/>
  <c r="P13" i="84"/>
  <c r="B13" i="84"/>
  <c r="BX12" i="84"/>
  <c r="BP12" i="84"/>
  <c r="BL12" i="84"/>
  <c r="BK12" i="84"/>
  <c r="BJ12" i="84"/>
  <c r="BI12" i="84"/>
  <c r="BC12" i="84"/>
  <c r="BC14" i="84" s="1"/>
  <c r="BB12" i="84"/>
  <c r="BB14" i="84" s="1"/>
  <c r="BA12" i="84"/>
  <c r="BA14" i="84" s="1"/>
  <c r="L12" i="84"/>
  <c r="K12" i="84"/>
  <c r="J12" i="84"/>
  <c r="I12" i="84"/>
  <c r="B12" i="84"/>
  <c r="AG3" i="84" s="1"/>
  <c r="AG6" i="84" s="1"/>
  <c r="AG9" i="84" s="1"/>
  <c r="BX11" i="84"/>
  <c r="BT11" i="84"/>
  <c r="BP11" i="84"/>
  <c r="AE11" i="84"/>
  <c r="Z11" i="84"/>
  <c r="Y11" i="84"/>
  <c r="X11" i="84"/>
  <c r="W11" i="84"/>
  <c r="BX10" i="84"/>
  <c r="BT10" i="84"/>
  <c r="BP10" i="84"/>
  <c r="AW10" i="84"/>
  <c r="AV10" i="84"/>
  <c r="AU10" i="84"/>
  <c r="AT10" i="84"/>
  <c r="AL10" i="84"/>
  <c r="AE10" i="84"/>
  <c r="Q10" i="84"/>
  <c r="L10" i="84"/>
  <c r="K10" i="84"/>
  <c r="J10" i="84"/>
  <c r="I10" i="84"/>
  <c r="B10" i="84"/>
  <c r="BX9" i="84"/>
  <c r="BT9" i="84"/>
  <c r="BP9" i="84"/>
  <c r="BL9" i="84"/>
  <c r="BK9" i="84"/>
  <c r="BJ9" i="84"/>
  <c r="BI9" i="84"/>
  <c r="Q9" i="84"/>
  <c r="BX8" i="84"/>
  <c r="BT8" i="84"/>
  <c r="BP8" i="84"/>
  <c r="BL8" i="84"/>
  <c r="BK8" i="84"/>
  <c r="BJ8" i="84"/>
  <c r="BI8" i="84"/>
  <c r="AG8" i="84"/>
  <c r="AF8" i="84"/>
  <c r="AE8" i="84"/>
  <c r="AD8" i="84"/>
  <c r="L8" i="84"/>
  <c r="K8" i="84"/>
  <c r="J8" i="84"/>
  <c r="I8" i="84"/>
  <c r="BX7" i="84"/>
  <c r="BT7" i="84"/>
  <c r="BP7" i="84"/>
  <c r="BL7" i="84"/>
  <c r="BK7" i="84"/>
  <c r="BJ7" i="84"/>
  <c r="BI7" i="84"/>
  <c r="BC7" i="84"/>
  <c r="BB7" i="84"/>
  <c r="BA7" i="84"/>
  <c r="AW7" i="84"/>
  <c r="AV7" i="84"/>
  <c r="AU7" i="84"/>
  <c r="AT7" i="84"/>
  <c r="AG7" i="84"/>
  <c r="AF7" i="84"/>
  <c r="AE7" i="84"/>
  <c r="AD7" i="84"/>
  <c r="S7" i="84"/>
  <c r="P7" i="84"/>
  <c r="BX6" i="84"/>
  <c r="BT6" i="84"/>
  <c r="BL6" i="84"/>
  <c r="BK6" i="84"/>
  <c r="BJ6" i="84"/>
  <c r="BI6" i="84"/>
  <c r="AW6" i="84"/>
  <c r="AV6" i="84"/>
  <c r="AU6" i="84"/>
  <c r="AT6" i="84"/>
  <c r="Z6" i="84"/>
  <c r="Y6" i="84"/>
  <c r="X6" i="84"/>
  <c r="W6" i="84"/>
  <c r="BX5" i="84"/>
  <c r="BT5" i="84"/>
  <c r="BP5" i="84"/>
  <c r="BL5" i="84"/>
  <c r="BK5" i="84"/>
  <c r="BJ5" i="84"/>
  <c r="BI5" i="84"/>
  <c r="BC5" i="84"/>
  <c r="BB5" i="84"/>
  <c r="BA5" i="84"/>
  <c r="AW5" i="84"/>
  <c r="AV5" i="84"/>
  <c r="AU5" i="84"/>
  <c r="AT5" i="84"/>
  <c r="AG5" i="84"/>
  <c r="AF5" i="84"/>
  <c r="AE5" i="84"/>
  <c r="AD5" i="84"/>
  <c r="S5" i="84"/>
  <c r="R5" i="84"/>
  <c r="Q5" i="84"/>
  <c r="L5" i="84"/>
  <c r="L16" i="84" s="1"/>
  <c r="K5" i="84"/>
  <c r="H5" i="84"/>
  <c r="BX4" i="84"/>
  <c r="BX14" i="84" s="1"/>
  <c r="BT4" i="84"/>
  <c r="BP4" i="84"/>
  <c r="BP6" i="84" s="1"/>
  <c r="BL4" i="84"/>
  <c r="BK4" i="84"/>
  <c r="BJ4" i="84"/>
  <c r="BI4" i="84"/>
  <c r="AP4" i="84"/>
  <c r="AO4" i="84"/>
  <c r="AN4" i="84"/>
  <c r="AM4" i="84"/>
  <c r="AL4" i="84"/>
  <c r="AD4" i="84"/>
  <c r="Z4" i="84"/>
  <c r="Y4" i="84"/>
  <c r="X4" i="84"/>
  <c r="W4" i="84"/>
  <c r="E4" i="84"/>
  <c r="AP29" i="84" s="1"/>
  <c r="BL3" i="84"/>
  <c r="BK3" i="84"/>
  <c r="BJ3" i="84"/>
  <c r="BI3" i="84"/>
  <c r="BC3" i="84"/>
  <c r="BC4" i="84" s="1"/>
  <c r="BB3" i="84"/>
  <c r="BB4" i="84" s="1"/>
  <c r="BA3" i="84"/>
  <c r="BA4" i="84" s="1"/>
  <c r="AW3" i="84"/>
  <c r="AV3" i="84"/>
  <c r="AU3" i="84"/>
  <c r="AT3" i="84"/>
  <c r="AP3" i="84"/>
  <c r="AP5" i="84" s="1"/>
  <c r="AN3" i="84"/>
  <c r="AN5" i="84" s="1"/>
  <c r="AF3" i="84"/>
  <c r="AE3" i="84"/>
  <c r="AE6" i="84" s="1"/>
  <c r="AE9" i="84" s="1"/>
  <c r="AE22" i="84" s="1"/>
  <c r="AE25" i="84" s="1"/>
  <c r="S3" i="84"/>
  <c r="R3" i="84"/>
  <c r="Q3" i="84"/>
  <c r="P3" i="84"/>
  <c r="C3" i="84"/>
  <c r="BL2" i="84"/>
  <c r="BK2" i="84"/>
  <c r="BJ2" i="84"/>
  <c r="BI2" i="84"/>
  <c r="AV2" i="84"/>
  <c r="S2" i="84"/>
  <c r="S4" i="84" s="1"/>
  <c r="R2" i="84"/>
  <c r="R4" i="84" s="1"/>
  <c r="R8" i="84" s="1"/>
  <c r="R20" i="84" s="1"/>
  <c r="R27" i="84" s="1"/>
  <c r="Q2" i="84"/>
  <c r="P2" i="84"/>
  <c r="P4" i="84" s="1"/>
  <c r="B63" i="83"/>
  <c r="A63" i="83"/>
  <c r="Z60" i="83"/>
  <c r="Y60" i="83"/>
  <c r="X60" i="83"/>
  <c r="W60" i="83"/>
  <c r="B62" i="83"/>
  <c r="A49" i="83" s="1"/>
  <c r="C61" i="83"/>
  <c r="F58" i="83"/>
  <c r="Z57" i="83"/>
  <c r="Y57" i="83"/>
  <c r="X57" i="83"/>
  <c r="C57" i="83"/>
  <c r="Z54" i="83"/>
  <c r="Y54" i="83"/>
  <c r="X54" i="83"/>
  <c r="W54" i="83"/>
  <c r="Z53" i="83"/>
  <c r="Y53" i="83"/>
  <c r="X53" i="83"/>
  <c r="W53" i="83"/>
  <c r="X52" i="83"/>
  <c r="W52" i="83"/>
  <c r="AU51" i="83"/>
  <c r="AT51" i="83"/>
  <c r="AS51" i="83"/>
  <c r="AR51" i="83"/>
  <c r="Z51" i="83"/>
  <c r="Y51" i="83"/>
  <c r="X51" i="83"/>
  <c r="W51" i="83"/>
  <c r="BK50" i="83"/>
  <c r="Z50" i="83"/>
  <c r="Y50" i="83"/>
  <c r="X50" i="83"/>
  <c r="W50" i="83"/>
  <c r="Y49" i="83"/>
  <c r="F49" i="83"/>
  <c r="BK48" i="83"/>
  <c r="AU48" i="83"/>
  <c r="AT48" i="83"/>
  <c r="AS48" i="83"/>
  <c r="AR48" i="83"/>
  <c r="AN48" i="83"/>
  <c r="AM48" i="83"/>
  <c r="AL48" i="83"/>
  <c r="AK48" i="83"/>
  <c r="Q49" i="83"/>
  <c r="N49" i="83"/>
  <c r="F48" i="83"/>
  <c r="AU47" i="83"/>
  <c r="AT47" i="83"/>
  <c r="AS47" i="83"/>
  <c r="AR47" i="83"/>
  <c r="AN47" i="83"/>
  <c r="AM47" i="83"/>
  <c r="AL47" i="83"/>
  <c r="AK47" i="83"/>
  <c r="Q48" i="83"/>
  <c r="N48" i="83"/>
  <c r="B49" i="83"/>
  <c r="BK46" i="83"/>
  <c r="AY46" i="83"/>
  <c r="AU46" i="83"/>
  <c r="AT46" i="83"/>
  <c r="AS46" i="83"/>
  <c r="AR46" i="83"/>
  <c r="F46" i="83"/>
  <c r="BK45" i="83"/>
  <c r="BC45" i="83"/>
  <c r="AU45" i="83"/>
  <c r="AT45" i="83"/>
  <c r="AS45" i="83"/>
  <c r="AR45" i="83"/>
  <c r="AN45" i="83"/>
  <c r="AN46" i="83" s="1"/>
  <c r="AM45" i="83"/>
  <c r="AM46" i="83" s="1"/>
  <c r="AL45" i="83"/>
  <c r="AL46" i="83" s="1"/>
  <c r="AK45" i="83"/>
  <c r="AK46" i="83" s="1"/>
  <c r="B47" i="83"/>
  <c r="BK44" i="83"/>
  <c r="AU44" i="83"/>
  <c r="AT44" i="83"/>
  <c r="AS44" i="83"/>
  <c r="AR44" i="83"/>
  <c r="W44" i="83"/>
  <c r="B46" i="83"/>
  <c r="AY43" i="83"/>
  <c r="AU43" i="83"/>
  <c r="AT43" i="83"/>
  <c r="AS43" i="83"/>
  <c r="AR43" i="83"/>
  <c r="AG43" i="83"/>
  <c r="AF43" i="83"/>
  <c r="AE43" i="83"/>
  <c r="AD43" i="83"/>
  <c r="D43" i="83"/>
  <c r="E43" i="83" s="1"/>
  <c r="W57" i="83" s="1"/>
  <c r="BC42" i="83"/>
  <c r="AY42" i="83"/>
  <c r="I29" i="83"/>
  <c r="BC41" i="83"/>
  <c r="AY41" i="83"/>
  <c r="AR41" i="83"/>
  <c r="A43" i="83"/>
  <c r="BK40" i="83"/>
  <c r="BG40" i="83"/>
  <c r="AU40" i="83"/>
  <c r="AT40" i="83"/>
  <c r="AS40" i="83"/>
  <c r="AR40" i="83"/>
  <c r="Z40" i="83"/>
  <c r="Y40" i="83"/>
  <c r="X40" i="83"/>
  <c r="W40" i="83"/>
  <c r="S41" i="83"/>
  <c r="R41" i="83"/>
  <c r="Q41" i="83"/>
  <c r="P41" i="83"/>
  <c r="B42" i="83"/>
  <c r="BC39" i="83"/>
  <c r="AY39" i="83"/>
  <c r="AN39" i="83"/>
  <c r="AM39" i="83"/>
  <c r="AL39" i="83"/>
  <c r="AK39" i="83"/>
  <c r="B41" i="83"/>
  <c r="W49" i="83" s="1"/>
  <c r="BK38" i="83"/>
  <c r="BG38" i="83"/>
  <c r="BC38" i="83"/>
  <c r="AY38" i="83"/>
  <c r="AN38" i="83"/>
  <c r="AM38" i="83"/>
  <c r="AL38" i="83"/>
  <c r="AK38" i="83"/>
  <c r="C40" i="83"/>
  <c r="B40" i="83" s="1"/>
  <c r="BG37" i="83"/>
  <c r="BC37" i="83"/>
  <c r="AY37" i="83"/>
  <c r="Z37" i="83"/>
  <c r="Y37" i="83"/>
  <c r="X37" i="83"/>
  <c r="W37" i="83"/>
  <c r="I41" i="83"/>
  <c r="E37" i="83"/>
  <c r="BK36" i="83"/>
  <c r="BG36" i="83"/>
  <c r="AN36" i="83"/>
  <c r="AN37" i="83" s="1"/>
  <c r="AM36" i="83"/>
  <c r="AM37" i="83" s="1"/>
  <c r="AL36" i="83"/>
  <c r="AL37" i="83" s="1"/>
  <c r="AK36" i="83"/>
  <c r="AK37" i="83" s="1"/>
  <c r="Z36" i="83"/>
  <c r="Y36" i="83"/>
  <c r="X36" i="83"/>
  <c r="W36" i="83"/>
  <c r="F36" i="83"/>
  <c r="A38" i="83"/>
  <c r="BK35" i="83"/>
  <c r="BC35" i="83"/>
  <c r="AY35" i="83"/>
  <c r="AG35" i="83"/>
  <c r="AF35" i="83"/>
  <c r="AE35" i="83"/>
  <c r="AD35" i="83"/>
  <c r="Z35" i="83"/>
  <c r="Y35" i="83"/>
  <c r="X35" i="83"/>
  <c r="W35" i="83"/>
  <c r="BK34" i="83"/>
  <c r="Z34" i="83"/>
  <c r="Y34" i="83"/>
  <c r="X34" i="83"/>
  <c r="W34" i="83"/>
  <c r="I37" i="83"/>
  <c r="B35" i="83"/>
  <c r="BG32" i="83"/>
  <c r="AU32" i="83"/>
  <c r="AT32" i="83"/>
  <c r="AS32" i="83"/>
  <c r="AR32" i="83"/>
  <c r="AG32" i="83"/>
  <c r="AF32" i="83"/>
  <c r="AE32" i="83"/>
  <c r="AD32" i="83"/>
  <c r="Z32" i="83"/>
  <c r="Y32" i="83"/>
  <c r="X32" i="83"/>
  <c r="W32" i="83"/>
  <c r="S33" i="83"/>
  <c r="R33" i="83"/>
  <c r="Q33" i="83"/>
  <c r="P33" i="83"/>
  <c r="I36" i="83"/>
  <c r="E32" i="83"/>
  <c r="AG31" i="83"/>
  <c r="AF31" i="83"/>
  <c r="AE31" i="83"/>
  <c r="AD31" i="83"/>
  <c r="I35" i="83"/>
  <c r="C33" i="83"/>
  <c r="B33" i="83" s="1"/>
  <c r="BK30" i="83"/>
  <c r="BG30" i="83"/>
  <c r="AG30" i="83"/>
  <c r="AF30" i="83"/>
  <c r="AE30" i="83"/>
  <c r="AD30" i="83"/>
  <c r="I34" i="83"/>
  <c r="BG29" i="83"/>
  <c r="AU29" i="83"/>
  <c r="AT29" i="83"/>
  <c r="AS29" i="83"/>
  <c r="AR29" i="83"/>
  <c r="AN29" i="83"/>
  <c r="AM29" i="83"/>
  <c r="AL29" i="83"/>
  <c r="AK29" i="83"/>
  <c r="AG29" i="83"/>
  <c r="AF29" i="83"/>
  <c r="AE29" i="83"/>
  <c r="AD29" i="83"/>
  <c r="S29" i="83"/>
  <c r="S31" i="83" s="1"/>
  <c r="R29" i="83"/>
  <c r="R31" i="83" s="1"/>
  <c r="Q29" i="83"/>
  <c r="Q31" i="83" s="1"/>
  <c r="P29" i="83"/>
  <c r="P31" i="83" s="1"/>
  <c r="BK28" i="83"/>
  <c r="BG28" i="83"/>
  <c r="BG31" i="83" s="1"/>
  <c r="AY28" i="83"/>
  <c r="AU28" i="83"/>
  <c r="AT28" i="83"/>
  <c r="AS28" i="83"/>
  <c r="AR28" i="83"/>
  <c r="AN28" i="83"/>
  <c r="AM28" i="83"/>
  <c r="AL28" i="83"/>
  <c r="AK28" i="83"/>
  <c r="AG28" i="83"/>
  <c r="AF28" i="83"/>
  <c r="AE28" i="83"/>
  <c r="AD28" i="83"/>
  <c r="BC27" i="83"/>
  <c r="AU27" i="83"/>
  <c r="AT27" i="83"/>
  <c r="AS27" i="83"/>
  <c r="AR27" i="83"/>
  <c r="AG27" i="83"/>
  <c r="AF27" i="83"/>
  <c r="AE27" i="83"/>
  <c r="AD27" i="83"/>
  <c r="BK26" i="83"/>
  <c r="AU26" i="83"/>
  <c r="AT26" i="83"/>
  <c r="AS26" i="83"/>
  <c r="AR26" i="83"/>
  <c r="AN26" i="83"/>
  <c r="AN27" i="83" s="1"/>
  <c r="AM26" i="83"/>
  <c r="AM27" i="83" s="1"/>
  <c r="AL26" i="83"/>
  <c r="AL27" i="83" s="1"/>
  <c r="AK26" i="83"/>
  <c r="AK27" i="83" s="1"/>
  <c r="Z26" i="83"/>
  <c r="Y26" i="83"/>
  <c r="X26" i="83"/>
  <c r="W26" i="83"/>
  <c r="BK25" i="83"/>
  <c r="AY25" i="83"/>
  <c r="AU25" i="83"/>
  <c r="AT25" i="83"/>
  <c r="AS25" i="83"/>
  <c r="AR25" i="83"/>
  <c r="AE25" i="83"/>
  <c r="Z25" i="83"/>
  <c r="Y25" i="83"/>
  <c r="X25" i="83"/>
  <c r="W25" i="83"/>
  <c r="I26" i="83"/>
  <c r="BK24" i="83"/>
  <c r="BG24" i="83"/>
  <c r="BC24" i="83"/>
  <c r="AY24" i="83"/>
  <c r="AU24" i="83"/>
  <c r="AT24" i="83"/>
  <c r="AS24" i="83"/>
  <c r="AR24" i="83"/>
  <c r="AN24" i="83"/>
  <c r="AM24" i="83"/>
  <c r="AL24" i="83"/>
  <c r="AK24" i="83"/>
  <c r="AF24" i="83"/>
  <c r="AF26" i="83" s="1"/>
  <c r="AD24" i="83"/>
  <c r="AD26" i="83" s="1"/>
  <c r="S24" i="83"/>
  <c r="R24" i="83"/>
  <c r="Q24" i="83"/>
  <c r="P24" i="83"/>
  <c r="I25" i="83"/>
  <c r="F24" i="83"/>
  <c r="E24" i="83"/>
  <c r="BC23" i="83"/>
  <c r="AU23" i="83"/>
  <c r="AT23" i="83"/>
  <c r="AS23" i="83"/>
  <c r="AR23" i="83"/>
  <c r="Z23" i="83"/>
  <c r="Z24" i="83" s="1"/>
  <c r="Y23" i="83"/>
  <c r="Y24" i="83" s="1"/>
  <c r="X23" i="83"/>
  <c r="X24" i="83" s="1"/>
  <c r="W23" i="83"/>
  <c r="W24" i="83" s="1"/>
  <c r="S23" i="83"/>
  <c r="R23" i="83"/>
  <c r="Q23" i="83"/>
  <c r="P23" i="83"/>
  <c r="D23" i="83"/>
  <c r="BG22" i="83"/>
  <c r="BC22" i="83"/>
  <c r="AY22" i="83"/>
  <c r="AU22" i="83"/>
  <c r="AT22" i="83"/>
  <c r="AS22" i="83"/>
  <c r="AR22" i="83"/>
  <c r="S22" i="83"/>
  <c r="R22" i="83"/>
  <c r="Q22" i="83"/>
  <c r="P22" i="83"/>
  <c r="E22" i="83"/>
  <c r="BG21" i="83"/>
  <c r="BC21" i="83"/>
  <c r="AU21" i="83"/>
  <c r="AT21" i="83"/>
  <c r="AS21" i="83"/>
  <c r="AR21" i="83"/>
  <c r="BK20" i="83"/>
  <c r="BG20" i="83"/>
  <c r="BC20" i="83"/>
  <c r="AY20" i="83"/>
  <c r="Z20" i="83"/>
  <c r="Y20" i="83"/>
  <c r="X20" i="83"/>
  <c r="W20" i="83"/>
  <c r="Q20" i="83"/>
  <c r="I21" i="83"/>
  <c r="E20" i="83"/>
  <c r="BC19" i="83"/>
  <c r="AY19" i="83"/>
  <c r="Z19" i="83"/>
  <c r="Y19" i="83"/>
  <c r="X19" i="83"/>
  <c r="W19" i="83"/>
  <c r="S19" i="83"/>
  <c r="R19" i="83"/>
  <c r="Q19" i="83"/>
  <c r="P19" i="83"/>
  <c r="I20" i="83"/>
  <c r="BK18" i="83"/>
  <c r="BC18" i="83"/>
  <c r="AG18" i="83"/>
  <c r="AF18" i="83"/>
  <c r="AE18" i="83"/>
  <c r="AD18" i="83"/>
  <c r="Z18" i="83"/>
  <c r="Y18" i="83"/>
  <c r="X18" i="83"/>
  <c r="W18" i="83"/>
  <c r="S18" i="83"/>
  <c r="R18" i="83"/>
  <c r="Q18" i="83"/>
  <c r="P18" i="83"/>
  <c r="I19" i="83"/>
  <c r="AN17" i="83"/>
  <c r="AM17" i="83"/>
  <c r="AL17" i="83"/>
  <c r="AK17" i="83"/>
  <c r="S17" i="83"/>
  <c r="R17" i="83"/>
  <c r="Q17" i="83"/>
  <c r="P17" i="83"/>
  <c r="BK16" i="83"/>
  <c r="BG16" i="83"/>
  <c r="AN16" i="83"/>
  <c r="AM16" i="83"/>
  <c r="AL16" i="83"/>
  <c r="AK16" i="83"/>
  <c r="W16" i="83"/>
  <c r="S16" i="83"/>
  <c r="R16" i="83"/>
  <c r="Q16" i="83"/>
  <c r="P16" i="83"/>
  <c r="B16" i="83"/>
  <c r="X49" i="83" s="1"/>
  <c r="BK15" i="83"/>
  <c r="W15" i="83"/>
  <c r="I16" i="83"/>
  <c r="BK14" i="83"/>
  <c r="BG14" i="83"/>
  <c r="AY14" i="83"/>
  <c r="AU14" i="83"/>
  <c r="AT14" i="83"/>
  <c r="AS14" i="83"/>
  <c r="AR14" i="83"/>
  <c r="AN14" i="83"/>
  <c r="AN15" i="83" s="1"/>
  <c r="AM14" i="83"/>
  <c r="AM15" i="83" s="1"/>
  <c r="AL14" i="83"/>
  <c r="AL15" i="83" s="1"/>
  <c r="AK14" i="83"/>
  <c r="AK15" i="83" s="1"/>
  <c r="P14" i="83"/>
  <c r="BG13" i="83"/>
  <c r="BC13" i="83"/>
  <c r="AG13" i="83"/>
  <c r="AF13" i="83"/>
  <c r="AE13" i="83"/>
  <c r="AD13" i="83"/>
  <c r="X13" i="83"/>
  <c r="P13" i="83"/>
  <c r="Q47" i="83" s="1"/>
  <c r="Q50" i="83" s="1"/>
  <c r="B13" i="83"/>
  <c r="BO12" i="83"/>
  <c r="BG12" i="83"/>
  <c r="AN12" i="83"/>
  <c r="AM12" i="83"/>
  <c r="AL12" i="83"/>
  <c r="AK12" i="83"/>
  <c r="AG12" i="83"/>
  <c r="AF12" i="83"/>
  <c r="AE12" i="83"/>
  <c r="AD12" i="83"/>
  <c r="X12" i="83"/>
  <c r="L12" i="83"/>
  <c r="K12" i="83"/>
  <c r="J12" i="83"/>
  <c r="I12" i="83"/>
  <c r="B12" i="83"/>
  <c r="Z49" i="83" s="1"/>
  <c r="BO11" i="83"/>
  <c r="AY11" i="83"/>
  <c r="AU11" i="83"/>
  <c r="AT11" i="83"/>
  <c r="AS11" i="83"/>
  <c r="AR11" i="83"/>
  <c r="Q11" i="83"/>
  <c r="L11" i="83"/>
  <c r="K11" i="83"/>
  <c r="J11" i="83"/>
  <c r="I11" i="83"/>
  <c r="BO10" i="83"/>
  <c r="BK10" i="83"/>
  <c r="BC10" i="83"/>
  <c r="AY10" i="83"/>
  <c r="AU10" i="83"/>
  <c r="AT10" i="83"/>
  <c r="AS10" i="83"/>
  <c r="AR10" i="83"/>
  <c r="AG10" i="83"/>
  <c r="AF10" i="83"/>
  <c r="AE10" i="83"/>
  <c r="AD10" i="83"/>
  <c r="Z10" i="83"/>
  <c r="Y10" i="83"/>
  <c r="X10" i="83"/>
  <c r="W10" i="83"/>
  <c r="Q10" i="83"/>
  <c r="L10" i="83"/>
  <c r="K10" i="83"/>
  <c r="J10" i="83"/>
  <c r="I10" i="83"/>
  <c r="B10" i="83"/>
  <c r="BO9" i="83"/>
  <c r="BC9" i="83"/>
  <c r="AY9" i="83"/>
  <c r="AU9" i="83"/>
  <c r="AT9" i="83"/>
  <c r="AS9" i="83"/>
  <c r="AR9" i="83"/>
  <c r="AE9" i="83"/>
  <c r="AD9" i="83"/>
  <c r="Z9" i="83"/>
  <c r="Y9" i="83"/>
  <c r="X9" i="83"/>
  <c r="W9" i="83"/>
  <c r="L9" i="83"/>
  <c r="K9" i="83"/>
  <c r="BO8" i="83"/>
  <c r="BK8" i="83"/>
  <c r="BG8" i="83"/>
  <c r="BC8" i="83"/>
  <c r="AY8" i="83"/>
  <c r="AU8" i="83"/>
  <c r="AT8" i="83"/>
  <c r="AS8" i="83"/>
  <c r="AR8" i="83"/>
  <c r="S8" i="83"/>
  <c r="P8" i="83"/>
  <c r="L8" i="83"/>
  <c r="K8" i="83"/>
  <c r="K13" i="83" s="1"/>
  <c r="J8" i="83"/>
  <c r="I8" i="83"/>
  <c r="E8" i="83"/>
  <c r="BO7" i="83"/>
  <c r="BC7" i="83"/>
  <c r="AY7" i="83"/>
  <c r="AU7" i="83"/>
  <c r="AT7" i="83"/>
  <c r="AS7" i="83"/>
  <c r="AR7" i="83"/>
  <c r="BO6" i="83"/>
  <c r="BK6" i="83"/>
  <c r="BG6" i="83"/>
  <c r="BC6" i="83"/>
  <c r="AU6" i="83"/>
  <c r="AT6" i="83"/>
  <c r="AS6" i="83"/>
  <c r="AR6" i="83"/>
  <c r="AD6" i="83"/>
  <c r="W6" i="83"/>
  <c r="P6" i="83"/>
  <c r="BO5" i="83"/>
  <c r="BK5" i="83"/>
  <c r="BG5" i="83"/>
  <c r="BC5" i="83"/>
  <c r="AY5" i="83"/>
  <c r="AU5" i="83"/>
  <c r="AT5" i="83"/>
  <c r="AS5" i="83"/>
  <c r="AR5" i="83"/>
  <c r="AG5" i="83"/>
  <c r="AF5" i="83"/>
  <c r="AD5" i="83"/>
  <c r="Z5" i="83"/>
  <c r="Y5" i="83"/>
  <c r="X5" i="83"/>
  <c r="S5" i="83"/>
  <c r="AN5" i="83" s="1"/>
  <c r="R5" i="83"/>
  <c r="AM5" i="83" s="1"/>
  <c r="Q5" i="83"/>
  <c r="AL5" i="83" s="1"/>
  <c r="L5" i="83"/>
  <c r="K5" i="83"/>
  <c r="E5" i="83"/>
  <c r="BO4" i="83"/>
  <c r="BK4" i="83"/>
  <c r="BG4" i="83"/>
  <c r="BG7" i="83" s="1"/>
  <c r="BG9" i="83" s="1"/>
  <c r="BC4" i="83"/>
  <c r="AY4" i="83"/>
  <c r="AY6" i="83" s="1"/>
  <c r="AU4" i="83"/>
  <c r="AT4" i="83"/>
  <c r="AS4" i="83"/>
  <c r="AR4" i="83"/>
  <c r="AU3" i="83"/>
  <c r="AT3" i="83"/>
  <c r="AS3" i="83"/>
  <c r="AR3" i="83"/>
  <c r="AN3" i="83"/>
  <c r="AM3" i="83"/>
  <c r="AL3" i="83"/>
  <c r="AK3" i="83"/>
  <c r="AG3" i="83"/>
  <c r="AF3" i="83"/>
  <c r="AE3" i="83"/>
  <c r="AD3" i="83"/>
  <c r="Z3" i="83"/>
  <c r="Y3" i="83"/>
  <c r="X3" i="83"/>
  <c r="W3" i="83"/>
  <c r="S3" i="83"/>
  <c r="R3" i="83"/>
  <c r="Q3" i="83"/>
  <c r="P3" i="83"/>
  <c r="C3" i="83"/>
  <c r="AN2" i="83"/>
  <c r="AM2" i="83"/>
  <c r="AL2" i="83"/>
  <c r="AL4" i="83" s="1"/>
  <c r="AL7" i="83" s="1"/>
  <c r="AK2" i="83"/>
  <c r="AG2" i="83"/>
  <c r="AF2" i="83"/>
  <c r="AE2" i="83"/>
  <c r="AD2" i="83"/>
  <c r="Z2" i="83"/>
  <c r="Z4" i="83" s="1"/>
  <c r="Z8" i="83" s="1"/>
  <c r="Z11" i="83" s="1"/>
  <c r="Y2" i="83"/>
  <c r="X2" i="83"/>
  <c r="W2" i="83"/>
  <c r="S2" i="83"/>
  <c r="R2" i="83"/>
  <c r="Q2" i="83"/>
  <c r="Q4" i="83" s="1"/>
  <c r="Q9" i="83" s="1"/>
  <c r="Q21" i="83" s="1"/>
  <c r="Q27" i="83" s="1"/>
  <c r="P2" i="83"/>
  <c r="S35" i="87" l="1"/>
  <c r="O12" i="87"/>
  <c r="X4" i="83"/>
  <c r="X8" i="83" s="1"/>
  <c r="X11" i="83" s="1"/>
  <c r="AE5" i="83"/>
  <c r="S4" i="83"/>
  <c r="S9" i="83" s="1"/>
  <c r="S21" i="83" s="1"/>
  <c r="S27" i="83" s="1"/>
  <c r="AE4" i="83"/>
  <c r="AN4" i="83"/>
  <c r="AN7" i="83" s="1"/>
  <c r="BO14" i="83"/>
  <c r="I38" i="83"/>
  <c r="BC40" i="83"/>
  <c r="Q4" i="84"/>
  <c r="Q8" i="84" s="1"/>
  <c r="Q20" i="84" s="1"/>
  <c r="Q27" i="84" s="1"/>
  <c r="AV4" i="84"/>
  <c r="AV9" i="84" s="1"/>
  <c r="AV11" i="84" s="1"/>
  <c r="BT12" i="84"/>
  <c r="BT14" i="84" s="1"/>
  <c r="BT26" i="84"/>
  <c r="BT28" i="84" s="1"/>
  <c r="B45" i="84"/>
  <c r="AB48" i="84"/>
  <c r="AM5" i="85"/>
  <c r="F13" i="85"/>
  <c r="I23" i="85"/>
  <c r="AL35" i="85"/>
  <c r="AO35" i="85"/>
  <c r="AN34" i="85"/>
  <c r="AE5" i="86"/>
  <c r="AG35" i="86"/>
  <c r="AM35" i="85"/>
  <c r="AG4" i="83"/>
  <c r="AG7" i="83" s="1"/>
  <c r="AG11" i="83" s="1"/>
  <c r="AG16" i="83" s="1"/>
  <c r="BG33" i="83"/>
  <c r="BK47" i="83"/>
  <c r="BK49" i="83" s="1"/>
  <c r="BK51" i="83" s="1"/>
  <c r="S8" i="84"/>
  <c r="S20" i="84" s="1"/>
  <c r="S27" i="84" s="1"/>
  <c r="AF6" i="84"/>
  <c r="AF9" i="84" s="1"/>
  <c r="BP13" i="84"/>
  <c r="BP15" i="84" s="1"/>
  <c r="BP40" i="84"/>
  <c r="BP45" i="84" s="1"/>
  <c r="BP47" i="84" s="1"/>
  <c r="BP49" i="84" s="1"/>
  <c r="I49" i="84" s="1"/>
  <c r="I46" i="84"/>
  <c r="AL5" i="85"/>
  <c r="AO5" i="85"/>
  <c r="AS14" i="85"/>
  <c r="W7" i="85"/>
  <c r="P16" i="85"/>
  <c r="AD8" i="85" s="1"/>
  <c r="AN35" i="85"/>
  <c r="AD5" i="86"/>
  <c r="AG5" i="86"/>
  <c r="AK14" i="86"/>
  <c r="S29" i="87"/>
  <c r="S36" i="87" s="1"/>
  <c r="S38" i="87" s="1"/>
  <c r="BP19" i="84"/>
  <c r="BP21" i="84" s="1"/>
  <c r="BP23" i="84" s="1"/>
  <c r="BP27" i="84" s="1"/>
  <c r="BP29" i="84" s="1"/>
  <c r="AD48" i="86"/>
  <c r="K16" i="84"/>
  <c r="J13" i="87"/>
  <c r="P4" i="83"/>
  <c r="R4" i="83"/>
  <c r="R9" i="83" s="1"/>
  <c r="R21" i="83" s="1"/>
  <c r="R27" i="83" s="1"/>
  <c r="BK7" i="83"/>
  <c r="BK9" i="83" s="1"/>
  <c r="BK11" i="83" s="1"/>
  <c r="L13" i="83"/>
  <c r="BG23" i="83"/>
  <c r="BG25" i="83" s="1"/>
  <c r="I27" i="83"/>
  <c r="BK27" i="83"/>
  <c r="BK29" i="83" s="1"/>
  <c r="BK31" i="83" s="1"/>
  <c r="AY40" i="83"/>
  <c r="N50" i="83"/>
  <c r="O50" i="83" s="1"/>
  <c r="W4" i="83"/>
  <c r="Y4" i="83"/>
  <c r="Y8" i="83" s="1"/>
  <c r="Y11" i="83" s="1"/>
  <c r="AD4" i="83"/>
  <c r="AD7" i="83" s="1"/>
  <c r="AD11" i="83" s="1"/>
  <c r="AD16" i="83" s="1"/>
  <c r="AF4" i="83"/>
  <c r="AF7" i="83" s="1"/>
  <c r="AF11" i="83" s="1"/>
  <c r="AF16" i="83" s="1"/>
  <c r="AK4" i="83"/>
  <c r="AM4" i="83"/>
  <c r="AM7" i="83" s="1"/>
  <c r="AM23" i="83" s="1"/>
  <c r="AM25" i="83" s="1"/>
  <c r="B3" i="85"/>
  <c r="B3" i="86"/>
  <c r="C34" i="86" s="1"/>
  <c r="BG15" i="83"/>
  <c r="BG17" i="83" s="1"/>
  <c r="BT40" i="84"/>
  <c r="BT43" i="84" s="1"/>
  <c r="BT45" i="84" s="1"/>
  <c r="BK17" i="83"/>
  <c r="BK19" i="83" s="1"/>
  <c r="BK21" i="83" s="1"/>
  <c r="I22" i="83"/>
  <c r="AY21" i="83"/>
  <c r="AY23" i="83" s="1"/>
  <c r="I36" i="84"/>
  <c r="I38" i="84" s="1"/>
  <c r="J24" i="87"/>
  <c r="AL20" i="84"/>
  <c r="AL23" i="84" s="1"/>
  <c r="AP17" i="84" s="1"/>
  <c r="AD33" i="84"/>
  <c r="O13" i="87"/>
  <c r="O15" i="87" s="1"/>
  <c r="BK37" i="83"/>
  <c r="BK39" i="83" s="1"/>
  <c r="BK41" i="83" s="1"/>
  <c r="BG39" i="83"/>
  <c r="BG41" i="83" s="1"/>
  <c r="I15" i="85"/>
  <c r="I29" i="85" s="1"/>
  <c r="I31" i="85" s="1"/>
  <c r="I15" i="86"/>
  <c r="I21" i="86" s="1"/>
  <c r="AL44" i="83"/>
  <c r="AL49" i="83" s="1"/>
  <c r="AL35" i="83"/>
  <c r="AL40" i="83" s="1"/>
  <c r="AL23" i="83"/>
  <c r="AL25" i="83" s="1"/>
  <c r="AL11" i="83"/>
  <c r="AL13" i="83" s="1"/>
  <c r="AM44" i="83"/>
  <c r="AM49" i="83" s="1"/>
  <c r="AM11" i="83"/>
  <c r="AM13" i="83" s="1"/>
  <c r="AN44" i="83"/>
  <c r="AN49" i="83" s="1"/>
  <c r="AN35" i="83"/>
  <c r="AN40" i="83" s="1"/>
  <c r="AN23" i="83"/>
  <c r="AN25" i="83" s="1"/>
  <c r="AN11" i="83"/>
  <c r="AN13" i="83" s="1"/>
  <c r="Z55" i="83"/>
  <c r="Y55" i="83"/>
  <c r="Y56" i="83" s="1"/>
  <c r="Y59" i="83" s="1"/>
  <c r="Y61" i="83" s="1"/>
  <c r="X55" i="83"/>
  <c r="W55" i="83"/>
  <c r="AU49" i="83"/>
  <c r="AT49" i="83"/>
  <c r="AS49" i="83"/>
  <c r="AR49" i="83"/>
  <c r="AY44" i="83"/>
  <c r="BC43" i="83"/>
  <c r="Z38" i="83"/>
  <c r="Y38" i="83"/>
  <c r="X38" i="83"/>
  <c r="W38" i="83"/>
  <c r="AG33" i="83"/>
  <c r="AF33" i="83"/>
  <c r="AE33" i="83"/>
  <c r="AD33" i="83"/>
  <c r="AU30" i="83"/>
  <c r="AT30" i="83"/>
  <c r="AS30" i="83"/>
  <c r="AR30" i="83"/>
  <c r="AY26" i="83"/>
  <c r="BC25" i="83"/>
  <c r="S25" i="83"/>
  <c r="R25" i="83"/>
  <c r="R26" i="83" s="1"/>
  <c r="Q25" i="83"/>
  <c r="P25" i="83"/>
  <c r="Z21" i="83"/>
  <c r="Z22" i="83" s="1"/>
  <c r="Z27" i="83" s="1"/>
  <c r="Y21" i="83"/>
  <c r="X21" i="83"/>
  <c r="W21" i="83"/>
  <c r="AG14" i="83"/>
  <c r="AF14" i="83"/>
  <c r="AE14" i="83"/>
  <c r="AE15" i="83" s="1"/>
  <c r="AD14" i="83"/>
  <c r="AY12" i="83"/>
  <c r="AU12" i="83"/>
  <c r="AT12" i="83"/>
  <c r="AS12" i="83"/>
  <c r="AR12" i="83"/>
  <c r="BC11" i="83"/>
  <c r="Q52" i="83"/>
  <c r="R50" i="83"/>
  <c r="AD38" i="84"/>
  <c r="AH36" i="84"/>
  <c r="BL27" i="84"/>
  <c r="BK27" i="84"/>
  <c r="BJ27" i="84"/>
  <c r="BI27" i="84"/>
  <c r="AW27" i="84"/>
  <c r="AV27" i="84"/>
  <c r="AU27" i="84"/>
  <c r="AT27" i="84"/>
  <c r="AT28" i="84" s="1"/>
  <c r="AT30" i="84" s="1"/>
  <c r="BP26" i="84"/>
  <c r="S24" i="84"/>
  <c r="R24" i="84"/>
  <c r="R25" i="84" s="1"/>
  <c r="R28" i="84" s="1"/>
  <c r="R33" i="84" s="1"/>
  <c r="Q24" i="84"/>
  <c r="P24" i="84"/>
  <c r="AG21" i="84"/>
  <c r="AG22" i="84" s="1"/>
  <c r="AG25" i="84" s="1"/>
  <c r="AF21" i="84"/>
  <c r="AE21" i="84"/>
  <c r="AD21" i="84"/>
  <c r="BL10" i="84"/>
  <c r="BK10" i="84"/>
  <c r="BJ10" i="84"/>
  <c r="BI10" i="84"/>
  <c r="AW8" i="84"/>
  <c r="AV8" i="84"/>
  <c r="AU8" i="84"/>
  <c r="AT8" i="84"/>
  <c r="AP26" i="84"/>
  <c r="AP31" i="84" s="1"/>
  <c r="AL29" i="84" s="1"/>
  <c r="W45" i="84"/>
  <c r="W31" i="84"/>
  <c r="W17" i="84"/>
  <c r="W3" i="84"/>
  <c r="X45" i="84"/>
  <c r="X31" i="84"/>
  <c r="X17" i="84"/>
  <c r="X3" i="84"/>
  <c r="Y45" i="84"/>
  <c r="Y31" i="84"/>
  <c r="Y17" i="84"/>
  <c r="Y3" i="84"/>
  <c r="Z45" i="84"/>
  <c r="Z31" i="84"/>
  <c r="Z17" i="84"/>
  <c r="Z3" i="84"/>
  <c r="AF50" i="84"/>
  <c r="AG48" i="84"/>
  <c r="AB50" i="84"/>
  <c r="AC48" i="84"/>
  <c r="S33" i="85"/>
  <c r="R33" i="85"/>
  <c r="Q33" i="85"/>
  <c r="P33" i="85"/>
  <c r="Z31" i="85"/>
  <c r="Y31" i="85"/>
  <c r="X31" i="85"/>
  <c r="W31" i="85"/>
  <c r="AD26" i="85"/>
  <c r="AH25" i="85"/>
  <c r="AD12" i="85"/>
  <c r="AH11" i="85"/>
  <c r="X22" i="83"/>
  <c r="X27" i="83" s="1"/>
  <c r="J9" i="83" s="1"/>
  <c r="J13" i="83" s="1"/>
  <c r="Y22" i="83"/>
  <c r="Y27" i="83" s="1"/>
  <c r="AR13" i="83"/>
  <c r="AR15" i="83" s="1"/>
  <c r="AS13" i="83"/>
  <c r="AS15" i="83" s="1"/>
  <c r="AT13" i="83"/>
  <c r="AT15" i="83" s="1"/>
  <c r="AU13" i="83"/>
  <c r="AU15" i="83" s="1"/>
  <c r="AY13" i="83"/>
  <c r="AY15" i="83" s="1"/>
  <c r="BC12" i="83"/>
  <c r="BC14" i="83" s="1"/>
  <c r="AL18" i="83"/>
  <c r="AN18" i="83"/>
  <c r="AN30" i="83" s="1"/>
  <c r="Z56" i="83"/>
  <c r="Z59" i="83" s="1"/>
  <c r="Z61" i="83" s="1"/>
  <c r="AD15" i="83"/>
  <c r="AD17" i="83" s="1"/>
  <c r="AD19" i="83" s="1"/>
  <c r="AF15" i="83"/>
  <c r="AF17" i="83" s="1"/>
  <c r="AF19" i="83" s="1"/>
  <c r="AG15" i="83"/>
  <c r="AG17" i="83" s="1"/>
  <c r="AG19" i="83" s="1"/>
  <c r="X56" i="83"/>
  <c r="X59" i="83" s="1"/>
  <c r="X61" i="83" s="1"/>
  <c r="AL30" i="83"/>
  <c r="BC26" i="83"/>
  <c r="BC28" i="83" s="1"/>
  <c r="AY27" i="83"/>
  <c r="AY29" i="83" s="1"/>
  <c r="AR31" i="83"/>
  <c r="AR33" i="83" s="1"/>
  <c r="AS31" i="83"/>
  <c r="AS33" i="83" s="1"/>
  <c r="AT31" i="83"/>
  <c r="AT33" i="83" s="1"/>
  <c r="AU31" i="83"/>
  <c r="AU33" i="83" s="1"/>
  <c r="P26" i="83"/>
  <c r="Q26" i="83"/>
  <c r="Q28" i="83" s="1"/>
  <c r="Q34" i="83" s="1"/>
  <c r="S26" i="83"/>
  <c r="S28" i="83" s="1"/>
  <c r="S34" i="83" s="1"/>
  <c r="AD34" i="83"/>
  <c r="AD36" i="83" s="1"/>
  <c r="AF34" i="83"/>
  <c r="AF36" i="83" s="1"/>
  <c r="AY45" i="83"/>
  <c r="AY47" i="83" s="1"/>
  <c r="BC44" i="83"/>
  <c r="BC46" i="83" s="1"/>
  <c r="W56" i="83"/>
  <c r="W59" i="83" s="1"/>
  <c r="W61" i="83" s="1"/>
  <c r="AT50" i="83"/>
  <c r="AT52" i="83" s="1"/>
  <c r="AU50" i="83"/>
  <c r="AU52" i="83" s="1"/>
  <c r="BI11" i="84"/>
  <c r="BI13" i="84" s="1"/>
  <c r="BJ11" i="84"/>
  <c r="BJ13" i="84" s="1"/>
  <c r="BK11" i="84"/>
  <c r="BK13" i="84" s="1"/>
  <c r="BL11" i="84"/>
  <c r="BL13" i="84" s="1"/>
  <c r="AF22" i="84"/>
  <c r="AF25" i="84" s="1"/>
  <c r="AV28" i="84"/>
  <c r="AV30" i="84" s="1"/>
  <c r="BI28" i="84"/>
  <c r="BI30" i="84" s="1"/>
  <c r="BJ28" i="84"/>
  <c r="BJ30" i="84" s="1"/>
  <c r="BK28" i="84"/>
  <c r="BK30" i="84" s="1"/>
  <c r="BL28" i="84"/>
  <c r="BL30" i="84" s="1"/>
  <c r="P25" i="84"/>
  <c r="Q25" i="84"/>
  <c r="Q28" i="84" s="1"/>
  <c r="Q33" i="84" s="1"/>
  <c r="S25" i="84"/>
  <c r="S28" i="84" s="1"/>
  <c r="S33" i="84" s="1"/>
  <c r="AD39" i="84"/>
  <c r="AH37" i="84"/>
  <c r="AH39" i="84" s="1"/>
  <c r="C34" i="85"/>
  <c r="C33" i="85"/>
  <c r="P10" i="85" s="1"/>
  <c r="C32" i="85"/>
  <c r="C31" i="85"/>
  <c r="B31" i="85"/>
  <c r="C30" i="85"/>
  <c r="C29" i="85"/>
  <c r="A29" i="85"/>
  <c r="C28" i="85"/>
  <c r="C27" i="85"/>
  <c r="C24" i="85"/>
  <c r="B24" i="85"/>
  <c r="AE24" i="83"/>
  <c r="AE26" i="83" s="1"/>
  <c r="AE34" i="83" s="1"/>
  <c r="AE36" i="83" s="1"/>
  <c r="AG24" i="83"/>
  <c r="AG26" i="83" s="1"/>
  <c r="AG34" i="83" s="1"/>
  <c r="AG36" i="83" s="1"/>
  <c r="P30" i="83"/>
  <c r="Q30" i="83"/>
  <c r="R30" i="83"/>
  <c r="S30" i="83"/>
  <c r="AR39" i="83"/>
  <c r="AR50" i="83" s="1"/>
  <c r="AR52" i="83" s="1"/>
  <c r="AS39" i="83"/>
  <c r="AS50" i="83" s="1"/>
  <c r="AS52" i="83" s="1"/>
  <c r="BA13" i="84"/>
  <c r="BB13" i="84"/>
  <c r="BC13" i="84"/>
  <c r="AP18" i="84"/>
  <c r="AP19" i="84" s="1"/>
  <c r="AP20" i="84"/>
  <c r="P30" i="84"/>
  <c r="Q30" i="84"/>
  <c r="R30" i="84"/>
  <c r="S30" i="84"/>
  <c r="W39" i="84"/>
  <c r="X39" i="84"/>
  <c r="Y39" i="84"/>
  <c r="Z39" i="84"/>
  <c r="W53" i="84"/>
  <c r="X53" i="84"/>
  <c r="Y53" i="84"/>
  <c r="C4" i="85"/>
  <c r="B5" i="85"/>
  <c r="C5" i="85"/>
  <c r="O5" i="85"/>
  <c r="C7" i="85"/>
  <c r="B8" i="85"/>
  <c r="C10" i="85"/>
  <c r="C11" i="85"/>
  <c r="C14" i="85"/>
  <c r="C15" i="85"/>
  <c r="C16" i="85"/>
  <c r="C17" i="85"/>
  <c r="B21" i="85" s="1"/>
  <c r="C21" i="85"/>
  <c r="C22" i="85"/>
  <c r="AD39" i="85" s="1"/>
  <c r="C4" i="86"/>
  <c r="B5" i="86"/>
  <c r="C5" i="86"/>
  <c r="O5" i="86"/>
  <c r="C7" i="86"/>
  <c r="B8" i="86"/>
  <c r="C10" i="86"/>
  <c r="C11" i="86"/>
  <c r="C14" i="86"/>
  <c r="C15" i="86"/>
  <c r="C16" i="86"/>
  <c r="C17" i="86"/>
  <c r="B21" i="86" s="1"/>
  <c r="C21" i="86"/>
  <c r="C22" i="86"/>
  <c r="W43" i="86" s="1"/>
  <c r="C24" i="86"/>
  <c r="C27" i="86"/>
  <c r="C28" i="86"/>
  <c r="A29" i="86"/>
  <c r="C29" i="86"/>
  <c r="C30" i="86"/>
  <c r="B31" i="86"/>
  <c r="C31" i="86"/>
  <c r="C32" i="86"/>
  <c r="C33" i="86"/>
  <c r="AD34" i="86"/>
  <c r="AD35" i="86" s="1"/>
  <c r="AE34" i="86"/>
  <c r="AE35" i="86" s="1"/>
  <c r="AF34" i="86"/>
  <c r="AF35" i="86" s="1"/>
  <c r="S22" i="87"/>
  <c r="O27" i="87"/>
  <c r="O28" i="87" s="1"/>
  <c r="AM18" i="83" l="1"/>
  <c r="AM30" i="83" s="1"/>
  <c r="N52" i="83"/>
  <c r="AM35" i="83"/>
  <c r="AM40" i="83" s="1"/>
  <c r="BG47" i="83"/>
  <c r="AE7" i="83"/>
  <c r="AE11" i="83" s="1"/>
  <c r="AE16" i="83" s="1"/>
  <c r="AE17" i="83" s="1"/>
  <c r="AE19" i="83" s="1"/>
  <c r="BG46" i="83"/>
  <c r="AD14" i="84"/>
  <c r="W14" i="83"/>
  <c r="R28" i="83"/>
  <c r="R34" i="83" s="1"/>
  <c r="P12" i="84"/>
  <c r="P12" i="83"/>
  <c r="AD37" i="85"/>
  <c r="O33" i="87"/>
  <c r="O30" i="87"/>
  <c r="P40" i="86"/>
  <c r="P15" i="86"/>
  <c r="Q36" i="86"/>
  <c r="Q12" i="86"/>
  <c r="P39" i="86"/>
  <c r="P14" i="86"/>
  <c r="X28" i="86" s="1"/>
  <c r="P31" i="86"/>
  <c r="B30" i="86"/>
  <c r="P7" i="86" s="1"/>
  <c r="Q30" i="86"/>
  <c r="Q5" i="86"/>
  <c r="P38" i="86"/>
  <c r="B27" i="86"/>
  <c r="P13" i="86"/>
  <c r="P6" i="86" s="1"/>
  <c r="W41" i="86"/>
  <c r="B15" i="86"/>
  <c r="B13" i="86" s="1"/>
  <c r="B12" i="86"/>
  <c r="W45" i="86"/>
  <c r="W44" i="86"/>
  <c r="S43" i="86"/>
  <c r="R43" i="86"/>
  <c r="Q43" i="86"/>
  <c r="P43" i="86"/>
  <c r="AG37" i="86"/>
  <c r="AF37" i="86"/>
  <c r="AE37" i="86"/>
  <c r="AD37" i="86"/>
  <c r="AG36" i="86"/>
  <c r="AF36" i="86"/>
  <c r="AE36" i="86"/>
  <c r="AD36" i="86"/>
  <c r="S32" i="86"/>
  <c r="R32" i="86"/>
  <c r="Q32" i="86"/>
  <c r="P32" i="86"/>
  <c r="AG21" i="86"/>
  <c r="AF21" i="86"/>
  <c r="AE21" i="86"/>
  <c r="AD21" i="86"/>
  <c r="AG20" i="86"/>
  <c r="AF20" i="86"/>
  <c r="AE20" i="86"/>
  <c r="AD20" i="86"/>
  <c r="AG7" i="86"/>
  <c r="AF7" i="86"/>
  <c r="AE7" i="86"/>
  <c r="AD7" i="86"/>
  <c r="AG6" i="86"/>
  <c r="AF6" i="86"/>
  <c r="AE6" i="86"/>
  <c r="AD6" i="86"/>
  <c r="S3" i="86"/>
  <c r="R3" i="86"/>
  <c r="Q3" i="86"/>
  <c r="P3" i="86"/>
  <c r="S2" i="86"/>
  <c r="R2" i="86"/>
  <c r="R4" i="86" s="1"/>
  <c r="Q2" i="86"/>
  <c r="P2" i="86"/>
  <c r="S45" i="86"/>
  <c r="R45" i="86"/>
  <c r="Q45" i="86"/>
  <c r="P45" i="86"/>
  <c r="AG39" i="86"/>
  <c r="AF39" i="86"/>
  <c r="AE39" i="86"/>
  <c r="AD39" i="86"/>
  <c r="AG23" i="86"/>
  <c r="AF23" i="86"/>
  <c r="AE23" i="86"/>
  <c r="AD23" i="86"/>
  <c r="S20" i="86"/>
  <c r="S22" i="86" s="1"/>
  <c r="R20" i="86"/>
  <c r="R22" i="86" s="1"/>
  <c r="Q20" i="86"/>
  <c r="Q22" i="86" s="1"/>
  <c r="P20" i="86"/>
  <c r="P22" i="86" s="1"/>
  <c r="AG9" i="86"/>
  <c r="AF9" i="86"/>
  <c r="AE9" i="86"/>
  <c r="AD9" i="86"/>
  <c r="B15" i="85"/>
  <c r="B12" i="85"/>
  <c r="AD41" i="85"/>
  <c r="AD40" i="85"/>
  <c r="AO37" i="85"/>
  <c r="AN37" i="85"/>
  <c r="AM37" i="85"/>
  <c r="AL37" i="85"/>
  <c r="AO36" i="85"/>
  <c r="AN36" i="85"/>
  <c r="AM36" i="85"/>
  <c r="AL36" i="85"/>
  <c r="Z28" i="85"/>
  <c r="Y28" i="85"/>
  <c r="X28" i="85"/>
  <c r="W28" i="85"/>
  <c r="AO21" i="85"/>
  <c r="AN21" i="85"/>
  <c r="AM21" i="85"/>
  <c r="AL21" i="85"/>
  <c r="AO20" i="85"/>
  <c r="AN20" i="85"/>
  <c r="AM20" i="85"/>
  <c r="AL20" i="85"/>
  <c r="AH20" i="85"/>
  <c r="AD20" i="85"/>
  <c r="AD21" i="85" s="1"/>
  <c r="AD23" i="85" s="1"/>
  <c r="AH19" i="85"/>
  <c r="AO7" i="85"/>
  <c r="AN7" i="85"/>
  <c r="AM7" i="85"/>
  <c r="AL7" i="85"/>
  <c r="AD7" i="85"/>
  <c r="AO6" i="85"/>
  <c r="AN6" i="85"/>
  <c r="AM6" i="85"/>
  <c r="AL6" i="85"/>
  <c r="AH6" i="85"/>
  <c r="AH5" i="85"/>
  <c r="Z5" i="85"/>
  <c r="Y5" i="85"/>
  <c r="X5" i="85"/>
  <c r="W5" i="85"/>
  <c r="S3" i="85"/>
  <c r="R3" i="85"/>
  <c r="Q3" i="85"/>
  <c r="P3" i="85"/>
  <c r="S2" i="85"/>
  <c r="S4" i="85" s="1"/>
  <c r="R2" i="85"/>
  <c r="Q2" i="85"/>
  <c r="Q4" i="85" s="1"/>
  <c r="P2" i="85"/>
  <c r="P4" i="85" s="1"/>
  <c r="AO39" i="85"/>
  <c r="AN39" i="85"/>
  <c r="AM39" i="85"/>
  <c r="AL39" i="85"/>
  <c r="S32" i="85"/>
  <c r="S34" i="85" s="1"/>
  <c r="R32" i="85"/>
  <c r="R34" i="85" s="1"/>
  <c r="Q32" i="85"/>
  <c r="Q34" i="85" s="1"/>
  <c r="P32" i="85"/>
  <c r="P34" i="85" s="1"/>
  <c r="Z30" i="85"/>
  <c r="Y30" i="85"/>
  <c r="X30" i="85"/>
  <c r="W30" i="85"/>
  <c r="AD25" i="85"/>
  <c r="AH24" i="85"/>
  <c r="AO23" i="85"/>
  <c r="AN23" i="85"/>
  <c r="AM23" i="85"/>
  <c r="AL23" i="85"/>
  <c r="AD11" i="85"/>
  <c r="AH10" i="85"/>
  <c r="AO9" i="85"/>
  <c r="AN9" i="85"/>
  <c r="AM9" i="85"/>
  <c r="AL9" i="85"/>
  <c r="AG42" i="83"/>
  <c r="AG44" i="83" s="1"/>
  <c r="AG37" i="83" s="1"/>
  <c r="AG38" i="83" s="1"/>
  <c r="AE42" i="83"/>
  <c r="AE44" i="83" s="1"/>
  <c r="AE37" i="83" s="1"/>
  <c r="AE38" i="83" s="1"/>
  <c r="Q45" i="85"/>
  <c r="N45" i="85"/>
  <c r="Q44" i="85"/>
  <c r="N44" i="85"/>
  <c r="N46" i="85" s="1"/>
  <c r="AD43" i="85"/>
  <c r="B27" i="85"/>
  <c r="Q5" i="85"/>
  <c r="X3" i="85"/>
  <c r="B30" i="85"/>
  <c r="B13" i="85"/>
  <c r="Q43" i="85"/>
  <c r="W12" i="85"/>
  <c r="P9" i="85"/>
  <c r="R7" i="85"/>
  <c r="P7" i="85"/>
  <c r="Q13" i="85"/>
  <c r="X9" i="85"/>
  <c r="Z44" i="84"/>
  <c r="Z47" i="84" s="1"/>
  <c r="Z30" i="84"/>
  <c r="Z33" i="84" s="1"/>
  <c r="AW18" i="84"/>
  <c r="AW20" i="84" s="1"/>
  <c r="AW28" i="84" s="1"/>
  <c r="AW30" i="84" s="1"/>
  <c r="Z16" i="84"/>
  <c r="Z19" i="84" s="1"/>
  <c r="AO3" i="84"/>
  <c r="AO5" i="84" s="1"/>
  <c r="AW2" i="84"/>
  <c r="AW4" i="84" s="1"/>
  <c r="AW9" i="84" s="1"/>
  <c r="AW11" i="84" s="1"/>
  <c r="Z2" i="84"/>
  <c r="Z5" i="84" s="1"/>
  <c r="Y44" i="84"/>
  <c r="Y47" i="84" s="1"/>
  <c r="Y30" i="84"/>
  <c r="Y33" i="84" s="1"/>
  <c r="Y16" i="84"/>
  <c r="Y19" i="84" s="1"/>
  <c r="BC11" i="84"/>
  <c r="BC15" i="84" s="1"/>
  <c r="BC17" i="84" s="1"/>
  <c r="BC2" i="84"/>
  <c r="BC6" i="84" s="1"/>
  <c r="BC8" i="84" s="1"/>
  <c r="Y2" i="84"/>
  <c r="Y5" i="84" s="1"/>
  <c r="X44" i="84"/>
  <c r="X47" i="84" s="1"/>
  <c r="X30" i="84"/>
  <c r="X33" i="84" s="1"/>
  <c r="AU18" i="84"/>
  <c r="AU20" i="84" s="1"/>
  <c r="AU28" i="84" s="1"/>
  <c r="AU30" i="84" s="1"/>
  <c r="X16" i="84"/>
  <c r="X19" i="84" s="1"/>
  <c r="BB11" i="84"/>
  <c r="BB15" i="84" s="1"/>
  <c r="BB17" i="84" s="1"/>
  <c r="AM3" i="84"/>
  <c r="AM5" i="84" s="1"/>
  <c r="BB2" i="84"/>
  <c r="BB6" i="84" s="1"/>
  <c r="BB8" i="84" s="1"/>
  <c r="AU2" i="84"/>
  <c r="AU4" i="84" s="1"/>
  <c r="AU9" i="84" s="1"/>
  <c r="AU11" i="84" s="1"/>
  <c r="X2" i="84"/>
  <c r="X5" i="84" s="1"/>
  <c r="AV36" i="84"/>
  <c r="AV38" i="84" s="1"/>
  <c r="AV31" i="84" s="1"/>
  <c r="AV32" i="84" s="1"/>
  <c r="AT36" i="84"/>
  <c r="AT38" i="84" s="1"/>
  <c r="AT31" i="84" s="1"/>
  <c r="AT32" i="84" s="1"/>
  <c r="AF42" i="83"/>
  <c r="AF44" i="83" s="1"/>
  <c r="AF37" i="83" s="1"/>
  <c r="AF38" i="83" s="1"/>
  <c r="AD42" i="83"/>
  <c r="AD44" i="83" s="1"/>
  <c r="AD37" i="83" s="1"/>
  <c r="AD38" i="83" s="1"/>
  <c r="Z31" i="83"/>
  <c r="Z33" i="83" s="1"/>
  <c r="Z39" i="83" s="1"/>
  <c r="Z41" i="83" s="1"/>
  <c r="Y31" i="83"/>
  <c r="Y33" i="83" s="1"/>
  <c r="Y39" i="83" s="1"/>
  <c r="Y41" i="83" s="1"/>
  <c r="X31" i="83"/>
  <c r="X33" i="83" s="1"/>
  <c r="X39" i="83" s="1"/>
  <c r="X41" i="83" s="1"/>
  <c r="AD13" i="84"/>
  <c r="AD12" i="84"/>
  <c r="P11" i="84"/>
  <c r="P6" i="84"/>
  <c r="P5" i="84"/>
  <c r="P8" i="84" s="1"/>
  <c r="P20" i="84" s="1"/>
  <c r="P27" i="84" s="1"/>
  <c r="P28" i="84" s="1"/>
  <c r="P33" i="84" s="1"/>
  <c r="AD3" i="84"/>
  <c r="AD6" i="84" s="1"/>
  <c r="AD9" i="84" s="1"/>
  <c r="AD22" i="84" s="1"/>
  <c r="AD25" i="84" s="1"/>
  <c r="W7" i="83"/>
  <c r="P7" i="83"/>
  <c r="AK6" i="83"/>
  <c r="W5" i="83"/>
  <c r="W8" i="83" s="1"/>
  <c r="W11" i="83" s="1"/>
  <c r="W22" i="83" s="1"/>
  <c r="W27" i="83" s="1"/>
  <c r="I9" i="83" s="1"/>
  <c r="I13" i="83" s="1"/>
  <c r="I31" i="83" s="1"/>
  <c r="P5" i="83"/>
  <c r="AF41" i="86"/>
  <c r="AF43" i="86" s="1"/>
  <c r="AE41" i="86"/>
  <c r="AE43" i="86" s="1"/>
  <c r="AD41" i="86"/>
  <c r="AD43" i="86" s="1"/>
  <c r="W47" i="86"/>
  <c r="AD42" i="85"/>
  <c r="AD45" i="85" s="1"/>
  <c r="AD47" i="85" s="1"/>
  <c r="BI32" i="84"/>
  <c r="BI15" i="84"/>
  <c r="AY50" i="83"/>
  <c r="I44" i="83" s="1"/>
  <c r="AR35" i="83"/>
  <c r="AR17" i="83"/>
  <c r="AP22" i="84"/>
  <c r="AL30" i="84" s="1"/>
  <c r="AL31" i="84"/>
  <c r="O53" i="80"/>
  <c r="C51" i="80"/>
  <c r="B50" i="80"/>
  <c r="C49" i="80"/>
  <c r="O48" i="80"/>
  <c r="C47" i="80"/>
  <c r="S3" i="80" s="1"/>
  <c r="S23" i="80" s="1"/>
  <c r="S25" i="80" s="1"/>
  <c r="A45" i="80"/>
  <c r="O43" i="80"/>
  <c r="B43" i="80"/>
  <c r="B42" i="80"/>
  <c r="A44" i="80" s="1"/>
  <c r="C39" i="80"/>
  <c r="O38" i="80"/>
  <c r="B38" i="80"/>
  <c r="S37" i="80"/>
  <c r="C37" i="80"/>
  <c r="A35" i="80"/>
  <c r="S34" i="80"/>
  <c r="S33" i="80"/>
  <c r="B33" i="80"/>
  <c r="S32" i="80"/>
  <c r="B32" i="80"/>
  <c r="A34" i="80" s="1"/>
  <c r="S31" i="80"/>
  <c r="S30" i="80"/>
  <c r="S29" i="80"/>
  <c r="S36" i="80" s="1"/>
  <c r="S38" i="80" s="1"/>
  <c r="O29" i="80"/>
  <c r="O26" i="80"/>
  <c r="O25" i="80"/>
  <c r="B25" i="80"/>
  <c r="S24" i="80"/>
  <c r="O24" i="80"/>
  <c r="O23" i="80"/>
  <c r="O22" i="80"/>
  <c r="S21" i="80"/>
  <c r="S20" i="80"/>
  <c r="O20" i="80"/>
  <c r="S19" i="80"/>
  <c r="O19" i="80"/>
  <c r="J19" i="80"/>
  <c r="S18" i="80"/>
  <c r="J18" i="80"/>
  <c r="J21" i="80" s="1"/>
  <c r="S17" i="80"/>
  <c r="S16" i="80"/>
  <c r="S15" i="80"/>
  <c r="S14" i="80"/>
  <c r="O14" i="80"/>
  <c r="E14" i="80"/>
  <c r="F14" i="80" s="1"/>
  <c r="D14" i="80"/>
  <c r="S13" i="80"/>
  <c r="F13" i="80"/>
  <c r="W12" i="80"/>
  <c r="S12" i="80"/>
  <c r="J12" i="80"/>
  <c r="B12" i="80"/>
  <c r="W11" i="80"/>
  <c r="S11" i="80"/>
  <c r="O11" i="80"/>
  <c r="J11" i="80"/>
  <c r="B11" i="80"/>
  <c r="W10" i="80"/>
  <c r="S10" i="80"/>
  <c r="O10" i="80"/>
  <c r="J10" i="80"/>
  <c r="W9" i="80"/>
  <c r="S9" i="80"/>
  <c r="O9" i="80"/>
  <c r="J9" i="80"/>
  <c r="D9" i="80"/>
  <c r="W8" i="80"/>
  <c r="S8" i="80"/>
  <c r="O8" i="80"/>
  <c r="J8" i="80"/>
  <c r="W7" i="80"/>
  <c r="S7" i="80"/>
  <c r="O7" i="80"/>
  <c r="W6" i="80"/>
  <c r="S6" i="80"/>
  <c r="O6" i="80"/>
  <c r="W5" i="80"/>
  <c r="S5" i="80"/>
  <c r="J5" i="80"/>
  <c r="E5" i="80"/>
  <c r="W4" i="80"/>
  <c r="W14" i="80" s="1"/>
  <c r="S4" i="80"/>
  <c r="O4" i="80"/>
  <c r="O3" i="80"/>
  <c r="C3" i="80"/>
  <c r="W59" i="79"/>
  <c r="W57" i="79"/>
  <c r="W56" i="79"/>
  <c r="W50" i="79"/>
  <c r="W48" i="79"/>
  <c r="S48" i="79"/>
  <c r="R48" i="79"/>
  <c r="Q48" i="79"/>
  <c r="P48" i="79"/>
  <c r="AD45" i="79"/>
  <c r="AG42" i="79"/>
  <c r="AF42" i="79"/>
  <c r="AE42" i="79"/>
  <c r="AD42" i="79"/>
  <c r="S42" i="79"/>
  <c r="R42" i="79"/>
  <c r="Q42" i="79"/>
  <c r="P42" i="79"/>
  <c r="Q34" i="79"/>
  <c r="P34" i="79"/>
  <c r="AG33" i="79"/>
  <c r="AF33" i="79"/>
  <c r="AE33" i="79"/>
  <c r="AD33" i="79"/>
  <c r="F32" i="79"/>
  <c r="F31" i="79"/>
  <c r="AD29" i="79"/>
  <c r="F29" i="79"/>
  <c r="AG26" i="79"/>
  <c r="AF26" i="79"/>
  <c r="AE26" i="79"/>
  <c r="AD26" i="79"/>
  <c r="S25" i="79"/>
  <c r="R25" i="79"/>
  <c r="Q25" i="79"/>
  <c r="P25" i="79"/>
  <c r="F25" i="79"/>
  <c r="AG34" i="79" s="1"/>
  <c r="AG35" i="79" s="1"/>
  <c r="F22" i="79"/>
  <c r="AF4" i="79" s="1"/>
  <c r="AG19" i="79"/>
  <c r="AF19" i="79"/>
  <c r="AE19" i="79"/>
  <c r="AD19" i="79"/>
  <c r="W17" i="79"/>
  <c r="S17" i="79"/>
  <c r="R17" i="79"/>
  <c r="Q17" i="79"/>
  <c r="P17" i="79"/>
  <c r="E16" i="79"/>
  <c r="AD15" i="79"/>
  <c r="AD48" i="79" s="1"/>
  <c r="D14" i="79"/>
  <c r="I13" i="79"/>
  <c r="E13" i="79"/>
  <c r="AK12" i="79"/>
  <c r="AG12" i="79"/>
  <c r="AF12" i="79"/>
  <c r="AE12" i="79"/>
  <c r="AD12" i="79"/>
  <c r="I12" i="79"/>
  <c r="AK11" i="79"/>
  <c r="AK10" i="79"/>
  <c r="W10" i="79"/>
  <c r="Q10" i="79"/>
  <c r="P10" i="79"/>
  <c r="AK9" i="79"/>
  <c r="W9" i="79"/>
  <c r="W11" i="79" s="1"/>
  <c r="W21" i="79" s="1"/>
  <c r="Q9" i="79"/>
  <c r="P9" i="79"/>
  <c r="L9" i="79"/>
  <c r="K9" i="79"/>
  <c r="J9" i="79"/>
  <c r="I9" i="79"/>
  <c r="AK8" i="79"/>
  <c r="AK7" i="79"/>
  <c r="AK6" i="79"/>
  <c r="AK5" i="79"/>
  <c r="L5" i="79"/>
  <c r="K5" i="79"/>
  <c r="J5" i="79"/>
  <c r="I5" i="79"/>
  <c r="AK4" i="79"/>
  <c r="AK14" i="79" s="1"/>
  <c r="AE4" i="79"/>
  <c r="Z4" i="79"/>
  <c r="Y4" i="79"/>
  <c r="X4" i="79"/>
  <c r="W4" i="79"/>
  <c r="AG3" i="79"/>
  <c r="AF3" i="79"/>
  <c r="AE3" i="79"/>
  <c r="AD3" i="79"/>
  <c r="E3" i="79"/>
  <c r="C3" i="79"/>
  <c r="O30" i="79" s="1"/>
  <c r="F58" i="78"/>
  <c r="F57" i="78"/>
  <c r="F55" i="78"/>
  <c r="W54" i="78"/>
  <c r="F51" i="78"/>
  <c r="F48" i="78"/>
  <c r="W47" i="78"/>
  <c r="AD46" i="78"/>
  <c r="W46" i="78"/>
  <c r="AL45" i="78"/>
  <c r="AO42" i="78"/>
  <c r="AN42" i="78"/>
  <c r="AM42" i="78"/>
  <c r="AL42" i="78"/>
  <c r="E42" i="78"/>
  <c r="Z41" i="78"/>
  <c r="Y41" i="78"/>
  <c r="X41" i="78"/>
  <c r="W41" i="78"/>
  <c r="D40" i="78"/>
  <c r="E39" i="78"/>
  <c r="S37" i="78"/>
  <c r="R37" i="78"/>
  <c r="Q37" i="78"/>
  <c r="P37" i="78"/>
  <c r="AO34" i="78"/>
  <c r="AN34" i="78"/>
  <c r="AM34" i="78"/>
  <c r="AL34" i="78"/>
  <c r="AO33" i="78"/>
  <c r="AO35" i="78" s="1"/>
  <c r="AN33" i="78"/>
  <c r="AN35" i="78" s="1"/>
  <c r="AM33" i="78"/>
  <c r="AL33" i="78"/>
  <c r="AL35" i="78" s="1"/>
  <c r="Z33" i="78"/>
  <c r="Y33" i="78"/>
  <c r="X33" i="78"/>
  <c r="W33" i="78"/>
  <c r="S31" i="78"/>
  <c r="R31" i="78"/>
  <c r="Q31" i="78"/>
  <c r="P31" i="78"/>
  <c r="AL29" i="78"/>
  <c r="Z29" i="78"/>
  <c r="Y29" i="78"/>
  <c r="X29" i="78"/>
  <c r="W29" i="78"/>
  <c r="S29" i="78"/>
  <c r="R29" i="78"/>
  <c r="Q29" i="78"/>
  <c r="P29" i="78"/>
  <c r="AD28" i="78"/>
  <c r="S28" i="78"/>
  <c r="R28" i="78"/>
  <c r="Q28" i="78"/>
  <c r="P28" i="78"/>
  <c r="AH27" i="78"/>
  <c r="Z27" i="78"/>
  <c r="Y27" i="78"/>
  <c r="X27" i="78"/>
  <c r="W27" i="78"/>
  <c r="S27" i="78"/>
  <c r="R27" i="78"/>
  <c r="Q27" i="78"/>
  <c r="P27" i="78"/>
  <c r="AO26" i="78"/>
  <c r="AN26" i="78"/>
  <c r="AM26" i="78"/>
  <c r="AL26" i="78"/>
  <c r="Z26" i="78"/>
  <c r="Y26" i="78"/>
  <c r="X26" i="78"/>
  <c r="W26" i="78"/>
  <c r="P26" i="78"/>
  <c r="I26" i="78"/>
  <c r="X25" i="78"/>
  <c r="W25" i="78"/>
  <c r="R25" i="78"/>
  <c r="P25" i="78"/>
  <c r="AD24" i="78"/>
  <c r="W24" i="78"/>
  <c r="Q24" i="78"/>
  <c r="P24" i="78"/>
  <c r="AH23" i="78"/>
  <c r="W23" i="78"/>
  <c r="P23" i="78"/>
  <c r="AD22" i="78"/>
  <c r="X22" i="78"/>
  <c r="W22" i="78"/>
  <c r="Q22" i="78"/>
  <c r="P22" i="78"/>
  <c r="I22" i="78"/>
  <c r="W21" i="78"/>
  <c r="I21" i="78"/>
  <c r="X20" i="78"/>
  <c r="W20" i="78"/>
  <c r="Q20" i="78"/>
  <c r="P20" i="78"/>
  <c r="I20" i="78"/>
  <c r="AO19" i="78"/>
  <c r="AN19" i="78"/>
  <c r="AM19" i="78"/>
  <c r="AL19" i="78"/>
  <c r="AD19" i="78"/>
  <c r="X19" i="78"/>
  <c r="W19" i="78"/>
  <c r="Q19" i="78"/>
  <c r="P19" i="78"/>
  <c r="I19" i="78"/>
  <c r="AH18" i="78"/>
  <c r="X18" i="78"/>
  <c r="W18" i="78"/>
  <c r="Q18" i="78"/>
  <c r="Q16" i="78" s="1"/>
  <c r="P18" i="78"/>
  <c r="AD44" i="78" s="1"/>
  <c r="X17" i="78"/>
  <c r="W17" i="78"/>
  <c r="Q17" i="78"/>
  <c r="P17" i="78"/>
  <c r="X16" i="78"/>
  <c r="W16" i="78"/>
  <c r="P16" i="78"/>
  <c r="AL15" i="78"/>
  <c r="X15" i="78"/>
  <c r="W15" i="78"/>
  <c r="S15" i="78"/>
  <c r="R15" i="78"/>
  <c r="Q15" i="78"/>
  <c r="P15" i="78"/>
  <c r="AD14" i="78"/>
  <c r="E14" i="78"/>
  <c r="F14" i="78" s="1"/>
  <c r="D14" i="78"/>
  <c r="AH13" i="78"/>
  <c r="W13" i="78"/>
  <c r="I13" i="78"/>
  <c r="E13" i="78"/>
  <c r="AS12" i="78"/>
  <c r="AO12" i="78"/>
  <c r="AN12" i="78"/>
  <c r="AM12" i="78"/>
  <c r="AL12" i="78"/>
  <c r="Q12" i="78"/>
  <c r="P12" i="78"/>
  <c r="I12" i="78"/>
  <c r="AS11" i="78"/>
  <c r="AS10" i="78"/>
  <c r="AD10" i="78"/>
  <c r="AS9" i="78"/>
  <c r="AH9" i="78"/>
  <c r="AD9" i="78"/>
  <c r="L9" i="78"/>
  <c r="K9" i="78"/>
  <c r="J9" i="78"/>
  <c r="I9" i="78"/>
  <c r="D9" i="78"/>
  <c r="AS8" i="78"/>
  <c r="AD8" i="78"/>
  <c r="AS7" i="78"/>
  <c r="X7" i="78"/>
  <c r="W7" i="78"/>
  <c r="AS6" i="78"/>
  <c r="AS5" i="78"/>
  <c r="AD5" i="78"/>
  <c r="L5" i="78"/>
  <c r="K5" i="78"/>
  <c r="J5" i="78"/>
  <c r="I5" i="78"/>
  <c r="E5" i="78"/>
  <c r="AS4" i="78"/>
  <c r="AS14" i="78" s="1"/>
  <c r="AO4" i="78"/>
  <c r="AN4" i="78"/>
  <c r="AM4" i="78"/>
  <c r="AL4" i="78"/>
  <c r="AH4" i="78"/>
  <c r="AD4" i="78"/>
  <c r="AD6" i="78" s="1"/>
  <c r="AD13" i="78" s="1"/>
  <c r="AD15" i="78" s="1"/>
  <c r="W4" i="78"/>
  <c r="E4" i="78"/>
  <c r="AO3" i="78"/>
  <c r="AO5" i="78" s="1"/>
  <c r="AN3" i="78"/>
  <c r="AM3" i="78"/>
  <c r="AL3" i="78"/>
  <c r="AL5" i="78" s="1"/>
  <c r="E3" i="78"/>
  <c r="C3" i="78"/>
  <c r="O8" i="78" s="1"/>
  <c r="C69" i="77"/>
  <c r="Q29" i="77" s="1"/>
  <c r="Q31" i="77" s="1"/>
  <c r="B59" i="77"/>
  <c r="A59" i="77"/>
  <c r="F56" i="77"/>
  <c r="B58" i="77"/>
  <c r="C57" i="77"/>
  <c r="F54" i="77"/>
  <c r="F53" i="77"/>
  <c r="I52" i="77"/>
  <c r="F51" i="77"/>
  <c r="BP28" i="77" s="1"/>
  <c r="C53" i="77"/>
  <c r="B28" i="80" s="1"/>
  <c r="Z48" i="77"/>
  <c r="Y48" i="77"/>
  <c r="X48" i="77"/>
  <c r="W48" i="77"/>
  <c r="AF47" i="77"/>
  <c r="AB47" i="77"/>
  <c r="BP46" i="77"/>
  <c r="AF46" i="77"/>
  <c r="AB46" i="77"/>
  <c r="Z46" i="77"/>
  <c r="Y46" i="77"/>
  <c r="X46" i="77"/>
  <c r="W46" i="77"/>
  <c r="E46" i="77"/>
  <c r="AF45" i="77"/>
  <c r="AB45" i="77"/>
  <c r="AB48" i="77" s="1"/>
  <c r="I45" i="77"/>
  <c r="F45" i="77"/>
  <c r="BT44" i="77"/>
  <c r="BP44" i="77"/>
  <c r="AF44" i="77"/>
  <c r="I44" i="77"/>
  <c r="BP43" i="77"/>
  <c r="I43" i="77"/>
  <c r="B45" i="77"/>
  <c r="A45" i="77"/>
  <c r="BT42" i="77"/>
  <c r="BP42" i="77"/>
  <c r="I42" i="77"/>
  <c r="BT41" i="77"/>
  <c r="BP41" i="77"/>
  <c r="E41" i="77"/>
  <c r="B43" i="77"/>
  <c r="B42" i="77"/>
  <c r="BT39" i="77"/>
  <c r="BP39" i="77"/>
  <c r="S40" i="77"/>
  <c r="R40" i="77"/>
  <c r="Q40" i="77"/>
  <c r="P40" i="77"/>
  <c r="Z53" i="77" s="1"/>
  <c r="BT38" i="77"/>
  <c r="BP38" i="77"/>
  <c r="AH38" i="77"/>
  <c r="BA37" i="77"/>
  <c r="AW37" i="77"/>
  <c r="AV37" i="77"/>
  <c r="AU37" i="77"/>
  <c r="AT37" i="77"/>
  <c r="AD37" i="77"/>
  <c r="F37" i="77"/>
  <c r="C39" i="77"/>
  <c r="B39" i="77"/>
  <c r="BT36" i="77"/>
  <c r="BP36" i="77"/>
  <c r="AD36" i="77"/>
  <c r="F36" i="77"/>
  <c r="C38" i="77"/>
  <c r="B38" i="77" s="1"/>
  <c r="BT35" i="77"/>
  <c r="BP35" i="77"/>
  <c r="BA35" i="77"/>
  <c r="AH35" i="77"/>
  <c r="AD35" i="77"/>
  <c r="I35" i="77"/>
  <c r="B37" i="77"/>
  <c r="BA34" i="77"/>
  <c r="AH34" i="77"/>
  <c r="AD34" i="77"/>
  <c r="Z34" i="77"/>
  <c r="Y34" i="77"/>
  <c r="X34" i="77"/>
  <c r="W34" i="77"/>
  <c r="I34" i="77"/>
  <c r="C36" i="77"/>
  <c r="A36" i="77"/>
  <c r="BA33" i="77"/>
  <c r="AH33" i="77"/>
  <c r="F33" i="77"/>
  <c r="B35" i="77"/>
  <c r="BA32" i="77"/>
  <c r="AH32" i="77"/>
  <c r="AD32" i="77"/>
  <c r="Z32" i="77"/>
  <c r="Y32" i="77"/>
  <c r="X32" i="77"/>
  <c r="W32" i="77"/>
  <c r="BA31" i="77"/>
  <c r="AH31" i="77"/>
  <c r="AD31" i="77"/>
  <c r="S32" i="77"/>
  <c r="R32" i="77"/>
  <c r="Q32" i="77"/>
  <c r="P32" i="77"/>
  <c r="I31" i="77"/>
  <c r="C33" i="77"/>
  <c r="B33" i="77"/>
  <c r="BA30" i="77"/>
  <c r="AP30" i="77"/>
  <c r="I30" i="77"/>
  <c r="F30" i="77"/>
  <c r="E30" i="77"/>
  <c r="BL29" i="77"/>
  <c r="BK29" i="77"/>
  <c r="BJ29" i="77"/>
  <c r="BI29" i="77"/>
  <c r="BA29" i="77"/>
  <c r="AW29" i="77"/>
  <c r="AV29" i="77"/>
  <c r="AU29" i="77"/>
  <c r="AT29" i="77"/>
  <c r="I29" i="77"/>
  <c r="D29" i="77"/>
  <c r="S29" i="77"/>
  <c r="S31" i="77" s="1"/>
  <c r="P29" i="77"/>
  <c r="P31" i="77" s="1"/>
  <c r="I28" i="77"/>
  <c r="E28" i="77"/>
  <c r="BT27" i="77"/>
  <c r="AP27" i="77"/>
  <c r="AP28" i="77" s="1"/>
  <c r="I27" i="77"/>
  <c r="BL26" i="77"/>
  <c r="BK26" i="77"/>
  <c r="BJ26" i="77"/>
  <c r="BI26" i="77"/>
  <c r="AW26" i="77"/>
  <c r="AV26" i="77"/>
  <c r="AU26" i="77"/>
  <c r="AT26" i="77"/>
  <c r="I26" i="77"/>
  <c r="E26" i="77"/>
  <c r="BT25" i="77"/>
  <c r="BP25" i="77"/>
  <c r="BL25" i="77"/>
  <c r="BK25" i="77"/>
  <c r="BJ25" i="77"/>
  <c r="BI25" i="77"/>
  <c r="AW25" i="77"/>
  <c r="AV25" i="77"/>
  <c r="AU25" i="77"/>
  <c r="AT25" i="77"/>
  <c r="Z25" i="77"/>
  <c r="Y25" i="77"/>
  <c r="X25" i="77"/>
  <c r="W25" i="77"/>
  <c r="I25" i="77"/>
  <c r="BT24" i="77"/>
  <c r="BP24" i="77"/>
  <c r="BL24" i="77"/>
  <c r="BK24" i="77"/>
  <c r="BJ24" i="77"/>
  <c r="BI24" i="77"/>
  <c r="AW24" i="77"/>
  <c r="AV24" i="77"/>
  <c r="AU24" i="77"/>
  <c r="AT24" i="77"/>
  <c r="AG24" i="77"/>
  <c r="AF24" i="77"/>
  <c r="AE24" i="77"/>
  <c r="AD24" i="77"/>
  <c r="F24" i="77"/>
  <c r="BA20" i="77" s="1"/>
  <c r="BA22" i="77" s="1"/>
  <c r="BE23" i="77" s="1"/>
  <c r="BT23" i="77"/>
  <c r="BL23" i="77"/>
  <c r="BK23" i="77"/>
  <c r="BJ23" i="77"/>
  <c r="BI23" i="77"/>
  <c r="AW23" i="77"/>
  <c r="AV23" i="77"/>
  <c r="AU23" i="77"/>
  <c r="AT23" i="77"/>
  <c r="AG23" i="77"/>
  <c r="AF23" i="77"/>
  <c r="AE23" i="77"/>
  <c r="AD23" i="77"/>
  <c r="S23" i="77"/>
  <c r="R23" i="77"/>
  <c r="Q23" i="77"/>
  <c r="P23" i="77"/>
  <c r="BT22" i="77"/>
  <c r="BP22" i="77"/>
  <c r="BL22" i="77"/>
  <c r="BK22" i="77"/>
  <c r="BJ22" i="77"/>
  <c r="BI22" i="77"/>
  <c r="AW22" i="77"/>
  <c r="AV22" i="77"/>
  <c r="AU22" i="77"/>
  <c r="AT22" i="77"/>
  <c r="AL22" i="77"/>
  <c r="S22" i="77"/>
  <c r="R22" i="77"/>
  <c r="Q22" i="77"/>
  <c r="P22" i="77"/>
  <c r="BT21" i="77"/>
  <c r="BL21" i="77"/>
  <c r="BK21" i="77"/>
  <c r="BJ21" i="77"/>
  <c r="BI21" i="77"/>
  <c r="AW21" i="77"/>
  <c r="AV21" i="77"/>
  <c r="AU21" i="77"/>
  <c r="AT21" i="77"/>
  <c r="AP21" i="77"/>
  <c r="AL21" i="77"/>
  <c r="S21" i="77"/>
  <c r="R21" i="77"/>
  <c r="Q21" i="77"/>
  <c r="P21" i="77"/>
  <c r="L21" i="77"/>
  <c r="K21" i="77"/>
  <c r="J21" i="77"/>
  <c r="I21" i="77"/>
  <c r="BT20" i="77"/>
  <c r="BP20" i="77"/>
  <c r="BL20" i="77"/>
  <c r="BK20" i="77"/>
  <c r="BJ20" i="77"/>
  <c r="BI20" i="77"/>
  <c r="AG20" i="77"/>
  <c r="AF20" i="77"/>
  <c r="AE20" i="77"/>
  <c r="AD20" i="77"/>
  <c r="Z20" i="77"/>
  <c r="Y20" i="77"/>
  <c r="X20" i="77"/>
  <c r="W20" i="77"/>
  <c r="L20" i="77"/>
  <c r="K20" i="77"/>
  <c r="J20" i="77"/>
  <c r="I20" i="77"/>
  <c r="BT19" i="77"/>
  <c r="BL19" i="77"/>
  <c r="BK19" i="77"/>
  <c r="BJ19" i="77"/>
  <c r="BI19" i="77"/>
  <c r="AU19" i="77"/>
  <c r="AL19" i="77"/>
  <c r="AG19" i="77"/>
  <c r="AF19" i="77"/>
  <c r="AE19" i="77"/>
  <c r="AD19" i="77"/>
  <c r="Q19" i="77"/>
  <c r="BT18" i="77"/>
  <c r="AV18" i="77"/>
  <c r="AV20" i="77" s="1"/>
  <c r="AT18" i="77"/>
  <c r="AT20" i="77" s="1"/>
  <c r="AL18" i="77"/>
  <c r="AG18" i="77"/>
  <c r="AF18" i="77"/>
  <c r="AE18" i="77"/>
  <c r="AD18" i="77"/>
  <c r="Z18" i="77"/>
  <c r="Y18" i="77"/>
  <c r="X18" i="77"/>
  <c r="W18" i="77"/>
  <c r="S18" i="77"/>
  <c r="R18" i="77"/>
  <c r="Q18" i="77"/>
  <c r="P18" i="77"/>
  <c r="S17" i="77"/>
  <c r="R17" i="77"/>
  <c r="Q17" i="77"/>
  <c r="P17" i="77"/>
  <c r="BC16" i="77"/>
  <c r="BB16" i="77"/>
  <c r="BA16" i="77"/>
  <c r="AD16" i="77"/>
  <c r="R16" i="77"/>
  <c r="B16" i="77"/>
  <c r="BP19" i="77" s="1"/>
  <c r="BP21" i="77" s="1"/>
  <c r="BP23" i="77" s="1"/>
  <c r="BP27" i="77" s="1"/>
  <c r="BP29" i="77" s="1"/>
  <c r="AD15" i="77"/>
  <c r="E15" i="77"/>
  <c r="BP14" i="77"/>
  <c r="P14" i="77"/>
  <c r="L14" i="77"/>
  <c r="K14" i="77"/>
  <c r="J14" i="77"/>
  <c r="I14" i="77"/>
  <c r="BT13" i="77"/>
  <c r="P13" i="77"/>
  <c r="B13" i="77"/>
  <c r="BX12" i="77"/>
  <c r="BP12" i="77"/>
  <c r="BL12" i="77"/>
  <c r="BK12" i="77"/>
  <c r="BJ12" i="77"/>
  <c r="BI12" i="77"/>
  <c r="BC12" i="77"/>
  <c r="BC14" i="77" s="1"/>
  <c r="BB12" i="77"/>
  <c r="BB14" i="77" s="1"/>
  <c r="BA12" i="77"/>
  <c r="BA14" i="77" s="1"/>
  <c r="L12" i="77"/>
  <c r="K12" i="77"/>
  <c r="J12" i="77"/>
  <c r="I12" i="77"/>
  <c r="B12" i="77"/>
  <c r="BX11" i="77"/>
  <c r="BT11" i="77"/>
  <c r="BP11" i="77"/>
  <c r="AE11" i="77"/>
  <c r="Z11" i="77"/>
  <c r="Y11" i="77"/>
  <c r="X11" i="77"/>
  <c r="W11" i="77"/>
  <c r="BX10" i="77"/>
  <c r="BT10" i="77"/>
  <c r="BP10" i="77"/>
  <c r="AW10" i="77"/>
  <c r="AV10" i="77"/>
  <c r="AU10" i="77"/>
  <c r="AT10" i="77"/>
  <c r="AL10" i="77"/>
  <c r="AE10" i="77"/>
  <c r="Q10" i="77"/>
  <c r="L10" i="77"/>
  <c r="K10" i="77"/>
  <c r="J10" i="77"/>
  <c r="I10" i="77"/>
  <c r="B10" i="77"/>
  <c r="BX9" i="77"/>
  <c r="BT9" i="77"/>
  <c r="BP9" i="77"/>
  <c r="BL9" i="77"/>
  <c r="BK9" i="77"/>
  <c r="BJ9" i="77"/>
  <c r="BI9" i="77"/>
  <c r="Q9" i="77"/>
  <c r="BX8" i="77"/>
  <c r="BT8" i="77"/>
  <c r="BP8" i="77"/>
  <c r="BL8" i="77"/>
  <c r="BK8" i="77"/>
  <c r="BJ8" i="77"/>
  <c r="BI8" i="77"/>
  <c r="AG8" i="77"/>
  <c r="AF8" i="77"/>
  <c r="AE8" i="77"/>
  <c r="AD8" i="77"/>
  <c r="L8" i="77"/>
  <c r="K8" i="77"/>
  <c r="J8" i="77"/>
  <c r="I8" i="77"/>
  <c r="BX7" i="77"/>
  <c r="BT7" i="77"/>
  <c r="BP7" i="77"/>
  <c r="BL7" i="77"/>
  <c r="BK7" i="77"/>
  <c r="BJ7" i="77"/>
  <c r="BI7" i="77"/>
  <c r="BC7" i="77"/>
  <c r="BB7" i="77"/>
  <c r="BA7" i="77"/>
  <c r="AW7" i="77"/>
  <c r="AV7" i="77"/>
  <c r="AU7" i="77"/>
  <c r="AT7" i="77"/>
  <c r="AG7" i="77"/>
  <c r="AF7" i="77"/>
  <c r="AE7" i="77"/>
  <c r="AD7" i="77"/>
  <c r="S7" i="77"/>
  <c r="P7" i="77"/>
  <c r="BX6" i="77"/>
  <c r="BT6" i="77"/>
  <c r="BL6" i="77"/>
  <c r="BK6" i="77"/>
  <c r="BJ6" i="77"/>
  <c r="BI6" i="77"/>
  <c r="AW6" i="77"/>
  <c r="AV6" i="77"/>
  <c r="AU6" i="77"/>
  <c r="AT6" i="77"/>
  <c r="Z6" i="77"/>
  <c r="Y6" i="77"/>
  <c r="X6" i="77"/>
  <c r="W6" i="77"/>
  <c r="BX5" i="77"/>
  <c r="BT5" i="77"/>
  <c r="BP5" i="77"/>
  <c r="BL5" i="77"/>
  <c r="BK5" i="77"/>
  <c r="BJ5" i="77"/>
  <c r="BI5" i="77"/>
  <c r="BC5" i="77"/>
  <c r="BB5" i="77"/>
  <c r="BA5" i="77"/>
  <c r="AW5" i="77"/>
  <c r="AV5" i="77"/>
  <c r="AU5" i="77"/>
  <c r="AT5" i="77"/>
  <c r="AG5" i="77"/>
  <c r="AF5" i="77"/>
  <c r="AE5" i="77"/>
  <c r="AD5" i="77"/>
  <c r="S5" i="77"/>
  <c r="R5" i="77"/>
  <c r="Q5" i="77"/>
  <c r="L5" i="77"/>
  <c r="K5" i="77"/>
  <c r="H5" i="77"/>
  <c r="BX4" i="77"/>
  <c r="BT4" i="77"/>
  <c r="BP4" i="77"/>
  <c r="BP6" i="77" s="1"/>
  <c r="BP13" i="77" s="1"/>
  <c r="BP15" i="77" s="1"/>
  <c r="BL4" i="77"/>
  <c r="BK4" i="77"/>
  <c r="BJ4" i="77"/>
  <c r="BI4" i="77"/>
  <c r="AP4" i="77"/>
  <c r="AO4" i="77"/>
  <c r="AN4" i="77"/>
  <c r="AM4" i="77"/>
  <c r="AL4" i="77"/>
  <c r="AD4" i="77"/>
  <c r="Z4" i="77"/>
  <c r="Y4" i="77"/>
  <c r="X4" i="77"/>
  <c r="W4" i="77"/>
  <c r="E4" i="77"/>
  <c r="AP29" i="77" s="1"/>
  <c r="BL3" i="77"/>
  <c r="BK3" i="77"/>
  <c r="BJ3" i="77"/>
  <c r="BI3" i="77"/>
  <c r="BC3" i="77"/>
  <c r="BC4" i="77" s="1"/>
  <c r="BB3" i="77"/>
  <c r="BB4" i="77" s="1"/>
  <c r="BA3" i="77"/>
  <c r="BA4" i="77" s="1"/>
  <c r="AW3" i="77"/>
  <c r="AV3" i="77"/>
  <c r="AU3" i="77"/>
  <c r="AT3" i="77"/>
  <c r="AP3" i="77"/>
  <c r="AP5" i="77" s="1"/>
  <c r="AN3" i="77"/>
  <c r="AN5" i="77" s="1"/>
  <c r="AG3" i="77"/>
  <c r="AF3" i="77"/>
  <c r="AF6" i="77" s="1"/>
  <c r="AF9" i="77" s="1"/>
  <c r="S3" i="77"/>
  <c r="R3" i="77"/>
  <c r="Q3" i="77"/>
  <c r="P3" i="77"/>
  <c r="C3" i="77"/>
  <c r="BL2" i="77"/>
  <c r="BK2" i="77"/>
  <c r="BJ2" i="77"/>
  <c r="BI2" i="77"/>
  <c r="AV2" i="77"/>
  <c r="S2" i="77"/>
  <c r="S4" i="77" s="1"/>
  <c r="S8" i="77" s="1"/>
  <c r="S20" i="77" s="1"/>
  <c r="S27" i="77" s="1"/>
  <c r="R2" i="77"/>
  <c r="Q2" i="77"/>
  <c r="Q4" i="77" s="1"/>
  <c r="P2" i="77"/>
  <c r="P4" i="77" s="1"/>
  <c r="B63" i="76"/>
  <c r="A63" i="76"/>
  <c r="Z60" i="76"/>
  <c r="Y60" i="76"/>
  <c r="X60" i="76"/>
  <c r="W60" i="76"/>
  <c r="B62" i="76"/>
  <c r="C61" i="76"/>
  <c r="F58" i="76"/>
  <c r="Z57" i="76"/>
  <c r="Y57" i="76"/>
  <c r="X57" i="76"/>
  <c r="C57" i="76"/>
  <c r="Z54" i="76"/>
  <c r="Y54" i="76"/>
  <c r="X54" i="76"/>
  <c r="W54" i="76"/>
  <c r="Z53" i="76"/>
  <c r="Y53" i="76"/>
  <c r="X53" i="76"/>
  <c r="W53" i="76"/>
  <c r="X52" i="76"/>
  <c r="W52" i="76"/>
  <c r="AU51" i="76"/>
  <c r="AT51" i="76"/>
  <c r="AS51" i="76"/>
  <c r="AR51" i="76"/>
  <c r="Z51" i="76"/>
  <c r="Y51" i="76"/>
  <c r="X51" i="76"/>
  <c r="W51" i="76"/>
  <c r="BK50" i="76"/>
  <c r="Z50" i="76"/>
  <c r="Y50" i="76"/>
  <c r="X50" i="76"/>
  <c r="W50" i="76"/>
  <c r="Y49" i="76"/>
  <c r="F49" i="76"/>
  <c r="BK48" i="76"/>
  <c r="AU48" i="76"/>
  <c r="AT48" i="76"/>
  <c r="AS48" i="76"/>
  <c r="AR48" i="76"/>
  <c r="AN48" i="76"/>
  <c r="AM48" i="76"/>
  <c r="AL48" i="76"/>
  <c r="AK48" i="76"/>
  <c r="Q49" i="76"/>
  <c r="N49" i="76"/>
  <c r="F48" i="76"/>
  <c r="AU47" i="76"/>
  <c r="AT47" i="76"/>
  <c r="AS47" i="76"/>
  <c r="AR47" i="76"/>
  <c r="AN47" i="76"/>
  <c r="AM47" i="76"/>
  <c r="AL47" i="76"/>
  <c r="AK47" i="76"/>
  <c r="Q48" i="76"/>
  <c r="N48" i="76"/>
  <c r="B49" i="76"/>
  <c r="A49" i="76"/>
  <c r="BK46" i="76"/>
  <c r="AY46" i="76"/>
  <c r="AU46" i="76"/>
  <c r="AT46" i="76"/>
  <c r="AS46" i="76"/>
  <c r="AR46" i="76"/>
  <c r="F46" i="76"/>
  <c r="AY28" i="76" s="1"/>
  <c r="BK45" i="76"/>
  <c r="BC45" i="76"/>
  <c r="AU45" i="76"/>
  <c r="AT45" i="76"/>
  <c r="AS45" i="76"/>
  <c r="AR45" i="76"/>
  <c r="AN45" i="76"/>
  <c r="AN46" i="76" s="1"/>
  <c r="AM45" i="76"/>
  <c r="AM46" i="76" s="1"/>
  <c r="AL45" i="76"/>
  <c r="AL46" i="76" s="1"/>
  <c r="AK45" i="76"/>
  <c r="AK46" i="76" s="1"/>
  <c r="B47" i="76"/>
  <c r="BK44" i="76"/>
  <c r="AU44" i="76"/>
  <c r="AT44" i="76"/>
  <c r="AS44" i="76"/>
  <c r="AR44" i="76"/>
  <c r="W44" i="76"/>
  <c r="B46" i="76"/>
  <c r="AY43" i="76"/>
  <c r="AU43" i="76"/>
  <c r="AT43" i="76"/>
  <c r="AS43" i="76"/>
  <c r="AR43" i="76"/>
  <c r="AG43" i="76"/>
  <c r="AF43" i="76"/>
  <c r="AE43" i="76"/>
  <c r="AD43" i="76"/>
  <c r="D43" i="76"/>
  <c r="E43" i="76" s="1"/>
  <c r="W57" i="76" s="1"/>
  <c r="BC42" i="76"/>
  <c r="AY42" i="76"/>
  <c r="I29" i="76"/>
  <c r="BC41" i="76"/>
  <c r="AY41" i="76"/>
  <c r="AR41" i="76"/>
  <c r="A43" i="76"/>
  <c r="BK40" i="76"/>
  <c r="BG40" i="76"/>
  <c r="AU40" i="76"/>
  <c r="AT40" i="76"/>
  <c r="AS40" i="76"/>
  <c r="AR40" i="76"/>
  <c r="Z40" i="76"/>
  <c r="Y40" i="76"/>
  <c r="X40" i="76"/>
  <c r="W40" i="76"/>
  <c r="S41" i="76"/>
  <c r="R41" i="76"/>
  <c r="Q41" i="76"/>
  <c r="P41" i="76"/>
  <c r="B42" i="76"/>
  <c r="BC39" i="76"/>
  <c r="AY39" i="76"/>
  <c r="AN39" i="76"/>
  <c r="AM39" i="76"/>
  <c r="AL39" i="76"/>
  <c r="AK39" i="76"/>
  <c r="B41" i="76"/>
  <c r="W49" i="76" s="1"/>
  <c r="BK38" i="76"/>
  <c r="BG38" i="76"/>
  <c r="BC38" i="76"/>
  <c r="AY38" i="76"/>
  <c r="AN38" i="76"/>
  <c r="AM38" i="76"/>
  <c r="AL38" i="76"/>
  <c r="AK38" i="76"/>
  <c r="C40" i="76"/>
  <c r="B40" i="76" s="1"/>
  <c r="BG37" i="76"/>
  <c r="BC37" i="76"/>
  <c r="AY37" i="76"/>
  <c r="Z37" i="76"/>
  <c r="Y37" i="76"/>
  <c r="X37" i="76"/>
  <c r="W37" i="76"/>
  <c r="I41" i="76"/>
  <c r="E37" i="76"/>
  <c r="BK36" i="76"/>
  <c r="BG36" i="76"/>
  <c r="BG39" i="76" s="1"/>
  <c r="BG41" i="76" s="1"/>
  <c r="AN36" i="76"/>
  <c r="AN37" i="76" s="1"/>
  <c r="AM36" i="76"/>
  <c r="AM37" i="76" s="1"/>
  <c r="AL36" i="76"/>
  <c r="AL37" i="76" s="1"/>
  <c r="AK36" i="76"/>
  <c r="AK37" i="76" s="1"/>
  <c r="Z36" i="76"/>
  <c r="Y36" i="76"/>
  <c r="X36" i="76"/>
  <c r="W36" i="76"/>
  <c r="F36" i="76"/>
  <c r="A38" i="76"/>
  <c r="BK35" i="76"/>
  <c r="BC35" i="76"/>
  <c r="AY35" i="76"/>
  <c r="AG35" i="76"/>
  <c r="AF35" i="76"/>
  <c r="AE35" i="76"/>
  <c r="AD35" i="76"/>
  <c r="Z35" i="76"/>
  <c r="Y35" i="76"/>
  <c r="X35" i="76"/>
  <c r="W35" i="76"/>
  <c r="BK34" i="76"/>
  <c r="BK37" i="76" s="1"/>
  <c r="BK39" i="76" s="1"/>
  <c r="BK41" i="76" s="1"/>
  <c r="Z34" i="76"/>
  <c r="Y34" i="76"/>
  <c r="X34" i="76"/>
  <c r="W34" i="76"/>
  <c r="I37" i="76"/>
  <c r="B35" i="76"/>
  <c r="BG32" i="76"/>
  <c r="AU32" i="76"/>
  <c r="AT32" i="76"/>
  <c r="AS32" i="76"/>
  <c r="AR32" i="76"/>
  <c r="AG32" i="76"/>
  <c r="AF32" i="76"/>
  <c r="AE32" i="76"/>
  <c r="AD32" i="76"/>
  <c r="Z32" i="76"/>
  <c r="Y32" i="76"/>
  <c r="X32" i="76"/>
  <c r="W32" i="76"/>
  <c r="S33" i="76"/>
  <c r="R33" i="76"/>
  <c r="Q33" i="76"/>
  <c r="P33" i="76"/>
  <c r="I36" i="76"/>
  <c r="E32" i="76"/>
  <c r="AG31" i="76"/>
  <c r="AF31" i="76"/>
  <c r="AE31" i="76"/>
  <c r="AD31" i="76"/>
  <c r="I35" i="76"/>
  <c r="C33" i="76"/>
  <c r="B33" i="76"/>
  <c r="BK30" i="76"/>
  <c r="BG30" i="76"/>
  <c r="AG30" i="76"/>
  <c r="AF30" i="76"/>
  <c r="AE30" i="76"/>
  <c r="AD30" i="76"/>
  <c r="I34" i="76"/>
  <c r="BG29" i="76"/>
  <c r="AU29" i="76"/>
  <c r="AT29" i="76"/>
  <c r="AS29" i="76"/>
  <c r="AR29" i="76"/>
  <c r="AN29" i="76"/>
  <c r="AM29" i="76"/>
  <c r="AL29" i="76"/>
  <c r="AK29" i="76"/>
  <c r="AG29" i="76"/>
  <c r="AF29" i="76"/>
  <c r="AE29" i="76"/>
  <c r="AD29" i="76"/>
  <c r="S29" i="76"/>
  <c r="S31" i="76" s="1"/>
  <c r="R29" i="76"/>
  <c r="R31" i="76" s="1"/>
  <c r="Q29" i="76"/>
  <c r="Q31" i="76" s="1"/>
  <c r="P29" i="76"/>
  <c r="P31" i="76" s="1"/>
  <c r="BK28" i="76"/>
  <c r="BG28" i="76"/>
  <c r="BG31" i="76" s="1"/>
  <c r="BG33" i="76" s="1"/>
  <c r="AU28" i="76"/>
  <c r="AT28" i="76"/>
  <c r="AS28" i="76"/>
  <c r="AR28" i="76"/>
  <c r="AN28" i="76"/>
  <c r="AM28" i="76"/>
  <c r="AL28" i="76"/>
  <c r="AK28" i="76"/>
  <c r="AG28" i="76"/>
  <c r="AF28" i="76"/>
  <c r="AE28" i="76"/>
  <c r="AD28" i="76"/>
  <c r="BC27" i="76"/>
  <c r="AU27" i="76"/>
  <c r="AT27" i="76"/>
  <c r="AS27" i="76"/>
  <c r="AR27" i="76"/>
  <c r="AG27" i="76"/>
  <c r="AF27" i="76"/>
  <c r="AE27" i="76"/>
  <c r="AD27" i="76"/>
  <c r="BK26" i="76"/>
  <c r="AU26" i="76"/>
  <c r="AT26" i="76"/>
  <c r="AS26" i="76"/>
  <c r="AR26" i="76"/>
  <c r="AN26" i="76"/>
  <c r="AN27" i="76" s="1"/>
  <c r="AM26" i="76"/>
  <c r="AM27" i="76" s="1"/>
  <c r="AL26" i="76"/>
  <c r="AL27" i="76" s="1"/>
  <c r="AK26" i="76"/>
  <c r="AK27" i="76" s="1"/>
  <c r="Z26" i="76"/>
  <c r="Y26" i="76"/>
  <c r="X26" i="76"/>
  <c r="W26" i="76"/>
  <c r="BK25" i="76"/>
  <c r="AY25" i="76"/>
  <c r="AU25" i="76"/>
  <c r="AT25" i="76"/>
  <c r="AS25" i="76"/>
  <c r="AR25" i="76"/>
  <c r="AE25" i="76"/>
  <c r="Z25" i="76"/>
  <c r="Y25" i="76"/>
  <c r="X25" i="76"/>
  <c r="W25" i="76"/>
  <c r="I26" i="76"/>
  <c r="BK24" i="76"/>
  <c r="BG24" i="76"/>
  <c r="BC24" i="76"/>
  <c r="AY24" i="76"/>
  <c r="AU24" i="76"/>
  <c r="AT24" i="76"/>
  <c r="AS24" i="76"/>
  <c r="AR24" i="76"/>
  <c r="AN24" i="76"/>
  <c r="AM24" i="76"/>
  <c r="AL24" i="76"/>
  <c r="AK24" i="76"/>
  <c r="AF24" i="76"/>
  <c r="AF26" i="76" s="1"/>
  <c r="AD24" i="76"/>
  <c r="AD26" i="76" s="1"/>
  <c r="S24" i="76"/>
  <c r="R24" i="76"/>
  <c r="Q24" i="76"/>
  <c r="P24" i="76"/>
  <c r="I25" i="76"/>
  <c r="F24" i="76"/>
  <c r="E24" i="76"/>
  <c r="BC23" i="76"/>
  <c r="AU23" i="76"/>
  <c r="AT23" i="76"/>
  <c r="AS23" i="76"/>
  <c r="AR23" i="76"/>
  <c r="Z23" i="76"/>
  <c r="Z24" i="76" s="1"/>
  <c r="Y23" i="76"/>
  <c r="Y24" i="76" s="1"/>
  <c r="X23" i="76"/>
  <c r="X24" i="76" s="1"/>
  <c r="W23" i="76"/>
  <c r="W24" i="76" s="1"/>
  <c r="S23" i="76"/>
  <c r="R23" i="76"/>
  <c r="Q23" i="76"/>
  <c r="P23" i="76"/>
  <c r="D23" i="76"/>
  <c r="BG22" i="76"/>
  <c r="BC22" i="76"/>
  <c r="AY22" i="76"/>
  <c r="AU22" i="76"/>
  <c r="AT22" i="76"/>
  <c r="AS22" i="76"/>
  <c r="AR22" i="76"/>
  <c r="S22" i="76"/>
  <c r="R22" i="76"/>
  <c r="Q22" i="76"/>
  <c r="P22" i="76"/>
  <c r="E22" i="76"/>
  <c r="BG21" i="76"/>
  <c r="BC21" i="76"/>
  <c r="AU21" i="76"/>
  <c r="AT21" i="76"/>
  <c r="AS21" i="76"/>
  <c r="AR21" i="76"/>
  <c r="BK20" i="76"/>
  <c r="BG20" i="76"/>
  <c r="BC20" i="76"/>
  <c r="AY20" i="76"/>
  <c r="Z20" i="76"/>
  <c r="Y20" i="76"/>
  <c r="X20" i="76"/>
  <c r="W20" i="76"/>
  <c r="Q20" i="76"/>
  <c r="I21" i="76"/>
  <c r="E20" i="76"/>
  <c r="BC19" i="76"/>
  <c r="AY19" i="76"/>
  <c r="Z19" i="76"/>
  <c r="Y19" i="76"/>
  <c r="X19" i="76"/>
  <c r="W19" i="76"/>
  <c r="S19" i="76"/>
  <c r="R19" i="76"/>
  <c r="Q19" i="76"/>
  <c r="P19" i="76"/>
  <c r="I20" i="76"/>
  <c r="BK18" i="76"/>
  <c r="BC18" i="76"/>
  <c r="AG18" i="76"/>
  <c r="AF18" i="76"/>
  <c r="AE18" i="76"/>
  <c r="AD18" i="76"/>
  <c r="Z18" i="76"/>
  <c r="Y18" i="76"/>
  <c r="X18" i="76"/>
  <c r="W18" i="76"/>
  <c r="S18" i="76"/>
  <c r="R18" i="76"/>
  <c r="Q18" i="76"/>
  <c r="P18" i="76"/>
  <c r="I19" i="76"/>
  <c r="AN17" i="76"/>
  <c r="AM17" i="76"/>
  <c r="AL17" i="76"/>
  <c r="AK17" i="76"/>
  <c r="S17" i="76"/>
  <c r="R17" i="76"/>
  <c r="Q17" i="76"/>
  <c r="P17" i="76"/>
  <c r="BK16" i="76"/>
  <c r="BG16" i="76"/>
  <c r="AN16" i="76"/>
  <c r="AM16" i="76"/>
  <c r="AL16" i="76"/>
  <c r="AK16" i="76"/>
  <c r="W16" i="76"/>
  <c r="S16" i="76"/>
  <c r="R16" i="76"/>
  <c r="Q16" i="76"/>
  <c r="P16" i="76"/>
  <c r="B16" i="76"/>
  <c r="X49" i="76" s="1"/>
  <c r="BK15" i="76"/>
  <c r="W15" i="76"/>
  <c r="I16" i="76"/>
  <c r="BK14" i="76"/>
  <c r="BG14" i="76"/>
  <c r="AU14" i="76"/>
  <c r="AT14" i="76"/>
  <c r="AS14" i="76"/>
  <c r="AR14" i="76"/>
  <c r="AN14" i="76"/>
  <c r="AN15" i="76" s="1"/>
  <c r="AM14" i="76"/>
  <c r="AM15" i="76" s="1"/>
  <c r="AL14" i="76"/>
  <c r="AL15" i="76" s="1"/>
  <c r="AK14" i="76"/>
  <c r="AK15" i="76" s="1"/>
  <c r="P14" i="76"/>
  <c r="BG13" i="76"/>
  <c r="AG13" i="76"/>
  <c r="AF13" i="76"/>
  <c r="AE13" i="76"/>
  <c r="AD13" i="76"/>
  <c r="X13" i="76"/>
  <c r="P13" i="76"/>
  <c r="Q47" i="76" s="1"/>
  <c r="B13" i="76"/>
  <c r="BO12" i="76"/>
  <c r="BG12" i="76"/>
  <c r="AN12" i="76"/>
  <c r="AM12" i="76"/>
  <c r="AL12" i="76"/>
  <c r="AK12" i="76"/>
  <c r="AG12" i="76"/>
  <c r="AF12" i="76"/>
  <c r="AE12" i="76"/>
  <c r="AD12" i="76"/>
  <c r="X12" i="76"/>
  <c r="L12" i="76"/>
  <c r="K12" i="76"/>
  <c r="J12" i="76"/>
  <c r="I12" i="76"/>
  <c r="B12" i="76"/>
  <c r="Z49" i="76" s="1"/>
  <c r="BO11" i="76"/>
  <c r="AY11" i="76"/>
  <c r="AU11" i="76"/>
  <c r="AT11" i="76"/>
  <c r="AS11" i="76"/>
  <c r="AR11" i="76"/>
  <c r="Q11" i="76"/>
  <c r="L11" i="76"/>
  <c r="K11" i="76"/>
  <c r="J11" i="76"/>
  <c r="I11" i="76"/>
  <c r="BO10" i="76"/>
  <c r="BK10" i="76"/>
  <c r="BC10" i="76"/>
  <c r="AY10" i="76"/>
  <c r="AU10" i="76"/>
  <c r="AT10" i="76"/>
  <c r="AS10" i="76"/>
  <c r="AR10" i="76"/>
  <c r="AG10" i="76"/>
  <c r="AF10" i="76"/>
  <c r="AE10" i="76"/>
  <c r="AD10" i="76"/>
  <c r="Z10" i="76"/>
  <c r="Y10" i="76"/>
  <c r="X10" i="76"/>
  <c r="W10" i="76"/>
  <c r="Q10" i="76"/>
  <c r="L10" i="76"/>
  <c r="K10" i="76"/>
  <c r="J10" i="76"/>
  <c r="I10" i="76"/>
  <c r="B10" i="76"/>
  <c r="BO9" i="76"/>
  <c r="BC9" i="76"/>
  <c r="AY9" i="76"/>
  <c r="AU9" i="76"/>
  <c r="AT9" i="76"/>
  <c r="AS9" i="76"/>
  <c r="AR9" i="76"/>
  <c r="AE9" i="76"/>
  <c r="AD9" i="76"/>
  <c r="Z9" i="76"/>
  <c r="Y9" i="76"/>
  <c r="X9" i="76"/>
  <c r="W9" i="76"/>
  <c r="L9" i="76"/>
  <c r="K9" i="76"/>
  <c r="BO8" i="76"/>
  <c r="BK8" i="76"/>
  <c r="BG8" i="76"/>
  <c r="BC8" i="76"/>
  <c r="AY8" i="76"/>
  <c r="AU8" i="76"/>
  <c r="AT8" i="76"/>
  <c r="AS8" i="76"/>
  <c r="AR8" i="76"/>
  <c r="S8" i="76"/>
  <c r="P8" i="76"/>
  <c r="L8" i="76"/>
  <c r="L13" i="76" s="1"/>
  <c r="K8" i="76"/>
  <c r="J8" i="76"/>
  <c r="I8" i="76"/>
  <c r="E8" i="76"/>
  <c r="BO7" i="76"/>
  <c r="BC7" i="76"/>
  <c r="AY7" i="76"/>
  <c r="AU7" i="76"/>
  <c r="AT7" i="76"/>
  <c r="AS7" i="76"/>
  <c r="AR7" i="76"/>
  <c r="BO6" i="76"/>
  <c r="BK6" i="76"/>
  <c r="BG6" i="76"/>
  <c r="BC6" i="76"/>
  <c r="AU6" i="76"/>
  <c r="AT6" i="76"/>
  <c r="AS6" i="76"/>
  <c r="AR6" i="76"/>
  <c r="AD6" i="76"/>
  <c r="W6" i="76"/>
  <c r="P6" i="76"/>
  <c r="BO5" i="76"/>
  <c r="BK5" i="76"/>
  <c r="BG5" i="76"/>
  <c r="BC5" i="76"/>
  <c r="AY5" i="76"/>
  <c r="AU5" i="76"/>
  <c r="AT5" i="76"/>
  <c r="AS5" i="76"/>
  <c r="AR5" i="76"/>
  <c r="AG5" i="76"/>
  <c r="AF5" i="76"/>
  <c r="AE5" i="76"/>
  <c r="Z5" i="76"/>
  <c r="Y5" i="76"/>
  <c r="X5" i="76"/>
  <c r="S5" i="76"/>
  <c r="AN5" i="76" s="1"/>
  <c r="R5" i="76"/>
  <c r="AM5" i="76" s="1"/>
  <c r="Q5" i="76"/>
  <c r="AL5" i="76" s="1"/>
  <c r="L5" i="76"/>
  <c r="K5" i="76"/>
  <c r="E5" i="76"/>
  <c r="BO4" i="76"/>
  <c r="BO14" i="76" s="1"/>
  <c r="BK4" i="76"/>
  <c r="BG4" i="76"/>
  <c r="BC4" i="76"/>
  <c r="AY4" i="76"/>
  <c r="AU4" i="76"/>
  <c r="AT4" i="76"/>
  <c r="AS4" i="76"/>
  <c r="AR4" i="76"/>
  <c r="AU3" i="76"/>
  <c r="AT3" i="76"/>
  <c r="AS3" i="76"/>
  <c r="AR3" i="76"/>
  <c r="AN3" i="76"/>
  <c r="AM3" i="76"/>
  <c r="AL3" i="76"/>
  <c r="AK3" i="76"/>
  <c r="AG3" i="76"/>
  <c r="AF3" i="76"/>
  <c r="AE3" i="76"/>
  <c r="AD3" i="76"/>
  <c r="Z3" i="76"/>
  <c r="Y3" i="76"/>
  <c r="X3" i="76"/>
  <c r="W3" i="76"/>
  <c r="S3" i="76"/>
  <c r="R3" i="76"/>
  <c r="Q3" i="76"/>
  <c r="P3" i="76"/>
  <c r="C3" i="76"/>
  <c r="AN2" i="76"/>
  <c r="AM2" i="76"/>
  <c r="AL2" i="76"/>
  <c r="AK2" i="76"/>
  <c r="AK4" i="76" s="1"/>
  <c r="AG2" i="76"/>
  <c r="AF2" i="76"/>
  <c r="AE2" i="76"/>
  <c r="AD2" i="76"/>
  <c r="Z2" i="76"/>
  <c r="Y2" i="76"/>
  <c r="Y4" i="76" s="1"/>
  <c r="Y8" i="76" s="1"/>
  <c r="Y11" i="76" s="1"/>
  <c r="X2" i="76"/>
  <c r="W2" i="76"/>
  <c r="S2" i="76"/>
  <c r="R2" i="76"/>
  <c r="Q2" i="76"/>
  <c r="P2" i="76"/>
  <c r="P4" i="76" s="1"/>
  <c r="S35" i="80" l="1"/>
  <c r="O12" i="80"/>
  <c r="W4" i="76"/>
  <c r="AF4" i="76"/>
  <c r="AF7" i="76" s="1"/>
  <c r="AF11" i="76" s="1"/>
  <c r="AF16" i="76" s="1"/>
  <c r="R4" i="76"/>
  <c r="R9" i="76" s="1"/>
  <c r="R21" i="76" s="1"/>
  <c r="R27" i="76" s="1"/>
  <c r="AD4" i="76"/>
  <c r="AM4" i="76"/>
  <c r="AM7" i="76" s="1"/>
  <c r="AY6" i="76"/>
  <c r="BK7" i="76"/>
  <c r="BK9" i="76" s="1"/>
  <c r="BK11" i="76" s="1"/>
  <c r="Q50" i="76"/>
  <c r="BC13" i="76"/>
  <c r="BG23" i="76"/>
  <c r="BG25" i="76" s="1"/>
  <c r="I27" i="76"/>
  <c r="BK27" i="76"/>
  <c r="BK29" i="76" s="1"/>
  <c r="BK31" i="76" s="1"/>
  <c r="R4" i="77"/>
  <c r="R8" i="77" s="1"/>
  <c r="R20" i="77" s="1"/>
  <c r="R27" i="77" s="1"/>
  <c r="AE3" i="77"/>
  <c r="AE6" i="77" s="1"/>
  <c r="AE9" i="77" s="1"/>
  <c r="AE22" i="77" s="1"/>
  <c r="AE25" i="77" s="1"/>
  <c r="BX14" i="77"/>
  <c r="L16" i="77"/>
  <c r="R29" i="77"/>
  <c r="R31" i="77" s="1"/>
  <c r="AF48" i="77"/>
  <c r="AN5" i="78"/>
  <c r="AL48" i="78"/>
  <c r="AM35" i="78"/>
  <c r="AF5" i="79"/>
  <c r="AD4" i="79"/>
  <c r="AD5" i="79" s="1"/>
  <c r="AG4" i="79"/>
  <c r="AG5" i="79" s="1"/>
  <c r="E13" i="80"/>
  <c r="Q46" i="85"/>
  <c r="X6" i="85"/>
  <c r="X8" i="85" s="1"/>
  <c r="R4" i="85"/>
  <c r="Q4" i="86"/>
  <c r="Q8" i="86" s="1"/>
  <c r="Q11" i="86" s="1"/>
  <c r="Q18" i="86" s="1"/>
  <c r="Q23" i="86" s="1"/>
  <c r="AD5" i="76"/>
  <c r="AD7" i="76" s="1"/>
  <c r="AD11" i="76" s="1"/>
  <c r="AD16" i="76" s="1"/>
  <c r="AY14" i="76"/>
  <c r="BC40" i="76"/>
  <c r="Q8" i="77"/>
  <c r="Q20" i="77" s="1"/>
  <c r="Q27" i="77" s="1"/>
  <c r="AV4" i="77"/>
  <c r="AV9" i="77" s="1"/>
  <c r="AV11" i="77" s="1"/>
  <c r="AG6" i="77"/>
  <c r="AG9" i="77" s="1"/>
  <c r="BT12" i="77"/>
  <c r="BT14" i="77" s="1"/>
  <c r="BT26" i="77"/>
  <c r="BT28" i="77" s="1"/>
  <c r="AM5" i="78"/>
  <c r="F13" i="78"/>
  <c r="W48" i="78"/>
  <c r="W58" i="78" s="1"/>
  <c r="AE5" i="79"/>
  <c r="Q24" i="86"/>
  <c r="P4" i="86"/>
  <c r="S4" i="86"/>
  <c r="BG48" i="83"/>
  <c r="K13" i="76"/>
  <c r="BA36" i="77"/>
  <c r="BA38" i="77" s="1"/>
  <c r="BP40" i="77"/>
  <c r="BP45" i="77" s="1"/>
  <c r="BP47" i="77" s="1"/>
  <c r="BP49" i="77" s="1"/>
  <c r="I49" i="77" s="1"/>
  <c r="K16" i="77"/>
  <c r="I46" i="77"/>
  <c r="I23" i="78"/>
  <c r="N50" i="76"/>
  <c r="B3" i="79"/>
  <c r="C34" i="79" s="1"/>
  <c r="B3" i="78"/>
  <c r="BT40" i="77"/>
  <c r="BT43" i="77" s="1"/>
  <c r="BT45" i="77" s="1"/>
  <c r="Q4" i="76"/>
  <c r="Q9" i="76" s="1"/>
  <c r="Q21" i="76" s="1"/>
  <c r="Q27" i="76" s="1"/>
  <c r="S4" i="76"/>
  <c r="S9" i="76" s="1"/>
  <c r="S21" i="76" s="1"/>
  <c r="S27" i="76" s="1"/>
  <c r="X4" i="76"/>
  <c r="X8" i="76" s="1"/>
  <c r="X11" i="76" s="1"/>
  <c r="Z4" i="76"/>
  <c r="Z8" i="76" s="1"/>
  <c r="Z11" i="76" s="1"/>
  <c r="AE4" i="76"/>
  <c r="AE7" i="76" s="1"/>
  <c r="AE11" i="76" s="1"/>
  <c r="AE16" i="76" s="1"/>
  <c r="AG4" i="76"/>
  <c r="AG7" i="76" s="1"/>
  <c r="AG11" i="76" s="1"/>
  <c r="AG16" i="76" s="1"/>
  <c r="AL4" i="76"/>
  <c r="AL7" i="76" s="1"/>
  <c r="AN4" i="76"/>
  <c r="AN7" i="76" s="1"/>
  <c r="BG7" i="76"/>
  <c r="BG9" i="76" s="1"/>
  <c r="I38" i="76"/>
  <c r="AY40" i="76"/>
  <c r="BK47" i="76"/>
  <c r="BK49" i="76" s="1"/>
  <c r="BK51" i="76" s="1"/>
  <c r="J24" i="80"/>
  <c r="BG15" i="76"/>
  <c r="BG17" i="76" s="1"/>
  <c r="BG46" i="76" s="1"/>
  <c r="BK17" i="76"/>
  <c r="BK19" i="76" s="1"/>
  <c r="BK21" i="76" s="1"/>
  <c r="BG47" i="76" s="1"/>
  <c r="I22" i="76"/>
  <c r="AY21" i="76"/>
  <c r="AY23" i="76" s="1"/>
  <c r="AL20" i="77"/>
  <c r="AL23" i="77" s="1"/>
  <c r="AD33" i="77"/>
  <c r="I36" i="77"/>
  <c r="I38" i="77" s="1"/>
  <c r="J13" i="80"/>
  <c r="R30" i="86"/>
  <c r="R33" i="86" s="1"/>
  <c r="R35" i="86" s="1"/>
  <c r="R47" i="86" s="1"/>
  <c r="R49" i="86" s="1"/>
  <c r="R5" i="86"/>
  <c r="W44" i="84"/>
  <c r="W47" i="84" s="1"/>
  <c r="W30" i="84"/>
  <c r="W33" i="84" s="1"/>
  <c r="W16" i="84"/>
  <c r="W19" i="84" s="1"/>
  <c r="BA11" i="84"/>
  <c r="BA15" i="84" s="1"/>
  <c r="BA17" i="84" s="1"/>
  <c r="BE17" i="84" s="1"/>
  <c r="BE21" i="84" s="1"/>
  <c r="AL3" i="84"/>
  <c r="AL5" i="84" s="1"/>
  <c r="AL7" i="84" s="1"/>
  <c r="AL11" i="84" s="1"/>
  <c r="AL12" i="84" s="1"/>
  <c r="BA2" i="84"/>
  <c r="BA6" i="84" s="1"/>
  <c r="BA8" i="84" s="1"/>
  <c r="BE8" i="84" s="1"/>
  <c r="BE20" i="84" s="1"/>
  <c r="BE22" i="84" s="1"/>
  <c r="BE24" i="84" s="1"/>
  <c r="AT2" i="84"/>
  <c r="AT4" i="84" s="1"/>
  <c r="AT9" i="84" s="1"/>
  <c r="AT11" i="84" s="1"/>
  <c r="AT13" i="84" s="1"/>
  <c r="W2" i="84"/>
  <c r="W5" i="84" s="1"/>
  <c r="AK5" i="83"/>
  <c r="AK7" i="83" s="1"/>
  <c r="P9" i="83"/>
  <c r="P21" i="83" s="1"/>
  <c r="P27" i="83" s="1"/>
  <c r="P28" i="83" s="1"/>
  <c r="P34" i="83" s="1"/>
  <c r="B29" i="85"/>
  <c r="B29" i="86"/>
  <c r="Q40" i="83"/>
  <c r="Q42" i="83" s="1"/>
  <c r="Q35" i="83" s="1"/>
  <c r="Q36" i="83" s="1"/>
  <c r="J5" i="83" s="1"/>
  <c r="R40" i="83"/>
  <c r="R42" i="83" s="1"/>
  <c r="R35" i="83" s="1"/>
  <c r="R36" i="83" s="1"/>
  <c r="S40" i="83"/>
  <c r="S42" i="83" s="1"/>
  <c r="S35" i="83" s="1"/>
  <c r="S36" i="83" s="1"/>
  <c r="X10" i="84"/>
  <c r="X7" i="84"/>
  <c r="X24" i="84"/>
  <c r="X21" i="84"/>
  <c r="AU36" i="84"/>
  <c r="AU38" i="84" s="1"/>
  <c r="AU31" i="84" s="1"/>
  <c r="AU32" i="84"/>
  <c r="X38" i="84"/>
  <c r="X35" i="84"/>
  <c r="Q39" i="84"/>
  <c r="Q41" i="84" s="1"/>
  <c r="Q34" i="84" s="1"/>
  <c r="Q35" i="84"/>
  <c r="J5" i="84" s="1"/>
  <c r="J16" i="84" s="1"/>
  <c r="X52" i="84"/>
  <c r="X49" i="84"/>
  <c r="Y10" i="84"/>
  <c r="Y7" i="84"/>
  <c r="Y24" i="84"/>
  <c r="Y21" i="84"/>
  <c r="Y38" i="84"/>
  <c r="Y35" i="84"/>
  <c r="R39" i="84"/>
  <c r="R41" i="84" s="1"/>
  <c r="R34" i="84" s="1"/>
  <c r="R35" i="84" s="1"/>
  <c r="Y52" i="84"/>
  <c r="Y49" i="84"/>
  <c r="Z10" i="84"/>
  <c r="Z7" i="84"/>
  <c r="Z24" i="84"/>
  <c r="Z21" i="84"/>
  <c r="AW36" i="84"/>
  <c r="AW38" i="84" s="1"/>
  <c r="AW31" i="84" s="1"/>
  <c r="AW32" i="84" s="1"/>
  <c r="Z38" i="84"/>
  <c r="Z35" i="84"/>
  <c r="S39" i="84"/>
  <c r="S41" i="84" s="1"/>
  <c r="S34" i="84" s="1"/>
  <c r="S35" i="84" s="1"/>
  <c r="Z52" i="84"/>
  <c r="Z49" i="84"/>
  <c r="R5" i="85"/>
  <c r="Y3" i="85"/>
  <c r="Y6" i="85" s="1"/>
  <c r="Y8" i="85" s="1"/>
  <c r="Y32" i="85" s="1"/>
  <c r="Y34" i="85" s="1"/>
  <c r="N48" i="85"/>
  <c r="O46" i="85"/>
  <c r="S5" i="85"/>
  <c r="S8" i="85" s="1"/>
  <c r="S21" i="85" s="1"/>
  <c r="S30" i="85" s="1"/>
  <c r="S35" i="85" s="1"/>
  <c r="S36" i="85" s="1"/>
  <c r="Z3" i="85"/>
  <c r="Z6" i="85" s="1"/>
  <c r="Z8" i="85" s="1"/>
  <c r="Z32" i="85" s="1"/>
  <c r="Z34" i="85" s="1"/>
  <c r="Q26" i="86"/>
  <c r="W15" i="86" s="1"/>
  <c r="X3" i="86"/>
  <c r="X5" i="86" s="1"/>
  <c r="S30" i="86"/>
  <c r="S33" i="86" s="1"/>
  <c r="S35" i="86" s="1"/>
  <c r="S47" i="86" s="1"/>
  <c r="S49" i="86" s="1"/>
  <c r="S5" i="86"/>
  <c r="X30" i="86"/>
  <c r="U30" i="86"/>
  <c r="X29" i="86"/>
  <c r="X31" i="86" s="1"/>
  <c r="U29" i="86"/>
  <c r="U31" i="86" s="1"/>
  <c r="O52" i="87"/>
  <c r="O54" i="87" s="1"/>
  <c r="O47" i="87"/>
  <c r="O49" i="87" s="1"/>
  <c r="O42" i="87"/>
  <c r="O44" i="87" s="1"/>
  <c r="O37" i="87"/>
  <c r="O39" i="87" s="1"/>
  <c r="O13" i="80"/>
  <c r="O15" i="80" s="1"/>
  <c r="X32" i="85"/>
  <c r="X34" i="85" s="1"/>
  <c r="Q8" i="85"/>
  <c r="Q21" i="85" s="1"/>
  <c r="Q30" i="85" s="1"/>
  <c r="Q35" i="85" s="1"/>
  <c r="Q36" i="85" s="1"/>
  <c r="R8" i="85"/>
  <c r="R21" i="85" s="1"/>
  <c r="R30" i="85" s="1"/>
  <c r="R35" i="85" s="1"/>
  <c r="R36" i="85" s="1"/>
  <c r="AH12" i="85"/>
  <c r="AH14" i="85" s="1"/>
  <c r="AL11" i="85"/>
  <c r="AL13" i="85" s="1"/>
  <c r="AM11" i="85"/>
  <c r="AM13" i="85" s="1"/>
  <c r="AN11" i="85"/>
  <c r="AN13" i="85" s="1"/>
  <c r="AO11" i="85"/>
  <c r="AO13" i="85" s="1"/>
  <c r="AH26" i="85"/>
  <c r="AH28" i="85" s="1"/>
  <c r="AD27" i="85"/>
  <c r="AD29" i="85" s="1"/>
  <c r="AL25" i="85"/>
  <c r="AL27" i="85" s="1"/>
  <c r="AM25" i="85"/>
  <c r="AM27" i="85" s="1"/>
  <c r="AN25" i="85"/>
  <c r="AN27" i="85" s="1"/>
  <c r="AO25" i="85"/>
  <c r="AO27" i="85" s="1"/>
  <c r="AL41" i="85"/>
  <c r="AL43" i="85" s="1"/>
  <c r="AM41" i="85"/>
  <c r="AM43" i="85" s="1"/>
  <c r="AN41" i="85"/>
  <c r="AN43" i="85" s="1"/>
  <c r="AO41" i="85"/>
  <c r="AO43" i="85" s="1"/>
  <c r="R8" i="86"/>
  <c r="R11" i="86" s="1"/>
  <c r="R18" i="86" s="1"/>
  <c r="R23" i="86" s="1"/>
  <c r="R24" i="86" s="1"/>
  <c r="S8" i="86"/>
  <c r="S11" i="86" s="1"/>
  <c r="S18" i="86" s="1"/>
  <c r="S23" i="86" s="1"/>
  <c r="S24" i="86" s="1"/>
  <c r="AD11" i="86"/>
  <c r="AD13" i="86" s="1"/>
  <c r="AE11" i="86"/>
  <c r="AE13" i="86" s="1"/>
  <c r="AF11" i="86"/>
  <c r="AF13" i="86" s="1"/>
  <c r="AG11" i="86"/>
  <c r="AG13" i="86" s="1"/>
  <c r="AD25" i="86"/>
  <c r="AD27" i="86" s="1"/>
  <c r="AE25" i="86"/>
  <c r="AE27" i="86" s="1"/>
  <c r="AF25" i="86"/>
  <c r="AF27" i="86" s="1"/>
  <c r="AG25" i="86"/>
  <c r="AG27" i="86" s="1"/>
  <c r="AG41" i="86"/>
  <c r="AG43" i="86" s="1"/>
  <c r="W46" i="86"/>
  <c r="W49" i="86" s="1"/>
  <c r="W51" i="86" s="1"/>
  <c r="I18" i="86" s="1"/>
  <c r="I23" i="86" s="1"/>
  <c r="P37" i="86"/>
  <c r="Q33" i="86"/>
  <c r="Q35" i="86" s="1"/>
  <c r="Q47" i="86" s="1"/>
  <c r="Q49" i="86" s="1"/>
  <c r="I15" i="78"/>
  <c r="I29" i="78" s="1"/>
  <c r="I31" i="78" s="1"/>
  <c r="I15" i="79"/>
  <c r="I21" i="79" s="1"/>
  <c r="AL44" i="76"/>
  <c r="AL49" i="76" s="1"/>
  <c r="AL35" i="76"/>
  <c r="AL40" i="76" s="1"/>
  <c r="AL23" i="76"/>
  <c r="AL25" i="76" s="1"/>
  <c r="AL11" i="76"/>
  <c r="AL13" i="76" s="1"/>
  <c r="AM44" i="76"/>
  <c r="AM49" i="76" s="1"/>
  <c r="AM35" i="76"/>
  <c r="AM40" i="76" s="1"/>
  <c r="AM23" i="76"/>
  <c r="AM25" i="76" s="1"/>
  <c r="AM11" i="76"/>
  <c r="AM13" i="76" s="1"/>
  <c r="AN44" i="76"/>
  <c r="AN49" i="76" s="1"/>
  <c r="AN35" i="76"/>
  <c r="AN40" i="76" s="1"/>
  <c r="AN23" i="76"/>
  <c r="AN25" i="76" s="1"/>
  <c r="AN11" i="76"/>
  <c r="AN13" i="76" s="1"/>
  <c r="Z55" i="76"/>
  <c r="Y55" i="76"/>
  <c r="X55" i="76"/>
  <c r="W55" i="76"/>
  <c r="AU49" i="76"/>
  <c r="AT49" i="76"/>
  <c r="AT50" i="76" s="1"/>
  <c r="AT52" i="76" s="1"/>
  <c r="AS49" i="76"/>
  <c r="AR49" i="76"/>
  <c r="AY44" i="76"/>
  <c r="AY45" i="76" s="1"/>
  <c r="AY47" i="76" s="1"/>
  <c r="BC43" i="76"/>
  <c r="Z38" i="76"/>
  <c r="Y38" i="76"/>
  <c r="X38" i="76"/>
  <c r="W38" i="76"/>
  <c r="AG33" i="76"/>
  <c r="AF33" i="76"/>
  <c r="AE33" i="76"/>
  <c r="AD33" i="76"/>
  <c r="AU30" i="76"/>
  <c r="AT30" i="76"/>
  <c r="AS30" i="76"/>
  <c r="AS31" i="76" s="1"/>
  <c r="AS33" i="76" s="1"/>
  <c r="AR30" i="76"/>
  <c r="AY26" i="76"/>
  <c r="BC25" i="76"/>
  <c r="BC26" i="76" s="1"/>
  <c r="BC28" i="76" s="1"/>
  <c r="S25" i="76"/>
  <c r="R25" i="76"/>
  <c r="Q25" i="76"/>
  <c r="P25" i="76"/>
  <c r="Z21" i="76"/>
  <c r="Z22" i="76" s="1"/>
  <c r="Z27" i="76" s="1"/>
  <c r="Y21" i="76"/>
  <c r="Y22" i="76" s="1"/>
  <c r="Y27" i="76" s="1"/>
  <c r="X21" i="76"/>
  <c r="W21" i="76"/>
  <c r="AG14" i="76"/>
  <c r="AF14" i="76"/>
  <c r="AE14" i="76"/>
  <c r="AD14" i="76"/>
  <c r="AY12" i="76"/>
  <c r="AU12" i="76"/>
  <c r="AU13" i="76" s="1"/>
  <c r="AU15" i="76" s="1"/>
  <c r="AT12" i="76"/>
  <c r="AS12" i="76"/>
  <c r="AS13" i="76" s="1"/>
  <c r="AS15" i="76" s="1"/>
  <c r="AR12" i="76"/>
  <c r="BC11" i="76"/>
  <c r="Q52" i="76"/>
  <c r="R50" i="76"/>
  <c r="N52" i="76"/>
  <c r="O50" i="76"/>
  <c r="AD38" i="77"/>
  <c r="AH36" i="77"/>
  <c r="BL27" i="77"/>
  <c r="BK27" i="77"/>
  <c r="BJ27" i="77"/>
  <c r="BJ28" i="77" s="1"/>
  <c r="BJ30" i="77" s="1"/>
  <c r="BI27" i="77"/>
  <c r="AW27" i="77"/>
  <c r="AV27" i="77"/>
  <c r="AU27" i="77"/>
  <c r="AT27" i="77"/>
  <c r="AT28" i="77" s="1"/>
  <c r="AT30" i="77" s="1"/>
  <c r="BP26" i="77"/>
  <c r="S24" i="77"/>
  <c r="R24" i="77"/>
  <c r="Q24" i="77"/>
  <c r="P24" i="77"/>
  <c r="AG21" i="77"/>
  <c r="AF21" i="77"/>
  <c r="AE21" i="77"/>
  <c r="AD21" i="77"/>
  <c r="BL10" i="77"/>
  <c r="BL11" i="77" s="1"/>
  <c r="BL13" i="77" s="1"/>
  <c r="BK10" i="77"/>
  <c r="BJ10" i="77"/>
  <c r="BI10" i="77"/>
  <c r="BI11" i="77" s="1"/>
  <c r="BI13" i="77" s="1"/>
  <c r="AW8" i="77"/>
  <c r="AV8" i="77"/>
  <c r="AU8" i="77"/>
  <c r="AT8" i="77"/>
  <c r="AP26" i="77"/>
  <c r="AP31" i="77" s="1"/>
  <c r="AL29" i="77" s="1"/>
  <c r="AP17" i="77"/>
  <c r="W45" i="77"/>
  <c r="W31" i="77"/>
  <c r="W17" i="77"/>
  <c r="W3" i="77"/>
  <c r="X45" i="77"/>
  <c r="X31" i="77"/>
  <c r="X17" i="77"/>
  <c r="X3" i="77"/>
  <c r="Y45" i="77"/>
  <c r="Y31" i="77"/>
  <c r="Y17" i="77"/>
  <c r="Y3" i="77"/>
  <c r="Z45" i="77"/>
  <c r="Z31" i="77"/>
  <c r="Z17" i="77"/>
  <c r="Z3" i="77"/>
  <c r="AF50" i="77"/>
  <c r="AG48" i="77"/>
  <c r="AB50" i="77"/>
  <c r="AC48" i="77"/>
  <c r="S33" i="78"/>
  <c r="R33" i="78"/>
  <c r="Q33" i="78"/>
  <c r="P33" i="78"/>
  <c r="Z31" i="78"/>
  <c r="Y31" i="78"/>
  <c r="X31" i="78"/>
  <c r="W31" i="78"/>
  <c r="AD26" i="78"/>
  <c r="AH25" i="78"/>
  <c r="AD12" i="78"/>
  <c r="AH11" i="78"/>
  <c r="X22" i="76"/>
  <c r="X27" i="76" s="1"/>
  <c r="J9" i="76" s="1"/>
  <c r="J13" i="76" s="1"/>
  <c r="AR13" i="76"/>
  <c r="AR15" i="76" s="1"/>
  <c r="AT13" i="76"/>
  <c r="AT15" i="76" s="1"/>
  <c r="AY13" i="76"/>
  <c r="AY15" i="76" s="1"/>
  <c r="BC12" i="76"/>
  <c r="BC14" i="76" s="1"/>
  <c r="AL18" i="76"/>
  <c r="AM18" i="76"/>
  <c r="AM30" i="76" s="1"/>
  <c r="AN18" i="76"/>
  <c r="AN30" i="76" s="1"/>
  <c r="Z56" i="76"/>
  <c r="Z59" i="76" s="1"/>
  <c r="Z61" i="76" s="1"/>
  <c r="AD15" i="76"/>
  <c r="AE15" i="76"/>
  <c r="AE17" i="76" s="1"/>
  <c r="AE19" i="76" s="1"/>
  <c r="AF15" i="76"/>
  <c r="AF17" i="76" s="1"/>
  <c r="AF19" i="76" s="1"/>
  <c r="AG15" i="76"/>
  <c r="AG17" i="76" s="1"/>
  <c r="AG19" i="76" s="1"/>
  <c r="X56" i="76"/>
  <c r="X59" i="76" s="1"/>
  <c r="X61" i="76" s="1"/>
  <c r="AY27" i="76"/>
  <c r="AY29" i="76" s="1"/>
  <c r="AR31" i="76"/>
  <c r="AR33" i="76" s="1"/>
  <c r="AT31" i="76"/>
  <c r="AT33" i="76" s="1"/>
  <c r="AU31" i="76"/>
  <c r="AU33" i="76" s="1"/>
  <c r="P26" i="76"/>
  <c r="Q26" i="76"/>
  <c r="R26" i="76"/>
  <c r="R28" i="76" s="1"/>
  <c r="R34" i="76" s="1"/>
  <c r="S26" i="76"/>
  <c r="AD34" i="76"/>
  <c r="AD36" i="76" s="1"/>
  <c r="AF34" i="76"/>
  <c r="AF36" i="76" s="1"/>
  <c r="BC44" i="76"/>
  <c r="BC46" i="76" s="1"/>
  <c r="W56" i="76"/>
  <c r="W59" i="76" s="1"/>
  <c r="W61" i="76" s="1"/>
  <c r="AU50" i="76"/>
  <c r="AU52" i="76" s="1"/>
  <c r="Y56" i="76"/>
  <c r="Y59" i="76" s="1"/>
  <c r="Y61" i="76" s="1"/>
  <c r="BJ11" i="77"/>
  <c r="BJ13" i="77" s="1"/>
  <c r="BK11" i="77"/>
  <c r="BK13" i="77" s="1"/>
  <c r="AF22" i="77"/>
  <c r="AF25" i="77" s="1"/>
  <c r="AG22" i="77"/>
  <c r="AG25" i="77" s="1"/>
  <c r="AV28" i="77"/>
  <c r="AV30" i="77" s="1"/>
  <c r="BI28" i="77"/>
  <c r="BI30" i="77" s="1"/>
  <c r="BK28" i="77"/>
  <c r="BK30" i="77" s="1"/>
  <c r="BL28" i="77"/>
  <c r="BL30" i="77" s="1"/>
  <c r="P25" i="77"/>
  <c r="Q25" i="77"/>
  <c r="Q28" i="77" s="1"/>
  <c r="Q33" i="77" s="1"/>
  <c r="R25" i="77"/>
  <c r="R28" i="77" s="1"/>
  <c r="R33" i="77" s="1"/>
  <c r="S25" i="77"/>
  <c r="S28" i="77" s="1"/>
  <c r="S33" i="77" s="1"/>
  <c r="AD39" i="77"/>
  <c r="AH37" i="77"/>
  <c r="AH39" i="77" s="1"/>
  <c r="C34" i="78"/>
  <c r="C33" i="78"/>
  <c r="P10" i="78" s="1"/>
  <c r="C32" i="78"/>
  <c r="C31" i="78"/>
  <c r="B31" i="78"/>
  <c r="C30" i="78"/>
  <c r="C29" i="78"/>
  <c r="A29" i="78"/>
  <c r="C28" i="78"/>
  <c r="C27" i="78"/>
  <c r="C24" i="78"/>
  <c r="B24" i="78"/>
  <c r="AE24" i="76"/>
  <c r="AE26" i="76" s="1"/>
  <c r="AE34" i="76" s="1"/>
  <c r="AE36" i="76" s="1"/>
  <c r="AG24" i="76"/>
  <c r="AG26" i="76" s="1"/>
  <c r="AG34" i="76" s="1"/>
  <c r="AG36" i="76" s="1"/>
  <c r="P30" i="76"/>
  <c r="Q30" i="76"/>
  <c r="R30" i="76"/>
  <c r="S30" i="76"/>
  <c r="AR39" i="76"/>
  <c r="AR50" i="76" s="1"/>
  <c r="AR52" i="76" s="1"/>
  <c r="AS39" i="76"/>
  <c r="AS50" i="76" s="1"/>
  <c r="AS52" i="76" s="1"/>
  <c r="BA13" i="77"/>
  <c r="BB13" i="77"/>
  <c r="BC13" i="77"/>
  <c r="AP18" i="77"/>
  <c r="AP19" i="77" s="1"/>
  <c r="AP20" i="77"/>
  <c r="P30" i="77"/>
  <c r="Q30" i="77"/>
  <c r="R30" i="77"/>
  <c r="S30" i="77"/>
  <c r="W39" i="77"/>
  <c r="X39" i="77"/>
  <c r="Y39" i="77"/>
  <c r="Z39" i="77"/>
  <c r="W53" i="77"/>
  <c r="X53" i="77"/>
  <c r="Y53" i="77"/>
  <c r="C4" i="78"/>
  <c r="B5" i="78"/>
  <c r="C5" i="78"/>
  <c r="O5" i="78"/>
  <c r="C7" i="78"/>
  <c r="B8" i="78"/>
  <c r="C10" i="78"/>
  <c r="C11" i="78"/>
  <c r="C14" i="78"/>
  <c r="C15" i="78"/>
  <c r="C16" i="78"/>
  <c r="C17" i="78"/>
  <c r="B21" i="78" s="1"/>
  <c r="C21" i="78"/>
  <c r="C22" i="78"/>
  <c r="AD39" i="78" s="1"/>
  <c r="C4" i="79"/>
  <c r="B5" i="79"/>
  <c r="C5" i="79"/>
  <c r="O5" i="79"/>
  <c r="C7" i="79"/>
  <c r="B8" i="79"/>
  <c r="C10" i="79"/>
  <c r="C11" i="79"/>
  <c r="C14" i="79"/>
  <c r="C15" i="79"/>
  <c r="C16" i="79"/>
  <c r="C17" i="79"/>
  <c r="B21" i="79" s="1"/>
  <c r="C21" i="79"/>
  <c r="C22" i="79"/>
  <c r="W43" i="79" s="1"/>
  <c r="C24" i="79"/>
  <c r="C27" i="79"/>
  <c r="C28" i="79"/>
  <c r="A29" i="79"/>
  <c r="C29" i="79"/>
  <c r="C30" i="79"/>
  <c r="B31" i="79"/>
  <c r="C31" i="79"/>
  <c r="C32" i="79"/>
  <c r="C33" i="79"/>
  <c r="AD34" i="79"/>
  <c r="AD35" i="79" s="1"/>
  <c r="AE34" i="79"/>
  <c r="AE35" i="79" s="1"/>
  <c r="AF34" i="79"/>
  <c r="AF35" i="79" s="1"/>
  <c r="S22" i="80"/>
  <c r="O27" i="80"/>
  <c r="O28" i="80" s="1"/>
  <c r="AL30" i="76" l="1"/>
  <c r="AD17" i="76"/>
  <c r="AD19" i="76" s="1"/>
  <c r="R46" i="85"/>
  <c r="Q48" i="85"/>
  <c r="AD14" i="77"/>
  <c r="W14" i="76"/>
  <c r="S28" i="76"/>
  <c r="S34" i="76" s="1"/>
  <c r="Q28" i="76"/>
  <c r="Q34" i="76" s="1"/>
  <c r="P12" i="77"/>
  <c r="P12" i="76"/>
  <c r="AD37" i="78"/>
  <c r="BG48" i="76"/>
  <c r="S26" i="86"/>
  <c r="Z3" i="86"/>
  <c r="Z5" i="86" s="1"/>
  <c r="R26" i="86"/>
  <c r="W16" i="86" s="1"/>
  <c r="Y3" i="86"/>
  <c r="Y5" i="86" s="1"/>
  <c r="Z40" i="85"/>
  <c r="Z42" i="85" s="1"/>
  <c r="S38" i="85"/>
  <c r="Y40" i="85"/>
  <c r="Y42" i="85" s="1"/>
  <c r="R38" i="85"/>
  <c r="W53" i="85" s="1"/>
  <c r="X40" i="85"/>
  <c r="X42" i="85" s="1"/>
  <c r="Q38" i="85"/>
  <c r="W52" i="85" s="1"/>
  <c r="Y31" i="86"/>
  <c r="X33" i="86"/>
  <c r="U33" i="86"/>
  <c r="V31" i="86"/>
  <c r="W55" i="86"/>
  <c r="P30" i="86"/>
  <c r="P33" i="86" s="1"/>
  <c r="P35" i="86" s="1"/>
  <c r="P47" i="86" s="1"/>
  <c r="P49" i="86" s="1"/>
  <c r="P5" i="86"/>
  <c r="P8" i="86" s="1"/>
  <c r="P11" i="86" s="1"/>
  <c r="P18" i="86" s="1"/>
  <c r="P23" i="86" s="1"/>
  <c r="P24" i="86" s="1"/>
  <c r="P5" i="85"/>
  <c r="W3" i="85"/>
  <c r="W6" i="85" s="1"/>
  <c r="W8" i="85" s="1"/>
  <c r="W31" i="83"/>
  <c r="W33" i="83" s="1"/>
  <c r="W39" i="83" s="1"/>
  <c r="AK44" i="83"/>
  <c r="AK49" i="83" s="1"/>
  <c r="AK53" i="83" s="1"/>
  <c r="AK35" i="83"/>
  <c r="AK40" i="83" s="1"/>
  <c r="AK52" i="83" s="1"/>
  <c r="AK23" i="83"/>
  <c r="AK25" i="83" s="1"/>
  <c r="AK30" i="83" s="1"/>
  <c r="AK11" i="83"/>
  <c r="AK13" i="83" s="1"/>
  <c r="AK18" i="83" s="1"/>
  <c r="AK51" i="83" s="1"/>
  <c r="W10" i="84"/>
  <c r="W7" i="84"/>
  <c r="W24" i="84"/>
  <c r="W21" i="84"/>
  <c r="W38" i="84"/>
  <c r="W35" i="84"/>
  <c r="P39" i="84"/>
  <c r="P41" i="84" s="1"/>
  <c r="P34" i="84" s="1"/>
  <c r="P35" i="84"/>
  <c r="I5" i="84" s="1"/>
  <c r="I16" i="84" s="1"/>
  <c r="I54" i="84" s="1"/>
  <c r="I56" i="84" s="1"/>
  <c r="W52" i="84"/>
  <c r="W49" i="84"/>
  <c r="O33" i="80"/>
  <c r="O30" i="80"/>
  <c r="P40" i="79"/>
  <c r="P15" i="79"/>
  <c r="Q36" i="79"/>
  <c r="Q12" i="79"/>
  <c r="P39" i="79"/>
  <c r="P14" i="79"/>
  <c r="X28" i="79" s="1"/>
  <c r="P31" i="79"/>
  <c r="B30" i="79"/>
  <c r="P7" i="79" s="1"/>
  <c r="Q30" i="79"/>
  <c r="Q5" i="79"/>
  <c r="P38" i="79"/>
  <c r="B27" i="79"/>
  <c r="P13" i="79"/>
  <c r="P6" i="79"/>
  <c r="W41" i="79"/>
  <c r="B15" i="79"/>
  <c r="B13" i="79" s="1"/>
  <c r="B12" i="79"/>
  <c r="W45" i="79"/>
  <c r="W44" i="79"/>
  <c r="S43" i="79"/>
  <c r="R43" i="79"/>
  <c r="Q43" i="79"/>
  <c r="P43" i="79"/>
  <c r="AG37" i="79"/>
  <c r="AF37" i="79"/>
  <c r="AE37" i="79"/>
  <c r="AD37" i="79"/>
  <c r="AG36" i="79"/>
  <c r="AF36" i="79"/>
  <c r="AE36" i="79"/>
  <c r="AD36" i="79"/>
  <c r="S32" i="79"/>
  <c r="R32" i="79"/>
  <c r="Q32" i="79"/>
  <c r="P32" i="79"/>
  <c r="AG21" i="79"/>
  <c r="AF21" i="79"/>
  <c r="AE21" i="79"/>
  <c r="AD21" i="79"/>
  <c r="AG20" i="79"/>
  <c r="AF20" i="79"/>
  <c r="AE20" i="79"/>
  <c r="AD20" i="79"/>
  <c r="AG7" i="79"/>
  <c r="AF7" i="79"/>
  <c r="AE7" i="79"/>
  <c r="AD7" i="79"/>
  <c r="AG6" i="79"/>
  <c r="AF6" i="79"/>
  <c r="AE6" i="79"/>
  <c r="AD6" i="79"/>
  <c r="S3" i="79"/>
  <c r="R3" i="79"/>
  <c r="Q3" i="79"/>
  <c r="P3" i="79"/>
  <c r="S2" i="79"/>
  <c r="S4" i="79" s="1"/>
  <c r="R2" i="79"/>
  <c r="Q2" i="79"/>
  <c r="Q4" i="79" s="1"/>
  <c r="Q8" i="79" s="1"/>
  <c r="Q11" i="79" s="1"/>
  <c r="Q18" i="79" s="1"/>
  <c r="Q23" i="79" s="1"/>
  <c r="P2" i="79"/>
  <c r="P4" i="79" s="1"/>
  <c r="S45" i="79"/>
  <c r="R45" i="79"/>
  <c r="Q45" i="79"/>
  <c r="P45" i="79"/>
  <c r="AG39" i="79"/>
  <c r="AF39" i="79"/>
  <c r="AE39" i="79"/>
  <c r="AD39" i="79"/>
  <c r="AG23" i="79"/>
  <c r="AF23" i="79"/>
  <c r="AE23" i="79"/>
  <c r="AD23" i="79"/>
  <c r="S20" i="79"/>
  <c r="S22" i="79" s="1"/>
  <c r="R20" i="79"/>
  <c r="R22" i="79" s="1"/>
  <c r="Q20" i="79"/>
  <c r="Q22" i="79" s="1"/>
  <c r="Q24" i="79" s="1"/>
  <c r="P20" i="79"/>
  <c r="P22" i="79" s="1"/>
  <c r="AG9" i="79"/>
  <c r="AF9" i="79"/>
  <c r="AE9" i="79"/>
  <c r="AD9" i="79"/>
  <c r="B15" i="78"/>
  <c r="B13" i="78" s="1"/>
  <c r="B12" i="78"/>
  <c r="AD41" i="78"/>
  <c r="AD40" i="78"/>
  <c r="AO37" i="78"/>
  <c r="AN37" i="78"/>
  <c r="AM37" i="78"/>
  <c r="AL37" i="78"/>
  <c r="AO36" i="78"/>
  <c r="AN36" i="78"/>
  <c r="AM36" i="78"/>
  <c r="AL36" i="78"/>
  <c r="Z28" i="78"/>
  <c r="Y28" i="78"/>
  <c r="X28" i="78"/>
  <c r="W28" i="78"/>
  <c r="AO21" i="78"/>
  <c r="AN21" i="78"/>
  <c r="AM21" i="78"/>
  <c r="AL21" i="78"/>
  <c r="AO20" i="78"/>
  <c r="AN20" i="78"/>
  <c r="AM20" i="78"/>
  <c r="AL20" i="78"/>
  <c r="AH20" i="78"/>
  <c r="AD20" i="78"/>
  <c r="AD21" i="78" s="1"/>
  <c r="AD23" i="78" s="1"/>
  <c r="AH19" i="78"/>
  <c r="AO7" i="78"/>
  <c r="AN7" i="78"/>
  <c r="AM7" i="78"/>
  <c r="AL7" i="78"/>
  <c r="AD7" i="78"/>
  <c r="AO6" i="78"/>
  <c r="AN6" i="78"/>
  <c r="AM6" i="78"/>
  <c r="AL6" i="78"/>
  <c r="AH6" i="78"/>
  <c r="AH5" i="78"/>
  <c r="Z5" i="78"/>
  <c r="Y5" i="78"/>
  <c r="X5" i="78"/>
  <c r="W5" i="78"/>
  <c r="S3" i="78"/>
  <c r="R3" i="78"/>
  <c r="Q3" i="78"/>
  <c r="P3" i="78"/>
  <c r="S2" i="78"/>
  <c r="R2" i="78"/>
  <c r="R4" i="78" s="1"/>
  <c r="Q2" i="78"/>
  <c r="Q4" i="78" s="1"/>
  <c r="P2" i="78"/>
  <c r="AO39" i="78"/>
  <c r="AN39" i="78"/>
  <c r="AM39" i="78"/>
  <c r="AL39" i="78"/>
  <c r="S32" i="78"/>
  <c r="S34" i="78" s="1"/>
  <c r="R32" i="78"/>
  <c r="R34" i="78" s="1"/>
  <c r="Q32" i="78"/>
  <c r="Q34" i="78" s="1"/>
  <c r="P32" i="78"/>
  <c r="P34" i="78" s="1"/>
  <c r="Z30" i="78"/>
  <c r="Y30" i="78"/>
  <c r="X30" i="78"/>
  <c r="W30" i="78"/>
  <c r="AD25" i="78"/>
  <c r="AH24" i="78"/>
  <c r="AO23" i="78"/>
  <c r="AN23" i="78"/>
  <c r="AM23" i="78"/>
  <c r="AL23" i="78"/>
  <c r="AD11" i="78"/>
  <c r="AH10" i="78"/>
  <c r="AO9" i="78"/>
  <c r="AN9" i="78"/>
  <c r="AM9" i="78"/>
  <c r="AL9" i="78"/>
  <c r="AG42" i="76"/>
  <c r="AG44" i="76" s="1"/>
  <c r="AG37" i="76" s="1"/>
  <c r="AG38" i="76" s="1"/>
  <c r="AE42" i="76"/>
  <c r="AE44" i="76" s="1"/>
  <c r="AE37" i="76" s="1"/>
  <c r="AE38" i="76" s="1"/>
  <c r="Q45" i="78"/>
  <c r="N45" i="78"/>
  <c r="Q44" i="78"/>
  <c r="N44" i="78"/>
  <c r="AD43" i="78"/>
  <c r="B27" i="78"/>
  <c r="Q5" i="78"/>
  <c r="X3" i="78"/>
  <c r="B30" i="78"/>
  <c r="Q43" i="78"/>
  <c r="W12" i="78"/>
  <c r="P9" i="78"/>
  <c r="R7" i="78"/>
  <c r="P7" i="78"/>
  <c r="Q13" i="78"/>
  <c r="X9" i="78"/>
  <c r="Z44" i="77"/>
  <c r="Z47" i="77" s="1"/>
  <c r="Z30" i="77"/>
  <c r="Z33" i="77" s="1"/>
  <c r="AW18" i="77"/>
  <c r="AW20" i="77" s="1"/>
  <c r="AW28" i="77" s="1"/>
  <c r="AW30" i="77" s="1"/>
  <c r="Z16" i="77"/>
  <c r="Z19" i="77" s="1"/>
  <c r="AO3" i="77"/>
  <c r="AO5" i="77" s="1"/>
  <c r="AW2" i="77"/>
  <c r="AW4" i="77" s="1"/>
  <c r="AW9" i="77" s="1"/>
  <c r="AW11" i="77" s="1"/>
  <c r="Z2" i="77"/>
  <c r="Z5" i="77" s="1"/>
  <c r="Y44" i="77"/>
  <c r="Y47" i="77" s="1"/>
  <c r="Y30" i="77"/>
  <c r="Y33" i="77" s="1"/>
  <c r="Y16" i="77"/>
  <c r="Y19" i="77" s="1"/>
  <c r="BC11" i="77"/>
  <c r="BC15" i="77" s="1"/>
  <c r="BC17" i="77" s="1"/>
  <c r="BC2" i="77"/>
  <c r="BC6" i="77" s="1"/>
  <c r="BC8" i="77" s="1"/>
  <c r="Y2" i="77"/>
  <c r="Y5" i="77" s="1"/>
  <c r="X44" i="77"/>
  <c r="X47" i="77" s="1"/>
  <c r="X30" i="77"/>
  <c r="X33" i="77" s="1"/>
  <c r="AU18" i="77"/>
  <c r="AU20" i="77" s="1"/>
  <c r="AU28" i="77" s="1"/>
  <c r="AU30" i="77" s="1"/>
  <c r="X16" i="77"/>
  <c r="X19" i="77" s="1"/>
  <c r="BB11" i="77"/>
  <c r="BB15" i="77" s="1"/>
  <c r="BB17" i="77" s="1"/>
  <c r="AM3" i="77"/>
  <c r="AM5" i="77" s="1"/>
  <c r="BB2" i="77"/>
  <c r="BB6" i="77" s="1"/>
  <c r="BB8" i="77" s="1"/>
  <c r="AU2" i="77"/>
  <c r="AU4" i="77" s="1"/>
  <c r="AU9" i="77" s="1"/>
  <c r="AU11" i="77" s="1"/>
  <c r="X2" i="77"/>
  <c r="X5" i="77" s="1"/>
  <c r="AV36" i="77"/>
  <c r="AV38" i="77" s="1"/>
  <c r="AV31" i="77" s="1"/>
  <c r="AV32" i="77" s="1"/>
  <c r="AT36" i="77"/>
  <c r="AT38" i="77" s="1"/>
  <c r="AT31" i="77" s="1"/>
  <c r="AT32" i="77" s="1"/>
  <c r="AF42" i="76"/>
  <c r="AF44" i="76" s="1"/>
  <c r="AF37" i="76" s="1"/>
  <c r="AF38" i="76" s="1"/>
  <c r="AD42" i="76"/>
  <c r="AD44" i="76" s="1"/>
  <c r="AD37" i="76" s="1"/>
  <c r="AD38" i="76" s="1"/>
  <c r="Z31" i="76"/>
  <c r="Z33" i="76" s="1"/>
  <c r="Z39" i="76" s="1"/>
  <c r="Z41" i="76" s="1"/>
  <c r="Y31" i="76"/>
  <c r="Y33" i="76" s="1"/>
  <c r="Y39" i="76" s="1"/>
  <c r="Y41" i="76" s="1"/>
  <c r="X31" i="76"/>
  <c r="X33" i="76" s="1"/>
  <c r="X39" i="76" s="1"/>
  <c r="X41" i="76" s="1"/>
  <c r="AD13" i="77"/>
  <c r="AD12" i="77"/>
  <c r="P11" i="77"/>
  <c r="P6" i="77"/>
  <c r="P5" i="77"/>
  <c r="P8" i="77" s="1"/>
  <c r="P20" i="77" s="1"/>
  <c r="P27" i="77" s="1"/>
  <c r="P28" i="77" s="1"/>
  <c r="P33" i="77" s="1"/>
  <c r="AD3" i="77"/>
  <c r="AD6" i="77" s="1"/>
  <c r="AD9" i="77" s="1"/>
  <c r="AD22" i="77" s="1"/>
  <c r="AD25" i="77" s="1"/>
  <c r="W7" i="76"/>
  <c r="P7" i="76"/>
  <c r="AK6" i="76"/>
  <c r="W5" i="76"/>
  <c r="W8" i="76" s="1"/>
  <c r="W11" i="76" s="1"/>
  <c r="W22" i="76" s="1"/>
  <c r="W27" i="76" s="1"/>
  <c r="I9" i="76" s="1"/>
  <c r="I13" i="76" s="1"/>
  <c r="I31" i="76" s="1"/>
  <c r="P5" i="76"/>
  <c r="AF41" i="79"/>
  <c r="AF43" i="79" s="1"/>
  <c r="AE41" i="79"/>
  <c r="AE43" i="79" s="1"/>
  <c r="AD41" i="79"/>
  <c r="AD43" i="79" s="1"/>
  <c r="W47" i="79"/>
  <c r="AD42" i="78"/>
  <c r="AD45" i="78" s="1"/>
  <c r="AD47" i="78" s="1"/>
  <c r="BI32" i="77"/>
  <c r="BI15" i="77"/>
  <c r="AY50" i="76"/>
  <c r="I44" i="76" s="1"/>
  <c r="AR35" i="76"/>
  <c r="AR17" i="76"/>
  <c r="AP22" i="77"/>
  <c r="AL30" i="77" s="1"/>
  <c r="AL31" i="77" s="1"/>
  <c r="N46" i="78" l="1"/>
  <c r="P4" i="78"/>
  <c r="S4" i="78"/>
  <c r="R4" i="79"/>
  <c r="Q46" i="78"/>
  <c r="W11" i="85"/>
  <c r="W10" i="85" s="1"/>
  <c r="W32" i="85" s="1"/>
  <c r="W34" i="85" s="1"/>
  <c r="P11" i="85"/>
  <c r="P6" i="85" s="1"/>
  <c r="P8" i="85" s="1"/>
  <c r="P21" i="85" s="1"/>
  <c r="P30" i="85" s="1"/>
  <c r="P35" i="85" s="1"/>
  <c r="P36" i="85" s="1"/>
  <c r="X6" i="78"/>
  <c r="X8" i="78" s="1"/>
  <c r="W43" i="83"/>
  <c r="W45" i="83" s="1"/>
  <c r="W41" i="83"/>
  <c r="P40" i="83"/>
  <c r="P42" i="83" s="1"/>
  <c r="P35" i="83" s="1"/>
  <c r="P36" i="83" s="1"/>
  <c r="I5" i="83" s="1"/>
  <c r="I47" i="83" s="1"/>
  <c r="I49" i="83" s="1"/>
  <c r="P26" i="86"/>
  <c r="W14" i="86" s="1"/>
  <c r="W18" i="86" s="1"/>
  <c r="W22" i="86" s="1"/>
  <c r="W23" i="86" s="1"/>
  <c r="W3" i="86"/>
  <c r="W5" i="86" s="1"/>
  <c r="W7" i="86" s="1"/>
  <c r="W60" i="86"/>
  <c r="W58" i="86"/>
  <c r="R30" i="79"/>
  <c r="R33" i="79" s="1"/>
  <c r="R35" i="79" s="1"/>
  <c r="R47" i="79" s="1"/>
  <c r="R49" i="79" s="1"/>
  <c r="R5" i="79"/>
  <c r="W44" i="77"/>
  <c r="W47" i="77" s="1"/>
  <c r="W30" i="77"/>
  <c r="W33" i="77" s="1"/>
  <c r="W16" i="77"/>
  <c r="W19" i="77" s="1"/>
  <c r="BA11" i="77"/>
  <c r="BA15" i="77" s="1"/>
  <c r="BA17" i="77" s="1"/>
  <c r="BE17" i="77" s="1"/>
  <c r="BE21" i="77" s="1"/>
  <c r="AL3" i="77"/>
  <c r="AL5" i="77" s="1"/>
  <c r="AL7" i="77" s="1"/>
  <c r="AL11" i="77" s="1"/>
  <c r="AL12" i="77" s="1"/>
  <c r="BA2" i="77"/>
  <c r="BA6" i="77" s="1"/>
  <c r="BA8" i="77" s="1"/>
  <c r="BE8" i="77" s="1"/>
  <c r="BE20" i="77" s="1"/>
  <c r="BE22" i="77" s="1"/>
  <c r="BE24" i="77" s="1"/>
  <c r="AT2" i="77"/>
  <c r="AT4" i="77" s="1"/>
  <c r="AT9" i="77" s="1"/>
  <c r="AT11" i="77" s="1"/>
  <c r="AT13" i="77" s="1"/>
  <c r="W2" i="77"/>
  <c r="W5" i="77" s="1"/>
  <c r="AK5" i="76"/>
  <c r="AK7" i="76" s="1"/>
  <c r="P9" i="76"/>
  <c r="P21" i="76" s="1"/>
  <c r="P27" i="76" s="1"/>
  <c r="P28" i="76" s="1"/>
  <c r="P34" i="76" s="1"/>
  <c r="B29" i="78"/>
  <c r="B29" i="79"/>
  <c r="Q40" i="76"/>
  <c r="Q42" i="76" s="1"/>
  <c r="Q35" i="76" s="1"/>
  <c r="Q36" i="76" s="1"/>
  <c r="J5" i="76" s="1"/>
  <c r="R40" i="76"/>
  <c r="R42" i="76" s="1"/>
  <c r="R35" i="76" s="1"/>
  <c r="R36" i="76" s="1"/>
  <c r="S40" i="76"/>
  <c r="S42" i="76" s="1"/>
  <c r="S35" i="76" s="1"/>
  <c r="S36" i="76" s="1"/>
  <c r="X10" i="77"/>
  <c r="X7" i="77"/>
  <c r="X24" i="77"/>
  <c r="X21" i="77"/>
  <c r="AU36" i="77"/>
  <c r="AU38" i="77" s="1"/>
  <c r="AU31" i="77" s="1"/>
  <c r="AU32" i="77"/>
  <c r="X38" i="77"/>
  <c r="X35" i="77"/>
  <c r="Q39" i="77"/>
  <c r="Q41" i="77" s="1"/>
  <c r="Q34" i="77" s="1"/>
  <c r="Q35" i="77"/>
  <c r="J5" i="77" s="1"/>
  <c r="J16" i="77" s="1"/>
  <c r="X52" i="77"/>
  <c r="X49" i="77"/>
  <c r="Y10" i="77"/>
  <c r="Y7" i="77"/>
  <c r="Y24" i="77"/>
  <c r="Y21" i="77"/>
  <c r="Y38" i="77"/>
  <c r="Y35" i="77"/>
  <c r="R39" i="77"/>
  <c r="R41" i="77" s="1"/>
  <c r="R34" i="77" s="1"/>
  <c r="R35" i="77" s="1"/>
  <c r="Y52" i="77"/>
  <c r="Y49" i="77"/>
  <c r="Z10" i="77"/>
  <c r="Z7" i="77"/>
  <c r="Z24" i="77"/>
  <c r="Z21" i="77"/>
  <c r="AW36" i="77"/>
  <c r="AW38" i="77" s="1"/>
  <c r="AW31" i="77" s="1"/>
  <c r="AW32" i="77" s="1"/>
  <c r="Z38" i="77"/>
  <c r="Z35" i="77"/>
  <c r="S39" i="77"/>
  <c r="S41" i="77" s="1"/>
  <c r="S34" i="77" s="1"/>
  <c r="S35" i="77" s="1"/>
  <c r="Z52" i="77"/>
  <c r="Z49" i="77"/>
  <c r="R5" i="78"/>
  <c r="Y3" i="78"/>
  <c r="Y6" i="78" s="1"/>
  <c r="Y8" i="78" s="1"/>
  <c r="Y32" i="78" s="1"/>
  <c r="Y34" i="78" s="1"/>
  <c r="N48" i="78"/>
  <c r="O46" i="78"/>
  <c r="S5" i="78"/>
  <c r="Z3" i="78"/>
  <c r="Z6" i="78" s="1"/>
  <c r="Z8" i="78" s="1"/>
  <c r="Z32" i="78" s="1"/>
  <c r="Z34" i="78" s="1"/>
  <c r="Q26" i="79"/>
  <c r="W15" i="79" s="1"/>
  <c r="X3" i="79"/>
  <c r="X5" i="79" s="1"/>
  <c r="S30" i="79"/>
  <c r="S33" i="79" s="1"/>
  <c r="S35" i="79" s="1"/>
  <c r="S47" i="79" s="1"/>
  <c r="S49" i="79" s="1"/>
  <c r="S5" i="79"/>
  <c r="X30" i="79"/>
  <c r="U30" i="79"/>
  <c r="X29" i="79"/>
  <c r="X31" i="79" s="1"/>
  <c r="U29" i="79"/>
  <c r="O52" i="80"/>
  <c r="O54" i="80" s="1"/>
  <c r="O47" i="80"/>
  <c r="O49" i="80" s="1"/>
  <c r="O42" i="80"/>
  <c r="O44" i="80" s="1"/>
  <c r="O37" i="80"/>
  <c r="O39" i="80" s="1"/>
  <c r="X32" i="78"/>
  <c r="X34" i="78" s="1"/>
  <c r="Q8" i="78"/>
  <c r="Q21" i="78" s="1"/>
  <c r="Q30" i="78" s="1"/>
  <c r="Q35" i="78" s="1"/>
  <c r="Q36" i="78" s="1"/>
  <c r="R8" i="78"/>
  <c r="R21" i="78" s="1"/>
  <c r="R30" i="78" s="1"/>
  <c r="R35" i="78" s="1"/>
  <c r="R36" i="78" s="1"/>
  <c r="S8" i="78"/>
  <c r="S21" i="78" s="1"/>
  <c r="S30" i="78" s="1"/>
  <c r="S35" i="78" s="1"/>
  <c r="S36" i="78" s="1"/>
  <c r="AH12" i="78"/>
  <c r="AH14" i="78" s="1"/>
  <c r="AL11" i="78"/>
  <c r="AL13" i="78" s="1"/>
  <c r="AM11" i="78"/>
  <c r="AM13" i="78" s="1"/>
  <c r="AN11" i="78"/>
  <c r="AN13" i="78" s="1"/>
  <c r="AO11" i="78"/>
  <c r="AO13" i="78" s="1"/>
  <c r="AH26" i="78"/>
  <c r="AH28" i="78" s="1"/>
  <c r="AD27" i="78"/>
  <c r="AD29" i="78" s="1"/>
  <c r="AL25" i="78"/>
  <c r="AL27" i="78" s="1"/>
  <c r="AM25" i="78"/>
  <c r="AM27" i="78" s="1"/>
  <c r="AN25" i="78"/>
  <c r="AN27" i="78" s="1"/>
  <c r="AO25" i="78"/>
  <c r="AO27" i="78" s="1"/>
  <c r="AL41" i="78"/>
  <c r="AL43" i="78" s="1"/>
  <c r="AM41" i="78"/>
  <c r="AM43" i="78" s="1"/>
  <c r="AN41" i="78"/>
  <c r="AN43" i="78" s="1"/>
  <c r="AO41" i="78"/>
  <c r="AO43" i="78" s="1"/>
  <c r="R8" i="79"/>
  <c r="R11" i="79" s="1"/>
  <c r="R18" i="79" s="1"/>
  <c r="R23" i="79" s="1"/>
  <c r="R24" i="79" s="1"/>
  <c r="S8" i="79"/>
  <c r="S11" i="79" s="1"/>
  <c r="S18" i="79" s="1"/>
  <c r="S23" i="79" s="1"/>
  <c r="S24" i="79" s="1"/>
  <c r="AD11" i="79"/>
  <c r="AD13" i="79" s="1"/>
  <c r="AE11" i="79"/>
  <c r="AE13" i="79" s="1"/>
  <c r="AF11" i="79"/>
  <c r="AF13" i="79" s="1"/>
  <c r="AG11" i="79"/>
  <c r="AG13" i="79" s="1"/>
  <c r="AD25" i="79"/>
  <c r="AD27" i="79" s="1"/>
  <c r="AE25" i="79"/>
  <c r="AE27" i="79" s="1"/>
  <c r="AF25" i="79"/>
  <c r="AF27" i="79" s="1"/>
  <c r="AG25" i="79"/>
  <c r="AG27" i="79" s="1"/>
  <c r="AG41" i="79"/>
  <c r="AG43" i="79" s="1"/>
  <c r="W46" i="79"/>
  <c r="W49" i="79" s="1"/>
  <c r="W51" i="79" s="1"/>
  <c r="I18" i="79" s="1"/>
  <c r="I23" i="79" s="1"/>
  <c r="P37" i="79"/>
  <c r="Q33" i="79"/>
  <c r="Q35" i="79" s="1"/>
  <c r="Q47" i="79" s="1"/>
  <c r="Q49" i="79" s="1"/>
  <c r="W40" i="85" l="1"/>
  <c r="W42" i="85" s="1"/>
  <c r="W44" i="85" s="1"/>
  <c r="P38" i="85"/>
  <c r="W51" i="85" s="1"/>
  <c r="W55" i="85" s="1"/>
  <c r="W59" i="85" s="1"/>
  <c r="W60" i="85" s="1"/>
  <c r="U31" i="79"/>
  <c r="R46" i="78"/>
  <c r="Q48" i="78"/>
  <c r="S26" i="79"/>
  <c r="Z3" i="79"/>
  <c r="Z5" i="79" s="1"/>
  <c r="R26" i="79"/>
  <c r="W16" i="79" s="1"/>
  <c r="Y3" i="79"/>
  <c r="Y5" i="79" s="1"/>
  <c r="Z40" i="78"/>
  <c r="Z42" i="78" s="1"/>
  <c r="S38" i="78"/>
  <c r="Y40" i="78"/>
  <c r="Y42" i="78" s="1"/>
  <c r="R38" i="78"/>
  <c r="W53" i="78" s="1"/>
  <c r="X40" i="78"/>
  <c r="X42" i="78" s="1"/>
  <c r="Q38" i="78"/>
  <c r="W52" i="78" s="1"/>
  <c r="Y31" i="79"/>
  <c r="X33" i="79"/>
  <c r="U33" i="79"/>
  <c r="V31" i="79"/>
  <c r="W55" i="79"/>
  <c r="P30" i="79"/>
  <c r="P33" i="79" s="1"/>
  <c r="P35" i="79" s="1"/>
  <c r="P47" i="79" s="1"/>
  <c r="P49" i="79" s="1"/>
  <c r="P5" i="79"/>
  <c r="P8" i="79" s="1"/>
  <c r="P11" i="79" s="1"/>
  <c r="P18" i="79" s="1"/>
  <c r="P23" i="79" s="1"/>
  <c r="P24" i="79" s="1"/>
  <c r="P5" i="78"/>
  <c r="W3" i="78"/>
  <c r="W6" i="78" s="1"/>
  <c r="W8" i="78" s="1"/>
  <c r="W31" i="76"/>
  <c r="W33" i="76" s="1"/>
  <c r="W39" i="76" s="1"/>
  <c r="AK44" i="76"/>
  <c r="AK49" i="76" s="1"/>
  <c r="AK53" i="76" s="1"/>
  <c r="AK35" i="76"/>
  <c r="AK40" i="76" s="1"/>
  <c r="AK52" i="76" s="1"/>
  <c r="AK23" i="76"/>
  <c r="AK25" i="76" s="1"/>
  <c r="AK30" i="76" s="1"/>
  <c r="AK11" i="76"/>
  <c r="AK13" i="76" s="1"/>
  <c r="AK18" i="76" s="1"/>
  <c r="AK51" i="76" s="1"/>
  <c r="W10" i="77"/>
  <c r="W7" i="77"/>
  <c r="W24" i="77"/>
  <c r="W21" i="77"/>
  <c r="W38" i="77"/>
  <c r="W35" i="77"/>
  <c r="P39" i="77"/>
  <c r="P41" i="77" s="1"/>
  <c r="P34" i="77" s="1"/>
  <c r="P35" i="77"/>
  <c r="I5" i="77" s="1"/>
  <c r="I16" i="77" s="1"/>
  <c r="I54" i="77" s="1"/>
  <c r="I56" i="77" s="1"/>
  <c r="W52" i="77"/>
  <c r="W49" i="77"/>
  <c r="W11" i="78" l="1"/>
  <c r="W10" i="78" s="1"/>
  <c r="W32" i="78" s="1"/>
  <c r="W34" i="78" s="1"/>
  <c r="P11" i="78"/>
  <c r="P6" i="78" s="1"/>
  <c r="P8" i="78" s="1"/>
  <c r="P21" i="78" s="1"/>
  <c r="P30" i="78" s="1"/>
  <c r="P35" i="78" s="1"/>
  <c r="P36" i="78" s="1"/>
  <c r="W43" i="76"/>
  <c r="W45" i="76" s="1"/>
  <c r="W41" i="76"/>
  <c r="P40" i="76"/>
  <c r="P42" i="76" s="1"/>
  <c r="P35" i="76" s="1"/>
  <c r="P36" i="76" s="1"/>
  <c r="I5" i="76" s="1"/>
  <c r="I47" i="76" s="1"/>
  <c r="I49" i="76" s="1"/>
  <c r="P26" i="79"/>
  <c r="W14" i="79" s="1"/>
  <c r="W18" i="79" s="1"/>
  <c r="W22" i="79" s="1"/>
  <c r="W23" i="79" s="1"/>
  <c r="W3" i="79"/>
  <c r="W5" i="79" s="1"/>
  <c r="W7" i="79" s="1"/>
  <c r="W60" i="79"/>
  <c r="W58" i="79"/>
  <c r="W40" i="78" l="1"/>
  <c r="W42" i="78" s="1"/>
  <c r="W44" i="78" s="1"/>
  <c r="P38" i="78"/>
  <c r="W51" i="78" s="1"/>
  <c r="W55" i="78" s="1"/>
  <c r="W59" i="78" s="1"/>
  <c r="W60" i="78" s="1"/>
  <c r="C69" i="69"/>
  <c r="B59" i="69"/>
  <c r="A59" i="69"/>
  <c r="F56" i="69"/>
  <c r="B58" i="69"/>
  <c r="C57" i="69"/>
  <c r="AF44" i="69" s="1"/>
  <c r="AF48" i="69" s="1"/>
  <c r="AF50" i="69" s="1"/>
  <c r="F54" i="69"/>
  <c r="F53" i="69"/>
  <c r="I52" i="69"/>
  <c r="F51" i="69"/>
  <c r="C53" i="69"/>
  <c r="Z48" i="69"/>
  <c r="Y48" i="69"/>
  <c r="X48" i="69"/>
  <c r="W48" i="69"/>
  <c r="AF47" i="69"/>
  <c r="AB47" i="69"/>
  <c r="BP46" i="69"/>
  <c r="AF46" i="69"/>
  <c r="AB46" i="69"/>
  <c r="Z46" i="69"/>
  <c r="Y46" i="69"/>
  <c r="X46" i="69"/>
  <c r="W46" i="69"/>
  <c r="E46" i="69"/>
  <c r="AF45" i="69"/>
  <c r="AB45" i="69"/>
  <c r="AB48" i="69" s="1"/>
  <c r="AB50" i="69" s="1"/>
  <c r="I45" i="69"/>
  <c r="F45" i="69"/>
  <c r="BT44" i="69"/>
  <c r="BP44" i="69"/>
  <c r="I44" i="69"/>
  <c r="BP43" i="69"/>
  <c r="I43" i="69"/>
  <c r="B45" i="69"/>
  <c r="A45" i="69"/>
  <c r="BT42" i="69"/>
  <c r="BP42" i="69"/>
  <c r="I42" i="69"/>
  <c r="BT41" i="69"/>
  <c r="BP41" i="69"/>
  <c r="E41" i="69"/>
  <c r="B43" i="69"/>
  <c r="B42" i="69"/>
  <c r="BT39" i="69"/>
  <c r="BP39" i="69"/>
  <c r="S40" i="69"/>
  <c r="R40" i="69"/>
  <c r="Q40" i="69"/>
  <c r="P40" i="69"/>
  <c r="Z53" i="69" s="1"/>
  <c r="BT38" i="69"/>
  <c r="BP38" i="69"/>
  <c r="AH38" i="69"/>
  <c r="BA37" i="69"/>
  <c r="AW37" i="69"/>
  <c r="AV37" i="69"/>
  <c r="AU37" i="69"/>
  <c r="AT37" i="69"/>
  <c r="AD37" i="69"/>
  <c r="F37" i="69"/>
  <c r="C39" i="69"/>
  <c r="B39" i="69"/>
  <c r="BT36" i="69"/>
  <c r="BP36" i="69"/>
  <c r="AD36" i="69"/>
  <c r="F36" i="69"/>
  <c r="C38" i="69"/>
  <c r="B38" i="69" s="1"/>
  <c r="BT35" i="69"/>
  <c r="BP35" i="69"/>
  <c r="BA35" i="69"/>
  <c r="AH35" i="69"/>
  <c r="AD35" i="69"/>
  <c r="I35" i="69"/>
  <c r="B37" i="69"/>
  <c r="BA34" i="69"/>
  <c r="AH34" i="69"/>
  <c r="AD34" i="69"/>
  <c r="Z34" i="69"/>
  <c r="Y34" i="69"/>
  <c r="X34" i="69"/>
  <c r="W34" i="69"/>
  <c r="I34" i="69"/>
  <c r="C36" i="69"/>
  <c r="A36" i="69"/>
  <c r="BA33" i="69"/>
  <c r="AH33" i="69"/>
  <c r="F33" i="69"/>
  <c r="B35" i="69"/>
  <c r="BA32" i="69"/>
  <c r="AH32" i="69"/>
  <c r="AD32" i="69"/>
  <c r="Z32" i="69"/>
  <c r="Y32" i="69"/>
  <c r="X32" i="69"/>
  <c r="W32" i="69"/>
  <c r="BA31" i="69"/>
  <c r="AH31" i="69"/>
  <c r="AD31" i="69"/>
  <c r="S32" i="69"/>
  <c r="R32" i="69"/>
  <c r="Q32" i="69"/>
  <c r="P32" i="69"/>
  <c r="I31" i="69"/>
  <c r="C33" i="69"/>
  <c r="B33" i="69" s="1"/>
  <c r="BA30" i="69"/>
  <c r="AP30" i="69"/>
  <c r="F30" i="69"/>
  <c r="E30" i="69"/>
  <c r="BL29" i="69"/>
  <c r="BK29" i="69"/>
  <c r="BJ29" i="69"/>
  <c r="BI29" i="69"/>
  <c r="BA29" i="69"/>
  <c r="AW29" i="69"/>
  <c r="AV29" i="69"/>
  <c r="AU29" i="69"/>
  <c r="AT29" i="69"/>
  <c r="I29" i="69"/>
  <c r="D29" i="69"/>
  <c r="BP28" i="69"/>
  <c r="S29" i="69"/>
  <c r="S31" i="69" s="1"/>
  <c r="R29" i="69"/>
  <c r="R31" i="69" s="1"/>
  <c r="Q29" i="69"/>
  <c r="Q31" i="69" s="1"/>
  <c r="P29" i="69"/>
  <c r="P31" i="69" s="1"/>
  <c r="I28" i="69"/>
  <c r="E28" i="69"/>
  <c r="BT27" i="69"/>
  <c r="AP27" i="69"/>
  <c r="AP28" i="69" s="1"/>
  <c r="I27" i="69"/>
  <c r="BL26" i="69"/>
  <c r="BK26" i="69"/>
  <c r="BJ26" i="69"/>
  <c r="BI26" i="69"/>
  <c r="AW26" i="69"/>
  <c r="AV26" i="69"/>
  <c r="AU26" i="69"/>
  <c r="AT26" i="69"/>
  <c r="I26" i="69"/>
  <c r="E26" i="69"/>
  <c r="BT25" i="69"/>
  <c r="BP25" i="69"/>
  <c r="BL25" i="69"/>
  <c r="BK25" i="69"/>
  <c r="BJ25" i="69"/>
  <c r="BI25" i="69"/>
  <c r="AW25" i="69"/>
  <c r="AV25" i="69"/>
  <c r="AU25" i="69"/>
  <c r="AT25" i="69"/>
  <c r="Z25" i="69"/>
  <c r="Y25" i="69"/>
  <c r="X25" i="69"/>
  <c r="W25" i="69"/>
  <c r="BT24" i="69"/>
  <c r="BP24" i="69"/>
  <c r="BL24" i="69"/>
  <c r="BK24" i="69"/>
  <c r="BJ24" i="69"/>
  <c r="BI24" i="69"/>
  <c r="AW24" i="69"/>
  <c r="AV24" i="69"/>
  <c r="AU24" i="69"/>
  <c r="AT24" i="69"/>
  <c r="AG24" i="69"/>
  <c r="AF24" i="69"/>
  <c r="AE24" i="69"/>
  <c r="AD24" i="69"/>
  <c r="F24" i="69"/>
  <c r="BT23" i="69"/>
  <c r="BL23" i="69"/>
  <c r="BK23" i="69"/>
  <c r="BJ23" i="69"/>
  <c r="BI23" i="69"/>
  <c r="AW23" i="69"/>
  <c r="AV23" i="69"/>
  <c r="AU23" i="69"/>
  <c r="AT23" i="69"/>
  <c r="AG23" i="69"/>
  <c r="AF23" i="69"/>
  <c r="AE23" i="69"/>
  <c r="AD23" i="69"/>
  <c r="S23" i="69"/>
  <c r="R23" i="69"/>
  <c r="Q23" i="69"/>
  <c r="P23" i="69"/>
  <c r="BT22" i="69"/>
  <c r="BP22" i="69"/>
  <c r="BL22" i="69"/>
  <c r="BK22" i="69"/>
  <c r="BJ22" i="69"/>
  <c r="BI22" i="69"/>
  <c r="AW22" i="69"/>
  <c r="AV22" i="69"/>
  <c r="AU22" i="69"/>
  <c r="AT22" i="69"/>
  <c r="AL22" i="69"/>
  <c r="S22" i="69"/>
  <c r="R22" i="69"/>
  <c r="Q22" i="69"/>
  <c r="P22" i="69"/>
  <c r="BT21" i="69"/>
  <c r="BL21" i="69"/>
  <c r="BK21" i="69"/>
  <c r="BJ21" i="69"/>
  <c r="BI21" i="69"/>
  <c r="AW21" i="69"/>
  <c r="AV21" i="69"/>
  <c r="AU21" i="69"/>
  <c r="AT21" i="69"/>
  <c r="AL21" i="69"/>
  <c r="S21" i="69"/>
  <c r="R21" i="69"/>
  <c r="Q21" i="69"/>
  <c r="P21" i="69"/>
  <c r="L21" i="69"/>
  <c r="K21" i="69"/>
  <c r="J21" i="69"/>
  <c r="I21" i="69"/>
  <c r="BT20" i="69"/>
  <c r="BP20" i="69"/>
  <c r="BL20" i="69"/>
  <c r="BK20" i="69"/>
  <c r="BJ20" i="69"/>
  <c r="BI20" i="69"/>
  <c r="BA20" i="69"/>
  <c r="BA22" i="69" s="1"/>
  <c r="BE23" i="69" s="1"/>
  <c r="AG20" i="69"/>
  <c r="AF20" i="69"/>
  <c r="AE20" i="69"/>
  <c r="AD20" i="69"/>
  <c r="Z20" i="69"/>
  <c r="Y20" i="69"/>
  <c r="X20" i="69"/>
  <c r="W20" i="69"/>
  <c r="L20" i="69"/>
  <c r="K20" i="69"/>
  <c r="J20" i="69"/>
  <c r="I20" i="69"/>
  <c r="BT19" i="69"/>
  <c r="BL19" i="69"/>
  <c r="BK19" i="69"/>
  <c r="BJ19" i="69"/>
  <c r="BI19" i="69"/>
  <c r="AU19" i="69"/>
  <c r="AL19" i="69"/>
  <c r="AG19" i="69"/>
  <c r="AF19" i="69"/>
  <c r="AE19" i="69"/>
  <c r="AD19" i="69"/>
  <c r="Q19" i="69"/>
  <c r="BT18" i="69"/>
  <c r="AV18" i="69"/>
  <c r="AV20" i="69" s="1"/>
  <c r="AT18" i="69"/>
  <c r="AT20" i="69" s="1"/>
  <c r="AL18" i="69"/>
  <c r="AG18" i="69"/>
  <c r="AF18" i="69"/>
  <c r="AE18" i="69"/>
  <c r="AD18" i="69"/>
  <c r="Z18" i="69"/>
  <c r="Y18" i="69"/>
  <c r="X18" i="69"/>
  <c r="W18" i="69"/>
  <c r="S18" i="69"/>
  <c r="R18" i="69"/>
  <c r="Q18" i="69"/>
  <c r="P18" i="69"/>
  <c r="S17" i="69"/>
  <c r="R17" i="69"/>
  <c r="Q17" i="69"/>
  <c r="P17" i="69"/>
  <c r="BC16" i="69"/>
  <c r="BB16" i="69"/>
  <c r="BA16" i="69"/>
  <c r="AD16" i="69"/>
  <c r="R16" i="69"/>
  <c r="B16" i="69"/>
  <c r="AD15" i="69"/>
  <c r="E15" i="69"/>
  <c r="BP14" i="69"/>
  <c r="P14" i="69"/>
  <c r="L14" i="69"/>
  <c r="K14" i="69"/>
  <c r="J14" i="69"/>
  <c r="I14" i="69"/>
  <c r="BT13" i="69"/>
  <c r="P13" i="69"/>
  <c r="B13" i="69"/>
  <c r="BX12" i="69"/>
  <c r="BP12" i="69"/>
  <c r="BL12" i="69"/>
  <c r="BK12" i="69"/>
  <c r="BJ12" i="69"/>
  <c r="BI12" i="69"/>
  <c r="BC12" i="69"/>
  <c r="BC14" i="69" s="1"/>
  <c r="BB12" i="69"/>
  <c r="BB14" i="69" s="1"/>
  <c r="BA12" i="69"/>
  <c r="BA14" i="69" s="1"/>
  <c r="L12" i="69"/>
  <c r="K12" i="69"/>
  <c r="J12" i="69"/>
  <c r="I12" i="69"/>
  <c r="B12" i="69"/>
  <c r="BX11" i="69"/>
  <c r="BT11" i="69"/>
  <c r="BP11" i="69"/>
  <c r="AE11" i="69"/>
  <c r="Z11" i="69"/>
  <c r="Y11" i="69"/>
  <c r="X11" i="69"/>
  <c r="W11" i="69"/>
  <c r="BX10" i="69"/>
  <c r="BT10" i="69"/>
  <c r="BP10" i="69"/>
  <c r="AW10" i="69"/>
  <c r="AV10" i="69"/>
  <c r="AU10" i="69"/>
  <c r="AT10" i="69"/>
  <c r="AL10" i="69"/>
  <c r="AE10" i="69"/>
  <c r="Q10" i="69"/>
  <c r="L10" i="69"/>
  <c r="K10" i="69"/>
  <c r="J10" i="69"/>
  <c r="I10" i="69"/>
  <c r="B10" i="69"/>
  <c r="BX9" i="69"/>
  <c r="BT9" i="69"/>
  <c r="BP9" i="69"/>
  <c r="BL9" i="69"/>
  <c r="BK9" i="69"/>
  <c r="BJ9" i="69"/>
  <c r="BI9" i="69"/>
  <c r="Q9" i="69"/>
  <c r="BX8" i="69"/>
  <c r="BT8" i="69"/>
  <c r="BP8" i="69"/>
  <c r="BL8" i="69"/>
  <c r="BK8" i="69"/>
  <c r="BJ8" i="69"/>
  <c r="BI8" i="69"/>
  <c r="AG8" i="69"/>
  <c r="AF8" i="69"/>
  <c r="AE8" i="69"/>
  <c r="AD8" i="69"/>
  <c r="L8" i="69"/>
  <c r="K8" i="69"/>
  <c r="J8" i="69"/>
  <c r="I8" i="69"/>
  <c r="BX7" i="69"/>
  <c r="BT7" i="69"/>
  <c r="BP7" i="69"/>
  <c r="BL7" i="69"/>
  <c r="BK7" i="69"/>
  <c r="BJ7" i="69"/>
  <c r="BI7" i="69"/>
  <c r="BC7" i="69"/>
  <c r="BB7" i="69"/>
  <c r="BA7" i="69"/>
  <c r="AW7" i="69"/>
  <c r="AV7" i="69"/>
  <c r="AU7" i="69"/>
  <c r="AT7" i="69"/>
  <c r="AG7" i="69"/>
  <c r="AF7" i="69"/>
  <c r="AE7" i="69"/>
  <c r="AD7" i="69"/>
  <c r="S7" i="69"/>
  <c r="P7" i="69"/>
  <c r="BX6" i="69"/>
  <c r="BT6" i="69"/>
  <c r="BL6" i="69"/>
  <c r="BK6" i="69"/>
  <c r="BJ6" i="69"/>
  <c r="BI6" i="69"/>
  <c r="AW6" i="69"/>
  <c r="AV6" i="69"/>
  <c r="AU6" i="69"/>
  <c r="AT6" i="69"/>
  <c r="Z6" i="69"/>
  <c r="Y6" i="69"/>
  <c r="X6" i="69"/>
  <c r="W6" i="69"/>
  <c r="BX5" i="69"/>
  <c r="BT5" i="69"/>
  <c r="BP5" i="69"/>
  <c r="BL5" i="69"/>
  <c r="BK5" i="69"/>
  <c r="BJ5" i="69"/>
  <c r="BI5" i="69"/>
  <c r="AW5" i="69"/>
  <c r="AV5" i="69"/>
  <c r="AU5" i="69"/>
  <c r="AT5" i="69"/>
  <c r="AG5" i="69"/>
  <c r="AF5" i="69"/>
  <c r="AE5" i="69"/>
  <c r="AD5" i="69"/>
  <c r="S5" i="69"/>
  <c r="R5" i="69"/>
  <c r="AF3" i="69" s="1"/>
  <c r="AF6" i="69" s="1"/>
  <c r="Q5" i="69"/>
  <c r="L5" i="69"/>
  <c r="H5" i="69"/>
  <c r="BX4" i="69"/>
  <c r="BX14" i="69" s="1"/>
  <c r="BT4" i="69"/>
  <c r="BP4" i="69"/>
  <c r="BL4" i="69"/>
  <c r="BK4" i="69"/>
  <c r="BJ4" i="69"/>
  <c r="BI4" i="69"/>
  <c r="AP4" i="69"/>
  <c r="AO4" i="69"/>
  <c r="AN4" i="69"/>
  <c r="AM4" i="69"/>
  <c r="AL4" i="69"/>
  <c r="AD4" i="69"/>
  <c r="Z4" i="69"/>
  <c r="Y4" i="69"/>
  <c r="X4" i="69"/>
  <c r="W4" i="69"/>
  <c r="E4" i="69"/>
  <c r="AP29" i="69" s="1"/>
  <c r="BL3" i="69"/>
  <c r="BK3" i="69"/>
  <c r="BJ3" i="69"/>
  <c r="BI3" i="69"/>
  <c r="BC3" i="69"/>
  <c r="BC5" i="69" s="1"/>
  <c r="BB3" i="69"/>
  <c r="BB5" i="69" s="1"/>
  <c r="BA3" i="69"/>
  <c r="BA5" i="69" s="1"/>
  <c r="AW3" i="69"/>
  <c r="AV3" i="69"/>
  <c r="AU3" i="69"/>
  <c r="AT3" i="69"/>
  <c r="AP3" i="69"/>
  <c r="AP5" i="69" s="1"/>
  <c r="AG3" i="69"/>
  <c r="AE3" i="69"/>
  <c r="S3" i="69"/>
  <c r="R3" i="69"/>
  <c r="Q3" i="69"/>
  <c r="P3" i="69"/>
  <c r="C3" i="69"/>
  <c r="BL2" i="69"/>
  <c r="BK2" i="69"/>
  <c r="BJ2" i="69"/>
  <c r="BI2" i="69"/>
  <c r="AV2" i="69"/>
  <c r="AV4" i="69" s="1"/>
  <c r="AV9" i="69" s="1"/>
  <c r="AV11" i="69" s="1"/>
  <c r="S2" i="69"/>
  <c r="S4" i="69" s="1"/>
  <c r="S8" i="69" s="1"/>
  <c r="S20" i="69" s="1"/>
  <c r="S27" i="69" s="1"/>
  <c r="R2" i="69"/>
  <c r="Q2" i="69"/>
  <c r="Q4" i="69" s="1"/>
  <c r="Q8" i="69" s="1"/>
  <c r="Q20" i="69" s="1"/>
  <c r="Q27" i="69" s="1"/>
  <c r="P2" i="69"/>
  <c r="P4" i="69" s="1"/>
  <c r="B63" i="68"/>
  <c r="A63" i="68"/>
  <c r="Z60" i="68"/>
  <c r="Y60" i="68"/>
  <c r="X60" i="68"/>
  <c r="W60" i="68"/>
  <c r="B62" i="68"/>
  <c r="C61" i="68"/>
  <c r="F58" i="68"/>
  <c r="Z57" i="68"/>
  <c r="Y57" i="68"/>
  <c r="X57" i="68"/>
  <c r="C57" i="68"/>
  <c r="Z54" i="68"/>
  <c r="Y54" i="68"/>
  <c r="X54" i="68"/>
  <c r="W54" i="68"/>
  <c r="Z53" i="68"/>
  <c r="Y53" i="68"/>
  <c r="X53" i="68"/>
  <c r="W53" i="68"/>
  <c r="X52" i="68"/>
  <c r="W52" i="68"/>
  <c r="AU51" i="68"/>
  <c r="AT51" i="68"/>
  <c r="AS51" i="68"/>
  <c r="AR51" i="68"/>
  <c r="Z51" i="68"/>
  <c r="Y51" i="68"/>
  <c r="X51" i="68"/>
  <c r="W51" i="68"/>
  <c r="BK50" i="68"/>
  <c r="Z50" i="68"/>
  <c r="Y50" i="68"/>
  <c r="X50" i="68"/>
  <c r="W50" i="68"/>
  <c r="Y49" i="68"/>
  <c r="F49" i="68"/>
  <c r="BK48" i="68"/>
  <c r="AU48" i="68"/>
  <c r="AT48" i="68"/>
  <c r="AS48" i="68"/>
  <c r="AR48" i="68"/>
  <c r="AN48" i="68"/>
  <c r="AM48" i="68"/>
  <c r="AL48" i="68"/>
  <c r="AK48" i="68"/>
  <c r="Q49" i="68"/>
  <c r="N49" i="68"/>
  <c r="F48" i="68"/>
  <c r="AU47" i="68"/>
  <c r="AT47" i="68"/>
  <c r="AS47" i="68"/>
  <c r="AR47" i="68"/>
  <c r="Q48" i="68"/>
  <c r="N48" i="68"/>
  <c r="B49" i="68"/>
  <c r="A49" i="68"/>
  <c r="BK46" i="68"/>
  <c r="AY46" i="68"/>
  <c r="AU46" i="68"/>
  <c r="AT46" i="68"/>
  <c r="AS46" i="68"/>
  <c r="AR46" i="68"/>
  <c r="F46" i="68"/>
  <c r="BK45" i="68"/>
  <c r="BC45" i="68"/>
  <c r="AU45" i="68"/>
  <c r="AT45" i="68"/>
  <c r="AS45" i="68"/>
  <c r="AR45" i="68"/>
  <c r="AN45" i="68"/>
  <c r="AN47" i="68" s="1"/>
  <c r="AM45" i="68"/>
  <c r="AM47" i="68" s="1"/>
  <c r="AL45" i="68"/>
  <c r="AL47" i="68" s="1"/>
  <c r="AK45" i="68"/>
  <c r="AK47" i="68" s="1"/>
  <c r="B47" i="68"/>
  <c r="BK44" i="68"/>
  <c r="AU44" i="68"/>
  <c r="AT44" i="68"/>
  <c r="AS44" i="68"/>
  <c r="AR44" i="68"/>
  <c r="W44" i="68"/>
  <c r="B46" i="68"/>
  <c r="AY43" i="68"/>
  <c r="AU43" i="68"/>
  <c r="AT43" i="68"/>
  <c r="AS43" i="68"/>
  <c r="AR43" i="68"/>
  <c r="AG43" i="68"/>
  <c r="AF43" i="68"/>
  <c r="AE43" i="68"/>
  <c r="AD43" i="68"/>
  <c r="D43" i="68"/>
  <c r="E43" i="68" s="1"/>
  <c r="W57" i="68" s="1"/>
  <c r="BC42" i="68"/>
  <c r="AY42" i="68"/>
  <c r="I29" i="68"/>
  <c r="BC41" i="68"/>
  <c r="AY41" i="68"/>
  <c r="AR41" i="68"/>
  <c r="A43" i="68"/>
  <c r="BK40" i="68"/>
  <c r="BG40" i="68"/>
  <c r="AU40" i="68"/>
  <c r="AT40" i="68"/>
  <c r="AS40" i="68"/>
  <c r="AR40" i="68"/>
  <c r="Z40" i="68"/>
  <c r="Y40" i="68"/>
  <c r="X40" i="68"/>
  <c r="W40" i="68"/>
  <c r="S41" i="68"/>
  <c r="R41" i="68"/>
  <c r="Q41" i="68"/>
  <c r="P41" i="68"/>
  <c r="B42" i="68"/>
  <c r="BC39" i="68"/>
  <c r="AY39" i="68"/>
  <c r="AN39" i="68"/>
  <c r="AM39" i="68"/>
  <c r="AL39" i="68"/>
  <c r="AK39" i="68"/>
  <c r="B41" i="68"/>
  <c r="W49" i="68" s="1"/>
  <c r="BK38" i="68"/>
  <c r="BG38" i="68"/>
  <c r="BC38" i="68"/>
  <c r="AY38" i="68"/>
  <c r="C40" i="68"/>
  <c r="B40" i="68" s="1"/>
  <c r="BG37" i="68"/>
  <c r="BC37" i="68"/>
  <c r="AY37" i="68"/>
  <c r="Z37" i="68"/>
  <c r="Y37" i="68"/>
  <c r="X37" i="68"/>
  <c r="W37" i="68"/>
  <c r="I41" i="68"/>
  <c r="E37" i="68"/>
  <c r="BK36" i="68"/>
  <c r="BG36" i="68"/>
  <c r="AN36" i="68"/>
  <c r="AN38" i="68" s="1"/>
  <c r="AM36" i="68"/>
  <c r="AM38" i="68" s="1"/>
  <c r="AL36" i="68"/>
  <c r="AL38" i="68" s="1"/>
  <c r="AK36" i="68"/>
  <c r="AK38" i="68" s="1"/>
  <c r="Z36" i="68"/>
  <c r="Y36" i="68"/>
  <c r="X36" i="68"/>
  <c r="W36" i="68"/>
  <c r="F36" i="68"/>
  <c r="A38" i="68"/>
  <c r="BK35" i="68"/>
  <c r="AG35" i="68"/>
  <c r="AF35" i="68"/>
  <c r="AE35" i="68"/>
  <c r="AD35" i="68"/>
  <c r="Z35" i="68"/>
  <c r="Y35" i="68"/>
  <c r="X35" i="68"/>
  <c r="W35" i="68"/>
  <c r="BK34" i="68"/>
  <c r="Z34" i="68"/>
  <c r="Y34" i="68"/>
  <c r="X34" i="68"/>
  <c r="W34" i="68"/>
  <c r="I37" i="68"/>
  <c r="B35" i="68"/>
  <c r="BG32" i="68"/>
  <c r="AU32" i="68"/>
  <c r="AT32" i="68"/>
  <c r="AS32" i="68"/>
  <c r="AR32" i="68"/>
  <c r="AG32" i="68"/>
  <c r="AF32" i="68"/>
  <c r="AE32" i="68"/>
  <c r="AD32" i="68"/>
  <c r="S33" i="68"/>
  <c r="S34" i="68" s="1"/>
  <c r="R33" i="68"/>
  <c r="R34" i="68" s="1"/>
  <c r="Q33" i="68"/>
  <c r="Q34" i="68" s="1"/>
  <c r="P33" i="68"/>
  <c r="P34" i="68" s="1"/>
  <c r="I36" i="68"/>
  <c r="E32" i="68"/>
  <c r="AG31" i="68"/>
  <c r="AF31" i="68"/>
  <c r="AE31" i="68"/>
  <c r="AD31" i="68"/>
  <c r="I35" i="68"/>
  <c r="C33" i="68"/>
  <c r="B33" i="68" s="1"/>
  <c r="BK30" i="68"/>
  <c r="BG30" i="68"/>
  <c r="AG30" i="68"/>
  <c r="AF30" i="68"/>
  <c r="AE30" i="68"/>
  <c r="AD30" i="68"/>
  <c r="I34" i="68"/>
  <c r="BG29" i="68"/>
  <c r="AU29" i="68"/>
  <c r="AT29" i="68"/>
  <c r="AS29" i="68"/>
  <c r="AR29" i="68"/>
  <c r="AN29" i="68"/>
  <c r="AM29" i="68"/>
  <c r="AL29" i="68"/>
  <c r="AK29" i="68"/>
  <c r="AG29" i="68"/>
  <c r="AF29" i="68"/>
  <c r="AE29" i="68"/>
  <c r="AD29" i="68"/>
  <c r="S29" i="68"/>
  <c r="S31" i="68" s="1"/>
  <c r="R29" i="68"/>
  <c r="R31" i="68" s="1"/>
  <c r="Q29" i="68"/>
  <c r="Q31" i="68" s="1"/>
  <c r="P29" i="68"/>
  <c r="P31" i="68" s="1"/>
  <c r="BK28" i="68"/>
  <c r="BG28" i="68"/>
  <c r="BG31" i="68" s="1"/>
  <c r="AY28" i="68"/>
  <c r="AU28" i="68"/>
  <c r="AT28" i="68"/>
  <c r="AS28" i="68"/>
  <c r="AR28" i="68"/>
  <c r="AN28" i="68"/>
  <c r="AM28" i="68"/>
  <c r="AL28" i="68"/>
  <c r="AK28" i="68"/>
  <c r="AG28" i="68"/>
  <c r="AF28" i="68"/>
  <c r="AE28" i="68"/>
  <c r="AD28" i="68"/>
  <c r="BC27" i="68"/>
  <c r="AU27" i="68"/>
  <c r="AT27" i="68"/>
  <c r="AS27" i="68"/>
  <c r="AR27" i="68"/>
  <c r="AG27" i="68"/>
  <c r="AF27" i="68"/>
  <c r="AE27" i="68"/>
  <c r="AD27" i="68"/>
  <c r="BK26" i="68"/>
  <c r="AU26" i="68"/>
  <c r="AT26" i="68"/>
  <c r="AS26" i="68"/>
  <c r="AR26" i="68"/>
  <c r="AN26" i="68"/>
  <c r="AN27" i="68" s="1"/>
  <c r="AM26" i="68"/>
  <c r="AM27" i="68" s="1"/>
  <c r="AL26" i="68"/>
  <c r="AL27" i="68" s="1"/>
  <c r="AK26" i="68"/>
  <c r="AK27" i="68" s="1"/>
  <c r="Z26" i="68"/>
  <c r="Y26" i="68"/>
  <c r="X26" i="68"/>
  <c r="W26" i="68"/>
  <c r="BK25" i="68"/>
  <c r="AY25" i="68"/>
  <c r="AU25" i="68"/>
  <c r="AT25" i="68"/>
  <c r="AS25" i="68"/>
  <c r="AR25" i="68"/>
  <c r="AE25" i="68"/>
  <c r="Z25" i="68"/>
  <c r="Y25" i="68"/>
  <c r="X25" i="68"/>
  <c r="W25" i="68"/>
  <c r="I26" i="68"/>
  <c r="BK24" i="68"/>
  <c r="BG24" i="68"/>
  <c r="BC24" i="68"/>
  <c r="AY24" i="68"/>
  <c r="AU24" i="68"/>
  <c r="AT24" i="68"/>
  <c r="AS24" i="68"/>
  <c r="AR24" i="68"/>
  <c r="AN24" i="68"/>
  <c r="AM24" i="68"/>
  <c r="AL24" i="68"/>
  <c r="AK24" i="68"/>
  <c r="AF24" i="68"/>
  <c r="AF26" i="68" s="1"/>
  <c r="AD24" i="68"/>
  <c r="AD26" i="68" s="1"/>
  <c r="S24" i="68"/>
  <c r="R24" i="68"/>
  <c r="Q24" i="68"/>
  <c r="P24" i="68"/>
  <c r="I25" i="68"/>
  <c r="F24" i="68"/>
  <c r="E24" i="68"/>
  <c r="BC23" i="68"/>
  <c r="AU23" i="68"/>
  <c r="AT23" i="68"/>
  <c r="AS23" i="68"/>
  <c r="AR23" i="68"/>
  <c r="Z23" i="68"/>
  <c r="Z24" i="68" s="1"/>
  <c r="Y23" i="68"/>
  <c r="Y24" i="68" s="1"/>
  <c r="X23" i="68"/>
  <c r="X24" i="68" s="1"/>
  <c r="W23" i="68"/>
  <c r="W24" i="68" s="1"/>
  <c r="S23" i="68"/>
  <c r="R23" i="68"/>
  <c r="Q23" i="68"/>
  <c r="P23" i="68"/>
  <c r="D23" i="68"/>
  <c r="BG22" i="68"/>
  <c r="BC22" i="68"/>
  <c r="AY22" i="68"/>
  <c r="AU22" i="68"/>
  <c r="AT22" i="68"/>
  <c r="AS22" i="68"/>
  <c r="AR22" i="68"/>
  <c r="S22" i="68"/>
  <c r="Z32" i="68" s="1"/>
  <c r="R22" i="68"/>
  <c r="Y32" i="68" s="1"/>
  <c r="Q22" i="68"/>
  <c r="X32" i="68" s="1"/>
  <c r="P22" i="68"/>
  <c r="W32" i="68" s="1"/>
  <c r="E22" i="68"/>
  <c r="BG21" i="68"/>
  <c r="BC21" i="68"/>
  <c r="AU21" i="68"/>
  <c r="AT21" i="68"/>
  <c r="AS21" i="68"/>
  <c r="AR21" i="68"/>
  <c r="BK20" i="68"/>
  <c r="BG20" i="68"/>
  <c r="BC20" i="68"/>
  <c r="AY20" i="68"/>
  <c r="Z20" i="68"/>
  <c r="Y20" i="68"/>
  <c r="X20" i="68"/>
  <c r="W20" i="68"/>
  <c r="Q20" i="68"/>
  <c r="E20" i="68"/>
  <c r="BC19" i="68"/>
  <c r="AY19" i="68"/>
  <c r="Z19" i="68"/>
  <c r="Y19" i="68"/>
  <c r="X19" i="68"/>
  <c r="W19" i="68"/>
  <c r="S19" i="68"/>
  <c r="R19" i="68"/>
  <c r="Q19" i="68"/>
  <c r="P19" i="68"/>
  <c r="BK18" i="68"/>
  <c r="BC18" i="68"/>
  <c r="AG18" i="68"/>
  <c r="AF18" i="68"/>
  <c r="AE18" i="68"/>
  <c r="AD18" i="68"/>
  <c r="Z18" i="68"/>
  <c r="Y18" i="68"/>
  <c r="X18" i="68"/>
  <c r="W18" i="68"/>
  <c r="S18" i="68"/>
  <c r="R18" i="68"/>
  <c r="Q18" i="68"/>
  <c r="P18" i="68"/>
  <c r="AN17" i="68"/>
  <c r="AM17" i="68"/>
  <c r="AL17" i="68"/>
  <c r="AK17" i="68"/>
  <c r="S17" i="68"/>
  <c r="R17" i="68"/>
  <c r="Q17" i="68"/>
  <c r="P17" i="68"/>
  <c r="BK16" i="68"/>
  <c r="BG16" i="68"/>
  <c r="W16" i="68"/>
  <c r="S16" i="68"/>
  <c r="R16" i="68"/>
  <c r="Q16" i="68"/>
  <c r="P16" i="68"/>
  <c r="B16" i="68"/>
  <c r="Q5" i="68" s="1"/>
  <c r="AL5" i="68" s="1"/>
  <c r="BK15" i="68"/>
  <c r="W15" i="68"/>
  <c r="I16" i="68"/>
  <c r="BK14" i="68"/>
  <c r="BG14" i="68"/>
  <c r="AY14" i="68"/>
  <c r="AU14" i="68"/>
  <c r="AT14" i="68"/>
  <c r="AS14" i="68"/>
  <c r="AR14" i="68"/>
  <c r="AN14" i="68"/>
  <c r="AN16" i="68" s="1"/>
  <c r="AM14" i="68"/>
  <c r="AM16" i="68" s="1"/>
  <c r="AL14" i="68"/>
  <c r="AL16" i="68" s="1"/>
  <c r="AK14" i="68"/>
  <c r="AK16" i="68" s="1"/>
  <c r="P14" i="68"/>
  <c r="BG13" i="68"/>
  <c r="BC13" i="68"/>
  <c r="AG13" i="68"/>
  <c r="AF13" i="68"/>
  <c r="AE13" i="68"/>
  <c r="AD13" i="68"/>
  <c r="X13" i="68"/>
  <c r="P13" i="68"/>
  <c r="Q47" i="68" s="1"/>
  <c r="Q50" i="68" s="1"/>
  <c r="B13" i="68"/>
  <c r="BO12" i="68"/>
  <c r="BG12" i="68"/>
  <c r="BG15" i="68" s="1"/>
  <c r="BG17" i="68" s="1"/>
  <c r="AN12" i="68"/>
  <c r="AM12" i="68"/>
  <c r="AL12" i="68"/>
  <c r="AK12" i="68"/>
  <c r="AG12" i="68"/>
  <c r="AF12" i="68"/>
  <c r="AE12" i="68"/>
  <c r="AD12" i="68"/>
  <c r="X12" i="68"/>
  <c r="L12" i="68"/>
  <c r="K12" i="68"/>
  <c r="J12" i="68"/>
  <c r="I12" i="68"/>
  <c r="B12" i="68"/>
  <c r="Z49" i="68" s="1"/>
  <c r="BO11" i="68"/>
  <c r="AY11" i="68"/>
  <c r="AU11" i="68"/>
  <c r="AT11" i="68"/>
  <c r="AS11" i="68"/>
  <c r="AR11" i="68"/>
  <c r="Q11" i="68"/>
  <c r="L11" i="68"/>
  <c r="K11" i="68"/>
  <c r="J11" i="68"/>
  <c r="I11" i="68"/>
  <c r="BO10" i="68"/>
  <c r="BK10" i="68"/>
  <c r="BC10" i="68"/>
  <c r="AY10" i="68"/>
  <c r="AU10" i="68"/>
  <c r="AT10" i="68"/>
  <c r="AS10" i="68"/>
  <c r="AR10" i="68"/>
  <c r="AG10" i="68"/>
  <c r="AF10" i="68"/>
  <c r="AE10" i="68"/>
  <c r="AD10" i="68"/>
  <c r="Z10" i="68"/>
  <c r="Y10" i="68"/>
  <c r="X10" i="68"/>
  <c r="W10" i="68"/>
  <c r="Q10" i="68"/>
  <c r="L10" i="68"/>
  <c r="K10" i="68"/>
  <c r="J10" i="68"/>
  <c r="I10" i="68"/>
  <c r="B10" i="68"/>
  <c r="BO9" i="68"/>
  <c r="BC9" i="68"/>
  <c r="AY9" i="68"/>
  <c r="AU9" i="68"/>
  <c r="AT9" i="68"/>
  <c r="AS9" i="68"/>
  <c r="AR9" i="68"/>
  <c r="AE9" i="68"/>
  <c r="AD9" i="68"/>
  <c r="Z9" i="68"/>
  <c r="Y9" i="68"/>
  <c r="X9" i="68"/>
  <c r="W9" i="68"/>
  <c r="L9" i="68"/>
  <c r="BO8" i="68"/>
  <c r="BK8" i="68"/>
  <c r="BG8" i="68"/>
  <c r="BC8" i="68"/>
  <c r="AY8" i="68"/>
  <c r="AU8" i="68"/>
  <c r="AT8" i="68"/>
  <c r="AS8" i="68"/>
  <c r="AR8" i="68"/>
  <c r="S8" i="68"/>
  <c r="P8" i="68"/>
  <c r="L8" i="68"/>
  <c r="L13" i="68" s="1"/>
  <c r="K8" i="68"/>
  <c r="J8" i="68"/>
  <c r="I8" i="68"/>
  <c r="E8" i="68"/>
  <c r="BO7" i="68"/>
  <c r="BC7" i="68"/>
  <c r="AY7" i="68"/>
  <c r="AU7" i="68"/>
  <c r="AT7" i="68"/>
  <c r="AS7" i="68"/>
  <c r="AR7" i="68"/>
  <c r="BO6" i="68"/>
  <c r="BK6" i="68"/>
  <c r="BG6" i="68"/>
  <c r="BC6" i="68"/>
  <c r="AU6" i="68"/>
  <c r="AT6" i="68"/>
  <c r="AS6" i="68"/>
  <c r="AR6" i="68"/>
  <c r="AD6" i="68"/>
  <c r="W6" i="68"/>
  <c r="P6" i="68"/>
  <c r="BO5" i="68"/>
  <c r="BK5" i="68"/>
  <c r="BG5" i="68"/>
  <c r="BC5" i="68"/>
  <c r="AY5" i="68"/>
  <c r="AU5" i="68"/>
  <c r="AT5" i="68"/>
  <c r="AS5" i="68"/>
  <c r="AR5" i="68"/>
  <c r="AG5" i="68"/>
  <c r="AF5" i="68"/>
  <c r="AE5" i="68"/>
  <c r="AD5" i="68"/>
  <c r="Y5" i="68"/>
  <c r="X5" i="68"/>
  <c r="R5" i="68"/>
  <c r="AM5" i="68" s="1"/>
  <c r="L5" i="68"/>
  <c r="E5" i="68"/>
  <c r="BO4" i="68"/>
  <c r="BK4" i="68"/>
  <c r="BG4" i="68"/>
  <c r="BC4" i="68"/>
  <c r="AY4" i="68"/>
  <c r="AU4" i="68"/>
  <c r="AT4" i="68"/>
  <c r="AS4" i="68"/>
  <c r="AR4" i="68"/>
  <c r="AU3" i="68"/>
  <c r="AT3" i="68"/>
  <c r="AS3" i="68"/>
  <c r="AR3" i="68"/>
  <c r="AN3" i="68"/>
  <c r="AM3" i="68"/>
  <c r="AL3" i="68"/>
  <c r="AK3" i="68"/>
  <c r="AG3" i="68"/>
  <c r="AF3" i="68"/>
  <c r="AE3" i="68"/>
  <c r="AD3" i="68"/>
  <c r="Z3" i="68"/>
  <c r="Y3" i="68"/>
  <c r="X3" i="68"/>
  <c r="W3" i="68"/>
  <c r="S3" i="68"/>
  <c r="R3" i="68"/>
  <c r="Q3" i="68"/>
  <c r="P3" i="68"/>
  <c r="C3" i="68"/>
  <c r="AN2" i="68"/>
  <c r="AM2" i="68"/>
  <c r="AL2" i="68"/>
  <c r="AK2" i="68"/>
  <c r="AG2" i="68"/>
  <c r="AF2" i="68"/>
  <c r="AE2" i="68"/>
  <c r="AD2" i="68"/>
  <c r="Z2" i="68"/>
  <c r="Y2" i="68"/>
  <c r="X2" i="68"/>
  <c r="W2" i="68"/>
  <c r="S2" i="68"/>
  <c r="R2" i="68"/>
  <c r="Q2" i="68"/>
  <c r="P2" i="68"/>
  <c r="BO14" i="68" l="1"/>
  <c r="Z5" i="68"/>
  <c r="BG23" i="68"/>
  <c r="BG25" i="68" s="1"/>
  <c r="I27" i="68"/>
  <c r="BK27" i="68"/>
  <c r="BK29" i="68" s="1"/>
  <c r="BK31" i="68" s="1"/>
  <c r="BG33" i="68"/>
  <c r="R4" i="69"/>
  <c r="AE6" i="69"/>
  <c r="AE9" i="69" s="1"/>
  <c r="BT12" i="69"/>
  <c r="BT14" i="69" s="1"/>
  <c r="L16" i="69"/>
  <c r="I46" i="69"/>
  <c r="BK17" i="68"/>
  <c r="BK19" i="68" s="1"/>
  <c r="BK21" i="68" s="1"/>
  <c r="AY21" i="68"/>
  <c r="AY23" i="68" s="1"/>
  <c r="BK47" i="68"/>
  <c r="BK49" i="68" s="1"/>
  <c r="BK51" i="68" s="1"/>
  <c r="BP6" i="69"/>
  <c r="BP13" i="69" s="1"/>
  <c r="BP15" i="69" s="1"/>
  <c r="AF9" i="69"/>
  <c r="AD14" i="69"/>
  <c r="P12" i="69"/>
  <c r="R8" i="69"/>
  <c r="R20" i="69" s="1"/>
  <c r="R27" i="69" s="1"/>
  <c r="BP19" i="69"/>
  <c r="BP21" i="69" s="1"/>
  <c r="BP23" i="69" s="1"/>
  <c r="BP27" i="69" s="1"/>
  <c r="BP29" i="69" s="1"/>
  <c r="AG6" i="69"/>
  <c r="AG9" i="69" s="1"/>
  <c r="BA36" i="69"/>
  <c r="BA38" i="69" s="1"/>
  <c r="S5" i="68"/>
  <c r="AN5" i="68" s="1"/>
  <c r="P4" i="68"/>
  <c r="R4" i="68"/>
  <c r="R9" i="68" s="1"/>
  <c r="R21" i="68" s="1"/>
  <c r="R27" i="68" s="1"/>
  <c r="W4" i="68"/>
  <c r="Y4" i="68"/>
  <c r="Y8" i="68" s="1"/>
  <c r="Y11" i="68" s="1"/>
  <c r="AD4" i="68"/>
  <c r="AD7" i="68" s="1"/>
  <c r="AD11" i="68" s="1"/>
  <c r="AD16" i="68" s="1"/>
  <c r="AF4" i="68"/>
  <c r="AF7" i="68" s="1"/>
  <c r="AF11" i="68" s="1"/>
  <c r="AF16" i="68" s="1"/>
  <c r="AK4" i="68"/>
  <c r="AM4" i="68"/>
  <c r="AM7" i="68" s="1"/>
  <c r="BK7" i="68"/>
  <c r="BK9" i="68" s="1"/>
  <c r="BK11" i="68" s="1"/>
  <c r="N50" i="68"/>
  <c r="Q4" i="68"/>
  <c r="Q9" i="68" s="1"/>
  <c r="Q21" i="68" s="1"/>
  <c r="Q27" i="68" s="1"/>
  <c r="S4" i="68"/>
  <c r="S9" i="68" s="1"/>
  <c r="S21" i="68" s="1"/>
  <c r="S27" i="68" s="1"/>
  <c r="X4" i="68"/>
  <c r="X8" i="68" s="1"/>
  <c r="X11" i="68" s="1"/>
  <c r="Z4" i="68"/>
  <c r="Z8" i="68" s="1"/>
  <c r="Z11" i="68" s="1"/>
  <c r="AE4" i="68"/>
  <c r="AE7" i="68" s="1"/>
  <c r="AE11" i="68" s="1"/>
  <c r="AE16" i="68" s="1"/>
  <c r="AG4" i="68"/>
  <c r="AG7" i="68" s="1"/>
  <c r="AG11" i="68" s="1"/>
  <c r="AG16" i="68" s="1"/>
  <c r="AL4" i="68"/>
  <c r="AL7" i="68" s="1"/>
  <c r="AN4" i="68"/>
  <c r="AN7" i="68" s="1"/>
  <c r="AN35" i="68" s="1"/>
  <c r="AN40" i="68" s="1"/>
  <c r="AY6" i="68"/>
  <c r="BG7" i="68"/>
  <c r="BG9" i="68" s="1"/>
  <c r="I38" i="68"/>
  <c r="BG39" i="68"/>
  <c r="BG41" i="68" s="1"/>
  <c r="AL20" i="69"/>
  <c r="AL23" i="69" s="1"/>
  <c r="I36" i="69"/>
  <c r="AD33" i="69"/>
  <c r="BK37" i="68"/>
  <c r="BK39" i="68" s="1"/>
  <c r="BK41" i="68" s="1"/>
  <c r="BP40" i="69"/>
  <c r="BP45" i="69" s="1"/>
  <c r="BP47" i="69" s="1"/>
  <c r="BT40" i="69"/>
  <c r="BT43" i="69" s="1"/>
  <c r="BT45" i="69" s="1"/>
  <c r="W39" i="69"/>
  <c r="X39" i="69"/>
  <c r="Y39" i="69"/>
  <c r="Z39" i="69"/>
  <c r="W53" i="69"/>
  <c r="X53" i="69"/>
  <c r="Y53" i="69"/>
  <c r="W45" i="69"/>
  <c r="W17" i="69"/>
  <c r="W3" i="69"/>
  <c r="X45" i="69"/>
  <c r="X17" i="69"/>
  <c r="X3" i="69"/>
  <c r="Y45" i="69"/>
  <c r="Y17" i="69"/>
  <c r="Y3" i="69"/>
  <c r="Z45" i="69"/>
  <c r="Z17" i="69"/>
  <c r="Z3" i="69"/>
  <c r="P30" i="69"/>
  <c r="Q30" i="69"/>
  <c r="R30" i="69"/>
  <c r="S30" i="69"/>
  <c r="BT26" i="69"/>
  <c r="BT28" i="69" s="1"/>
  <c r="AL44" i="68"/>
  <c r="AL49" i="68" s="1"/>
  <c r="AL35" i="68"/>
  <c r="AL40" i="68" s="1"/>
  <c r="AL23" i="68"/>
  <c r="AL25" i="68" s="1"/>
  <c r="AL11" i="68"/>
  <c r="AL13" i="68" s="1"/>
  <c r="AM44" i="68"/>
  <c r="AM49" i="68" s="1"/>
  <c r="AM35" i="68"/>
  <c r="AM40" i="68" s="1"/>
  <c r="AM23" i="68"/>
  <c r="AM25" i="68" s="1"/>
  <c r="AM11" i="68"/>
  <c r="AM13" i="68" s="1"/>
  <c r="AN23" i="68"/>
  <c r="AN25" i="68" s="1"/>
  <c r="Z55" i="68"/>
  <c r="Y55" i="68"/>
  <c r="X55" i="68"/>
  <c r="W55" i="68"/>
  <c r="AU49" i="68"/>
  <c r="AT49" i="68"/>
  <c r="AS49" i="68"/>
  <c r="AR49" i="68"/>
  <c r="AY44" i="68"/>
  <c r="BC43" i="68"/>
  <c r="Z38" i="68"/>
  <c r="Y38" i="68"/>
  <c r="X38" i="68"/>
  <c r="W38" i="68"/>
  <c r="AG33" i="68"/>
  <c r="AF33" i="68"/>
  <c r="AE33" i="68"/>
  <c r="AD33" i="68"/>
  <c r="AU30" i="68"/>
  <c r="AT30" i="68"/>
  <c r="AS30" i="68"/>
  <c r="AR30" i="68"/>
  <c r="AY26" i="68"/>
  <c r="AY27" i="68" s="1"/>
  <c r="AY29" i="68" s="1"/>
  <c r="BC25" i="68"/>
  <c r="S25" i="68"/>
  <c r="R25" i="68"/>
  <c r="R26" i="68" s="1"/>
  <c r="Q25" i="68"/>
  <c r="P25" i="68"/>
  <c r="Z21" i="68"/>
  <c r="Z22" i="68" s="1"/>
  <c r="Z27" i="68" s="1"/>
  <c r="Y21" i="68"/>
  <c r="X21" i="68"/>
  <c r="W21" i="68"/>
  <c r="AG14" i="68"/>
  <c r="AF14" i="68"/>
  <c r="AE14" i="68"/>
  <c r="AD14" i="68"/>
  <c r="AY12" i="68"/>
  <c r="AU12" i="68"/>
  <c r="AU13" i="68" s="1"/>
  <c r="AU15" i="68" s="1"/>
  <c r="AT12" i="68"/>
  <c r="AS12" i="68"/>
  <c r="AR12" i="68"/>
  <c r="AR13" i="68" s="1"/>
  <c r="AR15" i="68" s="1"/>
  <c r="BC11" i="68"/>
  <c r="X22" i="68"/>
  <c r="X27" i="68" s="1"/>
  <c r="J9" i="68" s="1"/>
  <c r="J13" i="68" s="1"/>
  <c r="Y22" i="68"/>
  <c r="Y27" i="68" s="1"/>
  <c r="K9" i="68" s="1"/>
  <c r="K13" i="68" s="1"/>
  <c r="AS13" i="68"/>
  <c r="AS15" i="68" s="1"/>
  <c r="AT13" i="68"/>
  <c r="AT15" i="68" s="1"/>
  <c r="AY13" i="68"/>
  <c r="AY15" i="68" s="1"/>
  <c r="BC12" i="68"/>
  <c r="BC14" i="68" s="1"/>
  <c r="AD15" i="68"/>
  <c r="AE15" i="68"/>
  <c r="AE17" i="68" s="1"/>
  <c r="AE19" i="68" s="1"/>
  <c r="AF15" i="68"/>
  <c r="AF17" i="68" s="1"/>
  <c r="AF19" i="68" s="1"/>
  <c r="AG15" i="68"/>
  <c r="AG17" i="68" s="1"/>
  <c r="AG19" i="68" s="1"/>
  <c r="BC26" i="68"/>
  <c r="BC28" i="68" s="1"/>
  <c r="P26" i="68"/>
  <c r="Q26" i="68"/>
  <c r="S26" i="68"/>
  <c r="AD34" i="68"/>
  <c r="AD36" i="68" s="1"/>
  <c r="AF34" i="68"/>
  <c r="AF36" i="68" s="1"/>
  <c r="Q52" i="68"/>
  <c r="R50" i="68"/>
  <c r="X49" i="68"/>
  <c r="X56" i="68" s="1"/>
  <c r="X59" i="68" s="1"/>
  <c r="X61" i="68" s="1"/>
  <c r="AS39" i="68"/>
  <c r="AS50" i="68" s="1"/>
  <c r="AS52" i="68" s="1"/>
  <c r="BC35" i="68"/>
  <c r="BC40" i="68" s="1"/>
  <c r="BC44" i="68" s="1"/>
  <c r="BC46" i="68" s="1"/>
  <c r="AY35" i="68"/>
  <c r="AY40" i="68" s="1"/>
  <c r="AY45" i="68" s="1"/>
  <c r="AY47" i="68" s="1"/>
  <c r="N52" i="68"/>
  <c r="O50" i="68"/>
  <c r="AD38" i="69"/>
  <c r="AH36" i="69"/>
  <c r="AH37" i="69" s="1"/>
  <c r="AH39" i="69" s="1"/>
  <c r="BL27" i="69"/>
  <c r="BL28" i="69" s="1"/>
  <c r="BL30" i="69" s="1"/>
  <c r="BK27" i="69"/>
  <c r="BK28" i="69" s="1"/>
  <c r="BK30" i="69" s="1"/>
  <c r="BJ27" i="69"/>
  <c r="BJ28" i="69" s="1"/>
  <c r="BJ30" i="69" s="1"/>
  <c r="BI27" i="69"/>
  <c r="BI28" i="69" s="1"/>
  <c r="BI30" i="69" s="1"/>
  <c r="BI32" i="69" s="1"/>
  <c r="AW27" i="69"/>
  <c r="AV27" i="69"/>
  <c r="AU27" i="69"/>
  <c r="AT27" i="69"/>
  <c r="BP26" i="69"/>
  <c r="S24" i="69"/>
  <c r="S25" i="69" s="1"/>
  <c r="S28" i="69" s="1"/>
  <c r="S33" i="69" s="1"/>
  <c r="R24" i="69"/>
  <c r="R25" i="69" s="1"/>
  <c r="R28" i="69" s="1"/>
  <c r="R33" i="69" s="1"/>
  <c r="Q24" i="69"/>
  <c r="Q25" i="69" s="1"/>
  <c r="Q28" i="69" s="1"/>
  <c r="Q33" i="69" s="1"/>
  <c r="P24" i="69"/>
  <c r="P25" i="69" s="1"/>
  <c r="AG21" i="69"/>
  <c r="AF21" i="69"/>
  <c r="AE21" i="69"/>
  <c r="AE22" i="69" s="1"/>
  <c r="AE25" i="69" s="1"/>
  <c r="AD21" i="69"/>
  <c r="BL10" i="69"/>
  <c r="BK10" i="69"/>
  <c r="BJ10" i="69"/>
  <c r="BI10" i="69"/>
  <c r="AW8" i="69"/>
  <c r="AV8" i="69"/>
  <c r="AU8" i="69"/>
  <c r="AT8" i="69"/>
  <c r="AP26" i="69"/>
  <c r="AP31" i="69" s="1"/>
  <c r="AL29" i="69" s="1"/>
  <c r="AP17" i="69"/>
  <c r="AD13" i="69"/>
  <c r="AD12" i="69"/>
  <c r="P11" i="69"/>
  <c r="P6" i="69"/>
  <c r="P5" i="69"/>
  <c r="AD3" i="69"/>
  <c r="AD6" i="69" s="1"/>
  <c r="AD9" i="69" s="1"/>
  <c r="Z56" i="68"/>
  <c r="Z59" i="68" s="1"/>
  <c r="Z61" i="68" s="1"/>
  <c r="AK15" i="68"/>
  <c r="AL15" i="68"/>
  <c r="AL18" i="68" s="1"/>
  <c r="AL30" i="68" s="1"/>
  <c r="AM15" i="68"/>
  <c r="AM18" i="68" s="1"/>
  <c r="AM30" i="68" s="1"/>
  <c r="AN15" i="68"/>
  <c r="AR31" i="68"/>
  <c r="AR33" i="68" s="1"/>
  <c r="AS31" i="68"/>
  <c r="AS33" i="68" s="1"/>
  <c r="AT31" i="68"/>
  <c r="AT33" i="68" s="1"/>
  <c r="AU31" i="68"/>
  <c r="AU33" i="68" s="1"/>
  <c r="AE24" i="68"/>
  <c r="AE26" i="68" s="1"/>
  <c r="AE34" i="68" s="1"/>
  <c r="AE36" i="68" s="1"/>
  <c r="AG24" i="68"/>
  <c r="AG26" i="68" s="1"/>
  <c r="AG34" i="68" s="1"/>
  <c r="AG36" i="68" s="1"/>
  <c r="P30" i="68"/>
  <c r="Q30" i="68"/>
  <c r="R30" i="68"/>
  <c r="S30" i="68"/>
  <c r="W56" i="68"/>
  <c r="W59" i="68" s="1"/>
  <c r="W61" i="68" s="1"/>
  <c r="AT50" i="68"/>
  <c r="AT52" i="68" s="1"/>
  <c r="AU50" i="68"/>
  <c r="AU52" i="68" s="1"/>
  <c r="Y56" i="68"/>
  <c r="Y59" i="68" s="1"/>
  <c r="Y61" i="68" s="1"/>
  <c r="BI11" i="69"/>
  <c r="BI13" i="69" s="1"/>
  <c r="BJ11" i="69"/>
  <c r="BJ13" i="69" s="1"/>
  <c r="BK11" i="69"/>
  <c r="BK13" i="69" s="1"/>
  <c r="BL11" i="69"/>
  <c r="BL13" i="69" s="1"/>
  <c r="AF22" i="69"/>
  <c r="AF25" i="69" s="1"/>
  <c r="AG22" i="69"/>
  <c r="AG25" i="69" s="1"/>
  <c r="AT28" i="69"/>
  <c r="AT30" i="69" s="1"/>
  <c r="AV28" i="69"/>
  <c r="AV30" i="69" s="1"/>
  <c r="AD39" i="69"/>
  <c r="AK37" i="68"/>
  <c r="AL37" i="68"/>
  <c r="AM37" i="68"/>
  <c r="AN37" i="68"/>
  <c r="AR39" i="68"/>
  <c r="AR50" i="68" s="1"/>
  <c r="AR52" i="68" s="1"/>
  <c r="AK46" i="68"/>
  <c r="AL46" i="68"/>
  <c r="AM46" i="68"/>
  <c r="AN46" i="68"/>
  <c r="BA4" i="69"/>
  <c r="BB4" i="69"/>
  <c r="BC4" i="69"/>
  <c r="BA13" i="69"/>
  <c r="BB13" i="69"/>
  <c r="BC13" i="69"/>
  <c r="AP18" i="69"/>
  <c r="AP19" i="69" s="1"/>
  <c r="AP20" i="69"/>
  <c r="AP21" i="69"/>
  <c r="W31" i="69"/>
  <c r="X31" i="69"/>
  <c r="Y31" i="69"/>
  <c r="Z31" i="69"/>
  <c r="AC48" i="69"/>
  <c r="AG48" i="69"/>
  <c r="B4" i="67"/>
  <c r="B3" i="67"/>
  <c r="C69" i="61"/>
  <c r="S29" i="61" s="1"/>
  <c r="S31" i="61" s="1"/>
  <c r="Z45" i="61" s="1"/>
  <c r="C69" i="63"/>
  <c r="S29" i="63" s="1"/>
  <c r="S31" i="63" s="1"/>
  <c r="Z45" i="63" s="1"/>
  <c r="C69" i="64"/>
  <c r="S29" i="64" s="1"/>
  <c r="S31" i="64" s="1"/>
  <c r="C69" i="65"/>
  <c r="S29" i="65" s="1"/>
  <c r="S31" i="65" s="1"/>
  <c r="C69" i="24"/>
  <c r="S29" i="24" s="1"/>
  <c r="S31" i="24" s="1"/>
  <c r="Z45" i="24" s="1"/>
  <c r="C69" i="30"/>
  <c r="S29" i="30" s="1"/>
  <c r="S31" i="30" s="1"/>
  <c r="Z45" i="30" s="1"/>
  <c r="C69" i="37"/>
  <c r="S29" i="37" s="1"/>
  <c r="S31" i="37" s="1"/>
  <c r="Z45" i="37" s="1"/>
  <c r="C69" i="43"/>
  <c r="S29" i="43" s="1"/>
  <c r="S31" i="43" s="1"/>
  <c r="Z45" i="43" s="1"/>
  <c r="C69" i="49"/>
  <c r="S29" i="49" s="1"/>
  <c r="S31" i="49" s="1"/>
  <c r="Z45" i="49" s="1"/>
  <c r="C69" i="55"/>
  <c r="S29" i="55" s="1"/>
  <c r="S31" i="55" s="1"/>
  <c r="Z45" i="55" s="1"/>
  <c r="C69" i="11"/>
  <c r="S29" i="11" s="1"/>
  <c r="S31" i="11" s="1"/>
  <c r="Z45" i="11" s="1"/>
  <c r="C69" i="18"/>
  <c r="S29" i="18" s="1"/>
  <c r="S31" i="18" s="1"/>
  <c r="U15" i="18"/>
  <c r="H10" i="18" s="1"/>
  <c r="U1" i="18"/>
  <c r="H8" i="18" s="1"/>
  <c r="B59" i="65"/>
  <c r="A59" i="65"/>
  <c r="F56" i="65"/>
  <c r="B58" i="65"/>
  <c r="C57" i="65"/>
  <c r="F54" i="65"/>
  <c r="F53" i="65"/>
  <c r="I52" i="65"/>
  <c r="F51" i="65"/>
  <c r="BP28" i="65" s="1"/>
  <c r="C53" i="65"/>
  <c r="Z48" i="65"/>
  <c r="Y48" i="65"/>
  <c r="X48" i="65"/>
  <c r="W48" i="65"/>
  <c r="AF47" i="65"/>
  <c r="AB47" i="65"/>
  <c r="BP46" i="65"/>
  <c r="AF46" i="65"/>
  <c r="AB46" i="65"/>
  <c r="Z46" i="65"/>
  <c r="Y46" i="65"/>
  <c r="X46" i="65"/>
  <c r="W46" i="65"/>
  <c r="E46" i="65"/>
  <c r="AF45" i="65"/>
  <c r="AB45" i="65"/>
  <c r="AB48" i="65" s="1"/>
  <c r="I45" i="65"/>
  <c r="F45" i="65"/>
  <c r="BT44" i="65"/>
  <c r="BP44" i="65"/>
  <c r="AF44" i="65"/>
  <c r="I44" i="65"/>
  <c r="BP43" i="65"/>
  <c r="I43" i="65"/>
  <c r="B45" i="65"/>
  <c r="A45" i="65"/>
  <c r="BT42" i="65"/>
  <c r="BP42" i="65"/>
  <c r="I42" i="65"/>
  <c r="BT41" i="65"/>
  <c r="BP41" i="65"/>
  <c r="E41" i="65"/>
  <c r="B43" i="65"/>
  <c r="B42" i="65"/>
  <c r="BT39" i="65"/>
  <c r="BP39" i="65"/>
  <c r="S40" i="65"/>
  <c r="R40" i="65"/>
  <c r="Q40" i="65"/>
  <c r="P40" i="65"/>
  <c r="Z53" i="65" s="1"/>
  <c r="BT38" i="65"/>
  <c r="BP38" i="65"/>
  <c r="AH38" i="65"/>
  <c r="BA37" i="65"/>
  <c r="AW37" i="65"/>
  <c r="AV37" i="65"/>
  <c r="AU37" i="65"/>
  <c r="AT37" i="65"/>
  <c r="AD37" i="65"/>
  <c r="F37" i="65"/>
  <c r="C39" i="65"/>
  <c r="B39" i="65"/>
  <c r="BT36" i="65"/>
  <c r="BP36" i="65"/>
  <c r="AD36" i="65"/>
  <c r="F36" i="65"/>
  <c r="C38" i="65"/>
  <c r="B38" i="65" s="1"/>
  <c r="BA35" i="65"/>
  <c r="AH35" i="65"/>
  <c r="AD35" i="65"/>
  <c r="I35" i="65"/>
  <c r="B37" i="65"/>
  <c r="BA34" i="65"/>
  <c r="AH34" i="65"/>
  <c r="AD34" i="65"/>
  <c r="Z34" i="65"/>
  <c r="Y34" i="65"/>
  <c r="X34" i="65"/>
  <c r="W34" i="65"/>
  <c r="I34" i="65"/>
  <c r="C36" i="65"/>
  <c r="A36" i="65"/>
  <c r="BA33" i="65"/>
  <c r="AH33" i="65"/>
  <c r="F33" i="65"/>
  <c r="B35" i="65"/>
  <c r="BA32" i="65"/>
  <c r="AH32" i="65"/>
  <c r="AD32" i="65"/>
  <c r="Z32" i="65"/>
  <c r="Y32" i="65"/>
  <c r="X32" i="65"/>
  <c r="W32" i="65"/>
  <c r="BA31" i="65"/>
  <c r="AH31" i="65"/>
  <c r="AD31" i="65"/>
  <c r="S32" i="65"/>
  <c r="R32" i="65"/>
  <c r="Q32" i="65"/>
  <c r="P32" i="65"/>
  <c r="I31" i="65"/>
  <c r="C33" i="65"/>
  <c r="B33" i="65" s="1"/>
  <c r="BA30" i="65"/>
  <c r="AP30" i="65"/>
  <c r="F30" i="65"/>
  <c r="E30" i="65"/>
  <c r="BL29" i="65"/>
  <c r="BK29" i="65"/>
  <c r="BJ29" i="65"/>
  <c r="BI29" i="65"/>
  <c r="BA29" i="65"/>
  <c r="AW29" i="65"/>
  <c r="AV29" i="65"/>
  <c r="AU29" i="65"/>
  <c r="AT29" i="65"/>
  <c r="I29" i="65"/>
  <c r="D29" i="65"/>
  <c r="I28" i="65"/>
  <c r="E28" i="65"/>
  <c r="AP27" i="65"/>
  <c r="AP28" i="65" s="1"/>
  <c r="I27" i="65"/>
  <c r="BL26" i="65"/>
  <c r="BK26" i="65"/>
  <c r="BJ26" i="65"/>
  <c r="BI26" i="65"/>
  <c r="AW26" i="65"/>
  <c r="AV26" i="65"/>
  <c r="AU26" i="65"/>
  <c r="AT26" i="65"/>
  <c r="I26" i="65"/>
  <c r="BT25" i="65"/>
  <c r="BP25" i="65"/>
  <c r="BL25" i="65"/>
  <c r="BK25" i="65"/>
  <c r="BJ25" i="65"/>
  <c r="BI25" i="65"/>
  <c r="AW25" i="65"/>
  <c r="AV25" i="65"/>
  <c r="AU25" i="65"/>
  <c r="AT25" i="65"/>
  <c r="Z25" i="65"/>
  <c r="Y25" i="65"/>
  <c r="X25" i="65"/>
  <c r="W25" i="65"/>
  <c r="BT24" i="65"/>
  <c r="BP24" i="65"/>
  <c r="BL24" i="65"/>
  <c r="BK24" i="65"/>
  <c r="BJ24" i="65"/>
  <c r="BI24" i="65"/>
  <c r="AW24" i="65"/>
  <c r="AV24" i="65"/>
  <c r="AU24" i="65"/>
  <c r="AT24" i="65"/>
  <c r="AG24" i="65"/>
  <c r="AF24" i="65"/>
  <c r="AE24" i="65"/>
  <c r="AD24" i="65"/>
  <c r="F24" i="65"/>
  <c r="BT23" i="65"/>
  <c r="BL23" i="65"/>
  <c r="BK23" i="65"/>
  <c r="BJ23" i="65"/>
  <c r="BI23" i="65"/>
  <c r="AW23" i="65"/>
  <c r="AV23" i="65"/>
  <c r="AU23" i="65"/>
  <c r="AT23" i="65"/>
  <c r="AG23" i="65"/>
  <c r="AF23" i="65"/>
  <c r="AE23" i="65"/>
  <c r="AD23" i="65"/>
  <c r="S23" i="65"/>
  <c r="R23" i="65"/>
  <c r="Q23" i="65"/>
  <c r="P23" i="65"/>
  <c r="BT22" i="65"/>
  <c r="BP22" i="65"/>
  <c r="BL22" i="65"/>
  <c r="BK22" i="65"/>
  <c r="BJ22" i="65"/>
  <c r="BI22" i="65"/>
  <c r="AW22" i="65"/>
  <c r="AV22" i="65"/>
  <c r="AU22" i="65"/>
  <c r="AT22" i="65"/>
  <c r="AL22" i="65"/>
  <c r="S22" i="65"/>
  <c r="R22" i="65"/>
  <c r="Q22" i="65"/>
  <c r="P22" i="65"/>
  <c r="BT21" i="65"/>
  <c r="BL21" i="65"/>
  <c r="BK21" i="65"/>
  <c r="BJ21" i="65"/>
  <c r="BI21" i="65"/>
  <c r="AW21" i="65"/>
  <c r="AV21" i="65"/>
  <c r="AU21" i="65"/>
  <c r="AT21" i="65"/>
  <c r="S21" i="65"/>
  <c r="R21" i="65"/>
  <c r="Q21" i="65"/>
  <c r="P21" i="65"/>
  <c r="L21" i="65"/>
  <c r="K21" i="65"/>
  <c r="J21" i="65"/>
  <c r="I21" i="65"/>
  <c r="BT35" i="65"/>
  <c r="BT20" i="65"/>
  <c r="BP20" i="65"/>
  <c r="BL20" i="65"/>
  <c r="BK20" i="65"/>
  <c r="BJ20" i="65"/>
  <c r="BI20" i="65"/>
  <c r="BA20" i="65"/>
  <c r="BA22" i="65" s="1"/>
  <c r="BE23" i="65" s="1"/>
  <c r="AG20" i="65"/>
  <c r="AF20" i="65"/>
  <c r="AE20" i="65"/>
  <c r="AD20" i="65"/>
  <c r="Z20" i="65"/>
  <c r="Y20" i="65"/>
  <c r="X20" i="65"/>
  <c r="W20" i="65"/>
  <c r="L20" i="65"/>
  <c r="K20" i="65"/>
  <c r="J20" i="65"/>
  <c r="I20" i="65"/>
  <c r="BT19" i="65"/>
  <c r="BL19" i="65"/>
  <c r="BK19" i="65"/>
  <c r="BJ19" i="65"/>
  <c r="BI19" i="65"/>
  <c r="AU19" i="65"/>
  <c r="AL19" i="65"/>
  <c r="AG19" i="65"/>
  <c r="AF19" i="65"/>
  <c r="AE19" i="65"/>
  <c r="AD19" i="65"/>
  <c r="Q19" i="65"/>
  <c r="BT18" i="65"/>
  <c r="AT18" i="65"/>
  <c r="AT20" i="65" s="1"/>
  <c r="AL18" i="65"/>
  <c r="AG18" i="65"/>
  <c r="AF18" i="65"/>
  <c r="AE18" i="65"/>
  <c r="AD18" i="65"/>
  <c r="Z18" i="65"/>
  <c r="Y18" i="65"/>
  <c r="X18" i="65"/>
  <c r="W18" i="65"/>
  <c r="S18" i="65"/>
  <c r="R18" i="65"/>
  <c r="Q18" i="65"/>
  <c r="P18" i="65"/>
  <c r="S17" i="65"/>
  <c r="R17" i="65"/>
  <c r="Q17" i="65"/>
  <c r="P17" i="65"/>
  <c r="BC16" i="65"/>
  <c r="BB16" i="65"/>
  <c r="BA16" i="65"/>
  <c r="AD16" i="65"/>
  <c r="B16" i="65"/>
  <c r="AD15" i="65"/>
  <c r="E15" i="65"/>
  <c r="BP14" i="65"/>
  <c r="P14" i="65"/>
  <c r="L14" i="65"/>
  <c r="K14" i="65"/>
  <c r="J14" i="65"/>
  <c r="I14" i="65"/>
  <c r="BT13" i="65"/>
  <c r="P13" i="65"/>
  <c r="B13" i="65"/>
  <c r="R16" i="65" s="1"/>
  <c r="BX12" i="65"/>
  <c r="BP12" i="65"/>
  <c r="BL12" i="65"/>
  <c r="BK12" i="65"/>
  <c r="BJ12" i="65"/>
  <c r="BI12" i="65"/>
  <c r="BC12" i="65"/>
  <c r="BC14" i="65" s="1"/>
  <c r="BB12" i="65"/>
  <c r="BB14" i="65" s="1"/>
  <c r="BA12" i="65"/>
  <c r="BA14" i="65" s="1"/>
  <c r="L12" i="65"/>
  <c r="B12" i="65"/>
  <c r="BX11" i="65"/>
  <c r="BT11" i="65"/>
  <c r="BP11" i="65"/>
  <c r="AE11" i="65"/>
  <c r="Z11" i="65"/>
  <c r="Y11" i="65"/>
  <c r="X11" i="65"/>
  <c r="W11" i="65"/>
  <c r="BX10" i="65"/>
  <c r="BT10" i="65"/>
  <c r="BP10" i="65"/>
  <c r="AW10" i="65"/>
  <c r="AV10" i="65"/>
  <c r="AU10" i="65"/>
  <c r="AT10" i="65"/>
  <c r="AL10" i="65"/>
  <c r="AE10" i="65"/>
  <c r="Q10" i="65"/>
  <c r="L10" i="65"/>
  <c r="B10" i="65"/>
  <c r="BX9" i="65"/>
  <c r="BT9" i="65"/>
  <c r="BP9" i="65"/>
  <c r="BL9" i="65"/>
  <c r="BK9" i="65"/>
  <c r="BJ9" i="65"/>
  <c r="BI9" i="65"/>
  <c r="Q9" i="65"/>
  <c r="BX8" i="65"/>
  <c r="BT8" i="65"/>
  <c r="BP8" i="65"/>
  <c r="BL8" i="65"/>
  <c r="BK8" i="65"/>
  <c r="BJ8" i="65"/>
  <c r="BI8" i="65"/>
  <c r="AG8" i="65"/>
  <c r="AF8" i="65"/>
  <c r="AE8" i="65"/>
  <c r="AD8" i="65"/>
  <c r="L8" i="65"/>
  <c r="BX7" i="65"/>
  <c r="BT7" i="65"/>
  <c r="BP7" i="65"/>
  <c r="BL7" i="65"/>
  <c r="BK7" i="65"/>
  <c r="BJ7" i="65"/>
  <c r="BI7" i="65"/>
  <c r="BC7" i="65"/>
  <c r="BB7" i="65"/>
  <c r="BA7" i="65"/>
  <c r="AW7" i="65"/>
  <c r="AV7" i="65"/>
  <c r="AU7" i="65"/>
  <c r="AT7" i="65"/>
  <c r="AG7" i="65"/>
  <c r="AF7" i="65"/>
  <c r="AE7" i="65"/>
  <c r="AD7" i="65"/>
  <c r="S7" i="65"/>
  <c r="P7" i="65"/>
  <c r="BX6" i="65"/>
  <c r="BT6" i="65"/>
  <c r="BL6" i="65"/>
  <c r="BK6" i="65"/>
  <c r="BJ6" i="65"/>
  <c r="BI6" i="65"/>
  <c r="AW6" i="65"/>
  <c r="AV6" i="65"/>
  <c r="AU6" i="65"/>
  <c r="AT6" i="65"/>
  <c r="Z6" i="65"/>
  <c r="Y6" i="65"/>
  <c r="X6" i="65"/>
  <c r="W6" i="65"/>
  <c r="BX5" i="65"/>
  <c r="BT5" i="65"/>
  <c r="BP5" i="65"/>
  <c r="BL5" i="65"/>
  <c r="BK5" i="65"/>
  <c r="BJ5" i="65"/>
  <c r="BI5" i="65"/>
  <c r="AW5" i="65"/>
  <c r="AV5" i="65"/>
  <c r="AU5" i="65"/>
  <c r="AT5" i="65"/>
  <c r="AG5" i="65"/>
  <c r="AF5" i="65"/>
  <c r="AE5" i="65"/>
  <c r="AD5" i="65"/>
  <c r="S5" i="65"/>
  <c r="R5" i="65"/>
  <c r="AF3" i="65" s="1"/>
  <c r="AF6" i="65" s="1"/>
  <c r="AF9" i="65" s="1"/>
  <c r="Q5" i="65"/>
  <c r="L5" i="65"/>
  <c r="H5" i="65"/>
  <c r="BX4" i="65"/>
  <c r="BT4" i="65"/>
  <c r="BP4" i="65"/>
  <c r="BP6" i="65" s="1"/>
  <c r="BP13" i="65" s="1"/>
  <c r="BP15" i="65" s="1"/>
  <c r="BL4" i="65"/>
  <c r="BK4" i="65"/>
  <c r="BJ4" i="65"/>
  <c r="BI4" i="65"/>
  <c r="AP4" i="65"/>
  <c r="AO4" i="65"/>
  <c r="AN4" i="65"/>
  <c r="AM4" i="65"/>
  <c r="AL4" i="65"/>
  <c r="AD4" i="65"/>
  <c r="Z4" i="65"/>
  <c r="Y4" i="65"/>
  <c r="X4" i="65"/>
  <c r="W4" i="65"/>
  <c r="E4" i="65"/>
  <c r="BL3" i="65"/>
  <c r="BK3" i="65"/>
  <c r="BJ3" i="65"/>
  <c r="BI3" i="65"/>
  <c r="BC3" i="65"/>
  <c r="BC5" i="65" s="1"/>
  <c r="BB3" i="65"/>
  <c r="BB5" i="65" s="1"/>
  <c r="BA3" i="65"/>
  <c r="BA5" i="65" s="1"/>
  <c r="AW3" i="65"/>
  <c r="AV3" i="65"/>
  <c r="AU3" i="65"/>
  <c r="AT3" i="65"/>
  <c r="AP3" i="65"/>
  <c r="AP5" i="65" s="1"/>
  <c r="AG3" i="65"/>
  <c r="AG6" i="65" s="1"/>
  <c r="AE3" i="65"/>
  <c r="S3" i="65"/>
  <c r="R3" i="65"/>
  <c r="Q3" i="65"/>
  <c r="P3" i="65"/>
  <c r="C3" i="65"/>
  <c r="BL2" i="65"/>
  <c r="BK2" i="65"/>
  <c r="BJ2" i="65"/>
  <c r="BI2" i="65"/>
  <c r="AV2" i="65"/>
  <c r="S2" i="65"/>
  <c r="R2" i="65"/>
  <c r="R4" i="65" s="1"/>
  <c r="Q2" i="65"/>
  <c r="Q4" i="65" s="1"/>
  <c r="Q8" i="65" s="1"/>
  <c r="Q20" i="65" s="1"/>
  <c r="Q27" i="65" s="1"/>
  <c r="P2" i="65"/>
  <c r="B59" i="64"/>
  <c r="A59" i="64"/>
  <c r="F56" i="64"/>
  <c r="B58" i="64"/>
  <c r="C57" i="64"/>
  <c r="AF44" i="64" s="1"/>
  <c r="AF48" i="64" s="1"/>
  <c r="F54" i="64"/>
  <c r="F53" i="64"/>
  <c r="I52" i="64"/>
  <c r="F51" i="64"/>
  <c r="C53" i="64"/>
  <c r="Z48" i="64"/>
  <c r="Y48" i="64"/>
  <c r="X48" i="64"/>
  <c r="W48" i="64"/>
  <c r="AF47" i="64"/>
  <c r="AB47" i="64"/>
  <c r="BP46" i="64"/>
  <c r="AF46" i="64"/>
  <c r="AB46" i="64"/>
  <c r="Z46" i="64"/>
  <c r="Y46" i="64"/>
  <c r="X46" i="64"/>
  <c r="W46" i="64"/>
  <c r="E46" i="64"/>
  <c r="AF45" i="64"/>
  <c r="AB45" i="64"/>
  <c r="AB48" i="64" s="1"/>
  <c r="I45" i="64"/>
  <c r="F45" i="64"/>
  <c r="BT44" i="64"/>
  <c r="BP44" i="64"/>
  <c r="I44" i="64"/>
  <c r="BP43" i="64"/>
  <c r="I43" i="64"/>
  <c r="B45" i="64"/>
  <c r="A45" i="64"/>
  <c r="BT42" i="64"/>
  <c r="BP42" i="64"/>
  <c r="I42" i="64"/>
  <c r="BT41" i="64"/>
  <c r="BP41" i="64"/>
  <c r="E41" i="64"/>
  <c r="B43" i="64"/>
  <c r="B42" i="64"/>
  <c r="BT39" i="64"/>
  <c r="BP39" i="64"/>
  <c r="S40" i="64"/>
  <c r="R40" i="64"/>
  <c r="Q40" i="64"/>
  <c r="P40" i="64"/>
  <c r="Z53" i="64" s="1"/>
  <c r="BT38" i="64"/>
  <c r="BP38" i="64"/>
  <c r="AH38" i="64"/>
  <c r="BA37" i="64"/>
  <c r="AW37" i="64"/>
  <c r="AV37" i="64"/>
  <c r="AU37" i="64"/>
  <c r="AT37" i="64"/>
  <c r="AD37" i="64"/>
  <c r="F37" i="64"/>
  <c r="C39" i="64"/>
  <c r="B39" i="64"/>
  <c r="BT36" i="64"/>
  <c r="BP36" i="64"/>
  <c r="AD36" i="64"/>
  <c r="F36" i="64"/>
  <c r="C38" i="64"/>
  <c r="B38" i="64" s="1"/>
  <c r="BA35" i="64"/>
  <c r="AH35" i="64"/>
  <c r="AD35" i="64"/>
  <c r="I35" i="64"/>
  <c r="B37" i="64"/>
  <c r="BA34" i="64"/>
  <c r="AH34" i="64"/>
  <c r="AD34" i="64"/>
  <c r="Z34" i="64"/>
  <c r="Y34" i="64"/>
  <c r="X34" i="64"/>
  <c r="W34" i="64"/>
  <c r="I34" i="64"/>
  <c r="C36" i="64"/>
  <c r="A36" i="64"/>
  <c r="BA33" i="64"/>
  <c r="AH33" i="64"/>
  <c r="F33" i="64"/>
  <c r="B35" i="64"/>
  <c r="BA32" i="64"/>
  <c r="AH32" i="64"/>
  <c r="AD32" i="64"/>
  <c r="Z32" i="64"/>
  <c r="Y32" i="64"/>
  <c r="X32" i="64"/>
  <c r="W32" i="64"/>
  <c r="BA31" i="64"/>
  <c r="AH31" i="64"/>
  <c r="AD31" i="64"/>
  <c r="S32" i="64"/>
  <c r="R32" i="64"/>
  <c r="Q32" i="64"/>
  <c r="P32" i="64"/>
  <c r="I31" i="64"/>
  <c r="C33" i="64"/>
  <c r="B33" i="64" s="1"/>
  <c r="BA30" i="64"/>
  <c r="AP30" i="64"/>
  <c r="F30" i="64"/>
  <c r="E30" i="64"/>
  <c r="BL29" i="64"/>
  <c r="BK29" i="64"/>
  <c r="BJ29" i="64"/>
  <c r="BI29" i="64"/>
  <c r="BA29" i="64"/>
  <c r="AW29" i="64"/>
  <c r="AV29" i="64"/>
  <c r="AU29" i="64"/>
  <c r="AT29" i="64"/>
  <c r="I29" i="64"/>
  <c r="D29" i="64"/>
  <c r="BP28" i="64"/>
  <c r="I28" i="64"/>
  <c r="E28" i="64"/>
  <c r="BT27" i="64"/>
  <c r="AP27" i="64"/>
  <c r="AP28" i="64" s="1"/>
  <c r="I27" i="64"/>
  <c r="BL26" i="64"/>
  <c r="BK26" i="64"/>
  <c r="BJ26" i="64"/>
  <c r="BI26" i="64"/>
  <c r="AW26" i="64"/>
  <c r="AV26" i="64"/>
  <c r="AU26" i="64"/>
  <c r="AT26" i="64"/>
  <c r="I26" i="64"/>
  <c r="BT25" i="64"/>
  <c r="BP25" i="64"/>
  <c r="BL25" i="64"/>
  <c r="BK25" i="64"/>
  <c r="BJ25" i="64"/>
  <c r="BI25" i="64"/>
  <c r="AW25" i="64"/>
  <c r="AV25" i="64"/>
  <c r="AU25" i="64"/>
  <c r="AT25" i="64"/>
  <c r="Z25" i="64"/>
  <c r="W25" i="64"/>
  <c r="BT24" i="64"/>
  <c r="BP24" i="64"/>
  <c r="BL24" i="64"/>
  <c r="BK24" i="64"/>
  <c r="BJ24" i="64"/>
  <c r="BI24" i="64"/>
  <c r="AW24" i="64"/>
  <c r="AV24" i="64"/>
  <c r="AU24" i="64"/>
  <c r="AT24" i="64"/>
  <c r="AG24" i="64"/>
  <c r="AF24" i="64"/>
  <c r="AE24" i="64"/>
  <c r="AD24" i="64"/>
  <c r="F24" i="64"/>
  <c r="BA20" i="64" s="1"/>
  <c r="BA22" i="64" s="1"/>
  <c r="BE23" i="64" s="1"/>
  <c r="BT23" i="64"/>
  <c r="BL23" i="64"/>
  <c r="BK23" i="64"/>
  <c r="BJ23" i="64"/>
  <c r="BI23" i="64"/>
  <c r="AW23" i="64"/>
  <c r="AV23" i="64"/>
  <c r="AU23" i="64"/>
  <c r="AT23" i="64"/>
  <c r="AG23" i="64"/>
  <c r="AF23" i="64"/>
  <c r="AE23" i="64"/>
  <c r="AD23" i="64"/>
  <c r="S23" i="64"/>
  <c r="R23" i="64"/>
  <c r="Q23" i="64"/>
  <c r="P23" i="64"/>
  <c r="BT22" i="64"/>
  <c r="BP22" i="64"/>
  <c r="BL22" i="64"/>
  <c r="BK22" i="64"/>
  <c r="BJ22" i="64"/>
  <c r="BI22" i="64"/>
  <c r="AW22" i="64"/>
  <c r="AV22" i="64"/>
  <c r="AU22" i="64"/>
  <c r="AT22" i="64"/>
  <c r="AL22" i="64"/>
  <c r="S22" i="64"/>
  <c r="R22" i="64"/>
  <c r="Q22" i="64"/>
  <c r="P22" i="64"/>
  <c r="BT21" i="64"/>
  <c r="BL21" i="64"/>
  <c r="BK21" i="64"/>
  <c r="BJ21" i="64"/>
  <c r="BI21" i="64"/>
  <c r="AW21" i="64"/>
  <c r="AV21" i="64"/>
  <c r="AU21" i="64"/>
  <c r="AT21" i="64"/>
  <c r="AL21" i="64"/>
  <c r="S21" i="64"/>
  <c r="R21" i="64"/>
  <c r="Q21" i="64"/>
  <c r="P21" i="64"/>
  <c r="L21" i="64"/>
  <c r="K21" i="64"/>
  <c r="J21" i="64"/>
  <c r="I21" i="64"/>
  <c r="BT35" i="64"/>
  <c r="BT40" i="64" s="1"/>
  <c r="BT43" i="64" s="1"/>
  <c r="BT45" i="64" s="1"/>
  <c r="BT20" i="64"/>
  <c r="BP20" i="64"/>
  <c r="BL20" i="64"/>
  <c r="BK20" i="64"/>
  <c r="BJ20" i="64"/>
  <c r="BI20" i="64"/>
  <c r="AG20" i="64"/>
  <c r="AF20" i="64"/>
  <c r="AE20" i="64"/>
  <c r="AD20" i="64"/>
  <c r="Z20" i="64"/>
  <c r="Y20" i="64"/>
  <c r="X20" i="64"/>
  <c r="W20" i="64"/>
  <c r="L20" i="64"/>
  <c r="K20" i="64"/>
  <c r="J20" i="64"/>
  <c r="I20" i="64"/>
  <c r="BT19" i="64"/>
  <c r="BL19" i="64"/>
  <c r="BK19" i="64"/>
  <c r="BJ19" i="64"/>
  <c r="BI19" i="64"/>
  <c r="AU19" i="64"/>
  <c r="AL19" i="64"/>
  <c r="AG19" i="64"/>
  <c r="AF19" i="64"/>
  <c r="AE19" i="64"/>
  <c r="AD19" i="64"/>
  <c r="Q19" i="64"/>
  <c r="BT18" i="64"/>
  <c r="AV18" i="64"/>
  <c r="AV20" i="64" s="1"/>
  <c r="AT18" i="64"/>
  <c r="AT20" i="64" s="1"/>
  <c r="AL18" i="64"/>
  <c r="AG18" i="64"/>
  <c r="AF18" i="64"/>
  <c r="AE18" i="64"/>
  <c r="AD18" i="64"/>
  <c r="Z18" i="64"/>
  <c r="Y18" i="64"/>
  <c r="X18" i="64"/>
  <c r="W18" i="64"/>
  <c r="S18" i="64"/>
  <c r="R18" i="64"/>
  <c r="Q18" i="64"/>
  <c r="P18" i="64"/>
  <c r="S17" i="64"/>
  <c r="R17" i="64"/>
  <c r="Q17" i="64"/>
  <c r="P17" i="64"/>
  <c r="BC16" i="64"/>
  <c r="BB16" i="64"/>
  <c r="BA16" i="64"/>
  <c r="AD16" i="64"/>
  <c r="B16" i="64"/>
  <c r="BP19" i="64" s="1"/>
  <c r="BP21" i="64" s="1"/>
  <c r="BP23" i="64" s="1"/>
  <c r="AD15" i="64"/>
  <c r="E15" i="64"/>
  <c r="BP14" i="64"/>
  <c r="P14" i="64"/>
  <c r="L14" i="64"/>
  <c r="K14" i="64"/>
  <c r="J14" i="64"/>
  <c r="I14" i="64"/>
  <c r="BT13" i="64"/>
  <c r="P13" i="64"/>
  <c r="B13" i="64"/>
  <c r="R16" i="64" s="1"/>
  <c r="BX12" i="64"/>
  <c r="BP12" i="64"/>
  <c r="BL12" i="64"/>
  <c r="BK12" i="64"/>
  <c r="BJ12" i="64"/>
  <c r="BI12" i="64"/>
  <c r="BC12" i="64"/>
  <c r="BC14" i="64" s="1"/>
  <c r="BB12" i="64"/>
  <c r="BB14" i="64" s="1"/>
  <c r="BA12" i="64"/>
  <c r="BA14" i="64" s="1"/>
  <c r="L12" i="64"/>
  <c r="B12" i="64"/>
  <c r="AG3" i="64" s="1"/>
  <c r="AG6" i="64" s="1"/>
  <c r="AG9" i="64" s="1"/>
  <c r="BX11" i="64"/>
  <c r="BT11" i="64"/>
  <c r="BP11" i="64"/>
  <c r="AE11" i="64"/>
  <c r="Y11" i="64"/>
  <c r="BX10" i="64"/>
  <c r="BT10" i="64"/>
  <c r="BP10" i="64"/>
  <c r="AW10" i="64"/>
  <c r="AV10" i="64"/>
  <c r="AU10" i="64"/>
  <c r="AT10" i="64"/>
  <c r="AL10" i="64"/>
  <c r="AE10" i="64"/>
  <c r="Q10" i="64"/>
  <c r="L10" i="64"/>
  <c r="K10" i="64"/>
  <c r="J10" i="64"/>
  <c r="I10" i="64"/>
  <c r="B10" i="64"/>
  <c r="BX9" i="64"/>
  <c r="BT9" i="64"/>
  <c r="BP9" i="64"/>
  <c r="BL9" i="64"/>
  <c r="BK9" i="64"/>
  <c r="BJ9" i="64"/>
  <c r="BI9" i="64"/>
  <c r="Q9" i="64"/>
  <c r="BX8" i="64"/>
  <c r="BT8" i="64"/>
  <c r="BP8" i="64"/>
  <c r="BL8" i="64"/>
  <c r="BK8" i="64"/>
  <c r="BJ8" i="64"/>
  <c r="BI8" i="64"/>
  <c r="AG8" i="64"/>
  <c r="AF8" i="64"/>
  <c r="AE8" i="64"/>
  <c r="AD8" i="64"/>
  <c r="L8" i="64"/>
  <c r="K8" i="64"/>
  <c r="J8" i="64"/>
  <c r="I8" i="64"/>
  <c r="BX7" i="64"/>
  <c r="BT7" i="64"/>
  <c r="BP7" i="64"/>
  <c r="BL7" i="64"/>
  <c r="BK7" i="64"/>
  <c r="BJ7" i="64"/>
  <c r="BI7" i="64"/>
  <c r="BC7" i="64"/>
  <c r="BB7" i="64"/>
  <c r="BA7" i="64"/>
  <c r="AW7" i="64"/>
  <c r="AV7" i="64"/>
  <c r="AU7" i="64"/>
  <c r="AT7" i="64"/>
  <c r="AG7" i="64"/>
  <c r="AF7" i="64"/>
  <c r="AE7" i="64"/>
  <c r="AD7" i="64"/>
  <c r="S7" i="64"/>
  <c r="P7" i="64"/>
  <c r="BX6" i="64"/>
  <c r="BT6" i="64"/>
  <c r="BL6" i="64"/>
  <c r="BK6" i="64"/>
  <c r="BJ6" i="64"/>
  <c r="BI6" i="64"/>
  <c r="AW6" i="64"/>
  <c r="AV6" i="64"/>
  <c r="AU6" i="64"/>
  <c r="AT6" i="64"/>
  <c r="Z6" i="64"/>
  <c r="Y6" i="64"/>
  <c r="X6" i="64"/>
  <c r="W6" i="64"/>
  <c r="BX5" i="64"/>
  <c r="BT5" i="64"/>
  <c r="BP5" i="64"/>
  <c r="BL5" i="64"/>
  <c r="BK5" i="64"/>
  <c r="BJ5" i="64"/>
  <c r="BI5" i="64"/>
  <c r="AW5" i="64"/>
  <c r="AV5" i="64"/>
  <c r="AU5" i="64"/>
  <c r="AT5" i="64"/>
  <c r="AG5" i="64"/>
  <c r="AF5" i="64"/>
  <c r="AE5" i="64"/>
  <c r="AD5" i="64"/>
  <c r="S5" i="64"/>
  <c r="R5" i="64"/>
  <c r="AF3" i="64" s="1"/>
  <c r="Q5" i="64"/>
  <c r="L5" i="64"/>
  <c r="L16" i="64" s="1"/>
  <c r="H5" i="64"/>
  <c r="BX4" i="64"/>
  <c r="BT4" i="64"/>
  <c r="BP4" i="64"/>
  <c r="BL4" i="64"/>
  <c r="BK4" i="64"/>
  <c r="BJ4" i="64"/>
  <c r="BI4" i="64"/>
  <c r="AP4" i="64"/>
  <c r="AO4" i="64"/>
  <c r="AN4" i="64"/>
  <c r="AM4" i="64"/>
  <c r="AL4" i="64"/>
  <c r="AD4" i="64"/>
  <c r="Z4" i="64"/>
  <c r="Y4" i="64"/>
  <c r="X4" i="64"/>
  <c r="W4" i="64"/>
  <c r="E4" i="64"/>
  <c r="BL3" i="64"/>
  <c r="BK3" i="64"/>
  <c r="BJ3" i="64"/>
  <c r="BI3" i="64"/>
  <c r="BC3" i="64"/>
  <c r="BC5" i="64" s="1"/>
  <c r="BB3" i="64"/>
  <c r="BB5" i="64" s="1"/>
  <c r="BA3" i="64"/>
  <c r="BA5" i="64" s="1"/>
  <c r="AW3" i="64"/>
  <c r="AV3" i="64"/>
  <c r="AU3" i="64"/>
  <c r="AT3" i="64"/>
  <c r="AP3" i="64"/>
  <c r="AP5" i="64" s="1"/>
  <c r="AE3" i="64"/>
  <c r="AE6" i="64" s="1"/>
  <c r="S3" i="64"/>
  <c r="R3" i="64"/>
  <c r="Q3" i="64"/>
  <c r="P3" i="64"/>
  <c r="C3" i="64"/>
  <c r="BL2" i="64"/>
  <c r="BK2" i="64"/>
  <c r="BJ2" i="64"/>
  <c r="BI2" i="64"/>
  <c r="AV2" i="64"/>
  <c r="S2" i="64"/>
  <c r="S4" i="64" s="1"/>
  <c r="R2" i="64"/>
  <c r="R4" i="64" s="1"/>
  <c r="Q2" i="64"/>
  <c r="P2" i="64"/>
  <c r="P4" i="64" s="1"/>
  <c r="F33" i="61"/>
  <c r="B59" i="63"/>
  <c r="A59" i="63"/>
  <c r="F56" i="63"/>
  <c r="B58" i="63"/>
  <c r="C57" i="63"/>
  <c r="F54" i="63"/>
  <c r="F53" i="63"/>
  <c r="I52" i="63"/>
  <c r="F51" i="63"/>
  <c r="BP14" i="63" s="1"/>
  <c r="C53" i="63"/>
  <c r="Z48" i="63"/>
  <c r="Y48" i="63"/>
  <c r="X48" i="63"/>
  <c r="W48" i="63"/>
  <c r="AF47" i="63"/>
  <c r="AB47" i="63"/>
  <c r="BP46" i="63"/>
  <c r="AF46" i="63"/>
  <c r="AB46" i="63"/>
  <c r="Z46" i="63"/>
  <c r="Y46" i="63"/>
  <c r="X46" i="63"/>
  <c r="W46" i="63"/>
  <c r="E46" i="63"/>
  <c r="AF45" i="63"/>
  <c r="AB45" i="63"/>
  <c r="AB48" i="63" s="1"/>
  <c r="AB50" i="63" s="1"/>
  <c r="I45" i="63"/>
  <c r="F45" i="63"/>
  <c r="BT44" i="63"/>
  <c r="BP44" i="63"/>
  <c r="AF44" i="63"/>
  <c r="I44" i="63"/>
  <c r="BP43" i="63"/>
  <c r="I43" i="63"/>
  <c r="B45" i="63"/>
  <c r="A45" i="63"/>
  <c r="BT42" i="63"/>
  <c r="BP42" i="63"/>
  <c r="I42" i="63"/>
  <c r="BT41" i="63"/>
  <c r="BP41" i="63"/>
  <c r="E41" i="63"/>
  <c r="B43" i="63"/>
  <c r="B42" i="63"/>
  <c r="BT39" i="63"/>
  <c r="BP39" i="63"/>
  <c r="S40" i="63"/>
  <c r="R40" i="63"/>
  <c r="Q40" i="63"/>
  <c r="P40" i="63"/>
  <c r="Z53" i="63" s="1"/>
  <c r="BT38" i="63"/>
  <c r="BP38" i="63"/>
  <c r="AH38" i="63"/>
  <c r="BA37" i="63"/>
  <c r="AW37" i="63"/>
  <c r="AV37" i="63"/>
  <c r="AU37" i="63"/>
  <c r="AT37" i="63"/>
  <c r="AD37" i="63"/>
  <c r="F37" i="63"/>
  <c r="C39" i="63"/>
  <c r="B39" i="63"/>
  <c r="BT36" i="63"/>
  <c r="BP36" i="63"/>
  <c r="AD36" i="63"/>
  <c r="F36" i="63"/>
  <c r="C38" i="63"/>
  <c r="B38" i="63" s="1"/>
  <c r="BT35" i="63"/>
  <c r="BP35" i="63"/>
  <c r="BA35" i="63"/>
  <c r="AH35" i="63"/>
  <c r="AD35" i="63"/>
  <c r="I35" i="63"/>
  <c r="B37" i="63"/>
  <c r="BA34" i="63"/>
  <c r="AH34" i="63"/>
  <c r="AD34" i="63"/>
  <c r="Z34" i="63"/>
  <c r="Y34" i="63"/>
  <c r="X34" i="63"/>
  <c r="W34" i="63"/>
  <c r="I34" i="63"/>
  <c r="C36" i="63"/>
  <c r="A36" i="63"/>
  <c r="BA33" i="63"/>
  <c r="AH33" i="63"/>
  <c r="F33" i="63"/>
  <c r="B35" i="63"/>
  <c r="BA32" i="63"/>
  <c r="AH32" i="63"/>
  <c r="AD32" i="63"/>
  <c r="Z32" i="63"/>
  <c r="Y32" i="63"/>
  <c r="X32" i="63"/>
  <c r="W32" i="63"/>
  <c r="BA31" i="63"/>
  <c r="AH31" i="63"/>
  <c r="AD31" i="63"/>
  <c r="S32" i="63"/>
  <c r="S33" i="63" s="1"/>
  <c r="R32" i="63"/>
  <c r="R33" i="63" s="1"/>
  <c r="Q32" i="63"/>
  <c r="Q33" i="63" s="1"/>
  <c r="P32" i="63"/>
  <c r="P33" i="63" s="1"/>
  <c r="I31" i="63"/>
  <c r="C33" i="63"/>
  <c r="B33" i="63" s="1"/>
  <c r="BA30" i="63"/>
  <c r="AP30" i="63"/>
  <c r="F30" i="63"/>
  <c r="E30" i="63"/>
  <c r="BL29" i="63"/>
  <c r="BK29" i="63"/>
  <c r="BJ29" i="63"/>
  <c r="BI29" i="63"/>
  <c r="BA29" i="63"/>
  <c r="AW29" i="63"/>
  <c r="AV29" i="63"/>
  <c r="AU29" i="63"/>
  <c r="AT29" i="63"/>
  <c r="I29" i="63"/>
  <c r="D29" i="63"/>
  <c r="BP28" i="63"/>
  <c r="I28" i="63"/>
  <c r="E28" i="63"/>
  <c r="BT27" i="63"/>
  <c r="AP27" i="63"/>
  <c r="AP28" i="63" s="1"/>
  <c r="I27" i="63"/>
  <c r="BL26" i="63"/>
  <c r="BK26" i="63"/>
  <c r="BJ26" i="63"/>
  <c r="BI26" i="63"/>
  <c r="AW26" i="63"/>
  <c r="AV26" i="63"/>
  <c r="AU26" i="63"/>
  <c r="AT26" i="63"/>
  <c r="I26" i="63"/>
  <c r="E26" i="63"/>
  <c r="BT25" i="63"/>
  <c r="BP25" i="63"/>
  <c r="BL25" i="63"/>
  <c r="BK25" i="63"/>
  <c r="BJ25" i="63"/>
  <c r="BI25" i="63"/>
  <c r="AW25" i="63"/>
  <c r="AV25" i="63"/>
  <c r="AU25" i="63"/>
  <c r="AT25" i="63"/>
  <c r="Z25" i="63"/>
  <c r="Y25" i="63"/>
  <c r="X25" i="63"/>
  <c r="W25" i="63"/>
  <c r="BT24" i="63"/>
  <c r="BP24" i="63"/>
  <c r="BL24" i="63"/>
  <c r="BK24" i="63"/>
  <c r="BJ24" i="63"/>
  <c r="BI24" i="63"/>
  <c r="AW24" i="63"/>
  <c r="AV24" i="63"/>
  <c r="AU24" i="63"/>
  <c r="AT24" i="63"/>
  <c r="AG24" i="63"/>
  <c r="AF24" i="63"/>
  <c r="AE24" i="63"/>
  <c r="AD24" i="63"/>
  <c r="F24" i="63"/>
  <c r="BT23" i="63"/>
  <c r="BL23" i="63"/>
  <c r="BK23" i="63"/>
  <c r="BJ23" i="63"/>
  <c r="BI23" i="63"/>
  <c r="AW23" i="63"/>
  <c r="AV23" i="63"/>
  <c r="AU23" i="63"/>
  <c r="AT23" i="63"/>
  <c r="AG23" i="63"/>
  <c r="AF23" i="63"/>
  <c r="AE23" i="63"/>
  <c r="AD23" i="63"/>
  <c r="S23" i="63"/>
  <c r="R23" i="63"/>
  <c r="Q23" i="63"/>
  <c r="P23" i="63"/>
  <c r="BT22" i="63"/>
  <c r="BP22" i="63"/>
  <c r="BL22" i="63"/>
  <c r="BK22" i="63"/>
  <c r="BJ22" i="63"/>
  <c r="BI22" i="63"/>
  <c r="AW22" i="63"/>
  <c r="AV22" i="63"/>
  <c r="AU22" i="63"/>
  <c r="AT22" i="63"/>
  <c r="AL22" i="63"/>
  <c r="S22" i="63"/>
  <c r="R22" i="63"/>
  <c r="Q22" i="63"/>
  <c r="P22" i="63"/>
  <c r="BT21" i="63"/>
  <c r="BL21" i="63"/>
  <c r="BK21" i="63"/>
  <c r="BJ21" i="63"/>
  <c r="BI21" i="63"/>
  <c r="AW21" i="63"/>
  <c r="AV21" i="63"/>
  <c r="AU21" i="63"/>
  <c r="AT21" i="63"/>
  <c r="AL21" i="63"/>
  <c r="S21" i="63"/>
  <c r="R21" i="63"/>
  <c r="Q21" i="63"/>
  <c r="P21" i="63"/>
  <c r="L21" i="63"/>
  <c r="K21" i="63"/>
  <c r="J21" i="63"/>
  <c r="I21" i="63"/>
  <c r="BT20" i="63"/>
  <c r="BP20" i="63"/>
  <c r="BL20" i="63"/>
  <c r="BK20" i="63"/>
  <c r="BJ20" i="63"/>
  <c r="BI20" i="63"/>
  <c r="BA20" i="63"/>
  <c r="BA22" i="63" s="1"/>
  <c r="BE23" i="63" s="1"/>
  <c r="AG20" i="63"/>
  <c r="AF20" i="63"/>
  <c r="AE20" i="63"/>
  <c r="AD20" i="63"/>
  <c r="Z20" i="63"/>
  <c r="Y20" i="63"/>
  <c r="X20" i="63"/>
  <c r="W20" i="63"/>
  <c r="L20" i="63"/>
  <c r="K20" i="63"/>
  <c r="J20" i="63"/>
  <c r="I20" i="63"/>
  <c r="BT19" i="63"/>
  <c r="BL19" i="63"/>
  <c r="BK19" i="63"/>
  <c r="BJ19" i="63"/>
  <c r="BI19" i="63"/>
  <c r="AU19" i="63"/>
  <c r="AL19" i="63"/>
  <c r="AG19" i="63"/>
  <c r="AF19" i="63"/>
  <c r="AE19" i="63"/>
  <c r="AD19" i="63"/>
  <c r="Q19" i="63"/>
  <c r="BT18" i="63"/>
  <c r="AV18" i="63"/>
  <c r="AV20" i="63" s="1"/>
  <c r="AT18" i="63"/>
  <c r="AT20" i="63" s="1"/>
  <c r="AL18" i="63"/>
  <c r="AG18" i="63"/>
  <c r="AF18" i="63"/>
  <c r="AE18" i="63"/>
  <c r="AD18" i="63"/>
  <c r="Z18" i="63"/>
  <c r="Y18" i="63"/>
  <c r="X18" i="63"/>
  <c r="W18" i="63"/>
  <c r="S18" i="63"/>
  <c r="R18" i="63"/>
  <c r="Q18" i="63"/>
  <c r="P18" i="63"/>
  <c r="S17" i="63"/>
  <c r="R17" i="63"/>
  <c r="Q17" i="63"/>
  <c r="P17" i="63"/>
  <c r="BC16" i="63"/>
  <c r="BB16" i="63"/>
  <c r="BA16" i="63"/>
  <c r="AD16" i="63"/>
  <c r="R16" i="63"/>
  <c r="B16" i="63"/>
  <c r="BP19" i="63" s="1"/>
  <c r="AD15" i="63"/>
  <c r="E15" i="63"/>
  <c r="P14" i="63"/>
  <c r="L14" i="63"/>
  <c r="K14" i="63"/>
  <c r="J14" i="63"/>
  <c r="I14" i="63"/>
  <c r="P13" i="63"/>
  <c r="B13" i="63"/>
  <c r="BX12" i="63"/>
  <c r="BP12" i="63"/>
  <c r="BL12" i="63"/>
  <c r="BK12" i="63"/>
  <c r="BJ12" i="63"/>
  <c r="BI12" i="63"/>
  <c r="BC12" i="63"/>
  <c r="BC14" i="63" s="1"/>
  <c r="BB12" i="63"/>
  <c r="BB14" i="63" s="1"/>
  <c r="BA12" i="63"/>
  <c r="BA14" i="63" s="1"/>
  <c r="L12" i="63"/>
  <c r="K12" i="63"/>
  <c r="J12" i="63"/>
  <c r="I12" i="63"/>
  <c r="B12" i="63"/>
  <c r="BX11" i="63"/>
  <c r="BT11" i="63"/>
  <c r="BP11" i="63"/>
  <c r="AE11" i="63"/>
  <c r="Z11" i="63"/>
  <c r="Y11" i="63"/>
  <c r="X11" i="63"/>
  <c r="W11" i="63"/>
  <c r="BX10" i="63"/>
  <c r="BT10" i="63"/>
  <c r="BP10" i="63"/>
  <c r="AW10" i="63"/>
  <c r="AV10" i="63"/>
  <c r="AU10" i="63"/>
  <c r="AT10" i="63"/>
  <c r="AL10" i="63"/>
  <c r="AE10" i="63"/>
  <c r="Q10" i="63"/>
  <c r="L10" i="63"/>
  <c r="K10" i="63"/>
  <c r="J10" i="63"/>
  <c r="I10" i="63"/>
  <c r="B10" i="63"/>
  <c r="BX9" i="63"/>
  <c r="BT9" i="63"/>
  <c r="BP9" i="63"/>
  <c r="BL9" i="63"/>
  <c r="BK9" i="63"/>
  <c r="BJ9" i="63"/>
  <c r="BI9" i="63"/>
  <c r="Q9" i="63"/>
  <c r="BX8" i="63"/>
  <c r="BT8" i="63"/>
  <c r="BP8" i="63"/>
  <c r="BL8" i="63"/>
  <c r="BK8" i="63"/>
  <c r="BJ8" i="63"/>
  <c r="BI8" i="63"/>
  <c r="AG8" i="63"/>
  <c r="AF8" i="63"/>
  <c r="AE8" i="63"/>
  <c r="AD8" i="63"/>
  <c r="L8" i="63"/>
  <c r="K8" i="63"/>
  <c r="J8" i="63"/>
  <c r="I8" i="63"/>
  <c r="BX7" i="63"/>
  <c r="BT7" i="63"/>
  <c r="BP7" i="63"/>
  <c r="BL7" i="63"/>
  <c r="BK7" i="63"/>
  <c r="BJ7" i="63"/>
  <c r="BI7" i="63"/>
  <c r="BC7" i="63"/>
  <c r="BB7" i="63"/>
  <c r="BA7" i="63"/>
  <c r="AW7" i="63"/>
  <c r="AV7" i="63"/>
  <c r="AU7" i="63"/>
  <c r="AT7" i="63"/>
  <c r="AG7" i="63"/>
  <c r="AF7" i="63"/>
  <c r="AE7" i="63"/>
  <c r="AD7" i="63"/>
  <c r="S7" i="63"/>
  <c r="P7" i="63"/>
  <c r="BX6" i="63"/>
  <c r="BT6" i="63"/>
  <c r="BL6" i="63"/>
  <c r="BK6" i="63"/>
  <c r="BJ6" i="63"/>
  <c r="BI6" i="63"/>
  <c r="AW6" i="63"/>
  <c r="AV6" i="63"/>
  <c r="AU6" i="63"/>
  <c r="AT6" i="63"/>
  <c r="Z6" i="63"/>
  <c r="Y6" i="63"/>
  <c r="X6" i="63"/>
  <c r="W6" i="63"/>
  <c r="BX5" i="63"/>
  <c r="BT5" i="63"/>
  <c r="BP5" i="63"/>
  <c r="BL5" i="63"/>
  <c r="BK5" i="63"/>
  <c r="BJ5" i="63"/>
  <c r="BI5" i="63"/>
  <c r="AW5" i="63"/>
  <c r="AV5" i="63"/>
  <c r="AU5" i="63"/>
  <c r="AT5" i="63"/>
  <c r="AG5" i="63"/>
  <c r="AF5" i="63"/>
  <c r="AE5" i="63"/>
  <c r="AD5" i="63"/>
  <c r="S5" i="63"/>
  <c r="R5" i="63"/>
  <c r="AF3" i="63" s="1"/>
  <c r="AF6" i="63" s="1"/>
  <c r="AF9" i="63" s="1"/>
  <c r="L5" i="63"/>
  <c r="H5" i="63"/>
  <c r="BX4" i="63"/>
  <c r="BX14" i="63" s="1"/>
  <c r="BT4" i="63"/>
  <c r="BP4" i="63"/>
  <c r="BL4" i="63"/>
  <c r="BK4" i="63"/>
  <c r="BJ4" i="63"/>
  <c r="BI4" i="63"/>
  <c r="AP4" i="63"/>
  <c r="AO4" i="63"/>
  <c r="AN4" i="63"/>
  <c r="AM4" i="63"/>
  <c r="AL4" i="63"/>
  <c r="AD4" i="63"/>
  <c r="Z4" i="63"/>
  <c r="Y4" i="63"/>
  <c r="X4" i="63"/>
  <c r="W4" i="63"/>
  <c r="E4" i="63"/>
  <c r="AP29" i="63" s="1"/>
  <c r="BL3" i="63"/>
  <c r="BK3" i="63"/>
  <c r="BJ3" i="63"/>
  <c r="BI3" i="63"/>
  <c r="BC3" i="63"/>
  <c r="BC5" i="63" s="1"/>
  <c r="BB3" i="63"/>
  <c r="BB5" i="63" s="1"/>
  <c r="BA3" i="63"/>
  <c r="BA5" i="63" s="1"/>
  <c r="AW3" i="63"/>
  <c r="AV3" i="63"/>
  <c r="AU3" i="63"/>
  <c r="AT3" i="63"/>
  <c r="AP3" i="63"/>
  <c r="AP5" i="63" s="1"/>
  <c r="AN3" i="63"/>
  <c r="AG3" i="63"/>
  <c r="AG6" i="63" s="1"/>
  <c r="AE3" i="63"/>
  <c r="S3" i="63"/>
  <c r="R3" i="63"/>
  <c r="Q3" i="63"/>
  <c r="P3" i="63"/>
  <c r="C3" i="63"/>
  <c r="BL2" i="63"/>
  <c r="BK2" i="63"/>
  <c r="BJ2" i="63"/>
  <c r="BI2" i="63"/>
  <c r="AV2" i="63"/>
  <c r="AV4" i="63" s="1"/>
  <c r="AV9" i="63" s="1"/>
  <c r="AV11" i="63" s="1"/>
  <c r="S2" i="63"/>
  <c r="R2" i="63"/>
  <c r="R4" i="63" s="1"/>
  <c r="Q2" i="63"/>
  <c r="Q4" i="63" s="1"/>
  <c r="P2" i="63"/>
  <c r="B63" i="62"/>
  <c r="A63" i="62"/>
  <c r="Z60" i="62"/>
  <c r="Y60" i="62"/>
  <c r="X60" i="62"/>
  <c r="W60" i="62"/>
  <c r="B62" i="62"/>
  <c r="C61" i="62"/>
  <c r="F58" i="62"/>
  <c r="Z57" i="62"/>
  <c r="Y57" i="62"/>
  <c r="X57" i="62"/>
  <c r="C57" i="62"/>
  <c r="Z54" i="62"/>
  <c r="Y54" i="62"/>
  <c r="X54" i="62"/>
  <c r="W54" i="62"/>
  <c r="Z53" i="62"/>
  <c r="Y53" i="62"/>
  <c r="X53" i="62"/>
  <c r="W53" i="62"/>
  <c r="X52" i="62"/>
  <c r="W52" i="62"/>
  <c r="AU51" i="62"/>
  <c r="AT51" i="62"/>
  <c r="AS51" i="62"/>
  <c r="AR51" i="62"/>
  <c r="Z51" i="62"/>
  <c r="Y51" i="62"/>
  <c r="X51" i="62"/>
  <c r="W51" i="62"/>
  <c r="BK50" i="62"/>
  <c r="Z50" i="62"/>
  <c r="Y50" i="62"/>
  <c r="X50" i="62"/>
  <c r="W50" i="62"/>
  <c r="Y49" i="62"/>
  <c r="F49" i="62"/>
  <c r="BK48" i="62"/>
  <c r="AU48" i="62"/>
  <c r="AT48" i="62"/>
  <c r="AS48" i="62"/>
  <c r="AR48" i="62"/>
  <c r="AN48" i="62"/>
  <c r="AM48" i="62"/>
  <c r="AL48" i="62"/>
  <c r="AK48" i="62"/>
  <c r="Q49" i="62"/>
  <c r="N49" i="62"/>
  <c r="F48" i="62"/>
  <c r="AU47" i="62"/>
  <c r="AT47" i="62"/>
  <c r="AS47" i="62"/>
  <c r="AR47" i="62"/>
  <c r="AN47" i="62"/>
  <c r="AM47" i="62"/>
  <c r="AL47" i="62"/>
  <c r="AK47" i="62"/>
  <c r="Q48" i="62"/>
  <c r="N48" i="62"/>
  <c r="B49" i="62"/>
  <c r="A49" i="62"/>
  <c r="BK46" i="62"/>
  <c r="AY46" i="62"/>
  <c r="AU46" i="62"/>
  <c r="AT46" i="62"/>
  <c r="AS46" i="62"/>
  <c r="AR46" i="62"/>
  <c r="F46" i="62"/>
  <c r="BK45" i="62"/>
  <c r="BC45" i="62"/>
  <c r="AU45" i="62"/>
  <c r="AT45" i="62"/>
  <c r="AS45" i="62"/>
  <c r="AR45" i="62"/>
  <c r="AN45" i="62"/>
  <c r="AN46" i="62" s="1"/>
  <c r="AM45" i="62"/>
  <c r="AM46" i="62" s="1"/>
  <c r="AL45" i="62"/>
  <c r="AL46" i="62" s="1"/>
  <c r="AK45" i="62"/>
  <c r="AK46" i="62" s="1"/>
  <c r="B47" i="62"/>
  <c r="BK44" i="62"/>
  <c r="AU44" i="62"/>
  <c r="AT44" i="62"/>
  <c r="AS44" i="62"/>
  <c r="AR44" i="62"/>
  <c r="W44" i="62"/>
  <c r="B46" i="62"/>
  <c r="AY43" i="62"/>
  <c r="AU43" i="62"/>
  <c r="AT43" i="62"/>
  <c r="AS43" i="62"/>
  <c r="AR43" i="62"/>
  <c r="AG43" i="62"/>
  <c r="AF43" i="62"/>
  <c r="AE43" i="62"/>
  <c r="AD43" i="62"/>
  <c r="D43" i="62"/>
  <c r="E43" i="62" s="1"/>
  <c r="W57" i="62" s="1"/>
  <c r="BC42" i="62"/>
  <c r="AY42" i="62"/>
  <c r="I29" i="62"/>
  <c r="BC41" i="62"/>
  <c r="AY41" i="62"/>
  <c r="AR41" i="62"/>
  <c r="A43" i="62"/>
  <c r="BK40" i="62"/>
  <c r="BG40" i="62"/>
  <c r="AU40" i="62"/>
  <c r="AT40" i="62"/>
  <c r="AS40" i="62"/>
  <c r="AR40" i="62"/>
  <c r="Z40" i="62"/>
  <c r="Y40" i="62"/>
  <c r="X40" i="62"/>
  <c r="W40" i="62"/>
  <c r="S41" i="62"/>
  <c r="R41" i="62"/>
  <c r="Q41" i="62"/>
  <c r="P41" i="62"/>
  <c r="B42" i="62"/>
  <c r="BC39" i="62"/>
  <c r="AY39" i="62"/>
  <c r="AN39" i="62"/>
  <c r="AM39" i="62"/>
  <c r="AL39" i="62"/>
  <c r="AK39" i="62"/>
  <c r="B41" i="62"/>
  <c r="W49" i="62" s="1"/>
  <c r="BK38" i="62"/>
  <c r="BG38" i="62"/>
  <c r="BC38" i="62"/>
  <c r="AY38" i="62"/>
  <c r="AN38" i="62"/>
  <c r="AM38" i="62"/>
  <c r="AL38" i="62"/>
  <c r="AK38" i="62"/>
  <c r="C40" i="62"/>
  <c r="B40" i="62" s="1"/>
  <c r="BG37" i="62"/>
  <c r="BC37" i="62"/>
  <c r="AY37" i="62"/>
  <c r="Z37" i="62"/>
  <c r="Y37" i="62"/>
  <c r="X37" i="62"/>
  <c r="W37" i="62"/>
  <c r="I41" i="62"/>
  <c r="E37" i="62"/>
  <c r="BK36" i="62"/>
  <c r="BG36" i="62"/>
  <c r="BG39" i="62" s="1"/>
  <c r="BG41" i="62" s="1"/>
  <c r="AN36" i="62"/>
  <c r="AN37" i="62" s="1"/>
  <c r="AM36" i="62"/>
  <c r="AM37" i="62" s="1"/>
  <c r="AL36" i="62"/>
  <c r="AL37" i="62" s="1"/>
  <c r="AK36" i="62"/>
  <c r="AK37" i="62" s="1"/>
  <c r="Z36" i="62"/>
  <c r="Y36" i="62"/>
  <c r="X36" i="62"/>
  <c r="W36" i="62"/>
  <c r="F36" i="62"/>
  <c r="A38" i="62"/>
  <c r="BK35" i="62"/>
  <c r="BC35" i="62"/>
  <c r="BC40" i="62" s="1"/>
  <c r="AY35" i="62"/>
  <c r="AG35" i="62"/>
  <c r="AF35" i="62"/>
  <c r="AE35" i="62"/>
  <c r="AD35" i="62"/>
  <c r="Z35" i="62"/>
  <c r="Y35" i="62"/>
  <c r="X35" i="62"/>
  <c r="W35" i="62"/>
  <c r="BK34" i="62"/>
  <c r="Z34" i="62"/>
  <c r="Y34" i="62"/>
  <c r="X34" i="62"/>
  <c r="W34" i="62"/>
  <c r="I37" i="62"/>
  <c r="B35" i="62"/>
  <c r="BG32" i="62"/>
  <c r="AU32" i="62"/>
  <c r="AT32" i="62"/>
  <c r="AS32" i="62"/>
  <c r="AR32" i="62"/>
  <c r="AG32" i="62"/>
  <c r="AF32" i="62"/>
  <c r="AE32" i="62"/>
  <c r="AD32" i="62"/>
  <c r="S33" i="62"/>
  <c r="S34" i="62" s="1"/>
  <c r="R33" i="62"/>
  <c r="R34" i="62" s="1"/>
  <c r="Q33" i="62"/>
  <c r="Q34" i="62" s="1"/>
  <c r="P33" i="62"/>
  <c r="P34" i="62" s="1"/>
  <c r="I36" i="62"/>
  <c r="E32" i="62"/>
  <c r="AG31" i="62"/>
  <c r="AF31" i="62"/>
  <c r="AE31" i="62"/>
  <c r="AD31" i="62"/>
  <c r="I35" i="62"/>
  <c r="C33" i="62"/>
  <c r="B33" i="62"/>
  <c r="BK30" i="62"/>
  <c r="BG30" i="62"/>
  <c r="AG30" i="62"/>
  <c r="AF30" i="62"/>
  <c r="AE30" i="62"/>
  <c r="AD30" i="62"/>
  <c r="I34" i="62"/>
  <c r="BG29" i="62"/>
  <c r="AU29" i="62"/>
  <c r="AT29" i="62"/>
  <c r="AS29" i="62"/>
  <c r="AR29" i="62"/>
  <c r="AN29" i="62"/>
  <c r="AM29" i="62"/>
  <c r="AL29" i="62"/>
  <c r="AK29" i="62"/>
  <c r="AG29" i="62"/>
  <c r="AF29" i="62"/>
  <c r="AE29" i="62"/>
  <c r="AD29" i="62"/>
  <c r="S29" i="62"/>
  <c r="S31" i="62" s="1"/>
  <c r="R29" i="62"/>
  <c r="R31" i="62" s="1"/>
  <c r="Q29" i="62"/>
  <c r="Q31" i="62" s="1"/>
  <c r="P29" i="62"/>
  <c r="P31" i="62" s="1"/>
  <c r="BK28" i="62"/>
  <c r="BG28" i="62"/>
  <c r="BG31" i="62" s="1"/>
  <c r="BG33" i="62" s="1"/>
  <c r="AY28" i="62"/>
  <c r="AU28" i="62"/>
  <c r="AT28" i="62"/>
  <c r="AS28" i="62"/>
  <c r="AR28" i="62"/>
  <c r="AN28" i="62"/>
  <c r="AM28" i="62"/>
  <c r="AL28" i="62"/>
  <c r="AK28" i="62"/>
  <c r="AG28" i="62"/>
  <c r="AF28" i="62"/>
  <c r="AE28" i="62"/>
  <c r="AD28" i="62"/>
  <c r="BC27" i="62"/>
  <c r="AU27" i="62"/>
  <c r="AT27" i="62"/>
  <c r="AS27" i="62"/>
  <c r="AR27" i="62"/>
  <c r="AG27" i="62"/>
  <c r="AF27" i="62"/>
  <c r="AE27" i="62"/>
  <c r="AD27" i="62"/>
  <c r="BK26" i="62"/>
  <c r="AU26" i="62"/>
  <c r="AT26" i="62"/>
  <c r="AS26" i="62"/>
  <c r="AR26" i="62"/>
  <c r="AN26" i="62"/>
  <c r="AN27" i="62" s="1"/>
  <c r="AM26" i="62"/>
  <c r="AM27" i="62" s="1"/>
  <c r="AL26" i="62"/>
  <c r="AL27" i="62" s="1"/>
  <c r="AK26" i="62"/>
  <c r="AK27" i="62" s="1"/>
  <c r="Z26" i="62"/>
  <c r="Y26" i="62"/>
  <c r="X26" i="62"/>
  <c r="W26" i="62"/>
  <c r="BK25" i="62"/>
  <c r="AY25" i="62"/>
  <c r="AU25" i="62"/>
  <c r="AT25" i="62"/>
  <c r="AS25" i="62"/>
  <c r="AR25" i="62"/>
  <c r="AE25" i="62"/>
  <c r="Z25" i="62"/>
  <c r="Y25" i="62"/>
  <c r="X25" i="62"/>
  <c r="W25" i="62"/>
  <c r="I26" i="62"/>
  <c r="BK24" i="62"/>
  <c r="BG24" i="62"/>
  <c r="BC24" i="62"/>
  <c r="AY24" i="62"/>
  <c r="AU24" i="62"/>
  <c r="AT24" i="62"/>
  <c r="AS24" i="62"/>
  <c r="AR24" i="62"/>
  <c r="AN24" i="62"/>
  <c r="AM24" i="62"/>
  <c r="AL24" i="62"/>
  <c r="AK24" i="62"/>
  <c r="AF24" i="62"/>
  <c r="AF26" i="62" s="1"/>
  <c r="AD24" i="62"/>
  <c r="AD26" i="62" s="1"/>
  <c r="S24" i="62"/>
  <c r="R24" i="62"/>
  <c r="Q24" i="62"/>
  <c r="P24" i="62"/>
  <c r="I25" i="62"/>
  <c r="F24" i="62"/>
  <c r="E24" i="62"/>
  <c r="BC23" i="62"/>
  <c r="AU23" i="62"/>
  <c r="AT23" i="62"/>
  <c r="AS23" i="62"/>
  <c r="AR23" i="62"/>
  <c r="Z23" i="62"/>
  <c r="Z24" i="62" s="1"/>
  <c r="Y23" i="62"/>
  <c r="Y24" i="62" s="1"/>
  <c r="X23" i="62"/>
  <c r="X24" i="62" s="1"/>
  <c r="W23" i="62"/>
  <c r="W24" i="62" s="1"/>
  <c r="S23" i="62"/>
  <c r="R23" i="62"/>
  <c r="Q23" i="62"/>
  <c r="P23" i="62"/>
  <c r="D23" i="62"/>
  <c r="BG22" i="62"/>
  <c r="BC22" i="62"/>
  <c r="AY22" i="62"/>
  <c r="AU22" i="62"/>
  <c r="AT22" i="62"/>
  <c r="AS22" i="62"/>
  <c r="AR22" i="62"/>
  <c r="S22" i="62"/>
  <c r="Z32" i="62" s="1"/>
  <c r="R22" i="62"/>
  <c r="Y32" i="62" s="1"/>
  <c r="Q22" i="62"/>
  <c r="X32" i="62" s="1"/>
  <c r="P22" i="62"/>
  <c r="W32" i="62" s="1"/>
  <c r="E22" i="62"/>
  <c r="BG21" i="62"/>
  <c r="BC21" i="62"/>
  <c r="AU21" i="62"/>
  <c r="AT21" i="62"/>
  <c r="AS21" i="62"/>
  <c r="AR21" i="62"/>
  <c r="BK20" i="62"/>
  <c r="BG20" i="62"/>
  <c r="BC20" i="62"/>
  <c r="AY20" i="62"/>
  <c r="Z20" i="62"/>
  <c r="Y20" i="62"/>
  <c r="X20" i="62"/>
  <c r="W20" i="62"/>
  <c r="Q20" i="62"/>
  <c r="I21" i="62"/>
  <c r="E20" i="62"/>
  <c r="BC19" i="62"/>
  <c r="AY19" i="62"/>
  <c r="Z19" i="62"/>
  <c r="Y19" i="62"/>
  <c r="X19" i="62"/>
  <c r="W19" i="62"/>
  <c r="S19" i="62"/>
  <c r="R19" i="62"/>
  <c r="Q19" i="62"/>
  <c r="P19" i="62"/>
  <c r="I20" i="62"/>
  <c r="BK18" i="62"/>
  <c r="BC18" i="62"/>
  <c r="AG18" i="62"/>
  <c r="AF18" i="62"/>
  <c r="AE18" i="62"/>
  <c r="AD18" i="62"/>
  <c r="Z18" i="62"/>
  <c r="Y18" i="62"/>
  <c r="X18" i="62"/>
  <c r="W18" i="62"/>
  <c r="S18" i="62"/>
  <c r="R18" i="62"/>
  <c r="Q18" i="62"/>
  <c r="P18" i="62"/>
  <c r="I19" i="62"/>
  <c r="AN17" i="62"/>
  <c r="AM17" i="62"/>
  <c r="AL17" i="62"/>
  <c r="AK17" i="62"/>
  <c r="S17" i="62"/>
  <c r="R17" i="62"/>
  <c r="Q17" i="62"/>
  <c r="P17" i="62"/>
  <c r="BK16" i="62"/>
  <c r="BG16" i="62"/>
  <c r="AN16" i="62"/>
  <c r="AM16" i="62"/>
  <c r="AL16" i="62"/>
  <c r="AK16" i="62"/>
  <c r="W16" i="62"/>
  <c r="S16" i="62"/>
  <c r="R16" i="62"/>
  <c r="Q16" i="62"/>
  <c r="P16" i="62"/>
  <c r="B16" i="62"/>
  <c r="BK15" i="62"/>
  <c r="W15" i="62"/>
  <c r="I16" i="62"/>
  <c r="BK14" i="62"/>
  <c r="BG14" i="62"/>
  <c r="AY14" i="62"/>
  <c r="AU14" i="62"/>
  <c r="AT14" i="62"/>
  <c r="AS14" i="62"/>
  <c r="AR14" i="62"/>
  <c r="AN14" i="62"/>
  <c r="AN15" i="62" s="1"/>
  <c r="AM14" i="62"/>
  <c r="AM15" i="62" s="1"/>
  <c r="AL14" i="62"/>
  <c r="AL15" i="62" s="1"/>
  <c r="AK14" i="62"/>
  <c r="AK15" i="62" s="1"/>
  <c r="P14" i="62"/>
  <c r="BG13" i="62"/>
  <c r="BC13" i="62"/>
  <c r="AG13" i="62"/>
  <c r="AF13" i="62"/>
  <c r="AE13" i="62"/>
  <c r="AD13" i="62"/>
  <c r="X13" i="62"/>
  <c r="P13" i="62"/>
  <c r="Q47" i="62" s="1"/>
  <c r="B13" i="62"/>
  <c r="BO12" i="62"/>
  <c r="BG12" i="62"/>
  <c r="AN12" i="62"/>
  <c r="AM12" i="62"/>
  <c r="AL12" i="62"/>
  <c r="AK12" i="62"/>
  <c r="AG12" i="62"/>
  <c r="AF12" i="62"/>
  <c r="AE12" i="62"/>
  <c r="AD12" i="62"/>
  <c r="X12" i="62"/>
  <c r="L12" i="62"/>
  <c r="K12" i="62"/>
  <c r="J12" i="62"/>
  <c r="I12" i="62"/>
  <c r="B12" i="62"/>
  <c r="Z49" i="62" s="1"/>
  <c r="BO11" i="62"/>
  <c r="AY11" i="62"/>
  <c r="AU11" i="62"/>
  <c r="AT11" i="62"/>
  <c r="AS11" i="62"/>
  <c r="AR11" i="62"/>
  <c r="Q11" i="62"/>
  <c r="L11" i="62"/>
  <c r="K11" i="62"/>
  <c r="J11" i="62"/>
  <c r="I11" i="62"/>
  <c r="BO10" i="62"/>
  <c r="BK10" i="62"/>
  <c r="BC10" i="62"/>
  <c r="AY10" i="62"/>
  <c r="AU10" i="62"/>
  <c r="AT10" i="62"/>
  <c r="AS10" i="62"/>
  <c r="AR10" i="62"/>
  <c r="AG10" i="62"/>
  <c r="AF10" i="62"/>
  <c r="AE10" i="62"/>
  <c r="AD10" i="62"/>
  <c r="Z10" i="62"/>
  <c r="Y10" i="62"/>
  <c r="X10" i="62"/>
  <c r="W10" i="62"/>
  <c r="Q10" i="62"/>
  <c r="L10" i="62"/>
  <c r="K10" i="62"/>
  <c r="J10" i="62"/>
  <c r="I10" i="62"/>
  <c r="B10" i="62"/>
  <c r="BO9" i="62"/>
  <c r="BC9" i="62"/>
  <c r="AY9" i="62"/>
  <c r="AU9" i="62"/>
  <c r="AT9" i="62"/>
  <c r="AS9" i="62"/>
  <c r="AR9" i="62"/>
  <c r="AE9" i="62"/>
  <c r="AD9" i="62"/>
  <c r="Z9" i="62"/>
  <c r="Y9" i="62"/>
  <c r="X9" i="62"/>
  <c r="W9" i="62"/>
  <c r="L9" i="62"/>
  <c r="K9" i="62"/>
  <c r="J9" i="62"/>
  <c r="I9" i="62"/>
  <c r="BO8" i="62"/>
  <c r="BK8" i="62"/>
  <c r="BG8" i="62"/>
  <c r="BC8" i="62"/>
  <c r="AY8" i="62"/>
  <c r="AU8" i="62"/>
  <c r="AT8" i="62"/>
  <c r="AS8" i="62"/>
  <c r="AR8" i="62"/>
  <c r="S8" i="62"/>
  <c r="P8" i="62"/>
  <c r="L8" i="62"/>
  <c r="K8" i="62"/>
  <c r="K13" i="62" s="1"/>
  <c r="J8" i="62"/>
  <c r="I8" i="62"/>
  <c r="I13" i="62" s="1"/>
  <c r="E8" i="62"/>
  <c r="BO7" i="62"/>
  <c r="BC7" i="62"/>
  <c r="AY7" i="62"/>
  <c r="AU7" i="62"/>
  <c r="AT7" i="62"/>
  <c r="AS7" i="62"/>
  <c r="AR7" i="62"/>
  <c r="BO6" i="62"/>
  <c r="BK6" i="62"/>
  <c r="BG6" i="62"/>
  <c r="BC6" i="62"/>
  <c r="AU6" i="62"/>
  <c r="AT6" i="62"/>
  <c r="AS6" i="62"/>
  <c r="AR6" i="62"/>
  <c r="AD6" i="62"/>
  <c r="W6" i="62"/>
  <c r="P6" i="62"/>
  <c r="BO5" i="62"/>
  <c r="BK5" i="62"/>
  <c r="BG5" i="62"/>
  <c r="BC5" i="62"/>
  <c r="AY5" i="62"/>
  <c r="AU5" i="62"/>
  <c r="AT5" i="62"/>
  <c r="AS5" i="62"/>
  <c r="AR5" i="62"/>
  <c r="AG5" i="62"/>
  <c r="AF5" i="62"/>
  <c r="AE5" i="62"/>
  <c r="AD5" i="62"/>
  <c r="Y5" i="62"/>
  <c r="X5" i="62"/>
  <c r="R5" i="62"/>
  <c r="AM5" i="62" s="1"/>
  <c r="Q5" i="62"/>
  <c r="AL5" i="62" s="1"/>
  <c r="L5" i="62"/>
  <c r="E5" i="62"/>
  <c r="BO4" i="62"/>
  <c r="BO14" i="62" s="1"/>
  <c r="BK4" i="62"/>
  <c r="BG4" i="62"/>
  <c r="BC4" i="62"/>
  <c r="AY4" i="62"/>
  <c r="AU4" i="62"/>
  <c r="AT4" i="62"/>
  <c r="AS4" i="62"/>
  <c r="AR4" i="62"/>
  <c r="AU3" i="62"/>
  <c r="AT3" i="62"/>
  <c r="AS3" i="62"/>
  <c r="AR3" i="62"/>
  <c r="AN3" i="62"/>
  <c r="AM3" i="62"/>
  <c r="AL3" i="62"/>
  <c r="AK3" i="62"/>
  <c r="AG3" i="62"/>
  <c r="AF3" i="62"/>
  <c r="AE3" i="62"/>
  <c r="AD3" i="62"/>
  <c r="Z3" i="62"/>
  <c r="Y3" i="62"/>
  <c r="X3" i="62"/>
  <c r="W3" i="62"/>
  <c r="S3" i="62"/>
  <c r="R3" i="62"/>
  <c r="Q3" i="62"/>
  <c r="P3" i="62"/>
  <c r="C3" i="62"/>
  <c r="AN2" i="62"/>
  <c r="AM2" i="62"/>
  <c r="AL2" i="62"/>
  <c r="AK2" i="62"/>
  <c r="AG2" i="62"/>
  <c r="AF2" i="62"/>
  <c r="AE2" i="62"/>
  <c r="AD2" i="62"/>
  <c r="Z2" i="62"/>
  <c r="Y2" i="62"/>
  <c r="X2" i="62"/>
  <c r="W2" i="62"/>
  <c r="S2" i="62"/>
  <c r="R2" i="62"/>
  <c r="Q2" i="62"/>
  <c r="P2" i="62"/>
  <c r="B59" i="61"/>
  <c r="A59" i="61"/>
  <c r="F56" i="61"/>
  <c r="B58" i="61"/>
  <c r="C57" i="61"/>
  <c r="AF44" i="61" s="1"/>
  <c r="AF48" i="61" s="1"/>
  <c r="AF50" i="61" s="1"/>
  <c r="F54" i="61"/>
  <c r="F53" i="61"/>
  <c r="I52" i="61"/>
  <c r="F51" i="61"/>
  <c r="BP28" i="61" s="1"/>
  <c r="C53" i="61"/>
  <c r="Z48" i="61"/>
  <c r="Y48" i="61"/>
  <c r="X48" i="61"/>
  <c r="W48" i="61"/>
  <c r="AF47" i="61"/>
  <c r="AB47" i="61"/>
  <c r="BP46" i="61"/>
  <c r="AF46" i="61"/>
  <c r="AB46" i="61"/>
  <c r="Z46" i="61"/>
  <c r="Y46" i="61"/>
  <c r="X46" i="61"/>
  <c r="W46" i="61"/>
  <c r="E46" i="61"/>
  <c r="AF45" i="61"/>
  <c r="AB45" i="61"/>
  <c r="AB48" i="61" s="1"/>
  <c r="AB50" i="61" s="1"/>
  <c r="I45" i="61"/>
  <c r="F45" i="61"/>
  <c r="BT44" i="61"/>
  <c r="BP44" i="61"/>
  <c r="I44" i="61"/>
  <c r="BP43" i="61"/>
  <c r="I43" i="61"/>
  <c r="B45" i="61"/>
  <c r="A45" i="61"/>
  <c r="BT42" i="61"/>
  <c r="BP42" i="61"/>
  <c r="I42" i="61"/>
  <c r="BT41" i="61"/>
  <c r="BP41" i="61"/>
  <c r="E41" i="61"/>
  <c r="B43" i="61"/>
  <c r="B42" i="61"/>
  <c r="BT39" i="61"/>
  <c r="BP39" i="61"/>
  <c r="S40" i="61"/>
  <c r="R40" i="61"/>
  <c r="Q40" i="61"/>
  <c r="P40" i="61"/>
  <c r="Z53" i="61" s="1"/>
  <c r="BT38" i="61"/>
  <c r="BP38" i="61"/>
  <c r="AH38" i="61"/>
  <c r="BA37" i="61"/>
  <c r="AW37" i="61"/>
  <c r="AV37" i="61"/>
  <c r="AU37" i="61"/>
  <c r="AT37" i="61"/>
  <c r="AD37" i="61"/>
  <c r="F37" i="61"/>
  <c r="C39" i="61"/>
  <c r="B39" i="61"/>
  <c r="BT36" i="61"/>
  <c r="BP36" i="61"/>
  <c r="AD36" i="61"/>
  <c r="F36" i="61"/>
  <c r="C38" i="61"/>
  <c r="B38" i="61" s="1"/>
  <c r="BT35" i="61"/>
  <c r="BP35" i="61"/>
  <c r="BP40" i="61" s="1"/>
  <c r="BA35" i="61"/>
  <c r="AH35" i="61"/>
  <c r="AD35" i="61"/>
  <c r="I35" i="61"/>
  <c r="B37" i="61"/>
  <c r="BA34" i="61"/>
  <c r="AH34" i="61"/>
  <c r="AD34" i="61"/>
  <c r="Z34" i="61"/>
  <c r="Y34" i="61"/>
  <c r="X34" i="61"/>
  <c r="W34" i="61"/>
  <c r="I34" i="61"/>
  <c r="C36" i="61"/>
  <c r="A36" i="61"/>
  <c r="BA33" i="61"/>
  <c r="AH33" i="61"/>
  <c r="B35" i="61"/>
  <c r="BA32" i="61"/>
  <c r="AH32" i="61"/>
  <c r="AD32" i="61"/>
  <c r="Z32" i="61"/>
  <c r="Y32" i="61"/>
  <c r="X32" i="61"/>
  <c r="W32" i="61"/>
  <c r="BA31" i="61"/>
  <c r="AH31" i="61"/>
  <c r="AD31" i="61"/>
  <c r="S32" i="61"/>
  <c r="S33" i="61" s="1"/>
  <c r="R32" i="61"/>
  <c r="R33" i="61" s="1"/>
  <c r="Q32" i="61"/>
  <c r="Q33" i="61" s="1"/>
  <c r="P32" i="61"/>
  <c r="P33" i="61" s="1"/>
  <c r="I31" i="61"/>
  <c r="C33" i="61"/>
  <c r="B33" i="61" s="1"/>
  <c r="BA30" i="61"/>
  <c r="AP30" i="61"/>
  <c r="F30" i="61"/>
  <c r="E30" i="61"/>
  <c r="BL29" i="61"/>
  <c r="BK29" i="61"/>
  <c r="BJ29" i="61"/>
  <c r="BI29" i="61"/>
  <c r="BA29" i="61"/>
  <c r="AW29" i="61"/>
  <c r="AV29" i="61"/>
  <c r="AU29" i="61"/>
  <c r="AT29" i="61"/>
  <c r="I29" i="61"/>
  <c r="D29" i="61"/>
  <c r="I28" i="61"/>
  <c r="E28" i="61"/>
  <c r="AP27" i="61"/>
  <c r="AP28" i="61" s="1"/>
  <c r="I27" i="61"/>
  <c r="BL26" i="61"/>
  <c r="BK26" i="61"/>
  <c r="BJ26" i="61"/>
  <c r="BI26" i="61"/>
  <c r="AW26" i="61"/>
  <c r="AV26" i="61"/>
  <c r="AU26" i="61"/>
  <c r="AT26" i="61"/>
  <c r="I26" i="61"/>
  <c r="E26" i="61"/>
  <c r="BT25" i="61"/>
  <c r="BP25" i="61"/>
  <c r="BL25" i="61"/>
  <c r="BK25" i="61"/>
  <c r="BJ25" i="61"/>
  <c r="BI25" i="61"/>
  <c r="AW25" i="61"/>
  <c r="AV25" i="61"/>
  <c r="AU25" i="61"/>
  <c r="AT25" i="61"/>
  <c r="Z25" i="61"/>
  <c r="Y25" i="61"/>
  <c r="X25" i="61"/>
  <c r="W25" i="61"/>
  <c r="BT24" i="61"/>
  <c r="BP24" i="61"/>
  <c r="BL24" i="61"/>
  <c r="BK24" i="61"/>
  <c r="BJ24" i="61"/>
  <c r="BI24" i="61"/>
  <c r="AW24" i="61"/>
  <c r="AV24" i="61"/>
  <c r="AU24" i="61"/>
  <c r="AT24" i="61"/>
  <c r="AG24" i="61"/>
  <c r="AF24" i="61"/>
  <c r="AE24" i="61"/>
  <c r="AD24" i="61"/>
  <c r="F24" i="61"/>
  <c r="BT23" i="61"/>
  <c r="BL23" i="61"/>
  <c r="BK23" i="61"/>
  <c r="BJ23" i="61"/>
  <c r="BI23" i="61"/>
  <c r="AW23" i="61"/>
  <c r="AV23" i="61"/>
  <c r="AU23" i="61"/>
  <c r="AT23" i="61"/>
  <c r="AG23" i="61"/>
  <c r="AF23" i="61"/>
  <c r="AE23" i="61"/>
  <c r="AD23" i="61"/>
  <c r="S23" i="61"/>
  <c r="R23" i="61"/>
  <c r="Q23" i="61"/>
  <c r="P23" i="61"/>
  <c r="BT22" i="61"/>
  <c r="BP22" i="61"/>
  <c r="BL22" i="61"/>
  <c r="BK22" i="61"/>
  <c r="BJ22" i="61"/>
  <c r="BI22" i="61"/>
  <c r="AW22" i="61"/>
  <c r="AV22" i="61"/>
  <c r="AU22" i="61"/>
  <c r="AT22" i="61"/>
  <c r="AL22" i="61"/>
  <c r="S22" i="61"/>
  <c r="R22" i="61"/>
  <c r="Q22" i="61"/>
  <c r="P22" i="61"/>
  <c r="BT21" i="61"/>
  <c r="BL21" i="61"/>
  <c r="BK21" i="61"/>
  <c r="BJ21" i="61"/>
  <c r="BI21" i="61"/>
  <c r="AW21" i="61"/>
  <c r="AV21" i="61"/>
  <c r="AU21" i="61"/>
  <c r="AT21" i="61"/>
  <c r="AL21" i="61"/>
  <c r="S21" i="61"/>
  <c r="R21" i="61"/>
  <c r="Q21" i="61"/>
  <c r="P21" i="61"/>
  <c r="L21" i="61"/>
  <c r="K21" i="61"/>
  <c r="J21" i="61"/>
  <c r="I21" i="61"/>
  <c r="BT20" i="61"/>
  <c r="BP20" i="61"/>
  <c r="BL20" i="61"/>
  <c r="BK20" i="61"/>
  <c r="BJ20" i="61"/>
  <c r="BI20" i="61"/>
  <c r="BA20" i="61"/>
  <c r="BA22" i="61" s="1"/>
  <c r="BE23" i="61" s="1"/>
  <c r="AG20" i="61"/>
  <c r="AF20" i="61"/>
  <c r="AE20" i="61"/>
  <c r="AD20" i="61"/>
  <c r="Z20" i="61"/>
  <c r="Y20" i="61"/>
  <c r="X20" i="61"/>
  <c r="W20" i="61"/>
  <c r="L20" i="61"/>
  <c r="K20" i="61"/>
  <c r="J20" i="61"/>
  <c r="I20" i="61"/>
  <c r="BT19" i="61"/>
  <c r="BL19" i="61"/>
  <c r="BK19" i="61"/>
  <c r="BJ19" i="61"/>
  <c r="BI19" i="61"/>
  <c r="AU19" i="61"/>
  <c r="AL19" i="61"/>
  <c r="AG19" i="61"/>
  <c r="AF19" i="61"/>
  <c r="AE19" i="61"/>
  <c r="AD19" i="61"/>
  <c r="Q19" i="61"/>
  <c r="BT18" i="61"/>
  <c r="AV18" i="61"/>
  <c r="AV20" i="61" s="1"/>
  <c r="AT18" i="61"/>
  <c r="AT20" i="61" s="1"/>
  <c r="AL18" i="61"/>
  <c r="AG18" i="61"/>
  <c r="AF18" i="61"/>
  <c r="AE18" i="61"/>
  <c r="AD18" i="61"/>
  <c r="Z18" i="61"/>
  <c r="Y18" i="61"/>
  <c r="X18" i="61"/>
  <c r="W18" i="61"/>
  <c r="S18" i="61"/>
  <c r="R18" i="61"/>
  <c r="Q18" i="61"/>
  <c r="P18" i="61"/>
  <c r="S17" i="61"/>
  <c r="R17" i="61"/>
  <c r="Q17" i="61"/>
  <c r="P17" i="61"/>
  <c r="BC16" i="61"/>
  <c r="BB16" i="61"/>
  <c r="BA16" i="61"/>
  <c r="AD16" i="61"/>
  <c r="R16" i="61"/>
  <c r="B16" i="61"/>
  <c r="BP19" i="61" s="1"/>
  <c r="AD15" i="61"/>
  <c r="E15" i="61"/>
  <c r="BP14" i="61"/>
  <c r="P14" i="61"/>
  <c r="L14" i="61"/>
  <c r="K14" i="61"/>
  <c r="J14" i="61"/>
  <c r="I14" i="61"/>
  <c r="BT13" i="61"/>
  <c r="P13" i="61"/>
  <c r="B13" i="61"/>
  <c r="BX12" i="61"/>
  <c r="BP12" i="61"/>
  <c r="BL12" i="61"/>
  <c r="BK12" i="61"/>
  <c r="BJ12" i="61"/>
  <c r="BI12" i="61"/>
  <c r="BC12" i="61"/>
  <c r="BC14" i="61" s="1"/>
  <c r="BB12" i="61"/>
  <c r="BB14" i="61" s="1"/>
  <c r="BA12" i="61"/>
  <c r="BA14" i="61" s="1"/>
  <c r="L12" i="61"/>
  <c r="K12" i="61"/>
  <c r="J12" i="61"/>
  <c r="I12" i="61"/>
  <c r="B12" i="61"/>
  <c r="BX11" i="61"/>
  <c r="BT11" i="61"/>
  <c r="BP11" i="61"/>
  <c r="AE11" i="61"/>
  <c r="Z11" i="61"/>
  <c r="Y11" i="61"/>
  <c r="X11" i="61"/>
  <c r="W11" i="61"/>
  <c r="BX10" i="61"/>
  <c r="BT10" i="61"/>
  <c r="BP10" i="61"/>
  <c r="AW10" i="61"/>
  <c r="AV10" i="61"/>
  <c r="AU10" i="61"/>
  <c r="AT10" i="61"/>
  <c r="AL10" i="61"/>
  <c r="AE10" i="61"/>
  <c r="Q10" i="61"/>
  <c r="L10" i="61"/>
  <c r="K10" i="61"/>
  <c r="J10" i="61"/>
  <c r="I10" i="61"/>
  <c r="B10" i="61"/>
  <c r="BX9" i="61"/>
  <c r="BT9" i="61"/>
  <c r="BP9" i="61"/>
  <c r="BL9" i="61"/>
  <c r="BK9" i="61"/>
  <c r="BJ9" i="61"/>
  <c r="BI9" i="61"/>
  <c r="Q9" i="61"/>
  <c r="BX8" i="61"/>
  <c r="BT8" i="61"/>
  <c r="BP8" i="61"/>
  <c r="BL8" i="61"/>
  <c r="BK8" i="61"/>
  <c r="BJ8" i="61"/>
  <c r="BI8" i="61"/>
  <c r="AG8" i="61"/>
  <c r="AF8" i="61"/>
  <c r="AE8" i="61"/>
  <c r="AD8" i="61"/>
  <c r="L8" i="61"/>
  <c r="K8" i="61"/>
  <c r="J8" i="61"/>
  <c r="I8" i="61"/>
  <c r="BX7" i="61"/>
  <c r="BT7" i="61"/>
  <c r="BP7" i="61"/>
  <c r="BL7" i="61"/>
  <c r="BK7" i="61"/>
  <c r="BJ7" i="61"/>
  <c r="BI7" i="61"/>
  <c r="BC7" i="61"/>
  <c r="BB7" i="61"/>
  <c r="BA7" i="61"/>
  <c r="AW7" i="61"/>
  <c r="AV7" i="61"/>
  <c r="AU7" i="61"/>
  <c r="AT7" i="61"/>
  <c r="AG7" i="61"/>
  <c r="AF7" i="61"/>
  <c r="AE7" i="61"/>
  <c r="AD7" i="61"/>
  <c r="S7" i="61"/>
  <c r="P7" i="61"/>
  <c r="BX6" i="61"/>
  <c r="BT6" i="61"/>
  <c r="BL6" i="61"/>
  <c r="BK6" i="61"/>
  <c r="BJ6" i="61"/>
  <c r="BI6" i="61"/>
  <c r="AW6" i="61"/>
  <c r="AV6" i="61"/>
  <c r="AU6" i="61"/>
  <c r="AT6" i="61"/>
  <c r="Z6" i="61"/>
  <c r="Y6" i="61"/>
  <c r="X6" i="61"/>
  <c r="W6" i="61"/>
  <c r="BX5" i="61"/>
  <c r="BT5" i="61"/>
  <c r="BP5" i="61"/>
  <c r="BL5" i="61"/>
  <c r="BK5" i="61"/>
  <c r="BJ5" i="61"/>
  <c r="BI5" i="61"/>
  <c r="AW5" i="61"/>
  <c r="AV5" i="61"/>
  <c r="AU5" i="61"/>
  <c r="AT5" i="61"/>
  <c r="AG5" i="61"/>
  <c r="AF5" i="61"/>
  <c r="AE5" i="61"/>
  <c r="AD5" i="61"/>
  <c r="S5" i="61"/>
  <c r="R5" i="61"/>
  <c r="AF3" i="61" s="1"/>
  <c r="AF6" i="61" s="1"/>
  <c r="Q5" i="61"/>
  <c r="H5" i="61"/>
  <c r="BX4" i="61"/>
  <c r="BT4" i="61"/>
  <c r="BP4" i="61"/>
  <c r="BL4" i="61"/>
  <c r="BK4" i="61"/>
  <c r="BJ4" i="61"/>
  <c r="BI4" i="61"/>
  <c r="AP4" i="61"/>
  <c r="AO4" i="61"/>
  <c r="AN4" i="61"/>
  <c r="AM4" i="61"/>
  <c r="AL4" i="61"/>
  <c r="AD4" i="61"/>
  <c r="Z4" i="61"/>
  <c r="Y4" i="61"/>
  <c r="X4" i="61"/>
  <c r="W4" i="61"/>
  <c r="E4" i="61"/>
  <c r="AP29" i="61" s="1"/>
  <c r="BL3" i="61"/>
  <c r="BK3" i="61"/>
  <c r="BJ3" i="61"/>
  <c r="BI3" i="61"/>
  <c r="BC3" i="61"/>
  <c r="BC5" i="61" s="1"/>
  <c r="BB3" i="61"/>
  <c r="BB5" i="61" s="1"/>
  <c r="BA3" i="61"/>
  <c r="BA5" i="61" s="1"/>
  <c r="AW3" i="61"/>
  <c r="AV3" i="61"/>
  <c r="AU3" i="61"/>
  <c r="AT3" i="61"/>
  <c r="AP3" i="61"/>
  <c r="AP5" i="61" s="1"/>
  <c r="AN3" i="61"/>
  <c r="AG3" i="61"/>
  <c r="AG6" i="61" s="1"/>
  <c r="S3" i="61"/>
  <c r="R3" i="61"/>
  <c r="Q3" i="61"/>
  <c r="P3" i="61"/>
  <c r="C3" i="61"/>
  <c r="BL2" i="61"/>
  <c r="BK2" i="61"/>
  <c r="BJ2" i="61"/>
  <c r="BI2" i="61"/>
  <c r="AV2" i="61"/>
  <c r="S2" i="61"/>
  <c r="R2" i="61"/>
  <c r="R4" i="61" s="1"/>
  <c r="Q2" i="61"/>
  <c r="Q4" i="61" s="1"/>
  <c r="P2" i="61"/>
  <c r="B63" i="60"/>
  <c r="A63" i="60"/>
  <c r="Z60" i="60"/>
  <c r="Y60" i="60"/>
  <c r="X60" i="60"/>
  <c r="W60" i="60"/>
  <c r="B62" i="60"/>
  <c r="C61" i="60"/>
  <c r="F58" i="60"/>
  <c r="Z57" i="60"/>
  <c r="Y57" i="60"/>
  <c r="X57" i="60"/>
  <c r="C57" i="60"/>
  <c r="Z54" i="60"/>
  <c r="Y54" i="60"/>
  <c r="X54" i="60"/>
  <c r="W54" i="60"/>
  <c r="Z53" i="60"/>
  <c r="Y53" i="60"/>
  <c r="X53" i="60"/>
  <c r="W53" i="60"/>
  <c r="X52" i="60"/>
  <c r="W52" i="60"/>
  <c r="AU51" i="60"/>
  <c r="AT51" i="60"/>
  <c r="AS51" i="60"/>
  <c r="AR51" i="60"/>
  <c r="Z51" i="60"/>
  <c r="Y51" i="60"/>
  <c r="X51" i="60"/>
  <c r="W51" i="60"/>
  <c r="BK50" i="60"/>
  <c r="Z50" i="60"/>
  <c r="Y50" i="60"/>
  <c r="X50" i="60"/>
  <c r="W50" i="60"/>
  <c r="Y49" i="60"/>
  <c r="F49" i="60"/>
  <c r="BK48" i="60"/>
  <c r="AU48" i="60"/>
  <c r="AT48" i="60"/>
  <c r="AS48" i="60"/>
  <c r="AR48" i="60"/>
  <c r="AN48" i="60"/>
  <c r="AM48" i="60"/>
  <c r="AL48" i="60"/>
  <c r="AK48" i="60"/>
  <c r="Q49" i="60"/>
  <c r="N49" i="60"/>
  <c r="F48" i="60"/>
  <c r="AU47" i="60"/>
  <c r="AT47" i="60"/>
  <c r="AS47" i="60"/>
  <c r="AR47" i="60"/>
  <c r="AN47" i="60"/>
  <c r="AM47" i="60"/>
  <c r="AL47" i="60"/>
  <c r="AK47" i="60"/>
  <c r="Q48" i="60"/>
  <c r="N48" i="60"/>
  <c r="B49" i="60"/>
  <c r="A49" i="60"/>
  <c r="BK46" i="60"/>
  <c r="AY46" i="60"/>
  <c r="AU46" i="60"/>
  <c r="AT46" i="60"/>
  <c r="AS46" i="60"/>
  <c r="AR46" i="60"/>
  <c r="F46" i="60"/>
  <c r="BK45" i="60"/>
  <c r="BC45" i="60"/>
  <c r="AU45" i="60"/>
  <c r="AT45" i="60"/>
  <c r="AS45" i="60"/>
  <c r="AR45" i="60"/>
  <c r="AN45" i="60"/>
  <c r="AN46" i="60" s="1"/>
  <c r="AM45" i="60"/>
  <c r="AM46" i="60" s="1"/>
  <c r="AL45" i="60"/>
  <c r="AL46" i="60" s="1"/>
  <c r="AK45" i="60"/>
  <c r="AK46" i="60" s="1"/>
  <c r="B47" i="60"/>
  <c r="BK44" i="60"/>
  <c r="AU44" i="60"/>
  <c r="AT44" i="60"/>
  <c r="AS44" i="60"/>
  <c r="AR44" i="60"/>
  <c r="W44" i="60"/>
  <c r="B46" i="60"/>
  <c r="AY43" i="60"/>
  <c r="AU43" i="60"/>
  <c r="AT43" i="60"/>
  <c r="AS43" i="60"/>
  <c r="AR43" i="60"/>
  <c r="AG43" i="60"/>
  <c r="AF43" i="60"/>
  <c r="AE43" i="60"/>
  <c r="AD43" i="60"/>
  <c r="D43" i="60"/>
  <c r="E43" i="60" s="1"/>
  <c r="W57" i="60" s="1"/>
  <c r="BC42" i="60"/>
  <c r="AY42" i="60"/>
  <c r="I29" i="60"/>
  <c r="BC41" i="60"/>
  <c r="AY41" i="60"/>
  <c r="AR41" i="60"/>
  <c r="A43" i="60"/>
  <c r="BK40" i="60"/>
  <c r="BG40" i="60"/>
  <c r="AU40" i="60"/>
  <c r="AT40" i="60"/>
  <c r="AS40" i="60"/>
  <c r="AR40" i="60"/>
  <c r="Z40" i="60"/>
  <c r="Y40" i="60"/>
  <c r="X40" i="60"/>
  <c r="W40" i="60"/>
  <c r="S41" i="60"/>
  <c r="R41" i="60"/>
  <c r="Q41" i="60"/>
  <c r="P41" i="60"/>
  <c r="B42" i="60"/>
  <c r="BC39" i="60"/>
  <c r="AY39" i="60"/>
  <c r="AN39" i="60"/>
  <c r="AM39" i="60"/>
  <c r="AL39" i="60"/>
  <c r="AK39" i="60"/>
  <c r="B41" i="60"/>
  <c r="W49" i="60" s="1"/>
  <c r="BK38" i="60"/>
  <c r="BG38" i="60"/>
  <c r="BC38" i="60"/>
  <c r="AY38" i="60"/>
  <c r="AN38" i="60"/>
  <c r="AM38" i="60"/>
  <c r="AL38" i="60"/>
  <c r="AK38" i="60"/>
  <c r="C40" i="60"/>
  <c r="B40" i="60" s="1"/>
  <c r="BG37" i="60"/>
  <c r="BC37" i="60"/>
  <c r="AY37" i="60"/>
  <c r="Z37" i="60"/>
  <c r="Y37" i="60"/>
  <c r="X37" i="60"/>
  <c r="W37" i="60"/>
  <c r="I41" i="60"/>
  <c r="E37" i="60"/>
  <c r="BK36" i="60"/>
  <c r="BG36" i="60"/>
  <c r="BG39" i="60" s="1"/>
  <c r="BG41" i="60" s="1"/>
  <c r="AN36" i="60"/>
  <c r="AN37" i="60" s="1"/>
  <c r="AM36" i="60"/>
  <c r="AM37" i="60" s="1"/>
  <c r="AL36" i="60"/>
  <c r="AL37" i="60" s="1"/>
  <c r="AK36" i="60"/>
  <c r="AK37" i="60" s="1"/>
  <c r="Z36" i="60"/>
  <c r="Y36" i="60"/>
  <c r="X36" i="60"/>
  <c r="W36" i="60"/>
  <c r="F36" i="60"/>
  <c r="A38" i="60"/>
  <c r="BK35" i="60"/>
  <c r="BC35" i="60"/>
  <c r="AY35" i="60"/>
  <c r="AG35" i="60"/>
  <c r="AF35" i="60"/>
  <c r="AE35" i="60"/>
  <c r="AD35" i="60"/>
  <c r="Z35" i="60"/>
  <c r="Y35" i="60"/>
  <c r="X35" i="60"/>
  <c r="W35" i="60"/>
  <c r="BK34" i="60"/>
  <c r="Z34" i="60"/>
  <c r="Y34" i="60"/>
  <c r="X34" i="60"/>
  <c r="W34" i="60"/>
  <c r="I37" i="60"/>
  <c r="B35" i="60"/>
  <c r="BG32" i="60"/>
  <c r="AU32" i="60"/>
  <c r="AT32" i="60"/>
  <c r="AS32" i="60"/>
  <c r="AR32" i="60"/>
  <c r="AG32" i="60"/>
  <c r="AF32" i="60"/>
  <c r="AE32" i="60"/>
  <c r="AD32" i="60"/>
  <c r="S33" i="60"/>
  <c r="S34" i="60" s="1"/>
  <c r="R33" i="60"/>
  <c r="R34" i="60" s="1"/>
  <c r="Q33" i="60"/>
  <c r="Q34" i="60" s="1"/>
  <c r="P33" i="60"/>
  <c r="P34" i="60" s="1"/>
  <c r="I36" i="60"/>
  <c r="E32" i="60"/>
  <c r="AG31" i="60"/>
  <c r="AF31" i="60"/>
  <c r="AE31" i="60"/>
  <c r="AD31" i="60"/>
  <c r="I35" i="60"/>
  <c r="C33" i="60"/>
  <c r="B33" i="60" s="1"/>
  <c r="BK30" i="60"/>
  <c r="BG30" i="60"/>
  <c r="AG30" i="60"/>
  <c r="AF30" i="60"/>
  <c r="AE30" i="60"/>
  <c r="AD30" i="60"/>
  <c r="I34" i="60"/>
  <c r="BG29" i="60"/>
  <c r="AU29" i="60"/>
  <c r="AT29" i="60"/>
  <c r="AS29" i="60"/>
  <c r="AR29" i="60"/>
  <c r="AN29" i="60"/>
  <c r="AM29" i="60"/>
  <c r="AL29" i="60"/>
  <c r="AK29" i="60"/>
  <c r="AG29" i="60"/>
  <c r="AF29" i="60"/>
  <c r="AE29" i="60"/>
  <c r="AD29" i="60"/>
  <c r="S29" i="60"/>
  <c r="S31" i="60" s="1"/>
  <c r="R29" i="60"/>
  <c r="R31" i="60" s="1"/>
  <c r="Q29" i="60"/>
  <c r="Q31" i="60" s="1"/>
  <c r="P29" i="60"/>
  <c r="P31" i="60" s="1"/>
  <c r="BK28" i="60"/>
  <c r="BG28" i="60"/>
  <c r="BG31" i="60" s="1"/>
  <c r="BG33" i="60" s="1"/>
  <c r="AY28" i="60"/>
  <c r="AU28" i="60"/>
  <c r="AT28" i="60"/>
  <c r="AS28" i="60"/>
  <c r="AR28" i="60"/>
  <c r="AN28" i="60"/>
  <c r="AM28" i="60"/>
  <c r="AL28" i="60"/>
  <c r="AK28" i="60"/>
  <c r="AG28" i="60"/>
  <c r="AF28" i="60"/>
  <c r="AE28" i="60"/>
  <c r="AD28" i="60"/>
  <c r="BC27" i="60"/>
  <c r="AU27" i="60"/>
  <c r="AT27" i="60"/>
  <c r="AS27" i="60"/>
  <c r="AR27" i="60"/>
  <c r="AG27" i="60"/>
  <c r="AF27" i="60"/>
  <c r="AE27" i="60"/>
  <c r="AD27" i="60"/>
  <c r="BK26" i="60"/>
  <c r="AU26" i="60"/>
  <c r="AT26" i="60"/>
  <c r="AS26" i="60"/>
  <c r="AR26" i="60"/>
  <c r="AN26" i="60"/>
  <c r="AN27" i="60" s="1"/>
  <c r="AM26" i="60"/>
  <c r="AM27" i="60" s="1"/>
  <c r="AL26" i="60"/>
  <c r="AL27" i="60" s="1"/>
  <c r="AK26" i="60"/>
  <c r="AK27" i="60" s="1"/>
  <c r="Z26" i="60"/>
  <c r="Y26" i="60"/>
  <c r="X26" i="60"/>
  <c r="W26" i="60"/>
  <c r="BK25" i="60"/>
  <c r="AY25" i="60"/>
  <c r="AU25" i="60"/>
  <c r="AT25" i="60"/>
  <c r="AS25" i="60"/>
  <c r="AR25" i="60"/>
  <c r="AE25" i="60"/>
  <c r="Z25" i="60"/>
  <c r="Y25" i="60"/>
  <c r="X25" i="60"/>
  <c r="W25" i="60"/>
  <c r="I26" i="60"/>
  <c r="BK24" i="60"/>
  <c r="BG24" i="60"/>
  <c r="BC24" i="60"/>
  <c r="AY24" i="60"/>
  <c r="AU24" i="60"/>
  <c r="AT24" i="60"/>
  <c r="AS24" i="60"/>
  <c r="AR24" i="60"/>
  <c r="AN24" i="60"/>
  <c r="AM24" i="60"/>
  <c r="AL24" i="60"/>
  <c r="AK24" i="60"/>
  <c r="AF24" i="60"/>
  <c r="AF26" i="60" s="1"/>
  <c r="AD24" i="60"/>
  <c r="AD26" i="60" s="1"/>
  <c r="S24" i="60"/>
  <c r="R24" i="60"/>
  <c r="Q24" i="60"/>
  <c r="P24" i="60"/>
  <c r="I25" i="60"/>
  <c r="F24" i="60"/>
  <c r="E24" i="60"/>
  <c r="BC23" i="60"/>
  <c r="AU23" i="60"/>
  <c r="AT23" i="60"/>
  <c r="AS23" i="60"/>
  <c r="AR23" i="60"/>
  <c r="Z23" i="60"/>
  <c r="Z24" i="60" s="1"/>
  <c r="Y23" i="60"/>
  <c r="Y24" i="60" s="1"/>
  <c r="X23" i="60"/>
  <c r="X24" i="60" s="1"/>
  <c r="W23" i="60"/>
  <c r="W24" i="60" s="1"/>
  <c r="S23" i="60"/>
  <c r="R23" i="60"/>
  <c r="Q23" i="60"/>
  <c r="P23" i="60"/>
  <c r="D23" i="60"/>
  <c r="BG22" i="60"/>
  <c r="BC22" i="60"/>
  <c r="AY22" i="60"/>
  <c r="AU22" i="60"/>
  <c r="AT22" i="60"/>
  <c r="AS22" i="60"/>
  <c r="AR22" i="60"/>
  <c r="S22" i="60"/>
  <c r="Z32" i="60" s="1"/>
  <c r="R22" i="60"/>
  <c r="Y32" i="60" s="1"/>
  <c r="Q22" i="60"/>
  <c r="X32" i="60" s="1"/>
  <c r="P22" i="60"/>
  <c r="W32" i="60" s="1"/>
  <c r="E22" i="60"/>
  <c r="BG21" i="60"/>
  <c r="BC21" i="60"/>
  <c r="AU21" i="60"/>
  <c r="AT21" i="60"/>
  <c r="AS21" i="60"/>
  <c r="AR21" i="60"/>
  <c r="BK20" i="60"/>
  <c r="BG20" i="60"/>
  <c r="BC20" i="60"/>
  <c r="AY20" i="60"/>
  <c r="Z20" i="60"/>
  <c r="Y20" i="60"/>
  <c r="X20" i="60"/>
  <c r="W20" i="60"/>
  <c r="Q20" i="60"/>
  <c r="I21" i="60"/>
  <c r="E20" i="60"/>
  <c r="BC19" i="60"/>
  <c r="AY19" i="60"/>
  <c r="Z19" i="60"/>
  <c r="Y19" i="60"/>
  <c r="X19" i="60"/>
  <c r="W19" i="60"/>
  <c r="S19" i="60"/>
  <c r="R19" i="60"/>
  <c r="Q19" i="60"/>
  <c r="P19" i="60"/>
  <c r="I20" i="60"/>
  <c r="BK18" i="60"/>
  <c r="BC18" i="60"/>
  <c r="AG18" i="60"/>
  <c r="AF18" i="60"/>
  <c r="AE18" i="60"/>
  <c r="AD18" i="60"/>
  <c r="Z18" i="60"/>
  <c r="Y18" i="60"/>
  <c r="X18" i="60"/>
  <c r="W18" i="60"/>
  <c r="S18" i="60"/>
  <c r="R18" i="60"/>
  <c r="Q18" i="60"/>
  <c r="P18" i="60"/>
  <c r="I19" i="60"/>
  <c r="AN17" i="60"/>
  <c r="AM17" i="60"/>
  <c r="AL17" i="60"/>
  <c r="AK17" i="60"/>
  <c r="S17" i="60"/>
  <c r="R17" i="60"/>
  <c r="Q17" i="60"/>
  <c r="P17" i="60"/>
  <c r="BK16" i="60"/>
  <c r="BG16" i="60"/>
  <c r="AN16" i="60"/>
  <c r="AM16" i="60"/>
  <c r="AL16" i="60"/>
  <c r="AK16" i="60"/>
  <c r="W16" i="60"/>
  <c r="S16" i="60"/>
  <c r="R16" i="60"/>
  <c r="Q16" i="60"/>
  <c r="P16" i="60"/>
  <c r="B16" i="60"/>
  <c r="BK15" i="60"/>
  <c r="W15" i="60"/>
  <c r="I16" i="60"/>
  <c r="BK14" i="60"/>
  <c r="BG14" i="60"/>
  <c r="AY14" i="60"/>
  <c r="AU14" i="60"/>
  <c r="AT14" i="60"/>
  <c r="AS14" i="60"/>
  <c r="AR14" i="60"/>
  <c r="AN14" i="60"/>
  <c r="AN15" i="60" s="1"/>
  <c r="AM14" i="60"/>
  <c r="AM15" i="60" s="1"/>
  <c r="AL14" i="60"/>
  <c r="AL15" i="60" s="1"/>
  <c r="AK14" i="60"/>
  <c r="AK15" i="60" s="1"/>
  <c r="P14" i="60"/>
  <c r="BG13" i="60"/>
  <c r="BC13" i="60"/>
  <c r="AG13" i="60"/>
  <c r="AF13" i="60"/>
  <c r="AE13" i="60"/>
  <c r="AD13" i="60"/>
  <c r="X13" i="60"/>
  <c r="P13" i="60"/>
  <c r="Q47" i="60" s="1"/>
  <c r="Q50" i="60" s="1"/>
  <c r="B13" i="60"/>
  <c r="BO12" i="60"/>
  <c r="BG12" i="60"/>
  <c r="AN12" i="60"/>
  <c r="AM12" i="60"/>
  <c r="AL12" i="60"/>
  <c r="AK12" i="60"/>
  <c r="AG12" i="60"/>
  <c r="AF12" i="60"/>
  <c r="AE12" i="60"/>
  <c r="AD12" i="60"/>
  <c r="X12" i="60"/>
  <c r="L12" i="60"/>
  <c r="K12" i="60"/>
  <c r="J12" i="60"/>
  <c r="I12" i="60"/>
  <c r="B12" i="60"/>
  <c r="Z49" i="60" s="1"/>
  <c r="BO11" i="60"/>
  <c r="AY11" i="60"/>
  <c r="AU11" i="60"/>
  <c r="AT11" i="60"/>
  <c r="AS11" i="60"/>
  <c r="AR11" i="60"/>
  <c r="Q11" i="60"/>
  <c r="L11" i="60"/>
  <c r="K11" i="60"/>
  <c r="J11" i="60"/>
  <c r="I11" i="60"/>
  <c r="BO10" i="60"/>
  <c r="BK10" i="60"/>
  <c r="BC10" i="60"/>
  <c r="AY10" i="60"/>
  <c r="AU10" i="60"/>
  <c r="AT10" i="60"/>
  <c r="AS10" i="60"/>
  <c r="AR10" i="60"/>
  <c r="AG10" i="60"/>
  <c r="AF10" i="60"/>
  <c r="AE10" i="60"/>
  <c r="AD10" i="60"/>
  <c r="Z10" i="60"/>
  <c r="Y10" i="60"/>
  <c r="X10" i="60"/>
  <c r="W10" i="60"/>
  <c r="Q10" i="60"/>
  <c r="L10" i="60"/>
  <c r="K10" i="60"/>
  <c r="J10" i="60"/>
  <c r="I10" i="60"/>
  <c r="B10" i="60"/>
  <c r="BO9" i="60"/>
  <c r="BC9" i="60"/>
  <c r="AY9" i="60"/>
  <c r="AU9" i="60"/>
  <c r="AT9" i="60"/>
  <c r="AS9" i="60"/>
  <c r="AR9" i="60"/>
  <c r="AE9" i="60"/>
  <c r="AD9" i="60"/>
  <c r="Z9" i="60"/>
  <c r="Y9" i="60"/>
  <c r="X9" i="60"/>
  <c r="W9" i="60"/>
  <c r="L9" i="60"/>
  <c r="K9" i="60"/>
  <c r="J9" i="60"/>
  <c r="I9" i="60"/>
  <c r="BO8" i="60"/>
  <c r="BK8" i="60"/>
  <c r="BG8" i="60"/>
  <c r="BC8" i="60"/>
  <c r="AY8" i="60"/>
  <c r="AU8" i="60"/>
  <c r="AT8" i="60"/>
  <c r="AS8" i="60"/>
  <c r="AR8" i="60"/>
  <c r="S8" i="60"/>
  <c r="P8" i="60"/>
  <c r="L8" i="60"/>
  <c r="L13" i="60" s="1"/>
  <c r="K8" i="60"/>
  <c r="J8" i="60"/>
  <c r="J13" i="60" s="1"/>
  <c r="I8" i="60"/>
  <c r="E8" i="60"/>
  <c r="BO7" i="60"/>
  <c r="BC7" i="60"/>
  <c r="AY7" i="60"/>
  <c r="AU7" i="60"/>
  <c r="AT7" i="60"/>
  <c r="AS7" i="60"/>
  <c r="AR7" i="60"/>
  <c r="BO6" i="60"/>
  <c r="BK6" i="60"/>
  <c r="BG6" i="60"/>
  <c r="BC6" i="60"/>
  <c r="AU6" i="60"/>
  <c r="AT6" i="60"/>
  <c r="AS6" i="60"/>
  <c r="AR6" i="60"/>
  <c r="AD6" i="60"/>
  <c r="W6" i="60"/>
  <c r="P6" i="60"/>
  <c r="BO5" i="60"/>
  <c r="BK5" i="60"/>
  <c r="BG5" i="60"/>
  <c r="BC5" i="60"/>
  <c r="AY5" i="60"/>
  <c r="AU5" i="60"/>
  <c r="AT5" i="60"/>
  <c r="AS5" i="60"/>
  <c r="AR5" i="60"/>
  <c r="AG5" i="60"/>
  <c r="AF5" i="60"/>
  <c r="AE5" i="60"/>
  <c r="AD5" i="60"/>
  <c r="Y5" i="60"/>
  <c r="X5" i="60"/>
  <c r="R5" i="60"/>
  <c r="AM5" i="60" s="1"/>
  <c r="Q5" i="60"/>
  <c r="AL5" i="60" s="1"/>
  <c r="L5" i="60"/>
  <c r="E5" i="60"/>
  <c r="BO4" i="60"/>
  <c r="BK4" i="60"/>
  <c r="BG4" i="60"/>
  <c r="BC4" i="60"/>
  <c r="AY4" i="60"/>
  <c r="AY6" i="60" s="1"/>
  <c r="AU4" i="60"/>
  <c r="AT4" i="60"/>
  <c r="AS4" i="60"/>
  <c r="AR4" i="60"/>
  <c r="AU3" i="60"/>
  <c r="AT3" i="60"/>
  <c r="AS3" i="60"/>
  <c r="AR3" i="60"/>
  <c r="AN3" i="60"/>
  <c r="AM3" i="60"/>
  <c r="AL3" i="60"/>
  <c r="AK3" i="60"/>
  <c r="AG3" i="60"/>
  <c r="AF3" i="60"/>
  <c r="AE3" i="60"/>
  <c r="AD3" i="60"/>
  <c r="Z3" i="60"/>
  <c r="Y3" i="60"/>
  <c r="X3" i="60"/>
  <c r="W3" i="60"/>
  <c r="S3" i="60"/>
  <c r="R3" i="60"/>
  <c r="Q3" i="60"/>
  <c r="P3" i="60"/>
  <c r="C3" i="60"/>
  <c r="AN2" i="60"/>
  <c r="AM2" i="60"/>
  <c r="AL2" i="60"/>
  <c r="AK2" i="60"/>
  <c r="AG2" i="60"/>
  <c r="AF2" i="60"/>
  <c r="AE2" i="60"/>
  <c r="AD2" i="60"/>
  <c r="Z2" i="60"/>
  <c r="Y2" i="60"/>
  <c r="Y4" i="60" s="1"/>
  <c r="Y8" i="60" s="1"/>
  <c r="Y11" i="60" s="1"/>
  <c r="X2" i="60"/>
  <c r="W2" i="60"/>
  <c r="S2" i="60"/>
  <c r="R2" i="60"/>
  <c r="Q2" i="60"/>
  <c r="P2" i="60"/>
  <c r="P4" i="60" s="1"/>
  <c r="O53" i="58"/>
  <c r="C51" i="58"/>
  <c r="B50" i="58"/>
  <c r="C49" i="58"/>
  <c r="O48" i="58"/>
  <c r="C47" i="58"/>
  <c r="S29" i="58" s="1"/>
  <c r="A45" i="58"/>
  <c r="O43" i="58"/>
  <c r="B43" i="58"/>
  <c r="B42" i="58"/>
  <c r="C39" i="58"/>
  <c r="O38" i="58"/>
  <c r="S37" i="58"/>
  <c r="A35" i="58"/>
  <c r="S34" i="58"/>
  <c r="S33" i="58"/>
  <c r="B33" i="58"/>
  <c r="S32" i="58"/>
  <c r="B32" i="58"/>
  <c r="C37" i="58" s="1"/>
  <c r="S31" i="58"/>
  <c r="S30" i="58"/>
  <c r="O29" i="58"/>
  <c r="O26" i="58"/>
  <c r="O25" i="58"/>
  <c r="B25" i="58"/>
  <c r="B38" i="58" s="1"/>
  <c r="O7" i="58" s="1"/>
  <c r="S24" i="58"/>
  <c r="O24" i="58"/>
  <c r="O23" i="58"/>
  <c r="O22" i="58"/>
  <c r="S21" i="58"/>
  <c r="S20" i="58"/>
  <c r="O20" i="58"/>
  <c r="S19" i="58"/>
  <c r="O19" i="58"/>
  <c r="J19" i="58"/>
  <c r="S18" i="58"/>
  <c r="J18" i="58"/>
  <c r="S17" i="58"/>
  <c r="S16" i="58"/>
  <c r="S15" i="58"/>
  <c r="S14" i="58"/>
  <c r="O14" i="58"/>
  <c r="E14" i="58"/>
  <c r="F14" i="58" s="1"/>
  <c r="D14" i="58"/>
  <c r="S13" i="58"/>
  <c r="W12" i="58"/>
  <c r="S12" i="58"/>
  <c r="J12" i="58"/>
  <c r="B12" i="58"/>
  <c r="W11" i="58"/>
  <c r="S11" i="58"/>
  <c r="O11" i="58"/>
  <c r="J11" i="58"/>
  <c r="B11" i="58"/>
  <c r="W10" i="58"/>
  <c r="S10" i="58"/>
  <c r="O10" i="58"/>
  <c r="J10" i="58"/>
  <c r="W9" i="58"/>
  <c r="S9" i="58"/>
  <c r="O9" i="58"/>
  <c r="J9" i="58"/>
  <c r="D9" i="58"/>
  <c r="W8" i="58"/>
  <c r="S8" i="58"/>
  <c r="O8" i="58"/>
  <c r="J8" i="58"/>
  <c r="W7" i="58"/>
  <c r="S7" i="58"/>
  <c r="W6" i="58"/>
  <c r="S6" i="58"/>
  <c r="O6" i="58"/>
  <c r="W5" i="58"/>
  <c r="S5" i="58"/>
  <c r="E5" i="58"/>
  <c r="W4" i="58"/>
  <c r="W14" i="58" s="1"/>
  <c r="S4" i="58"/>
  <c r="O4" i="58"/>
  <c r="O3" i="58"/>
  <c r="C3" i="58"/>
  <c r="W59" i="57"/>
  <c r="W57" i="57"/>
  <c r="W56" i="57"/>
  <c r="W50" i="57"/>
  <c r="W48" i="57"/>
  <c r="S48" i="57"/>
  <c r="R48" i="57"/>
  <c r="Q48" i="57"/>
  <c r="P48" i="57"/>
  <c r="AD45" i="57"/>
  <c r="AG42" i="57"/>
  <c r="AF42" i="57"/>
  <c r="AE42" i="57"/>
  <c r="AD42" i="57"/>
  <c r="S42" i="57"/>
  <c r="R42" i="57"/>
  <c r="Q42" i="57"/>
  <c r="P42" i="57"/>
  <c r="Q34" i="57"/>
  <c r="P34" i="57"/>
  <c r="AG33" i="57"/>
  <c r="AF33" i="57"/>
  <c r="AE33" i="57"/>
  <c r="AD33" i="57"/>
  <c r="F32" i="57"/>
  <c r="F31" i="57"/>
  <c r="AD29" i="57"/>
  <c r="F29" i="57"/>
  <c r="AG26" i="57"/>
  <c r="AF26" i="57"/>
  <c r="AE26" i="57"/>
  <c r="AD26" i="57"/>
  <c r="O27" i="58" l="1"/>
  <c r="S22" i="58"/>
  <c r="O12" i="58"/>
  <c r="E13" i="58"/>
  <c r="S3" i="58"/>
  <c r="R4" i="60"/>
  <c r="R9" i="60" s="1"/>
  <c r="R21" i="60" s="1"/>
  <c r="R27" i="60" s="1"/>
  <c r="AD4" i="60"/>
  <c r="BK7" i="60"/>
  <c r="BK9" i="60" s="1"/>
  <c r="BK11" i="60" s="1"/>
  <c r="S5" i="60"/>
  <c r="AN5" i="60" s="1"/>
  <c r="Z5" i="60"/>
  <c r="P4" i="61"/>
  <c r="S4" i="61"/>
  <c r="BP6" i="61"/>
  <c r="AY6" i="62"/>
  <c r="S5" i="62"/>
  <c r="AN5" i="62" s="1"/>
  <c r="Q50" i="62"/>
  <c r="BG23" i="62"/>
  <c r="BG25" i="62" s="1"/>
  <c r="I27" i="62"/>
  <c r="BK27" i="62"/>
  <c r="BK29" i="62" s="1"/>
  <c r="BK31" i="62" s="1"/>
  <c r="BK37" i="62"/>
  <c r="BK39" i="62" s="1"/>
  <c r="BK41" i="62" s="1"/>
  <c r="N50" i="62"/>
  <c r="P4" i="63"/>
  <c r="S4" i="63"/>
  <c r="AG9" i="63"/>
  <c r="BT12" i="63"/>
  <c r="BT14" i="63" s="1"/>
  <c r="L16" i="63"/>
  <c r="BT13" i="63"/>
  <c r="BP21" i="63"/>
  <c r="BP23" i="63" s="1"/>
  <c r="BP27" i="63" s="1"/>
  <c r="BP29" i="63" s="1"/>
  <c r="Q4" i="64"/>
  <c r="Q8" i="64" s="1"/>
  <c r="Q20" i="64" s="1"/>
  <c r="Q27" i="64" s="1"/>
  <c r="BP6" i="64"/>
  <c r="BP13" i="64" s="1"/>
  <c r="BP15" i="64" s="1"/>
  <c r="AF6" i="64"/>
  <c r="AF9" i="64" s="1"/>
  <c r="X11" i="64"/>
  <c r="Y25" i="64"/>
  <c r="P4" i="65"/>
  <c r="S4" i="65"/>
  <c r="S8" i="65" s="1"/>
  <c r="S20" i="65" s="1"/>
  <c r="S27" i="65" s="1"/>
  <c r="AG9" i="65"/>
  <c r="BX14" i="65"/>
  <c r="BP19" i="65"/>
  <c r="BP21" i="65" s="1"/>
  <c r="BP23" i="65" s="1"/>
  <c r="BP27" i="65" s="1"/>
  <c r="BP29" i="65" s="1"/>
  <c r="BT26" i="65"/>
  <c r="BT27" i="65"/>
  <c r="AF48" i="65"/>
  <c r="P8" i="69"/>
  <c r="P20" i="69" s="1"/>
  <c r="P27" i="69" s="1"/>
  <c r="P28" i="69" s="1"/>
  <c r="P33" i="69" s="1"/>
  <c r="AN11" i="68"/>
  <c r="AN13" i="68" s="1"/>
  <c r="AN44" i="68"/>
  <c r="AN49" i="68" s="1"/>
  <c r="F13" i="58"/>
  <c r="W4" i="60"/>
  <c r="AE3" i="61"/>
  <c r="AE6" i="61" s="1"/>
  <c r="AE9" i="61" s="1"/>
  <c r="BX14" i="61"/>
  <c r="BT27" i="61"/>
  <c r="R8" i="63"/>
  <c r="R20" i="63" s="1"/>
  <c r="R27" i="63" s="1"/>
  <c r="AE6" i="63"/>
  <c r="AE9" i="63" s="1"/>
  <c r="BX14" i="64"/>
  <c r="W11" i="64"/>
  <c r="Z11" i="64"/>
  <c r="X25" i="64"/>
  <c r="AE6" i="65"/>
  <c r="AE9" i="65" s="1"/>
  <c r="BT12" i="65"/>
  <c r="BT14" i="65" s="1"/>
  <c r="L16" i="65"/>
  <c r="AV18" i="65"/>
  <c r="AV20" i="65" s="1"/>
  <c r="BT40" i="65"/>
  <c r="BT43" i="65" s="1"/>
  <c r="BT45" i="65" s="1"/>
  <c r="AL21" i="65"/>
  <c r="AD22" i="69"/>
  <c r="AD25" i="69" s="1"/>
  <c r="BG47" i="68"/>
  <c r="W14" i="68"/>
  <c r="AD14" i="61"/>
  <c r="P12" i="61"/>
  <c r="P12" i="68"/>
  <c r="AD7" i="60"/>
  <c r="AD11" i="60" s="1"/>
  <c r="AD16" i="60" s="1"/>
  <c r="AD17" i="68"/>
  <c r="AD19" i="68" s="1"/>
  <c r="R8" i="65"/>
  <c r="R20" i="65" s="1"/>
  <c r="R27" i="65" s="1"/>
  <c r="AL20" i="65"/>
  <c r="BA36" i="65"/>
  <c r="BA38" i="65" s="1"/>
  <c r="I13" i="60"/>
  <c r="K13" i="60"/>
  <c r="Z5" i="62"/>
  <c r="J13" i="62"/>
  <c r="L13" i="62"/>
  <c r="AY50" i="68"/>
  <c r="I44" i="68" s="1"/>
  <c r="BO14" i="60"/>
  <c r="N50" i="60"/>
  <c r="AL20" i="63"/>
  <c r="AL23" i="63" s="1"/>
  <c r="BA36" i="63"/>
  <c r="BA38" i="63" s="1"/>
  <c r="BP40" i="63"/>
  <c r="BP45" i="63" s="1"/>
  <c r="BP47" i="63" s="1"/>
  <c r="I46" i="63"/>
  <c r="R8" i="64"/>
  <c r="R20" i="64" s="1"/>
  <c r="R27" i="64" s="1"/>
  <c r="AV4" i="64"/>
  <c r="AV9" i="64" s="1"/>
  <c r="AV11" i="64" s="1"/>
  <c r="AE9" i="64"/>
  <c r="R8" i="61"/>
  <c r="R20" i="61" s="1"/>
  <c r="R27" i="61" s="1"/>
  <c r="AV4" i="61"/>
  <c r="AV9" i="61" s="1"/>
  <c r="AV11" i="61" s="1"/>
  <c r="AG9" i="61"/>
  <c r="BT12" i="61"/>
  <c r="BT14" i="61" s="1"/>
  <c r="BT26" i="61"/>
  <c r="BT28" i="61" s="1"/>
  <c r="I36" i="61"/>
  <c r="BT40" i="61"/>
  <c r="BT43" i="61" s="1"/>
  <c r="BT45" i="61" s="1"/>
  <c r="BG46" i="68"/>
  <c r="BG48" i="68" s="1"/>
  <c r="AF4" i="60"/>
  <c r="AF7" i="60" s="1"/>
  <c r="AF11" i="60" s="1"/>
  <c r="AF16" i="60" s="1"/>
  <c r="AK4" i="60"/>
  <c r="AM4" i="60"/>
  <c r="AM7" i="60" s="1"/>
  <c r="BG23" i="60"/>
  <c r="BG25" i="60" s="1"/>
  <c r="I27" i="60"/>
  <c r="BK27" i="60"/>
  <c r="BK29" i="60" s="1"/>
  <c r="BK31" i="60" s="1"/>
  <c r="BK37" i="60"/>
  <c r="BK39" i="60" s="1"/>
  <c r="BK41" i="60" s="1"/>
  <c r="BC40" i="60"/>
  <c r="I46" i="61"/>
  <c r="Q4" i="62"/>
  <c r="Q9" i="62" s="1"/>
  <c r="Q21" i="62" s="1"/>
  <c r="Q27" i="62" s="1"/>
  <c r="S4" i="62"/>
  <c r="S9" i="62" s="1"/>
  <c r="S21" i="62" s="1"/>
  <c r="S27" i="62" s="1"/>
  <c r="X4" i="62"/>
  <c r="X8" i="62" s="1"/>
  <c r="X11" i="62" s="1"/>
  <c r="Z4" i="62"/>
  <c r="Z8" i="62" s="1"/>
  <c r="Z11" i="62" s="1"/>
  <c r="AE4" i="62"/>
  <c r="AE7" i="62" s="1"/>
  <c r="AE11" i="62" s="1"/>
  <c r="AE16" i="62" s="1"/>
  <c r="AG4" i="62"/>
  <c r="AG7" i="62" s="1"/>
  <c r="AG11" i="62" s="1"/>
  <c r="AG16" i="62" s="1"/>
  <c r="AL4" i="62"/>
  <c r="AL7" i="62" s="1"/>
  <c r="AN4" i="62"/>
  <c r="AN7" i="62" s="1"/>
  <c r="BG7" i="62"/>
  <c r="BG9" i="62" s="1"/>
  <c r="BG15" i="62"/>
  <c r="BG17" i="62" s="1"/>
  <c r="AY40" i="62"/>
  <c r="BK47" i="62"/>
  <c r="BK49" i="62" s="1"/>
  <c r="BK51" i="62" s="1"/>
  <c r="S8" i="63"/>
  <c r="S20" i="63" s="1"/>
  <c r="S27" i="63" s="1"/>
  <c r="AN5" i="63"/>
  <c r="BP6" i="63"/>
  <c r="BP13" i="63" s="1"/>
  <c r="BP15" i="63" s="1"/>
  <c r="Q5" i="63"/>
  <c r="Q8" i="63" s="1"/>
  <c r="Q20" i="63" s="1"/>
  <c r="Q27" i="63" s="1"/>
  <c r="BT26" i="63"/>
  <c r="BT28" i="63" s="1"/>
  <c r="AD33" i="63"/>
  <c r="I36" i="63"/>
  <c r="BT40" i="63"/>
  <c r="BT43" i="63" s="1"/>
  <c r="BT45" i="63" s="1"/>
  <c r="S8" i="64"/>
  <c r="S20" i="64" s="1"/>
  <c r="S27" i="64" s="1"/>
  <c r="BT12" i="64"/>
  <c r="BT14" i="64" s="1"/>
  <c r="BT26" i="64"/>
  <c r="BT28" i="64" s="1"/>
  <c r="AV4" i="65"/>
  <c r="AV9" i="65" s="1"/>
  <c r="AV11" i="65" s="1"/>
  <c r="AD33" i="65"/>
  <c r="I36" i="65"/>
  <c r="I46" i="65"/>
  <c r="J13" i="58"/>
  <c r="Q4" i="60"/>
  <c r="Q9" i="60" s="1"/>
  <c r="Q21" i="60" s="1"/>
  <c r="Q27" i="60" s="1"/>
  <c r="S4" i="60"/>
  <c r="S9" i="60" s="1"/>
  <c r="S21" i="60" s="1"/>
  <c r="S27" i="60" s="1"/>
  <c r="X4" i="60"/>
  <c r="X8" i="60" s="1"/>
  <c r="X11" i="60" s="1"/>
  <c r="Z4" i="60"/>
  <c r="Z8" i="60" s="1"/>
  <c r="Z11" i="60" s="1"/>
  <c r="AE4" i="60"/>
  <c r="AE7" i="60" s="1"/>
  <c r="AE11" i="60" s="1"/>
  <c r="AE16" i="60" s="1"/>
  <c r="AG4" i="60"/>
  <c r="AG7" i="60" s="1"/>
  <c r="AG11" i="60" s="1"/>
  <c r="AG16" i="60" s="1"/>
  <c r="AL4" i="60"/>
  <c r="AL7" i="60" s="1"/>
  <c r="AN4" i="60"/>
  <c r="AN7" i="60" s="1"/>
  <c r="BG7" i="60"/>
  <c r="BG9" i="60" s="1"/>
  <c r="BG15" i="60"/>
  <c r="BG17" i="60" s="1"/>
  <c r="BK17" i="60"/>
  <c r="BK19" i="60" s="1"/>
  <c r="BK21" i="60" s="1"/>
  <c r="I22" i="60"/>
  <c r="AY21" i="60"/>
  <c r="AY23" i="60" s="1"/>
  <c r="I38" i="60"/>
  <c r="AY40" i="60"/>
  <c r="BK47" i="60"/>
  <c r="BK49" i="60" s="1"/>
  <c r="BK51" i="60" s="1"/>
  <c r="BG47" i="60" s="1"/>
  <c r="Q8" i="61"/>
  <c r="Q20" i="61" s="1"/>
  <c r="Q27" i="61" s="1"/>
  <c r="S8" i="61"/>
  <c r="S20" i="61" s="1"/>
  <c r="S27" i="61" s="1"/>
  <c r="AF9" i="61"/>
  <c r="AN5" i="61"/>
  <c r="BP13" i="61"/>
  <c r="BP15" i="61" s="1"/>
  <c r="BP21" i="61"/>
  <c r="BP23" i="61" s="1"/>
  <c r="AL20" i="61"/>
  <c r="AL23" i="61" s="1"/>
  <c r="BA36" i="61"/>
  <c r="BA38" i="61" s="1"/>
  <c r="AD33" i="61"/>
  <c r="BP45" i="61"/>
  <c r="BP47" i="61" s="1"/>
  <c r="BP49" i="61" s="1"/>
  <c r="I49" i="61" s="1"/>
  <c r="P4" i="62"/>
  <c r="R4" i="62"/>
  <c r="R9" i="62" s="1"/>
  <c r="R21" i="62" s="1"/>
  <c r="R27" i="62" s="1"/>
  <c r="W4" i="62"/>
  <c r="Y4" i="62"/>
  <c r="Y8" i="62" s="1"/>
  <c r="Y11" i="62" s="1"/>
  <c r="AD4" i="62"/>
  <c r="AD7" i="62" s="1"/>
  <c r="AD11" i="62" s="1"/>
  <c r="AD16" i="62" s="1"/>
  <c r="AF4" i="62"/>
  <c r="AF7" i="62" s="1"/>
  <c r="AF11" i="62" s="1"/>
  <c r="AF16" i="62" s="1"/>
  <c r="AK4" i="62"/>
  <c r="AM4" i="62"/>
  <c r="AM7" i="62" s="1"/>
  <c r="BK7" i="62"/>
  <c r="BK9" i="62" s="1"/>
  <c r="BK11" i="62" s="1"/>
  <c r="AL20" i="64"/>
  <c r="AL23" i="64" s="1"/>
  <c r="BA36" i="64"/>
  <c r="BA38" i="64" s="1"/>
  <c r="AD33" i="64"/>
  <c r="I36" i="64"/>
  <c r="I46" i="64"/>
  <c r="BK17" i="62"/>
  <c r="BK19" i="62" s="1"/>
  <c r="BK21" i="62" s="1"/>
  <c r="I22" i="62"/>
  <c r="AY21" i="62"/>
  <c r="AY23" i="62" s="1"/>
  <c r="I38" i="62"/>
  <c r="BP49" i="63"/>
  <c r="I49" i="63" s="1"/>
  <c r="P29" i="11"/>
  <c r="P31" i="11" s="1"/>
  <c r="W45" i="11" s="1"/>
  <c r="Q29" i="11"/>
  <c r="Q31" i="11" s="1"/>
  <c r="X45" i="11" s="1"/>
  <c r="R29" i="11"/>
  <c r="R31" i="11" s="1"/>
  <c r="Y45" i="11" s="1"/>
  <c r="P29" i="49"/>
  <c r="P31" i="49" s="1"/>
  <c r="W45" i="49" s="1"/>
  <c r="Q29" i="49"/>
  <c r="Q31" i="49" s="1"/>
  <c r="X45" i="49" s="1"/>
  <c r="R29" i="49"/>
  <c r="R31" i="49" s="1"/>
  <c r="Y45" i="49" s="1"/>
  <c r="P29" i="43"/>
  <c r="P31" i="43" s="1"/>
  <c r="W45" i="43" s="1"/>
  <c r="Q29" i="43"/>
  <c r="Q31" i="43" s="1"/>
  <c r="X45" i="43" s="1"/>
  <c r="R29" i="43"/>
  <c r="R31" i="43" s="1"/>
  <c r="Y45" i="43" s="1"/>
  <c r="P29" i="37"/>
  <c r="P31" i="37" s="1"/>
  <c r="W45" i="37" s="1"/>
  <c r="Q29" i="37"/>
  <c r="Q31" i="37" s="1"/>
  <c r="X45" i="37" s="1"/>
  <c r="R29" i="37"/>
  <c r="R31" i="37" s="1"/>
  <c r="Y45" i="37" s="1"/>
  <c r="P29" i="63"/>
  <c r="P31" i="63" s="1"/>
  <c r="W45" i="63" s="1"/>
  <c r="Q29" i="63"/>
  <c r="Q31" i="63" s="1"/>
  <c r="X45" i="63" s="1"/>
  <c r="R29" i="63"/>
  <c r="R31" i="63" s="1"/>
  <c r="Y45" i="63" s="1"/>
  <c r="P29" i="61"/>
  <c r="P31" i="61" s="1"/>
  <c r="W45" i="61" s="1"/>
  <c r="Q29" i="61"/>
  <c r="Q31" i="61" s="1"/>
  <c r="X45" i="61" s="1"/>
  <c r="R29" i="61"/>
  <c r="R31" i="61" s="1"/>
  <c r="Y45" i="61" s="1"/>
  <c r="P29" i="30"/>
  <c r="P31" i="30" s="1"/>
  <c r="W45" i="30" s="1"/>
  <c r="Q29" i="30"/>
  <c r="Q31" i="30" s="1"/>
  <c r="X45" i="30" s="1"/>
  <c r="R29" i="30"/>
  <c r="R31" i="30" s="1"/>
  <c r="Y45" i="30" s="1"/>
  <c r="J21" i="58"/>
  <c r="P29" i="55"/>
  <c r="P31" i="55" s="1"/>
  <c r="W45" i="55" s="1"/>
  <c r="Q29" i="55"/>
  <c r="Q31" i="55" s="1"/>
  <c r="X45" i="55" s="1"/>
  <c r="R29" i="55"/>
  <c r="R31" i="55" s="1"/>
  <c r="Y45" i="55" s="1"/>
  <c r="BP49" i="69"/>
  <c r="I49" i="69" s="1"/>
  <c r="P29" i="24"/>
  <c r="P31" i="24" s="1"/>
  <c r="W45" i="24" s="1"/>
  <c r="Q29" i="24"/>
  <c r="Q31" i="24" s="1"/>
  <c r="X45" i="24" s="1"/>
  <c r="R29" i="24"/>
  <c r="R31" i="24" s="1"/>
  <c r="Y45" i="24" s="1"/>
  <c r="AV36" i="69"/>
  <c r="AV38" i="69" s="1"/>
  <c r="AV31" i="69" s="1"/>
  <c r="AV32" i="69" s="1"/>
  <c r="AT36" i="69"/>
  <c r="AT38" i="69" s="1"/>
  <c r="AT31" i="69" s="1"/>
  <c r="AT32" i="69" s="1"/>
  <c r="AG42" i="68"/>
  <c r="AG44" i="68" s="1"/>
  <c r="AG37" i="68" s="1"/>
  <c r="AG38" i="68" s="1"/>
  <c r="AE42" i="68"/>
  <c r="AE44" i="68" s="1"/>
  <c r="AE37" i="68" s="1"/>
  <c r="AE38" i="68" s="1"/>
  <c r="X44" i="69"/>
  <c r="X47" i="69" s="1"/>
  <c r="X30" i="69"/>
  <c r="X33" i="69" s="1"/>
  <c r="AU18" i="69"/>
  <c r="AU20" i="69" s="1"/>
  <c r="AU28" i="69" s="1"/>
  <c r="AU30" i="69" s="1"/>
  <c r="X16" i="69"/>
  <c r="X19" i="69" s="1"/>
  <c r="BB11" i="69"/>
  <c r="BB15" i="69" s="1"/>
  <c r="BB17" i="69" s="1"/>
  <c r="AM3" i="69"/>
  <c r="AM5" i="69" s="1"/>
  <c r="BB2" i="69"/>
  <c r="BB6" i="69" s="1"/>
  <c r="BB8" i="69" s="1"/>
  <c r="AU2" i="69"/>
  <c r="AU4" i="69" s="1"/>
  <c r="AU9" i="69" s="1"/>
  <c r="AU11" i="69" s="1"/>
  <c r="X2" i="69"/>
  <c r="X5" i="69" s="1"/>
  <c r="Y44" i="69"/>
  <c r="Y47" i="69" s="1"/>
  <c r="Y30" i="69"/>
  <c r="Y33" i="69" s="1"/>
  <c r="Y16" i="69"/>
  <c r="Y19" i="69" s="1"/>
  <c r="BC11" i="69"/>
  <c r="BC15" i="69" s="1"/>
  <c r="BC17" i="69" s="1"/>
  <c r="AN3" i="69"/>
  <c r="AN5" i="69" s="1"/>
  <c r="BC2" i="69"/>
  <c r="BC6" i="69" s="1"/>
  <c r="BC8" i="69" s="1"/>
  <c r="Y2" i="69"/>
  <c r="Y5" i="69" s="1"/>
  <c r="Z44" i="69"/>
  <c r="Z47" i="69" s="1"/>
  <c r="Z30" i="69"/>
  <c r="Z33" i="69" s="1"/>
  <c r="AW18" i="69"/>
  <c r="AW20" i="69" s="1"/>
  <c r="AW28" i="69" s="1"/>
  <c r="AW30" i="69" s="1"/>
  <c r="Z16" i="69"/>
  <c r="Z19" i="69" s="1"/>
  <c r="AO3" i="69"/>
  <c r="AO5" i="69" s="1"/>
  <c r="AW2" i="69"/>
  <c r="AW4" i="69" s="1"/>
  <c r="AW9" i="69" s="1"/>
  <c r="AW11" i="69" s="1"/>
  <c r="Z2" i="69"/>
  <c r="Z5" i="69" s="1"/>
  <c r="W7" i="68"/>
  <c r="P7" i="68"/>
  <c r="AK6" i="68"/>
  <c r="W5" i="68"/>
  <c r="W8" i="68" s="1"/>
  <c r="W11" i="68" s="1"/>
  <c r="W22" i="68" s="1"/>
  <c r="W27" i="68" s="1"/>
  <c r="I9" i="68" s="1"/>
  <c r="I13" i="68" s="1"/>
  <c r="P5" i="68"/>
  <c r="AF42" i="68"/>
  <c r="AF44" i="68" s="1"/>
  <c r="AF37" i="68" s="1"/>
  <c r="AF38" i="68" s="1"/>
  <c r="AD42" i="68"/>
  <c r="AD44" i="68" s="1"/>
  <c r="AD37" i="68" s="1"/>
  <c r="AD38" i="68" s="1"/>
  <c r="Z31" i="68"/>
  <c r="Z33" i="68" s="1"/>
  <c r="Z39" i="68" s="1"/>
  <c r="Z41" i="68" s="1"/>
  <c r="Y31" i="68"/>
  <c r="Y33" i="68" s="1"/>
  <c r="Y39" i="68" s="1"/>
  <c r="Y41" i="68" s="1"/>
  <c r="X31" i="68"/>
  <c r="X33" i="68" s="1"/>
  <c r="X39" i="68" s="1"/>
  <c r="X41" i="68" s="1"/>
  <c r="BI15" i="69"/>
  <c r="AR35" i="68"/>
  <c r="AP22" i="69"/>
  <c r="AL30" i="69" s="1"/>
  <c r="AL31" i="69" s="1"/>
  <c r="I25" i="69" s="1"/>
  <c r="AR17" i="68"/>
  <c r="W3" i="11"/>
  <c r="Z3" i="11"/>
  <c r="Y3" i="11"/>
  <c r="X3" i="11"/>
  <c r="W17" i="11"/>
  <c r="X17" i="11"/>
  <c r="Y17" i="11"/>
  <c r="Z17" i="11"/>
  <c r="W31" i="11"/>
  <c r="X31" i="11"/>
  <c r="Y31" i="11"/>
  <c r="Z31" i="11"/>
  <c r="W3" i="61"/>
  <c r="X3" i="61"/>
  <c r="Y3" i="61"/>
  <c r="Z3" i="61"/>
  <c r="W3" i="55"/>
  <c r="Y3" i="55"/>
  <c r="Z3" i="55"/>
  <c r="W3" i="49"/>
  <c r="X3" i="49"/>
  <c r="Y3" i="49"/>
  <c r="Z3" i="49"/>
  <c r="W3" i="43"/>
  <c r="X3" i="43"/>
  <c r="Y3" i="43"/>
  <c r="Z3" i="43"/>
  <c r="W3" i="37"/>
  <c r="X3" i="37"/>
  <c r="Y3" i="37"/>
  <c r="Z3" i="37"/>
  <c r="W3" i="30"/>
  <c r="X3" i="30"/>
  <c r="Y3" i="30"/>
  <c r="Z3" i="30"/>
  <c r="X3" i="24"/>
  <c r="Y3" i="24"/>
  <c r="Z3" i="24"/>
  <c r="W3" i="63"/>
  <c r="X3" i="63"/>
  <c r="Y3" i="63"/>
  <c r="Z3" i="63"/>
  <c r="W17" i="61"/>
  <c r="X17" i="61"/>
  <c r="Y17" i="61"/>
  <c r="Z17" i="61"/>
  <c r="W17" i="55"/>
  <c r="X17" i="55"/>
  <c r="Y17" i="55"/>
  <c r="Z17" i="55"/>
  <c r="W17" i="49"/>
  <c r="X17" i="49"/>
  <c r="Y17" i="49"/>
  <c r="Z17" i="49"/>
  <c r="W17" i="43"/>
  <c r="X17" i="43"/>
  <c r="Y17" i="43"/>
  <c r="Z17" i="43"/>
  <c r="W17" i="37"/>
  <c r="X17" i="37"/>
  <c r="Y17" i="37"/>
  <c r="Z17" i="37"/>
  <c r="W17" i="30"/>
  <c r="X17" i="30"/>
  <c r="Y17" i="30"/>
  <c r="Z17" i="30"/>
  <c r="X17" i="24"/>
  <c r="Y17" i="24"/>
  <c r="Z17" i="24"/>
  <c r="W17" i="63"/>
  <c r="X17" i="63"/>
  <c r="Y17" i="63"/>
  <c r="Z17" i="63"/>
  <c r="W31" i="61"/>
  <c r="X31" i="61"/>
  <c r="Y31" i="61"/>
  <c r="Z31" i="61"/>
  <c r="W31" i="55"/>
  <c r="X31" i="55"/>
  <c r="Y31" i="55"/>
  <c r="Z31" i="55"/>
  <c r="W31" i="49"/>
  <c r="X31" i="49"/>
  <c r="Y31" i="49"/>
  <c r="Z31" i="49"/>
  <c r="W31" i="43"/>
  <c r="X31" i="43"/>
  <c r="Y31" i="43"/>
  <c r="Z31" i="43"/>
  <c r="W31" i="37"/>
  <c r="X31" i="37"/>
  <c r="Y31" i="37"/>
  <c r="Z31" i="37"/>
  <c r="W31" i="30"/>
  <c r="X31" i="30"/>
  <c r="Y31" i="30"/>
  <c r="Z31" i="30"/>
  <c r="W31" i="24"/>
  <c r="X31" i="24"/>
  <c r="Y31" i="24"/>
  <c r="Z31" i="24"/>
  <c r="W31" i="63"/>
  <c r="X31" i="63"/>
  <c r="Y31" i="63"/>
  <c r="Z31" i="63"/>
  <c r="Z45" i="65"/>
  <c r="Z31" i="65"/>
  <c r="Z17" i="65"/>
  <c r="Z3" i="65"/>
  <c r="P29" i="65"/>
  <c r="P31" i="65" s="1"/>
  <c r="W45" i="65" s="1"/>
  <c r="Q29" i="65"/>
  <c r="Q31" i="65" s="1"/>
  <c r="R29" i="65"/>
  <c r="R31" i="65" s="1"/>
  <c r="W3" i="65"/>
  <c r="Z45" i="64"/>
  <c r="Z31" i="64"/>
  <c r="Z17" i="64"/>
  <c r="Z3" i="64"/>
  <c r="P29" i="64"/>
  <c r="P31" i="64" s="1"/>
  <c r="W45" i="64" s="1"/>
  <c r="Q29" i="64"/>
  <c r="Q31" i="64" s="1"/>
  <c r="R29" i="64"/>
  <c r="R31" i="64" s="1"/>
  <c r="Z45" i="18"/>
  <c r="Z31" i="18"/>
  <c r="Z17" i="18"/>
  <c r="Z3" i="18"/>
  <c r="P29" i="18"/>
  <c r="P31" i="18" s="1"/>
  <c r="W45" i="18" s="1"/>
  <c r="Q29" i="18"/>
  <c r="Q31" i="18" s="1"/>
  <c r="R29" i="18"/>
  <c r="R31" i="18" s="1"/>
  <c r="P30" i="11"/>
  <c r="Q30" i="11"/>
  <c r="R30" i="11"/>
  <c r="S30" i="11"/>
  <c r="P30" i="55"/>
  <c r="Q30" i="55"/>
  <c r="R30" i="55"/>
  <c r="S30" i="55"/>
  <c r="P30" i="49"/>
  <c r="Q30" i="49"/>
  <c r="R30" i="49"/>
  <c r="S30" i="49"/>
  <c r="P30" i="43"/>
  <c r="Q30" i="43"/>
  <c r="R30" i="43"/>
  <c r="S30" i="43"/>
  <c r="P30" i="37"/>
  <c r="Q30" i="37"/>
  <c r="R30" i="37"/>
  <c r="S30" i="37"/>
  <c r="P30" i="30"/>
  <c r="Q30" i="30"/>
  <c r="R30" i="30"/>
  <c r="S30" i="30"/>
  <c r="P30" i="24"/>
  <c r="Q30" i="24"/>
  <c r="R30" i="24"/>
  <c r="S30" i="24"/>
  <c r="P30" i="65"/>
  <c r="Q30" i="65"/>
  <c r="R30" i="65"/>
  <c r="S30" i="65"/>
  <c r="P30" i="64"/>
  <c r="Q30" i="64"/>
  <c r="R30" i="64"/>
  <c r="S30" i="64"/>
  <c r="P30" i="63"/>
  <c r="Q30" i="63"/>
  <c r="R30" i="63"/>
  <c r="S30" i="63"/>
  <c r="P30" i="61"/>
  <c r="Q30" i="61"/>
  <c r="R30" i="61"/>
  <c r="S30" i="61"/>
  <c r="AP29" i="65"/>
  <c r="AP21" i="65"/>
  <c r="AP18" i="65"/>
  <c r="AP19" i="65" s="1"/>
  <c r="AD38" i="65"/>
  <c r="AH36" i="65"/>
  <c r="BL27" i="65"/>
  <c r="BL28" i="65" s="1"/>
  <c r="BL30" i="65" s="1"/>
  <c r="BK27" i="65"/>
  <c r="BJ27" i="65"/>
  <c r="BI27" i="65"/>
  <c r="BI28" i="65" s="1"/>
  <c r="BI30" i="65" s="1"/>
  <c r="AW27" i="65"/>
  <c r="AV27" i="65"/>
  <c r="AU27" i="65"/>
  <c r="AT27" i="65"/>
  <c r="BP26" i="65"/>
  <c r="S24" i="65"/>
  <c r="S25" i="65" s="1"/>
  <c r="S28" i="65" s="1"/>
  <c r="S33" i="65" s="1"/>
  <c r="R24" i="65"/>
  <c r="Q24" i="65"/>
  <c r="P24" i="65"/>
  <c r="P25" i="65" s="1"/>
  <c r="AG21" i="65"/>
  <c r="AG22" i="65" s="1"/>
  <c r="AG25" i="65" s="1"/>
  <c r="AF21" i="65"/>
  <c r="AF22" i="65" s="1"/>
  <c r="AF25" i="65" s="1"/>
  <c r="AE21" i="65"/>
  <c r="AE22" i="65" s="1"/>
  <c r="AE25" i="65" s="1"/>
  <c r="AD21" i="65"/>
  <c r="AF50" i="65"/>
  <c r="AG48" i="65"/>
  <c r="AB50" i="65"/>
  <c r="AC48" i="65"/>
  <c r="BA4" i="65"/>
  <c r="BB4" i="65"/>
  <c r="BC4" i="65"/>
  <c r="AT8" i="65"/>
  <c r="AU8" i="65"/>
  <c r="AV8" i="65"/>
  <c r="AW8" i="65"/>
  <c r="BI10" i="65"/>
  <c r="BI11" i="65" s="1"/>
  <c r="BI13" i="65" s="1"/>
  <c r="BJ10" i="65"/>
  <c r="BJ11" i="65" s="1"/>
  <c r="BJ13" i="65" s="1"/>
  <c r="BK10" i="65"/>
  <c r="BK11" i="65" s="1"/>
  <c r="BK13" i="65" s="1"/>
  <c r="BL10" i="65"/>
  <c r="BL11" i="65" s="1"/>
  <c r="BL13" i="65" s="1"/>
  <c r="AT28" i="65"/>
  <c r="AT30" i="65" s="1"/>
  <c r="AV28" i="65"/>
  <c r="AV30" i="65" s="1"/>
  <c r="BJ28" i="65"/>
  <c r="BJ30" i="65" s="1"/>
  <c r="BK28" i="65"/>
  <c r="BK30" i="65" s="1"/>
  <c r="Q25" i="65"/>
  <c r="Q28" i="65" s="1"/>
  <c r="R25" i="65"/>
  <c r="R28" i="65" s="1"/>
  <c r="R33" i="65" s="1"/>
  <c r="AD39" i="65"/>
  <c r="AH37" i="65"/>
  <c r="AH39" i="65" s="1"/>
  <c r="BA13" i="65"/>
  <c r="BB13" i="65"/>
  <c r="BC13" i="65"/>
  <c r="BP35" i="65"/>
  <c r="BP40" i="65" s="1"/>
  <c r="BP45" i="65" s="1"/>
  <c r="BP47" i="65" s="1"/>
  <c r="BP49" i="65" s="1"/>
  <c r="I49" i="65" s="1"/>
  <c r="W39" i="65"/>
  <c r="X39" i="65"/>
  <c r="Y39" i="65"/>
  <c r="Z39" i="65"/>
  <c r="W53" i="65"/>
  <c r="X53" i="65"/>
  <c r="Y53" i="65"/>
  <c r="AP29" i="64"/>
  <c r="AP21" i="64"/>
  <c r="AP18" i="64"/>
  <c r="AP19" i="64" s="1"/>
  <c r="AD38" i="64"/>
  <c r="AH36" i="64"/>
  <c r="BL27" i="64"/>
  <c r="BK27" i="64"/>
  <c r="BJ27" i="64"/>
  <c r="BI27" i="64"/>
  <c r="AW27" i="64"/>
  <c r="AV27" i="64"/>
  <c r="AU27" i="64"/>
  <c r="AT27" i="64"/>
  <c r="BP26" i="64"/>
  <c r="S24" i="64"/>
  <c r="S25" i="64" s="1"/>
  <c r="R24" i="64"/>
  <c r="Q24" i="64"/>
  <c r="P24" i="64"/>
  <c r="P25" i="64" s="1"/>
  <c r="AG21" i="64"/>
  <c r="AG22" i="64" s="1"/>
  <c r="AG25" i="64" s="1"/>
  <c r="AF21" i="64"/>
  <c r="AF22" i="64" s="1"/>
  <c r="AF25" i="64" s="1"/>
  <c r="AE21" i="64"/>
  <c r="AE22" i="64" s="1"/>
  <c r="AE25" i="64" s="1"/>
  <c r="AD21" i="64"/>
  <c r="AP26" i="64"/>
  <c r="AP31" i="64" s="1"/>
  <c r="AL29" i="64" s="1"/>
  <c r="AP17" i="64"/>
  <c r="AF50" i="64"/>
  <c r="AG48" i="64"/>
  <c r="AB50" i="64"/>
  <c r="AC48" i="64"/>
  <c r="BA13" i="63"/>
  <c r="BB13" i="63"/>
  <c r="BC13" i="63"/>
  <c r="W39" i="63"/>
  <c r="X39" i="63"/>
  <c r="Y39" i="63"/>
  <c r="Z39" i="63"/>
  <c r="AF48" i="63"/>
  <c r="AF50" i="63" s="1"/>
  <c r="AD14" i="63" s="1"/>
  <c r="W53" i="63"/>
  <c r="X53" i="63"/>
  <c r="Y53" i="63"/>
  <c r="BA4" i="64"/>
  <c r="BB4" i="64"/>
  <c r="BC4" i="64"/>
  <c r="AT8" i="64"/>
  <c r="AU8" i="64"/>
  <c r="AV8" i="64"/>
  <c r="AW8" i="64"/>
  <c r="BI10" i="64"/>
  <c r="BI11" i="64" s="1"/>
  <c r="BI13" i="64" s="1"/>
  <c r="BJ10" i="64"/>
  <c r="BJ11" i="64" s="1"/>
  <c r="BJ13" i="64" s="1"/>
  <c r="BK10" i="64"/>
  <c r="BK11" i="64" s="1"/>
  <c r="BK13" i="64" s="1"/>
  <c r="BL10" i="64"/>
  <c r="BL11" i="64" s="1"/>
  <c r="BL13" i="64" s="1"/>
  <c r="BP27" i="64"/>
  <c r="BP29" i="64" s="1"/>
  <c r="AT28" i="64"/>
  <c r="AT30" i="64" s="1"/>
  <c r="AV28" i="64"/>
  <c r="AV30" i="64" s="1"/>
  <c r="BI28" i="64"/>
  <c r="BI30" i="64" s="1"/>
  <c r="BJ28" i="64"/>
  <c r="BJ30" i="64" s="1"/>
  <c r="BK28" i="64"/>
  <c r="BK30" i="64" s="1"/>
  <c r="BL28" i="64"/>
  <c r="BL30" i="64" s="1"/>
  <c r="Q25" i="64"/>
  <c r="Q28" i="64" s="1"/>
  <c r="R25" i="64"/>
  <c r="R28" i="64" s="1"/>
  <c r="R33" i="64" s="1"/>
  <c r="AD39" i="64"/>
  <c r="AH37" i="64"/>
  <c r="AH39" i="64" s="1"/>
  <c r="BA13" i="64"/>
  <c r="BB13" i="64"/>
  <c r="BC13" i="64"/>
  <c r="BP35" i="64"/>
  <c r="BP40" i="64" s="1"/>
  <c r="BP45" i="64" s="1"/>
  <c r="BP47" i="64" s="1"/>
  <c r="BP49" i="64" s="1"/>
  <c r="I49" i="64" s="1"/>
  <c r="W39" i="64"/>
  <c r="X39" i="64"/>
  <c r="Y39" i="64"/>
  <c r="Z39" i="64"/>
  <c r="W53" i="64"/>
  <c r="X53" i="64"/>
  <c r="Y53" i="64"/>
  <c r="AL44" i="62"/>
  <c r="AL49" i="62" s="1"/>
  <c r="AL35" i="62"/>
  <c r="AL40" i="62" s="1"/>
  <c r="AL23" i="62"/>
  <c r="AL25" i="62" s="1"/>
  <c r="AL11" i="62"/>
  <c r="AL13" i="62" s="1"/>
  <c r="AM44" i="62"/>
  <c r="AM49" i="62" s="1"/>
  <c r="AM35" i="62"/>
  <c r="AM40" i="62" s="1"/>
  <c r="AM23" i="62"/>
  <c r="AM25" i="62" s="1"/>
  <c r="AM11" i="62"/>
  <c r="AM13" i="62" s="1"/>
  <c r="AN44" i="62"/>
  <c r="AN49" i="62" s="1"/>
  <c r="AN35" i="62"/>
  <c r="AN40" i="62" s="1"/>
  <c r="AN23" i="62"/>
  <c r="AN25" i="62" s="1"/>
  <c r="AN11" i="62"/>
  <c r="AN13" i="62" s="1"/>
  <c r="Z55" i="62"/>
  <c r="Z56" i="62" s="1"/>
  <c r="Z59" i="62" s="1"/>
  <c r="Z61" i="62" s="1"/>
  <c r="Y55" i="62"/>
  <c r="X55" i="62"/>
  <c r="W55" i="62"/>
  <c r="W56" i="62" s="1"/>
  <c r="W59" i="62" s="1"/>
  <c r="W61" i="62" s="1"/>
  <c r="AU49" i="62"/>
  <c r="AT49" i="62"/>
  <c r="AS49" i="62"/>
  <c r="AR49" i="62"/>
  <c r="AY44" i="62"/>
  <c r="BC43" i="62"/>
  <c r="Z38" i="62"/>
  <c r="Y38" i="62"/>
  <c r="X38" i="62"/>
  <c r="W38" i="62"/>
  <c r="AG33" i="62"/>
  <c r="AF33" i="62"/>
  <c r="AE33" i="62"/>
  <c r="AD33" i="62"/>
  <c r="AU30" i="62"/>
  <c r="AU31" i="62" s="1"/>
  <c r="AU33" i="62" s="1"/>
  <c r="AT30" i="62"/>
  <c r="AS30" i="62"/>
  <c r="AR30" i="62"/>
  <c r="AR31" i="62" s="1"/>
  <c r="AR33" i="62" s="1"/>
  <c r="AY26" i="62"/>
  <c r="BC25" i="62"/>
  <c r="S25" i="62"/>
  <c r="S26" i="62" s="1"/>
  <c r="R25" i="62"/>
  <c r="Q25" i="62"/>
  <c r="P25" i="62"/>
  <c r="P26" i="62" s="1"/>
  <c r="Z21" i="62"/>
  <c r="Y21" i="62"/>
  <c r="X21" i="62"/>
  <c r="W21" i="62"/>
  <c r="AG14" i="62"/>
  <c r="AF14" i="62"/>
  <c r="AE14" i="62"/>
  <c r="AD14" i="62"/>
  <c r="AY12" i="62"/>
  <c r="AY13" i="62" s="1"/>
  <c r="AY15" i="62" s="1"/>
  <c r="AU12" i="62"/>
  <c r="AT12" i="62"/>
  <c r="AT13" i="62" s="1"/>
  <c r="AT15" i="62" s="1"/>
  <c r="AS12" i="62"/>
  <c r="AR12" i="62"/>
  <c r="AR13" i="62" s="1"/>
  <c r="AR15" i="62" s="1"/>
  <c r="BC11" i="62"/>
  <c r="X22" i="62"/>
  <c r="X27" i="62" s="1"/>
  <c r="Y22" i="62"/>
  <c r="Y27" i="62" s="1"/>
  <c r="Z22" i="62"/>
  <c r="Z27" i="62" s="1"/>
  <c r="AS13" i="62"/>
  <c r="AS15" i="62" s="1"/>
  <c r="AU13" i="62"/>
  <c r="AU15" i="62" s="1"/>
  <c r="BC12" i="62"/>
  <c r="BC14" i="62" s="1"/>
  <c r="AM18" i="62"/>
  <c r="AN18" i="62"/>
  <c r="AN30" i="62" s="1"/>
  <c r="AD15" i="62"/>
  <c r="AD17" i="62" s="1"/>
  <c r="AD19" i="62" s="1"/>
  <c r="AE15" i="62"/>
  <c r="AE17" i="62" s="1"/>
  <c r="AE19" i="62" s="1"/>
  <c r="AF15" i="62"/>
  <c r="AF17" i="62" s="1"/>
  <c r="AF19" i="62" s="1"/>
  <c r="AG15" i="62"/>
  <c r="AG17" i="62" s="1"/>
  <c r="AG19" i="62" s="1"/>
  <c r="BC26" i="62"/>
  <c r="BC28" i="62" s="1"/>
  <c r="AY27" i="62"/>
  <c r="AY29" i="62" s="1"/>
  <c r="Q26" i="62"/>
  <c r="R26" i="62"/>
  <c r="AD34" i="62"/>
  <c r="AD36" i="62" s="1"/>
  <c r="AF34" i="62"/>
  <c r="AF36" i="62" s="1"/>
  <c r="Q52" i="62"/>
  <c r="R50" i="62"/>
  <c r="X49" i="62"/>
  <c r="X56" i="62" s="1"/>
  <c r="X59" i="62" s="1"/>
  <c r="X61" i="62" s="1"/>
  <c r="AS39" i="62"/>
  <c r="N52" i="62"/>
  <c r="O50" i="62"/>
  <c r="AD38" i="63"/>
  <c r="AH36" i="63"/>
  <c r="AH37" i="63" s="1"/>
  <c r="AH39" i="63" s="1"/>
  <c r="BL27" i="63"/>
  <c r="BL28" i="63" s="1"/>
  <c r="BL30" i="63" s="1"/>
  <c r="BK27" i="63"/>
  <c r="BK28" i="63" s="1"/>
  <c r="BK30" i="63" s="1"/>
  <c r="BJ27" i="63"/>
  <c r="BJ28" i="63" s="1"/>
  <c r="BJ30" i="63" s="1"/>
  <c r="BI27" i="63"/>
  <c r="BI28" i="63" s="1"/>
  <c r="BI30" i="63" s="1"/>
  <c r="AW27" i="63"/>
  <c r="AV27" i="63"/>
  <c r="AU27" i="63"/>
  <c r="AT27" i="63"/>
  <c r="BP26" i="63"/>
  <c r="S24" i="63"/>
  <c r="S25" i="63" s="1"/>
  <c r="R24" i="63"/>
  <c r="R25" i="63" s="1"/>
  <c r="Q24" i="63"/>
  <c r="Q25" i="63" s="1"/>
  <c r="P24" i="63"/>
  <c r="P25" i="63" s="1"/>
  <c r="AG21" i="63"/>
  <c r="AF21" i="63"/>
  <c r="AE21" i="63"/>
  <c r="AE22" i="63" s="1"/>
  <c r="AE25" i="63" s="1"/>
  <c r="AD21" i="63"/>
  <c r="BL10" i="63"/>
  <c r="BK10" i="63"/>
  <c r="BK11" i="63" s="1"/>
  <c r="BK13" i="63" s="1"/>
  <c r="BJ10" i="63"/>
  <c r="BI10" i="63"/>
  <c r="AW8" i="63"/>
  <c r="AV8" i="63"/>
  <c r="AU8" i="63"/>
  <c r="AT8" i="63"/>
  <c r="AP26" i="63"/>
  <c r="AP31" i="63" s="1"/>
  <c r="AL29" i="63" s="1"/>
  <c r="AP17" i="63"/>
  <c r="AD13" i="63"/>
  <c r="P6" i="63"/>
  <c r="BA13" i="61"/>
  <c r="BB13" i="61"/>
  <c r="BC13" i="61"/>
  <c r="W39" i="61"/>
  <c r="X39" i="61"/>
  <c r="Y39" i="61"/>
  <c r="Z39" i="61"/>
  <c r="W53" i="61"/>
  <c r="X53" i="61"/>
  <c r="Y53" i="61"/>
  <c r="AM30" i="62"/>
  <c r="AS31" i="62"/>
  <c r="AS33" i="62" s="1"/>
  <c r="AT31" i="62"/>
  <c r="AT33" i="62" s="1"/>
  <c r="AE24" i="62"/>
  <c r="AE26" i="62" s="1"/>
  <c r="AE34" i="62" s="1"/>
  <c r="AE36" i="62" s="1"/>
  <c r="AG24" i="62"/>
  <c r="AG26" i="62" s="1"/>
  <c r="AG34" i="62" s="1"/>
  <c r="AG36" i="62" s="1"/>
  <c r="AY45" i="62"/>
  <c r="AY47" i="62" s="1"/>
  <c r="BC44" i="62"/>
  <c r="BC46" i="62" s="1"/>
  <c r="AT50" i="62"/>
  <c r="AT52" i="62" s="1"/>
  <c r="AU50" i="62"/>
  <c r="AU52" i="62" s="1"/>
  <c r="Y56" i="62"/>
  <c r="Y59" i="62" s="1"/>
  <c r="Y61" i="62" s="1"/>
  <c r="BI11" i="63"/>
  <c r="BI13" i="63" s="1"/>
  <c r="BJ11" i="63"/>
  <c r="BJ13" i="63" s="1"/>
  <c r="BL11" i="63"/>
  <c r="BL13" i="63" s="1"/>
  <c r="AF22" i="63"/>
  <c r="AF25" i="63" s="1"/>
  <c r="AG22" i="63"/>
  <c r="AG25" i="63" s="1"/>
  <c r="AT28" i="63"/>
  <c r="AT30" i="63" s="1"/>
  <c r="AV28" i="63"/>
  <c r="AV30" i="63" s="1"/>
  <c r="AD39" i="63"/>
  <c r="P30" i="62"/>
  <c r="Q30" i="62"/>
  <c r="R30" i="62"/>
  <c r="S30" i="62"/>
  <c r="AR39" i="62"/>
  <c r="AR50" i="62" s="1"/>
  <c r="AR52" i="62" s="1"/>
  <c r="BA4" i="63"/>
  <c r="BB4" i="63"/>
  <c r="BC4" i="63"/>
  <c r="AP18" i="63"/>
  <c r="AP19" i="63" s="1"/>
  <c r="AP21" i="63"/>
  <c r="AC48" i="63"/>
  <c r="AL44" i="60"/>
  <c r="AL49" i="60" s="1"/>
  <c r="AL35" i="60"/>
  <c r="AL40" i="60" s="1"/>
  <c r="AL23" i="60"/>
  <c r="AL25" i="60" s="1"/>
  <c r="AL11" i="60"/>
  <c r="AL13" i="60" s="1"/>
  <c r="AM44" i="60"/>
  <c r="AM49" i="60" s="1"/>
  <c r="AM35" i="60"/>
  <c r="AM40" i="60" s="1"/>
  <c r="AM23" i="60"/>
  <c r="AM25" i="60" s="1"/>
  <c r="AM11" i="60"/>
  <c r="AM13" i="60" s="1"/>
  <c r="AN44" i="60"/>
  <c r="AN49" i="60" s="1"/>
  <c r="AN35" i="60"/>
  <c r="AN40" i="60" s="1"/>
  <c r="AN23" i="60"/>
  <c r="AN25" i="60" s="1"/>
  <c r="AN11" i="60"/>
  <c r="AN13" i="60" s="1"/>
  <c r="AN18" i="60" s="1"/>
  <c r="Z55" i="60"/>
  <c r="Y55" i="60"/>
  <c r="X55" i="60"/>
  <c r="W55" i="60"/>
  <c r="AU49" i="60"/>
  <c r="AU50" i="60" s="1"/>
  <c r="AU52" i="60" s="1"/>
  <c r="AT49" i="60"/>
  <c r="AS49" i="60"/>
  <c r="AR49" i="60"/>
  <c r="AY44" i="60"/>
  <c r="BC43" i="60"/>
  <c r="Z38" i="60"/>
  <c r="Y38" i="60"/>
  <c r="X38" i="60"/>
  <c r="W38" i="60"/>
  <c r="AG33" i="60"/>
  <c r="AF33" i="60"/>
  <c r="AE33" i="60"/>
  <c r="AD33" i="60"/>
  <c r="AU30" i="60"/>
  <c r="AT30" i="60"/>
  <c r="AS30" i="60"/>
  <c r="AR30" i="60"/>
  <c r="AY26" i="60"/>
  <c r="BC25" i="60"/>
  <c r="S25" i="60"/>
  <c r="R25" i="60"/>
  <c r="Q25" i="60"/>
  <c r="P25" i="60"/>
  <c r="Z21" i="60"/>
  <c r="Z22" i="60" s="1"/>
  <c r="Z27" i="60" s="1"/>
  <c r="Y21" i="60"/>
  <c r="X21" i="60"/>
  <c r="W21" i="60"/>
  <c r="AG14" i="60"/>
  <c r="AF14" i="60"/>
  <c r="AE14" i="60"/>
  <c r="AE15" i="60" s="1"/>
  <c r="AE17" i="60" s="1"/>
  <c r="AE19" i="60" s="1"/>
  <c r="AD14" i="60"/>
  <c r="AY12" i="60"/>
  <c r="AY13" i="60" s="1"/>
  <c r="AY15" i="60" s="1"/>
  <c r="AU12" i="60"/>
  <c r="AT12" i="60"/>
  <c r="AT13" i="60" s="1"/>
  <c r="AT15" i="60" s="1"/>
  <c r="AS12" i="60"/>
  <c r="AR12" i="60"/>
  <c r="AR13" i="60" s="1"/>
  <c r="AR15" i="60" s="1"/>
  <c r="BC11" i="60"/>
  <c r="X22" i="60"/>
  <c r="X27" i="60" s="1"/>
  <c r="Y22" i="60"/>
  <c r="Y27" i="60" s="1"/>
  <c r="AS13" i="60"/>
  <c r="AS15" i="60" s="1"/>
  <c r="AU13" i="60"/>
  <c r="AU15" i="60" s="1"/>
  <c r="BC12" i="60"/>
  <c r="BC14" i="60" s="1"/>
  <c r="AL18" i="60"/>
  <c r="AM18" i="60"/>
  <c r="AD15" i="60"/>
  <c r="AD17" i="60" s="1"/>
  <c r="AD19" i="60" s="1"/>
  <c r="AF15" i="60"/>
  <c r="AF17" i="60" s="1"/>
  <c r="AF19" i="60" s="1"/>
  <c r="AG15" i="60"/>
  <c r="AG17" i="60" s="1"/>
  <c r="AG19" i="60" s="1"/>
  <c r="BC26" i="60"/>
  <c r="BC28" i="60" s="1"/>
  <c r="AY27" i="60"/>
  <c r="AY29" i="60" s="1"/>
  <c r="P26" i="60"/>
  <c r="Q26" i="60"/>
  <c r="R26" i="60"/>
  <c r="S26" i="60"/>
  <c r="AD34" i="60"/>
  <c r="AD36" i="60" s="1"/>
  <c r="AF34" i="60"/>
  <c r="AF36" i="60" s="1"/>
  <c r="Q52" i="60"/>
  <c r="R50" i="60"/>
  <c r="X49" i="60"/>
  <c r="X56" i="60" s="1"/>
  <c r="X59" i="60" s="1"/>
  <c r="X61" i="60" s="1"/>
  <c r="AS39" i="60"/>
  <c r="AS50" i="60" s="1"/>
  <c r="AS52" i="60" s="1"/>
  <c r="N52" i="60"/>
  <c r="O50" i="60"/>
  <c r="AD38" i="61"/>
  <c r="AH36" i="61"/>
  <c r="AH37" i="61" s="1"/>
  <c r="AH39" i="61" s="1"/>
  <c r="BL27" i="61"/>
  <c r="BL28" i="61" s="1"/>
  <c r="BL30" i="61" s="1"/>
  <c r="BK27" i="61"/>
  <c r="BK28" i="61" s="1"/>
  <c r="BK30" i="61" s="1"/>
  <c r="BJ27" i="61"/>
  <c r="BJ28" i="61" s="1"/>
  <c r="BJ30" i="61" s="1"/>
  <c r="BI27" i="61"/>
  <c r="BI28" i="61" s="1"/>
  <c r="BI30" i="61" s="1"/>
  <c r="AW27" i="61"/>
  <c r="AV27" i="61"/>
  <c r="AU27" i="61"/>
  <c r="AT27" i="61"/>
  <c r="BP26" i="61"/>
  <c r="S24" i="61"/>
  <c r="S25" i="61" s="1"/>
  <c r="R24" i="61"/>
  <c r="R25" i="61" s="1"/>
  <c r="Q24" i="61"/>
  <c r="Q25" i="61" s="1"/>
  <c r="P24" i="61"/>
  <c r="P25" i="61" s="1"/>
  <c r="AG21" i="61"/>
  <c r="AF21" i="61"/>
  <c r="AE21" i="61"/>
  <c r="AE22" i="61" s="1"/>
  <c r="AE25" i="61" s="1"/>
  <c r="AD21" i="61"/>
  <c r="BL10" i="61"/>
  <c r="BK10" i="61"/>
  <c r="BJ10" i="61"/>
  <c r="BI10" i="61"/>
  <c r="AW8" i="61"/>
  <c r="AV8" i="61"/>
  <c r="AU8" i="61"/>
  <c r="AT8" i="61"/>
  <c r="AP26" i="61"/>
  <c r="AP31" i="61" s="1"/>
  <c r="AL29" i="61" s="1"/>
  <c r="AP17" i="61"/>
  <c r="AD13" i="61"/>
  <c r="AD12" i="61"/>
  <c r="P11" i="61"/>
  <c r="P6" i="61"/>
  <c r="P5" i="61"/>
  <c r="AD3" i="61"/>
  <c r="AD6" i="61" s="1"/>
  <c r="AD9" i="61" s="1"/>
  <c r="S36" i="58"/>
  <c r="S35" i="58" s="1"/>
  <c r="Z56" i="60"/>
  <c r="Z59" i="60" s="1"/>
  <c r="Z61" i="60" s="1"/>
  <c r="AL30" i="60"/>
  <c r="AM30" i="60"/>
  <c r="AR31" i="60"/>
  <c r="AR33" i="60" s="1"/>
  <c r="AS31" i="60"/>
  <c r="AS33" i="60" s="1"/>
  <c r="AT31" i="60"/>
  <c r="AT33" i="60" s="1"/>
  <c r="AU31" i="60"/>
  <c r="AU33" i="60" s="1"/>
  <c r="AE24" i="60"/>
  <c r="AE26" i="60" s="1"/>
  <c r="AG24" i="60"/>
  <c r="AG26" i="60" s="1"/>
  <c r="AG34" i="60" s="1"/>
  <c r="AG36" i="60" s="1"/>
  <c r="AY45" i="60"/>
  <c r="AY47" i="60" s="1"/>
  <c r="BC44" i="60"/>
  <c r="BC46" i="60" s="1"/>
  <c r="W56" i="60"/>
  <c r="W59" i="60" s="1"/>
  <c r="W61" i="60" s="1"/>
  <c r="AT50" i="60"/>
  <c r="AT52" i="60" s="1"/>
  <c r="Y56" i="60"/>
  <c r="Y59" i="60" s="1"/>
  <c r="Y61" i="60" s="1"/>
  <c r="BI11" i="61"/>
  <c r="BI13" i="61" s="1"/>
  <c r="BJ11" i="61"/>
  <c r="BJ13" i="61" s="1"/>
  <c r="BK11" i="61"/>
  <c r="BK13" i="61" s="1"/>
  <c r="BL11" i="61"/>
  <c r="BL13" i="61" s="1"/>
  <c r="AF22" i="61"/>
  <c r="AF25" i="61" s="1"/>
  <c r="AG22" i="61"/>
  <c r="AG25" i="61" s="1"/>
  <c r="BP27" i="61"/>
  <c r="BP29" i="61" s="1"/>
  <c r="AT28" i="61"/>
  <c r="AT30" i="61" s="1"/>
  <c r="AV28" i="61"/>
  <c r="AV30" i="61" s="1"/>
  <c r="AD39" i="61"/>
  <c r="P30" i="60"/>
  <c r="Q30" i="60"/>
  <c r="R30" i="60"/>
  <c r="S30" i="60"/>
  <c r="AR39" i="60"/>
  <c r="BA4" i="61"/>
  <c r="BB4" i="61"/>
  <c r="BC4" i="61"/>
  <c r="AP18" i="61"/>
  <c r="AP19" i="61" s="1"/>
  <c r="AP20" i="61"/>
  <c r="AP21" i="61"/>
  <c r="AC48" i="61"/>
  <c r="AG48" i="61"/>
  <c r="O13" i="58"/>
  <c r="O15" i="58" s="1"/>
  <c r="J5" i="58" s="1"/>
  <c r="J24" i="58" s="1"/>
  <c r="O28" i="58"/>
  <c r="A34" i="58"/>
  <c r="A44" i="58"/>
  <c r="S23" i="58"/>
  <c r="S25" i="58" s="1"/>
  <c r="S25" i="57"/>
  <c r="R25" i="57"/>
  <c r="Q25" i="57"/>
  <c r="P25" i="57"/>
  <c r="F25" i="57"/>
  <c r="F22" i="57"/>
  <c r="AF4" i="57" s="1"/>
  <c r="AG19" i="57"/>
  <c r="AF19" i="57"/>
  <c r="AE19" i="57"/>
  <c r="AD19" i="57"/>
  <c r="W17" i="57"/>
  <c r="S17" i="57"/>
  <c r="R17" i="57"/>
  <c r="Q17" i="57"/>
  <c r="P17" i="57"/>
  <c r="E16" i="57"/>
  <c r="AD15" i="57"/>
  <c r="D14" i="57"/>
  <c r="I13" i="57"/>
  <c r="E13" i="57"/>
  <c r="AK12" i="57"/>
  <c r="AG12" i="57"/>
  <c r="AF12" i="57"/>
  <c r="AE12" i="57"/>
  <c r="AD12" i="57"/>
  <c r="I12" i="57"/>
  <c r="AK11" i="57"/>
  <c r="AK10" i="57"/>
  <c r="W10" i="57"/>
  <c r="Q10" i="57"/>
  <c r="P10" i="57"/>
  <c r="AK9" i="57"/>
  <c r="W9" i="57"/>
  <c r="Q9" i="57"/>
  <c r="P9" i="57"/>
  <c r="L9" i="57"/>
  <c r="K9" i="57"/>
  <c r="J9" i="57"/>
  <c r="I9" i="57"/>
  <c r="AK8" i="57"/>
  <c r="AK7" i="57"/>
  <c r="AK6" i="57"/>
  <c r="AK5" i="57"/>
  <c r="L5" i="57"/>
  <c r="AK4" i="57"/>
  <c r="AE4" i="57"/>
  <c r="Z4" i="57"/>
  <c r="Y4" i="57"/>
  <c r="X4" i="57"/>
  <c r="W4" i="57"/>
  <c r="AG3" i="57"/>
  <c r="AF3" i="57"/>
  <c r="AE3" i="57"/>
  <c r="AD3" i="57"/>
  <c r="E3" i="57"/>
  <c r="C3" i="57"/>
  <c r="O5" i="57" s="1"/>
  <c r="F58" i="56"/>
  <c r="F57" i="56"/>
  <c r="F55" i="56"/>
  <c r="W54" i="56"/>
  <c r="F51" i="56"/>
  <c r="F48" i="56"/>
  <c r="W47" i="56"/>
  <c r="AD46" i="56"/>
  <c r="W46" i="56"/>
  <c r="AL45" i="56"/>
  <c r="AO42" i="56"/>
  <c r="AN42" i="56"/>
  <c r="AM42" i="56"/>
  <c r="AL42" i="56"/>
  <c r="E42" i="56"/>
  <c r="Z41" i="56"/>
  <c r="Y41" i="56"/>
  <c r="X41" i="56"/>
  <c r="W41" i="56"/>
  <c r="D40" i="56"/>
  <c r="E39" i="56"/>
  <c r="S37" i="56"/>
  <c r="R37" i="56"/>
  <c r="Q37" i="56"/>
  <c r="P37" i="56"/>
  <c r="AO34" i="56"/>
  <c r="AN34" i="56"/>
  <c r="AM34" i="56"/>
  <c r="AL34" i="56"/>
  <c r="AO33" i="56"/>
  <c r="AN33" i="56"/>
  <c r="AM33" i="56"/>
  <c r="AL33" i="56"/>
  <c r="Z33" i="56"/>
  <c r="Y33" i="56"/>
  <c r="X33" i="56"/>
  <c r="W33" i="56"/>
  <c r="S31" i="56"/>
  <c r="R31" i="56"/>
  <c r="Q31" i="56"/>
  <c r="P31" i="56"/>
  <c r="AL29" i="56"/>
  <c r="Z29" i="56"/>
  <c r="Y29" i="56"/>
  <c r="X29" i="56"/>
  <c r="W29" i="56"/>
  <c r="S29" i="56"/>
  <c r="R29" i="56"/>
  <c r="Q29" i="56"/>
  <c r="P29" i="56"/>
  <c r="AD28" i="56"/>
  <c r="S28" i="56"/>
  <c r="R28" i="56"/>
  <c r="Q28" i="56"/>
  <c r="P28" i="56"/>
  <c r="AH27" i="56"/>
  <c r="Z27" i="56"/>
  <c r="Y27" i="56"/>
  <c r="X27" i="56"/>
  <c r="W27" i="56"/>
  <c r="S27" i="56"/>
  <c r="R27" i="56"/>
  <c r="Q27" i="56"/>
  <c r="P27" i="56"/>
  <c r="AO26" i="56"/>
  <c r="AN26" i="56"/>
  <c r="AM26" i="56"/>
  <c r="AL26" i="56"/>
  <c r="Z26" i="56"/>
  <c r="Y26" i="56"/>
  <c r="X26" i="56"/>
  <c r="W26" i="56"/>
  <c r="P26" i="56"/>
  <c r="I26" i="56"/>
  <c r="X25" i="56"/>
  <c r="W25" i="56"/>
  <c r="R25" i="56"/>
  <c r="P25" i="56"/>
  <c r="AD24" i="56"/>
  <c r="W24" i="56"/>
  <c r="Q24" i="56"/>
  <c r="P24" i="56"/>
  <c r="AH23" i="56"/>
  <c r="W23" i="56"/>
  <c r="P23" i="56"/>
  <c r="AD22" i="56"/>
  <c r="X22" i="56"/>
  <c r="W22" i="56"/>
  <c r="Q22" i="56"/>
  <c r="P22" i="56"/>
  <c r="I22" i="56"/>
  <c r="W21" i="56"/>
  <c r="I21" i="56"/>
  <c r="X20" i="56"/>
  <c r="W20" i="56"/>
  <c r="Q20" i="56"/>
  <c r="P20" i="56"/>
  <c r="I20" i="56"/>
  <c r="AO19" i="56"/>
  <c r="AN19" i="56"/>
  <c r="AM19" i="56"/>
  <c r="AL19" i="56"/>
  <c r="AD19" i="56"/>
  <c r="X19" i="56"/>
  <c r="W19" i="56"/>
  <c r="Q19" i="56"/>
  <c r="P19" i="56"/>
  <c r="I19" i="56"/>
  <c r="AH18" i="56"/>
  <c r="X18" i="56"/>
  <c r="W18" i="56"/>
  <c r="Q18" i="56"/>
  <c r="P18" i="56"/>
  <c r="X17" i="56"/>
  <c r="W17" i="56"/>
  <c r="Q17" i="56"/>
  <c r="P17" i="56"/>
  <c r="X16" i="56"/>
  <c r="W16" i="56"/>
  <c r="Q16" i="56"/>
  <c r="P16" i="56"/>
  <c r="AL15" i="56"/>
  <c r="X15" i="56"/>
  <c r="W15" i="56"/>
  <c r="S15" i="56"/>
  <c r="R15" i="56"/>
  <c r="Q15" i="56"/>
  <c r="P15" i="56"/>
  <c r="E25" i="35"/>
  <c r="E25" i="67"/>
  <c r="E26" i="66"/>
  <c r="E25" i="66"/>
  <c r="E16" i="67"/>
  <c r="E26" i="35"/>
  <c r="AD4" i="57" l="1"/>
  <c r="AG4" i="57"/>
  <c r="S38" i="58"/>
  <c r="AR50" i="60"/>
  <c r="AR52" i="60" s="1"/>
  <c r="P8" i="61"/>
  <c r="P20" i="61" s="1"/>
  <c r="P27" i="61" s="1"/>
  <c r="AN30" i="60"/>
  <c r="AG48" i="63"/>
  <c r="P5" i="63"/>
  <c r="P8" i="63" s="1"/>
  <c r="AD12" i="63"/>
  <c r="AS50" i="62"/>
  <c r="AS52" i="62" s="1"/>
  <c r="AL18" i="62"/>
  <c r="AL30" i="62" s="1"/>
  <c r="W17" i="65"/>
  <c r="W17" i="24"/>
  <c r="X3" i="55"/>
  <c r="AL23" i="65"/>
  <c r="AN18" i="68"/>
  <c r="AN30" i="68" s="1"/>
  <c r="BT28" i="65"/>
  <c r="AD34" i="57"/>
  <c r="AF34" i="57"/>
  <c r="AE34" i="57"/>
  <c r="AE34" i="60"/>
  <c r="AE36" i="60" s="1"/>
  <c r="AD22" i="61"/>
  <c r="AD25" i="61" s="1"/>
  <c r="AD3" i="63"/>
  <c r="AD6" i="63" s="1"/>
  <c r="AD9" i="63" s="1"/>
  <c r="AD22" i="63" s="1"/>
  <c r="AD25" i="63" s="1"/>
  <c r="P11" i="63"/>
  <c r="W31" i="65"/>
  <c r="W3" i="24"/>
  <c r="AD14" i="64"/>
  <c r="AD14" i="65"/>
  <c r="W14" i="60"/>
  <c r="W14" i="62"/>
  <c r="Q33" i="64"/>
  <c r="Q33" i="65"/>
  <c r="S28" i="64"/>
  <c r="S33" i="64" s="1"/>
  <c r="P12" i="65"/>
  <c r="P12" i="64"/>
  <c r="P12" i="63"/>
  <c r="P12" i="62"/>
  <c r="P12" i="60"/>
  <c r="BG46" i="60"/>
  <c r="BG48" i="60" s="1"/>
  <c r="I31" i="62"/>
  <c r="I31" i="60"/>
  <c r="BG46" i="62"/>
  <c r="B3" i="57"/>
  <c r="W17" i="18"/>
  <c r="W17" i="64"/>
  <c r="BI32" i="61"/>
  <c r="W31" i="18"/>
  <c r="W3" i="18"/>
  <c r="W31" i="64"/>
  <c r="W3" i="64"/>
  <c r="X44" i="63"/>
  <c r="X47" i="63" s="1"/>
  <c r="AP20" i="63"/>
  <c r="BI32" i="63"/>
  <c r="BG47" i="62"/>
  <c r="BG48" i="62" s="1"/>
  <c r="W44" i="69"/>
  <c r="W47" i="69" s="1"/>
  <c r="W30" i="69"/>
  <c r="W33" i="69" s="1"/>
  <c r="W16" i="69"/>
  <c r="W19" i="69" s="1"/>
  <c r="BA11" i="69"/>
  <c r="BA15" i="69" s="1"/>
  <c r="BA17" i="69" s="1"/>
  <c r="BE17" i="69" s="1"/>
  <c r="BE21" i="69" s="1"/>
  <c r="AL3" i="69"/>
  <c r="AL5" i="69" s="1"/>
  <c r="AL7" i="69" s="1"/>
  <c r="AL11" i="69" s="1"/>
  <c r="AL12" i="69" s="1"/>
  <c r="BA2" i="69"/>
  <c r="BA6" i="69" s="1"/>
  <c r="BA8" i="69" s="1"/>
  <c r="BE8" i="69" s="1"/>
  <c r="BE20" i="69" s="1"/>
  <c r="BE22" i="69" s="1"/>
  <c r="BE24" i="69" s="1"/>
  <c r="I30" i="69" s="1"/>
  <c r="I38" i="69" s="1"/>
  <c r="AT2" i="69"/>
  <c r="AT4" i="69" s="1"/>
  <c r="AT9" i="69" s="1"/>
  <c r="AT11" i="69" s="1"/>
  <c r="AT13" i="69" s="1"/>
  <c r="W2" i="69"/>
  <c r="W5" i="69" s="1"/>
  <c r="Q40" i="68"/>
  <c r="Q42" i="68" s="1"/>
  <c r="Q35" i="68" s="1"/>
  <c r="Q36" i="68" s="1"/>
  <c r="J5" i="68" s="1"/>
  <c r="R40" i="68"/>
  <c r="R42" i="68" s="1"/>
  <c r="R35" i="68" s="1"/>
  <c r="R36" i="68" s="1"/>
  <c r="K5" i="68" s="1"/>
  <c r="S40" i="68"/>
  <c r="S42" i="68" s="1"/>
  <c r="S35" i="68" s="1"/>
  <c r="S36" i="68" s="1"/>
  <c r="AK5" i="68"/>
  <c r="AK7" i="68" s="1"/>
  <c r="P9" i="68"/>
  <c r="P21" i="68" s="1"/>
  <c r="P27" i="68" s="1"/>
  <c r="Z10" i="69"/>
  <c r="Z7" i="69"/>
  <c r="Z24" i="69"/>
  <c r="Z21" i="69"/>
  <c r="AW36" i="69"/>
  <c r="AW38" i="69" s="1"/>
  <c r="AW31" i="69" s="1"/>
  <c r="AW32" i="69" s="1"/>
  <c r="Z38" i="69"/>
  <c r="Z35" i="69"/>
  <c r="S39" i="69"/>
  <c r="S41" i="69" s="1"/>
  <c r="S34" i="69" s="1"/>
  <c r="S35" i="69" s="1"/>
  <c r="Z52" i="69"/>
  <c r="Z49" i="69"/>
  <c r="Y10" i="69"/>
  <c r="Y7" i="69"/>
  <c r="Y24" i="69"/>
  <c r="Y21" i="69"/>
  <c r="Y38" i="69"/>
  <c r="Y35" i="69"/>
  <c r="R39" i="69"/>
  <c r="R41" i="69" s="1"/>
  <c r="R34" i="69" s="1"/>
  <c r="R35" i="69" s="1"/>
  <c r="K5" i="69" s="1"/>
  <c r="K16" i="69" s="1"/>
  <c r="Y52" i="69"/>
  <c r="Y49" i="69"/>
  <c r="X10" i="69"/>
  <c r="X7" i="69"/>
  <c r="X24" i="69"/>
  <c r="X21" i="69"/>
  <c r="AU36" i="69"/>
  <c r="AU38" i="69" s="1"/>
  <c r="AU31" i="69" s="1"/>
  <c r="AU32" i="69" s="1"/>
  <c r="X38" i="69"/>
  <c r="X35" i="69"/>
  <c r="Q39" i="69"/>
  <c r="Q41" i="69" s="1"/>
  <c r="Q34" i="69" s="1"/>
  <c r="Q35" i="69" s="1"/>
  <c r="J5" i="69" s="1"/>
  <c r="J16" i="69" s="1"/>
  <c r="X52" i="69"/>
  <c r="X49" i="69"/>
  <c r="Y45" i="65"/>
  <c r="Y31" i="65"/>
  <c r="Y17" i="65"/>
  <c r="Y3" i="65"/>
  <c r="X45" i="65"/>
  <c r="X31" i="65"/>
  <c r="X17" i="65"/>
  <c r="X3" i="65"/>
  <c r="Y45" i="64"/>
  <c r="Y31" i="64"/>
  <c r="Y17" i="64"/>
  <c r="Y3" i="64"/>
  <c r="X45" i="64"/>
  <c r="X31" i="64"/>
  <c r="X17" i="64"/>
  <c r="X3" i="64"/>
  <c r="Y45" i="18"/>
  <c r="Y31" i="18"/>
  <c r="Y17" i="18"/>
  <c r="Y3" i="18"/>
  <c r="X45" i="18"/>
  <c r="X31" i="18"/>
  <c r="X17" i="18"/>
  <c r="X3" i="18"/>
  <c r="BI15" i="65"/>
  <c r="Z44" i="65"/>
  <c r="Z47" i="65" s="1"/>
  <c r="Z30" i="65"/>
  <c r="Z33" i="65" s="1"/>
  <c r="AW18" i="65"/>
  <c r="AW20" i="65" s="1"/>
  <c r="AW28" i="65" s="1"/>
  <c r="AW30" i="65" s="1"/>
  <c r="Z16" i="65"/>
  <c r="Z19" i="65" s="1"/>
  <c r="AO3" i="65"/>
  <c r="AO5" i="65" s="1"/>
  <c r="AW2" i="65"/>
  <c r="AW4" i="65" s="1"/>
  <c r="AW9" i="65" s="1"/>
  <c r="AW11" i="65" s="1"/>
  <c r="Z2" i="65"/>
  <c r="Z5" i="65" s="1"/>
  <c r="Y44" i="65"/>
  <c r="Y47" i="65" s="1"/>
  <c r="Y30" i="65"/>
  <c r="Y16" i="65"/>
  <c r="Y19" i="65" s="1"/>
  <c r="BC11" i="65"/>
  <c r="BC15" i="65" s="1"/>
  <c r="BC17" i="65" s="1"/>
  <c r="BC2" i="65"/>
  <c r="BC6" i="65" s="1"/>
  <c r="BC8" i="65" s="1"/>
  <c r="Y2" i="65"/>
  <c r="Y5" i="65" s="1"/>
  <c r="X44" i="65"/>
  <c r="X30" i="65"/>
  <c r="X33" i="65" s="1"/>
  <c r="AU18" i="65"/>
  <c r="AU20" i="65" s="1"/>
  <c r="AU28" i="65" s="1"/>
  <c r="AU30" i="65" s="1"/>
  <c r="X16" i="65"/>
  <c r="X19" i="65" s="1"/>
  <c r="BB11" i="65"/>
  <c r="BB15" i="65" s="1"/>
  <c r="BB17" i="65" s="1"/>
  <c r="AM3" i="65"/>
  <c r="AM5" i="65" s="1"/>
  <c r="BB2" i="65"/>
  <c r="BB6" i="65" s="1"/>
  <c r="BB8" i="65" s="1"/>
  <c r="AU2" i="65"/>
  <c r="AU4" i="65" s="1"/>
  <c r="AU9" i="65" s="1"/>
  <c r="AU11" i="65" s="1"/>
  <c r="X2" i="65"/>
  <c r="X5" i="65" s="1"/>
  <c r="AV36" i="65"/>
  <c r="AV38" i="65" s="1"/>
  <c r="AV31" i="65" s="1"/>
  <c r="AV32" i="65" s="1"/>
  <c r="AT36" i="65"/>
  <c r="AT38" i="65" s="1"/>
  <c r="AT31" i="65" s="1"/>
  <c r="AT32" i="65" s="1"/>
  <c r="AD13" i="65"/>
  <c r="AD12" i="65"/>
  <c r="P11" i="65"/>
  <c r="P6" i="65"/>
  <c r="P5" i="65"/>
  <c r="AD3" i="65"/>
  <c r="AD6" i="65" s="1"/>
  <c r="AD9" i="65" s="1"/>
  <c r="BI32" i="65"/>
  <c r="AP20" i="65"/>
  <c r="BI15" i="64"/>
  <c r="Z44" i="64"/>
  <c r="Z47" i="64" s="1"/>
  <c r="Z30" i="64"/>
  <c r="Z33" i="64" s="1"/>
  <c r="AW18" i="64"/>
  <c r="AW20" i="64" s="1"/>
  <c r="AW28" i="64" s="1"/>
  <c r="AW30" i="64" s="1"/>
  <c r="Z16" i="64"/>
  <c r="Z19" i="64" s="1"/>
  <c r="AO3" i="64"/>
  <c r="AO5" i="64" s="1"/>
  <c r="AW2" i="64"/>
  <c r="AW4" i="64" s="1"/>
  <c r="AW9" i="64" s="1"/>
  <c r="AW11" i="64" s="1"/>
  <c r="Z2" i="64"/>
  <c r="Z5" i="64" s="1"/>
  <c r="Y44" i="64"/>
  <c r="Y47" i="64" s="1"/>
  <c r="Y30" i="64"/>
  <c r="Y33" i="64" s="1"/>
  <c r="Y16" i="64"/>
  <c r="Y19" i="64" s="1"/>
  <c r="BC11" i="64"/>
  <c r="BC15" i="64" s="1"/>
  <c r="BC17" i="64" s="1"/>
  <c r="BC2" i="64"/>
  <c r="BC6" i="64" s="1"/>
  <c r="BC8" i="64" s="1"/>
  <c r="Y2" i="64"/>
  <c r="Y5" i="64" s="1"/>
  <c r="X44" i="64"/>
  <c r="X47" i="64" s="1"/>
  <c r="X30" i="64"/>
  <c r="X33" i="64" s="1"/>
  <c r="AU18" i="64"/>
  <c r="AU20" i="64" s="1"/>
  <c r="AU28" i="64" s="1"/>
  <c r="AU30" i="64" s="1"/>
  <c r="X16" i="64"/>
  <c r="X19" i="64" s="1"/>
  <c r="BB11" i="64"/>
  <c r="BB15" i="64" s="1"/>
  <c r="BB17" i="64" s="1"/>
  <c r="AM3" i="64"/>
  <c r="AM5" i="64" s="1"/>
  <c r="BB2" i="64"/>
  <c r="BB6" i="64" s="1"/>
  <c r="BB8" i="64" s="1"/>
  <c r="AU2" i="64"/>
  <c r="AU4" i="64" s="1"/>
  <c r="AU9" i="64" s="1"/>
  <c r="AU11" i="64" s="1"/>
  <c r="X2" i="64"/>
  <c r="X5" i="64" s="1"/>
  <c r="AV36" i="64"/>
  <c r="AV38" i="64" s="1"/>
  <c r="AV31" i="64" s="1"/>
  <c r="AV32" i="64" s="1"/>
  <c r="AT36" i="64"/>
  <c r="AT38" i="64" s="1"/>
  <c r="AT31" i="64" s="1"/>
  <c r="AT32" i="64" s="1"/>
  <c r="AD13" i="64"/>
  <c r="AD12" i="64"/>
  <c r="P11" i="64"/>
  <c r="P6" i="64"/>
  <c r="P5" i="64"/>
  <c r="AD3" i="64"/>
  <c r="AD6" i="64" s="1"/>
  <c r="AD9" i="64" s="1"/>
  <c r="BI32" i="64"/>
  <c r="AP20" i="64"/>
  <c r="AP22" i="64" s="1"/>
  <c r="AL30" i="64" s="1"/>
  <c r="AL31" i="64" s="1"/>
  <c r="I25" i="64" s="1"/>
  <c r="AV36" i="63"/>
  <c r="AV38" i="63" s="1"/>
  <c r="AV31" i="63" s="1"/>
  <c r="AV32" i="63" s="1"/>
  <c r="AT36" i="63"/>
  <c r="AT38" i="63" s="1"/>
  <c r="AT31" i="63" s="1"/>
  <c r="AT32" i="63" s="1"/>
  <c r="AG42" i="62"/>
  <c r="AG44" i="62" s="1"/>
  <c r="AG37" i="62" s="1"/>
  <c r="AG38" i="62" s="1"/>
  <c r="AE42" i="62"/>
  <c r="AE44" i="62" s="1"/>
  <c r="AE37" i="62" s="1"/>
  <c r="AE38" i="62" s="1"/>
  <c r="AU18" i="63"/>
  <c r="AU20" i="63" s="1"/>
  <c r="AU28" i="63" s="1"/>
  <c r="AU30" i="63" s="1"/>
  <c r="BB11" i="63"/>
  <c r="BB15" i="63" s="1"/>
  <c r="BB17" i="63" s="1"/>
  <c r="BB2" i="63"/>
  <c r="BB6" i="63" s="1"/>
  <c r="BB8" i="63" s="1"/>
  <c r="X2" i="63"/>
  <c r="X5" i="63" s="1"/>
  <c r="Y44" i="63"/>
  <c r="Y47" i="63" s="1"/>
  <c r="Y30" i="63"/>
  <c r="Y33" i="63" s="1"/>
  <c r="Y16" i="63"/>
  <c r="Y19" i="63" s="1"/>
  <c r="BC11" i="63"/>
  <c r="BC15" i="63" s="1"/>
  <c r="BC17" i="63" s="1"/>
  <c r="BC2" i="63"/>
  <c r="BC6" i="63" s="1"/>
  <c r="BC8" i="63" s="1"/>
  <c r="Y2" i="63"/>
  <c r="Y5" i="63" s="1"/>
  <c r="Z44" i="63"/>
  <c r="Z47" i="63" s="1"/>
  <c r="Z30" i="63"/>
  <c r="Z33" i="63" s="1"/>
  <c r="AW18" i="63"/>
  <c r="AW20" i="63" s="1"/>
  <c r="AW28" i="63" s="1"/>
  <c r="AW30" i="63" s="1"/>
  <c r="Z16" i="63"/>
  <c r="Z19" i="63" s="1"/>
  <c r="AO3" i="63"/>
  <c r="AO5" i="63" s="1"/>
  <c r="AW2" i="63"/>
  <c r="AW4" i="63" s="1"/>
  <c r="AW9" i="63" s="1"/>
  <c r="AW11" i="63" s="1"/>
  <c r="Z2" i="63"/>
  <c r="Z5" i="63" s="1"/>
  <c r="W7" i="62"/>
  <c r="P7" i="62"/>
  <c r="AK6" i="62"/>
  <c r="W5" i="62"/>
  <c r="W8" i="62" s="1"/>
  <c r="W11" i="62" s="1"/>
  <c r="W22" i="62" s="1"/>
  <c r="W27" i="62" s="1"/>
  <c r="P5" i="62"/>
  <c r="AF42" i="62"/>
  <c r="AF44" i="62" s="1"/>
  <c r="AF37" i="62" s="1"/>
  <c r="AF38" i="62" s="1"/>
  <c r="AD42" i="62"/>
  <c r="AD44" i="62" s="1"/>
  <c r="AD37" i="62" s="1"/>
  <c r="AD38" i="62" s="1"/>
  <c r="Z31" i="62"/>
  <c r="Z33" i="62" s="1"/>
  <c r="Z39" i="62" s="1"/>
  <c r="Z41" i="62" s="1"/>
  <c r="Y31" i="62"/>
  <c r="Y33" i="62" s="1"/>
  <c r="Y39" i="62" s="1"/>
  <c r="Y41" i="62" s="1"/>
  <c r="X31" i="62"/>
  <c r="X33" i="62" s="1"/>
  <c r="X39" i="62" s="1"/>
  <c r="X41" i="62" s="1"/>
  <c r="BI15" i="63"/>
  <c r="AY50" i="62"/>
  <c r="I44" i="62" s="1"/>
  <c r="AR35" i="62"/>
  <c r="AP22" i="63"/>
  <c r="AL30" i="63" s="1"/>
  <c r="AL31" i="63" s="1"/>
  <c r="I25" i="63" s="1"/>
  <c r="AR17" i="62"/>
  <c r="AV36" i="61"/>
  <c r="AV38" i="61" s="1"/>
  <c r="AV31" i="61" s="1"/>
  <c r="AV32" i="61" s="1"/>
  <c r="AT36" i="61"/>
  <c r="AT38" i="61" s="1"/>
  <c r="AT31" i="61" s="1"/>
  <c r="AT32" i="61" s="1"/>
  <c r="AG42" i="60"/>
  <c r="AG44" i="60" s="1"/>
  <c r="AG37" i="60" s="1"/>
  <c r="AG38" i="60" s="1"/>
  <c r="AE42" i="60"/>
  <c r="AE44" i="60" s="1"/>
  <c r="AE37" i="60" s="1"/>
  <c r="AE38" i="60" s="1"/>
  <c r="X44" i="61"/>
  <c r="X47" i="61" s="1"/>
  <c r="X30" i="61"/>
  <c r="X33" i="61" s="1"/>
  <c r="AU18" i="61"/>
  <c r="AU20" i="61" s="1"/>
  <c r="AU28" i="61" s="1"/>
  <c r="AU30" i="61" s="1"/>
  <c r="X16" i="61"/>
  <c r="X19" i="61" s="1"/>
  <c r="BB11" i="61"/>
  <c r="BB15" i="61" s="1"/>
  <c r="BB17" i="61" s="1"/>
  <c r="AM3" i="61"/>
  <c r="AM5" i="61" s="1"/>
  <c r="BB2" i="61"/>
  <c r="BB6" i="61" s="1"/>
  <c r="BB8" i="61" s="1"/>
  <c r="AU2" i="61"/>
  <c r="AU4" i="61" s="1"/>
  <c r="AU9" i="61" s="1"/>
  <c r="AU11" i="61" s="1"/>
  <c r="X2" i="61"/>
  <c r="X5" i="61" s="1"/>
  <c r="Y44" i="61"/>
  <c r="Y47" i="61" s="1"/>
  <c r="Y30" i="61"/>
  <c r="Y33" i="61" s="1"/>
  <c r="Y16" i="61"/>
  <c r="Y19" i="61" s="1"/>
  <c r="BC11" i="61"/>
  <c r="BC15" i="61" s="1"/>
  <c r="BC17" i="61" s="1"/>
  <c r="BC2" i="61"/>
  <c r="BC6" i="61" s="1"/>
  <c r="BC8" i="61" s="1"/>
  <c r="Y2" i="61"/>
  <c r="Y5" i="61" s="1"/>
  <c r="Z44" i="61"/>
  <c r="Z47" i="61" s="1"/>
  <c r="Z30" i="61"/>
  <c r="Z33" i="61" s="1"/>
  <c r="AW18" i="61"/>
  <c r="AW20" i="61" s="1"/>
  <c r="AW28" i="61" s="1"/>
  <c r="AW30" i="61" s="1"/>
  <c r="Z16" i="61"/>
  <c r="Z19" i="61" s="1"/>
  <c r="AO3" i="61"/>
  <c r="AO5" i="61" s="1"/>
  <c r="AW2" i="61"/>
  <c r="AW4" i="61" s="1"/>
  <c r="AW9" i="61" s="1"/>
  <c r="AW11" i="61" s="1"/>
  <c r="Z2" i="61"/>
  <c r="Z5" i="61" s="1"/>
  <c r="W7" i="60"/>
  <c r="P7" i="60"/>
  <c r="AK6" i="60"/>
  <c r="W5" i="60"/>
  <c r="W8" i="60" s="1"/>
  <c r="W11" i="60" s="1"/>
  <c r="W22" i="60" s="1"/>
  <c r="W27" i="60" s="1"/>
  <c r="P5" i="60"/>
  <c r="AF42" i="60"/>
  <c r="AF44" i="60" s="1"/>
  <c r="AF37" i="60" s="1"/>
  <c r="AF38" i="60" s="1"/>
  <c r="AD42" i="60"/>
  <c r="AD44" i="60" s="1"/>
  <c r="AD37" i="60" s="1"/>
  <c r="AD38" i="60" s="1"/>
  <c r="Z31" i="60"/>
  <c r="Z33" i="60" s="1"/>
  <c r="Z39" i="60" s="1"/>
  <c r="Z41" i="60" s="1"/>
  <c r="Y31" i="60"/>
  <c r="Y33" i="60" s="1"/>
  <c r="Y39" i="60" s="1"/>
  <c r="Y41" i="60" s="1"/>
  <c r="X31" i="60"/>
  <c r="X33" i="60" s="1"/>
  <c r="X39" i="60" s="1"/>
  <c r="X41" i="60" s="1"/>
  <c r="I15" i="57"/>
  <c r="BI15" i="61"/>
  <c r="AY50" i="60"/>
  <c r="I44" i="60" s="1"/>
  <c r="AR35" i="60"/>
  <c r="AP22" i="61"/>
  <c r="AL30" i="61" s="1"/>
  <c r="AL31" i="61" s="1"/>
  <c r="I25" i="61" s="1"/>
  <c r="AR17" i="60"/>
  <c r="C33" i="57"/>
  <c r="C32" i="57"/>
  <c r="C31" i="57"/>
  <c r="A29" i="57"/>
  <c r="C28" i="57"/>
  <c r="C27" i="57"/>
  <c r="O33" i="58"/>
  <c r="O30" i="58"/>
  <c r="I23" i="56"/>
  <c r="AL48" i="56"/>
  <c r="W48" i="56" s="1"/>
  <c r="B5" i="57"/>
  <c r="C5" i="57"/>
  <c r="AG5" i="57"/>
  <c r="C7" i="57"/>
  <c r="B8" i="57"/>
  <c r="C10" i="57"/>
  <c r="C11" i="57"/>
  <c r="C14" i="57"/>
  <c r="C15" i="57"/>
  <c r="C16" i="57"/>
  <c r="C17" i="57"/>
  <c r="C21" i="57"/>
  <c r="C22" i="57"/>
  <c r="C24" i="57"/>
  <c r="C34" i="57"/>
  <c r="AD14" i="56"/>
  <c r="F14" i="56" s="1"/>
  <c r="E14" i="56"/>
  <c r="D14" i="56"/>
  <c r="AH13" i="56"/>
  <c r="W13" i="56"/>
  <c r="I13" i="56"/>
  <c r="F13" i="56"/>
  <c r="E13" i="56"/>
  <c r="AS12" i="56"/>
  <c r="AO12" i="56"/>
  <c r="AN12" i="56"/>
  <c r="AM12" i="56"/>
  <c r="AL12" i="56"/>
  <c r="Q12" i="56"/>
  <c r="P12" i="56"/>
  <c r="I12" i="56"/>
  <c r="AS11" i="56"/>
  <c r="AS10" i="56"/>
  <c r="AD10" i="56"/>
  <c r="AS9" i="56"/>
  <c r="AH9" i="56"/>
  <c r="AD9" i="56"/>
  <c r="L9" i="56"/>
  <c r="K9" i="56"/>
  <c r="J9" i="56"/>
  <c r="I9" i="56"/>
  <c r="D9" i="56"/>
  <c r="AS8" i="56"/>
  <c r="AD8" i="56"/>
  <c r="AS7" i="56"/>
  <c r="X7" i="56"/>
  <c r="W7" i="56"/>
  <c r="AS6" i="56"/>
  <c r="AS5" i="56"/>
  <c r="AD5" i="56"/>
  <c r="L5" i="56"/>
  <c r="K5" i="56"/>
  <c r="J5" i="56"/>
  <c r="I5" i="56"/>
  <c r="E5" i="56"/>
  <c r="AS4" i="56"/>
  <c r="AO4" i="56"/>
  <c r="AN4" i="56"/>
  <c r="AM4" i="56"/>
  <c r="AL4" i="56"/>
  <c r="AH4" i="56"/>
  <c r="AD4" i="56"/>
  <c r="W4" i="56"/>
  <c r="E4" i="56"/>
  <c r="AO3" i="56"/>
  <c r="AN3" i="56"/>
  <c r="AM3" i="56"/>
  <c r="AL3" i="56"/>
  <c r="E3" i="56"/>
  <c r="C3" i="56"/>
  <c r="O5" i="56" s="1"/>
  <c r="B59" i="55"/>
  <c r="A59" i="55"/>
  <c r="F56" i="55"/>
  <c r="B58" i="55"/>
  <c r="A45" i="55" s="1"/>
  <c r="C57" i="55"/>
  <c r="F54" i="55"/>
  <c r="F53" i="55"/>
  <c r="I52" i="55"/>
  <c r="F51" i="55"/>
  <c r="C53" i="55"/>
  <c r="B28" i="58" s="1"/>
  <c r="Z48" i="55"/>
  <c r="Y48" i="55"/>
  <c r="X48" i="55"/>
  <c r="W48" i="55"/>
  <c r="AF47" i="55"/>
  <c r="AB47" i="55"/>
  <c r="BP46" i="55"/>
  <c r="AF46" i="55"/>
  <c r="AB46" i="55"/>
  <c r="Z46" i="55"/>
  <c r="Y46" i="55"/>
  <c r="X46" i="55"/>
  <c r="W46" i="55"/>
  <c r="E46" i="55"/>
  <c r="AF45" i="55"/>
  <c r="AB45" i="55"/>
  <c r="I45" i="55"/>
  <c r="F45" i="55"/>
  <c r="BT44" i="55"/>
  <c r="BP44" i="55"/>
  <c r="AF44" i="55"/>
  <c r="I44" i="55"/>
  <c r="BP43" i="55"/>
  <c r="I43" i="55"/>
  <c r="BT42" i="55"/>
  <c r="BP42" i="55"/>
  <c r="I42" i="55"/>
  <c r="BT41" i="55"/>
  <c r="BP41" i="55"/>
  <c r="E41" i="55"/>
  <c r="B43" i="55"/>
  <c r="B42" i="55"/>
  <c r="BT39" i="55"/>
  <c r="BP39" i="55"/>
  <c r="S40" i="55"/>
  <c r="R40" i="55"/>
  <c r="Q40" i="55"/>
  <c r="P40" i="55"/>
  <c r="Y53" i="55" s="1"/>
  <c r="BT38" i="55"/>
  <c r="BP38" i="55"/>
  <c r="AH38" i="55"/>
  <c r="BA37" i="55"/>
  <c r="AW37" i="55"/>
  <c r="AV37" i="55"/>
  <c r="AU37" i="55"/>
  <c r="AT37" i="55"/>
  <c r="AD37" i="55"/>
  <c r="F37" i="55"/>
  <c r="C39" i="55"/>
  <c r="B39" i="55"/>
  <c r="BT36" i="55"/>
  <c r="BP36" i="55"/>
  <c r="AD36" i="55"/>
  <c r="F36" i="55"/>
  <c r="C38" i="55"/>
  <c r="B38" i="55" s="1"/>
  <c r="BT35" i="55" s="1"/>
  <c r="BP35" i="55"/>
  <c r="BA35" i="55"/>
  <c r="AH35" i="55"/>
  <c r="AD35" i="55"/>
  <c r="I35" i="55"/>
  <c r="B37" i="55"/>
  <c r="BA34" i="55"/>
  <c r="AH34" i="55"/>
  <c r="AD34" i="55"/>
  <c r="Z34" i="55"/>
  <c r="Y34" i="55"/>
  <c r="X34" i="55"/>
  <c r="W34" i="55"/>
  <c r="I34" i="55"/>
  <c r="C36" i="55"/>
  <c r="A36" i="55"/>
  <c r="BA33" i="55"/>
  <c r="AH33" i="55"/>
  <c r="F33" i="55"/>
  <c r="B35" i="55"/>
  <c r="BA32" i="55"/>
  <c r="AH32" i="55"/>
  <c r="AD32" i="55"/>
  <c r="Z32" i="55"/>
  <c r="Y32" i="55"/>
  <c r="X32" i="55"/>
  <c r="W32" i="55"/>
  <c r="BA31" i="55"/>
  <c r="AH31" i="55"/>
  <c r="AD31" i="55"/>
  <c r="S32" i="55"/>
  <c r="R32" i="55"/>
  <c r="Q32" i="55"/>
  <c r="P32" i="55"/>
  <c r="I31" i="55"/>
  <c r="C33" i="55"/>
  <c r="B33" i="55" s="1"/>
  <c r="BA30" i="55"/>
  <c r="AP30" i="55"/>
  <c r="F30" i="55"/>
  <c r="E30" i="55"/>
  <c r="BL29" i="55"/>
  <c r="BK29" i="55"/>
  <c r="BJ29" i="55"/>
  <c r="BI29" i="55"/>
  <c r="BA29" i="55"/>
  <c r="AW29" i="55"/>
  <c r="AV29" i="55"/>
  <c r="AU29" i="55"/>
  <c r="AT29" i="55"/>
  <c r="I29" i="55"/>
  <c r="D29" i="55"/>
  <c r="BP28" i="55"/>
  <c r="I28" i="55"/>
  <c r="E28" i="55"/>
  <c r="BT27" i="55"/>
  <c r="AP27" i="55"/>
  <c r="I27" i="55"/>
  <c r="BL26" i="55"/>
  <c r="BK26" i="55"/>
  <c r="BJ26" i="55"/>
  <c r="BI26" i="55"/>
  <c r="AW26" i="55"/>
  <c r="AV26" i="55"/>
  <c r="AU26" i="55"/>
  <c r="AT26" i="55"/>
  <c r="I26" i="55"/>
  <c r="E26" i="55"/>
  <c r="BT25" i="55"/>
  <c r="BP25" i="55"/>
  <c r="BL25" i="55"/>
  <c r="BK25" i="55"/>
  <c r="BJ25" i="55"/>
  <c r="BI25" i="55"/>
  <c r="AW25" i="55"/>
  <c r="AV25" i="55"/>
  <c r="AU25" i="55"/>
  <c r="AT25" i="55"/>
  <c r="Z25" i="55"/>
  <c r="Y25" i="55"/>
  <c r="X25" i="55"/>
  <c r="W25" i="55"/>
  <c r="BT24" i="55"/>
  <c r="BP24" i="55"/>
  <c r="BL24" i="55"/>
  <c r="BK24" i="55"/>
  <c r="BJ24" i="55"/>
  <c r="BI24" i="55"/>
  <c r="AW24" i="55"/>
  <c r="AV24" i="55"/>
  <c r="AU24" i="55"/>
  <c r="AT24" i="55"/>
  <c r="AG24" i="55"/>
  <c r="AF24" i="55"/>
  <c r="AE24" i="55"/>
  <c r="AD24" i="55"/>
  <c r="F24" i="55"/>
  <c r="BA20" i="55" s="1"/>
  <c r="BT23" i="55"/>
  <c r="BL23" i="55"/>
  <c r="BK23" i="55"/>
  <c r="BJ23" i="55"/>
  <c r="BI23" i="55"/>
  <c r="AW23" i="55"/>
  <c r="AV23" i="55"/>
  <c r="AU23" i="55"/>
  <c r="AT23" i="55"/>
  <c r="AG23" i="55"/>
  <c r="AF23" i="55"/>
  <c r="AE23" i="55"/>
  <c r="AD23" i="55"/>
  <c r="S23" i="55"/>
  <c r="R23" i="55"/>
  <c r="Q23" i="55"/>
  <c r="P23" i="55"/>
  <c r="BT22" i="55"/>
  <c r="BP22" i="55"/>
  <c r="BL22" i="55"/>
  <c r="BK22" i="55"/>
  <c r="BJ22" i="55"/>
  <c r="BI22" i="55"/>
  <c r="AW22" i="55"/>
  <c r="AV22" i="55"/>
  <c r="AU22" i="55"/>
  <c r="AT22" i="55"/>
  <c r="AL22" i="55"/>
  <c r="S22" i="55"/>
  <c r="R22" i="55"/>
  <c r="Q22" i="55"/>
  <c r="P22" i="55"/>
  <c r="BT21" i="55"/>
  <c r="BL21" i="55"/>
  <c r="BK21" i="55"/>
  <c r="BJ21" i="55"/>
  <c r="BI21" i="55"/>
  <c r="AW21" i="55"/>
  <c r="AV21" i="55"/>
  <c r="AU21" i="55"/>
  <c r="AT21" i="55"/>
  <c r="AP21" i="55"/>
  <c r="AL21" i="55"/>
  <c r="S21" i="55"/>
  <c r="R21" i="55"/>
  <c r="Q21" i="55"/>
  <c r="P21" i="55"/>
  <c r="L21" i="55"/>
  <c r="K21" i="55"/>
  <c r="J21" i="55"/>
  <c r="I21" i="55"/>
  <c r="BT20" i="55"/>
  <c r="BP20" i="55"/>
  <c r="BL20" i="55"/>
  <c r="BK20" i="55"/>
  <c r="BJ20" i="55"/>
  <c r="BI20" i="55"/>
  <c r="AG20" i="55"/>
  <c r="AF20" i="55"/>
  <c r="AE20" i="55"/>
  <c r="AD20" i="55"/>
  <c r="Z20" i="55"/>
  <c r="Y20" i="55"/>
  <c r="X20" i="55"/>
  <c r="W20" i="55"/>
  <c r="L20" i="55"/>
  <c r="K20" i="55"/>
  <c r="J20" i="55"/>
  <c r="I20" i="55"/>
  <c r="BT19" i="55"/>
  <c r="BL19" i="55"/>
  <c r="BK19" i="55"/>
  <c r="BJ19" i="55"/>
  <c r="BI19" i="55"/>
  <c r="AU19" i="55"/>
  <c r="AL19" i="55"/>
  <c r="AG19" i="55"/>
  <c r="AF19" i="55"/>
  <c r="AE19" i="55"/>
  <c r="AD19" i="55"/>
  <c r="Q19" i="55"/>
  <c r="BT18" i="55"/>
  <c r="AV18" i="55"/>
  <c r="AT18" i="55"/>
  <c r="AL18" i="55"/>
  <c r="AG18" i="55"/>
  <c r="AF18" i="55"/>
  <c r="AE18" i="55"/>
  <c r="AD18" i="55"/>
  <c r="Z18" i="55"/>
  <c r="Y18" i="55"/>
  <c r="X18" i="55"/>
  <c r="W18" i="55"/>
  <c r="S18" i="55"/>
  <c r="R18" i="55"/>
  <c r="Q18" i="55"/>
  <c r="P18" i="55"/>
  <c r="S17" i="55"/>
  <c r="R17" i="55"/>
  <c r="Q17" i="55"/>
  <c r="P17" i="55"/>
  <c r="BC16" i="55"/>
  <c r="BB16" i="55"/>
  <c r="BA16" i="55"/>
  <c r="AD16" i="55"/>
  <c r="R16" i="55"/>
  <c r="B16" i="55"/>
  <c r="AE3" i="55" s="1"/>
  <c r="AD15" i="55"/>
  <c r="E15" i="55"/>
  <c r="BP14" i="55"/>
  <c r="P14" i="55"/>
  <c r="L14" i="55"/>
  <c r="K14" i="55"/>
  <c r="J14" i="55"/>
  <c r="I14" i="55"/>
  <c r="BT13" i="55"/>
  <c r="P13" i="55"/>
  <c r="B13" i="55"/>
  <c r="BX12" i="55"/>
  <c r="BP12" i="55"/>
  <c r="BL12" i="55"/>
  <c r="BK12" i="55"/>
  <c r="BJ12" i="55"/>
  <c r="BI12" i="55"/>
  <c r="BC12" i="55"/>
  <c r="BC13" i="55" s="1"/>
  <c r="BB12" i="55"/>
  <c r="BB13" i="55" s="1"/>
  <c r="BA12" i="55"/>
  <c r="BA13" i="55" s="1"/>
  <c r="L12" i="55"/>
  <c r="K12" i="55"/>
  <c r="J12" i="55"/>
  <c r="I12" i="55"/>
  <c r="B12" i="55"/>
  <c r="BX11" i="55"/>
  <c r="BT11" i="55"/>
  <c r="BP11" i="55"/>
  <c r="AE11" i="55"/>
  <c r="Z11" i="55"/>
  <c r="Y11" i="55"/>
  <c r="X11" i="55"/>
  <c r="W11" i="55"/>
  <c r="BX10" i="55"/>
  <c r="BT10" i="55"/>
  <c r="BP10" i="55"/>
  <c r="AW10" i="55"/>
  <c r="AV10" i="55"/>
  <c r="AU10" i="55"/>
  <c r="AT10" i="55"/>
  <c r="AL10" i="55"/>
  <c r="AE10" i="55"/>
  <c r="Q10" i="55"/>
  <c r="L10" i="55"/>
  <c r="K10" i="55"/>
  <c r="J10" i="55"/>
  <c r="I10" i="55"/>
  <c r="B10" i="55"/>
  <c r="BX9" i="55"/>
  <c r="BT9" i="55"/>
  <c r="BP9" i="55"/>
  <c r="BL9" i="55"/>
  <c r="BK9" i="55"/>
  <c r="BJ9" i="55"/>
  <c r="BI9" i="55"/>
  <c r="Q9" i="55"/>
  <c r="BX8" i="55"/>
  <c r="BT8" i="55"/>
  <c r="BP8" i="55"/>
  <c r="BL8" i="55"/>
  <c r="BK8" i="55"/>
  <c r="BJ8" i="55"/>
  <c r="BI8" i="55"/>
  <c r="AG8" i="55"/>
  <c r="AF8" i="55"/>
  <c r="AE8" i="55"/>
  <c r="AD8" i="55"/>
  <c r="L8" i="55"/>
  <c r="K8" i="55"/>
  <c r="J8" i="55"/>
  <c r="I8" i="55"/>
  <c r="BX7" i="55"/>
  <c r="BT7" i="55"/>
  <c r="BP7" i="55"/>
  <c r="BL7" i="55"/>
  <c r="BK7" i="55"/>
  <c r="BJ7" i="55"/>
  <c r="BI7" i="55"/>
  <c r="BC7" i="55"/>
  <c r="BB7" i="55"/>
  <c r="BA7" i="55"/>
  <c r="AW7" i="55"/>
  <c r="AV7" i="55"/>
  <c r="AU7" i="55"/>
  <c r="AT7" i="55"/>
  <c r="AG7" i="55"/>
  <c r="AF7" i="55"/>
  <c r="AE7" i="55"/>
  <c r="AD7" i="55"/>
  <c r="S7" i="55"/>
  <c r="P7" i="55"/>
  <c r="BX6" i="55"/>
  <c r="BT6" i="55"/>
  <c r="BL6" i="55"/>
  <c r="BK6" i="55"/>
  <c r="BJ6" i="55"/>
  <c r="BI6" i="55"/>
  <c r="AW6" i="55"/>
  <c r="AV6" i="55"/>
  <c r="AU6" i="55"/>
  <c r="AT6" i="55"/>
  <c r="Z6" i="55"/>
  <c r="Y6" i="55"/>
  <c r="X6" i="55"/>
  <c r="W6" i="55"/>
  <c r="BX5" i="55"/>
  <c r="BT5" i="55"/>
  <c r="BP5" i="55"/>
  <c r="BL5" i="55"/>
  <c r="BK5" i="55"/>
  <c r="BJ5" i="55"/>
  <c r="BI5" i="55"/>
  <c r="AW5" i="55"/>
  <c r="AV5" i="55"/>
  <c r="AU5" i="55"/>
  <c r="AT5" i="55"/>
  <c r="AG5" i="55"/>
  <c r="AF5" i="55"/>
  <c r="AE5" i="55"/>
  <c r="AD5" i="55"/>
  <c r="S5" i="55"/>
  <c r="R5" i="55"/>
  <c r="AF3" i="55" s="1"/>
  <c r="Q5" i="55"/>
  <c r="L5" i="55"/>
  <c r="H5" i="55"/>
  <c r="BX4" i="55"/>
  <c r="BT4" i="55"/>
  <c r="BP4" i="55"/>
  <c r="BL4" i="55"/>
  <c r="BK4" i="55"/>
  <c r="BJ4" i="55"/>
  <c r="BI4" i="55"/>
  <c r="AP4" i="55"/>
  <c r="AO4" i="55"/>
  <c r="AN4" i="55"/>
  <c r="AM4" i="55"/>
  <c r="AL4" i="55"/>
  <c r="AD4" i="55"/>
  <c r="Z4" i="55"/>
  <c r="Y4" i="55"/>
  <c r="X4" i="55"/>
  <c r="W4" i="55"/>
  <c r="E4" i="55"/>
  <c r="AP18" i="55" s="1"/>
  <c r="AP20" i="55" s="1"/>
  <c r="BL3" i="55"/>
  <c r="BK3" i="55"/>
  <c r="BJ3" i="55"/>
  <c r="BI3" i="55"/>
  <c r="BC3" i="55"/>
  <c r="BC4" i="55" s="1"/>
  <c r="BB3" i="55"/>
  <c r="BB4" i="55" s="1"/>
  <c r="BA3" i="55"/>
  <c r="BA4" i="55" s="1"/>
  <c r="AW3" i="55"/>
  <c r="AV3" i="55"/>
  <c r="AU3" i="55"/>
  <c r="AT3" i="55"/>
  <c r="AP3" i="55"/>
  <c r="AG3" i="55"/>
  <c r="S3" i="55"/>
  <c r="R3" i="55"/>
  <c r="Q3" i="55"/>
  <c r="P3" i="55"/>
  <c r="C3" i="55"/>
  <c r="BL2" i="55"/>
  <c r="BK2" i="55"/>
  <c r="BJ2" i="55"/>
  <c r="BI2" i="55"/>
  <c r="AV2" i="55"/>
  <c r="S2" i="55"/>
  <c r="R2" i="55"/>
  <c r="Q2" i="55"/>
  <c r="P2" i="55"/>
  <c r="B63" i="54"/>
  <c r="A63" i="54"/>
  <c r="Z60" i="54"/>
  <c r="Y60" i="54"/>
  <c r="X60" i="54"/>
  <c r="W60" i="54"/>
  <c r="B62" i="54"/>
  <c r="C61" i="54"/>
  <c r="F58" i="54"/>
  <c r="Z57" i="54"/>
  <c r="Y57" i="54"/>
  <c r="X57" i="54"/>
  <c r="C57" i="54"/>
  <c r="Z54" i="54"/>
  <c r="Y54" i="54"/>
  <c r="X54" i="54"/>
  <c r="W54" i="54"/>
  <c r="Z53" i="54"/>
  <c r="Y53" i="54"/>
  <c r="X53" i="54"/>
  <c r="W53" i="54"/>
  <c r="X52" i="54"/>
  <c r="W52" i="54"/>
  <c r="AU51" i="54"/>
  <c r="AT51" i="54"/>
  <c r="AS51" i="54"/>
  <c r="AR51" i="54"/>
  <c r="Z51" i="54"/>
  <c r="Y51" i="54"/>
  <c r="X51" i="54"/>
  <c r="W51" i="54"/>
  <c r="BK50" i="54"/>
  <c r="Z50" i="54"/>
  <c r="Y50" i="54"/>
  <c r="X50" i="54"/>
  <c r="W50" i="54"/>
  <c r="Y49" i="54"/>
  <c r="F49" i="54"/>
  <c r="BK48" i="54"/>
  <c r="AU48" i="54"/>
  <c r="AT48" i="54"/>
  <c r="AS48" i="54"/>
  <c r="AR48" i="54"/>
  <c r="AN48" i="54"/>
  <c r="AM48" i="54"/>
  <c r="AL48" i="54"/>
  <c r="AK48" i="54"/>
  <c r="Q49" i="54"/>
  <c r="N49" i="54"/>
  <c r="F48" i="54"/>
  <c r="AU47" i="54"/>
  <c r="AT47" i="54"/>
  <c r="AS47" i="54"/>
  <c r="AR47" i="54"/>
  <c r="Q48" i="54"/>
  <c r="N48" i="54"/>
  <c r="B49" i="54"/>
  <c r="A49" i="54"/>
  <c r="BK46" i="54"/>
  <c r="AY46" i="54"/>
  <c r="AU46" i="54"/>
  <c r="AT46" i="54"/>
  <c r="AS46" i="54"/>
  <c r="AR46" i="54"/>
  <c r="F46" i="54"/>
  <c r="BK45" i="54"/>
  <c r="BC45" i="54"/>
  <c r="AU45" i="54"/>
  <c r="AT45" i="54"/>
  <c r="AS45" i="54"/>
  <c r="AR45" i="54"/>
  <c r="AN45" i="54"/>
  <c r="AN46" i="54" s="1"/>
  <c r="AM45" i="54"/>
  <c r="AM46" i="54" s="1"/>
  <c r="AL45" i="54"/>
  <c r="AL46" i="54" s="1"/>
  <c r="AK45" i="54"/>
  <c r="B47" i="54"/>
  <c r="BK44" i="54"/>
  <c r="AU44" i="54"/>
  <c r="AT44" i="54"/>
  <c r="AS44" i="54"/>
  <c r="AR44" i="54"/>
  <c r="W44" i="54"/>
  <c r="B46" i="54"/>
  <c r="AY43" i="54"/>
  <c r="AU43" i="54"/>
  <c r="AT43" i="54"/>
  <c r="AS43" i="54"/>
  <c r="AR43" i="54"/>
  <c r="AG43" i="54"/>
  <c r="AF43" i="54"/>
  <c r="AE43" i="54"/>
  <c r="AD43" i="54"/>
  <c r="D43" i="54"/>
  <c r="BC42" i="54"/>
  <c r="AY42" i="54"/>
  <c r="I29" i="54"/>
  <c r="BC41" i="54"/>
  <c r="AY41" i="54"/>
  <c r="AR41" i="54"/>
  <c r="A43" i="54"/>
  <c r="BK40" i="54"/>
  <c r="BG40" i="54"/>
  <c r="AU40" i="54"/>
  <c r="AT40" i="54"/>
  <c r="AS40" i="54"/>
  <c r="AR40" i="54"/>
  <c r="Z40" i="54"/>
  <c r="Y40" i="54"/>
  <c r="X40" i="54"/>
  <c r="W40" i="54"/>
  <c r="S41" i="54"/>
  <c r="R41" i="54"/>
  <c r="Q41" i="54"/>
  <c r="P41" i="54"/>
  <c r="B42" i="54"/>
  <c r="BC39" i="54"/>
  <c r="AY39" i="54"/>
  <c r="AN39" i="54"/>
  <c r="AM39" i="54"/>
  <c r="AL39" i="54"/>
  <c r="AK39" i="54"/>
  <c r="B41" i="54"/>
  <c r="AR39" i="54" s="1"/>
  <c r="BK38" i="54"/>
  <c r="BG38" i="54"/>
  <c r="BC38" i="54"/>
  <c r="AY38" i="54"/>
  <c r="C40" i="54"/>
  <c r="B40" i="54" s="1"/>
  <c r="BG37" i="54"/>
  <c r="BC37" i="54"/>
  <c r="AY37" i="54"/>
  <c r="Z37" i="54"/>
  <c r="Y37" i="54"/>
  <c r="X37" i="54"/>
  <c r="W37" i="54"/>
  <c r="I41" i="54"/>
  <c r="E37" i="54"/>
  <c r="BK36" i="54"/>
  <c r="BG36" i="54"/>
  <c r="AN36" i="54"/>
  <c r="AN37" i="54" s="1"/>
  <c r="AM36" i="54"/>
  <c r="AM37" i="54" s="1"/>
  <c r="AL36" i="54"/>
  <c r="AL37" i="54" s="1"/>
  <c r="AK36" i="54"/>
  <c r="Z36" i="54"/>
  <c r="Y36" i="54"/>
  <c r="X36" i="54"/>
  <c r="W36" i="54"/>
  <c r="F36" i="54"/>
  <c r="A38" i="54"/>
  <c r="BK35" i="54"/>
  <c r="BC35" i="54" s="1"/>
  <c r="AY35" i="54"/>
  <c r="AG35" i="54"/>
  <c r="AF35" i="54"/>
  <c r="AE35" i="54"/>
  <c r="AD35" i="54"/>
  <c r="Z35" i="54"/>
  <c r="Y35" i="54"/>
  <c r="X35" i="54"/>
  <c r="W35" i="54"/>
  <c r="BK34" i="54"/>
  <c r="Z34" i="54"/>
  <c r="Y34" i="54"/>
  <c r="X34" i="54"/>
  <c r="W34" i="54"/>
  <c r="I37" i="54"/>
  <c r="B35" i="54"/>
  <c r="BG32" i="54"/>
  <c r="AU32" i="54"/>
  <c r="AT32" i="54"/>
  <c r="AS32" i="54"/>
  <c r="AR32" i="54"/>
  <c r="AG32" i="54"/>
  <c r="AF32" i="54"/>
  <c r="AE32" i="54"/>
  <c r="AD32" i="54"/>
  <c r="Z32" i="54"/>
  <c r="Y32" i="54"/>
  <c r="X32" i="54"/>
  <c r="W32" i="54"/>
  <c r="S33" i="54"/>
  <c r="R33" i="54"/>
  <c r="Q33" i="54"/>
  <c r="P33" i="54"/>
  <c r="I36" i="54"/>
  <c r="E32" i="54"/>
  <c r="AG31" i="54"/>
  <c r="AF31" i="54"/>
  <c r="AE31" i="54"/>
  <c r="AD31" i="54"/>
  <c r="I35" i="54"/>
  <c r="C33" i="54"/>
  <c r="C30" i="57" s="1"/>
  <c r="BK30" i="54"/>
  <c r="BG30" i="54"/>
  <c r="AG30" i="54"/>
  <c r="AF30" i="54"/>
  <c r="AE30" i="54"/>
  <c r="AD30" i="54"/>
  <c r="I34" i="54"/>
  <c r="BG29" i="54"/>
  <c r="AU29" i="54"/>
  <c r="AT29" i="54"/>
  <c r="AS29" i="54"/>
  <c r="AR29" i="54"/>
  <c r="AN29" i="54"/>
  <c r="AM29" i="54"/>
  <c r="AL29" i="54"/>
  <c r="AK29" i="54"/>
  <c r="AG29" i="54"/>
  <c r="AF29" i="54"/>
  <c r="AE29" i="54"/>
  <c r="AD29" i="54"/>
  <c r="S29" i="54"/>
  <c r="S30" i="54" s="1"/>
  <c r="R29" i="54"/>
  <c r="R30" i="54" s="1"/>
  <c r="Q29" i="54"/>
  <c r="Q30" i="54" s="1"/>
  <c r="P29" i="54"/>
  <c r="P30" i="54" s="1"/>
  <c r="BK28" i="54"/>
  <c r="BG28" i="54"/>
  <c r="AY28" i="54"/>
  <c r="AU28" i="54"/>
  <c r="AT28" i="54"/>
  <c r="AS28" i="54"/>
  <c r="AR28" i="54"/>
  <c r="AN28" i="54"/>
  <c r="AM28" i="54"/>
  <c r="AL28" i="54"/>
  <c r="AK28" i="54"/>
  <c r="AG28" i="54"/>
  <c r="AF28" i="54"/>
  <c r="AE28" i="54"/>
  <c r="AD28" i="54"/>
  <c r="BC27" i="54"/>
  <c r="AU27" i="54"/>
  <c r="AT27" i="54"/>
  <c r="AS27" i="54"/>
  <c r="AR27" i="54"/>
  <c r="AG27" i="54"/>
  <c r="AF27" i="54"/>
  <c r="AE27" i="54"/>
  <c r="AD27" i="54"/>
  <c r="BK26" i="54"/>
  <c r="AU26" i="54"/>
  <c r="AT26" i="54"/>
  <c r="AS26" i="54"/>
  <c r="AR26" i="54"/>
  <c r="AN26" i="54"/>
  <c r="AM26" i="54"/>
  <c r="AL26" i="54"/>
  <c r="AK26" i="54"/>
  <c r="Z26" i="54"/>
  <c r="Y26" i="54"/>
  <c r="X26" i="54"/>
  <c r="W26" i="54"/>
  <c r="BK25" i="54"/>
  <c r="AY25" i="54"/>
  <c r="AU25" i="54"/>
  <c r="AT25" i="54"/>
  <c r="AS25" i="54"/>
  <c r="AR25" i="54"/>
  <c r="AE25" i="54"/>
  <c r="Z25" i="54"/>
  <c r="Y25" i="54"/>
  <c r="X25" i="54"/>
  <c r="W25" i="54"/>
  <c r="I26" i="54"/>
  <c r="BK24" i="54"/>
  <c r="BG24" i="54"/>
  <c r="BC24" i="54"/>
  <c r="AY24" i="54"/>
  <c r="AU24" i="54"/>
  <c r="AT24" i="54"/>
  <c r="AS24" i="54"/>
  <c r="AR24" i="54"/>
  <c r="AN24" i="54"/>
  <c r="AM24" i="54"/>
  <c r="AL24" i="54"/>
  <c r="AK24" i="54"/>
  <c r="AF24" i="54"/>
  <c r="AD24" i="54"/>
  <c r="S24" i="54"/>
  <c r="R24" i="54"/>
  <c r="Q24" i="54"/>
  <c r="P24" i="54"/>
  <c r="I25" i="54"/>
  <c r="F24" i="54"/>
  <c r="E24" i="54"/>
  <c r="BC23" i="54"/>
  <c r="AU23" i="54"/>
  <c r="AT23" i="54"/>
  <c r="AS23" i="54"/>
  <c r="AR23" i="54"/>
  <c r="Z23" i="54"/>
  <c r="Y23" i="54"/>
  <c r="X23" i="54"/>
  <c r="W23" i="54"/>
  <c r="S23" i="54"/>
  <c r="R23" i="54"/>
  <c r="Q23" i="54"/>
  <c r="P23" i="54"/>
  <c r="D23" i="54"/>
  <c r="BG22" i="54"/>
  <c r="BC22" i="54"/>
  <c r="AY22" i="54"/>
  <c r="AU22" i="54"/>
  <c r="AT22" i="54"/>
  <c r="AS22" i="54"/>
  <c r="AR22" i="54"/>
  <c r="S22" i="54"/>
  <c r="R22" i="54"/>
  <c r="Q22" i="54"/>
  <c r="P22" i="54"/>
  <c r="E22" i="54"/>
  <c r="BG21" i="54"/>
  <c r="BC21" i="54"/>
  <c r="AU21" i="54"/>
  <c r="AT21" i="54"/>
  <c r="AS21" i="54"/>
  <c r="AR21" i="54"/>
  <c r="BK20" i="54"/>
  <c r="BG20" i="54"/>
  <c r="BC20" i="54"/>
  <c r="AY20" i="54"/>
  <c r="Z20" i="54"/>
  <c r="Y20" i="54"/>
  <c r="X20" i="54"/>
  <c r="W20" i="54"/>
  <c r="Q20" i="54"/>
  <c r="E20" i="54"/>
  <c r="BC19" i="54"/>
  <c r="AY19" i="54"/>
  <c r="Z19" i="54"/>
  <c r="Y19" i="54"/>
  <c r="X19" i="54"/>
  <c r="W19" i="54"/>
  <c r="S19" i="54"/>
  <c r="R19" i="54"/>
  <c r="Q19" i="54"/>
  <c r="P19" i="54"/>
  <c r="BK18" i="54"/>
  <c r="BC18" i="54"/>
  <c r="AG18" i="54"/>
  <c r="AF18" i="54"/>
  <c r="AE18" i="54"/>
  <c r="AD18" i="54"/>
  <c r="Z18" i="54"/>
  <c r="Y18" i="54"/>
  <c r="X18" i="54"/>
  <c r="W18" i="54"/>
  <c r="S18" i="54"/>
  <c r="R18" i="54"/>
  <c r="Q18" i="54"/>
  <c r="P18" i="54"/>
  <c r="AN17" i="54"/>
  <c r="AM17" i="54"/>
  <c r="AL17" i="54"/>
  <c r="AK17" i="54"/>
  <c r="S17" i="54"/>
  <c r="R17" i="54"/>
  <c r="Q17" i="54"/>
  <c r="P17" i="54"/>
  <c r="BK16" i="54"/>
  <c r="BG16" i="54"/>
  <c r="W16" i="54"/>
  <c r="S16" i="54"/>
  <c r="R16" i="54"/>
  <c r="Q16" i="54"/>
  <c r="P16" i="54"/>
  <c r="B16" i="54"/>
  <c r="AS39" i="54" s="1"/>
  <c r="BK15" i="54"/>
  <c r="W15" i="54"/>
  <c r="I16" i="54"/>
  <c r="BK14" i="54"/>
  <c r="BG14" i="54"/>
  <c r="AY14" i="54"/>
  <c r="AU14" i="54"/>
  <c r="AT14" i="54"/>
  <c r="AS14" i="54"/>
  <c r="AR14" i="54"/>
  <c r="AN14" i="54"/>
  <c r="AN15" i="54" s="1"/>
  <c r="AM14" i="54"/>
  <c r="AM15" i="54" s="1"/>
  <c r="AL14" i="54"/>
  <c r="AL15" i="54" s="1"/>
  <c r="AK14" i="54"/>
  <c r="AK15" i="54" s="1"/>
  <c r="P14" i="54"/>
  <c r="BG13" i="54"/>
  <c r="BC13" i="54"/>
  <c r="AG13" i="54"/>
  <c r="AF13" i="54"/>
  <c r="AE13" i="54"/>
  <c r="AD13" i="54"/>
  <c r="X13" i="54"/>
  <c r="P13" i="54"/>
  <c r="B13" i="54"/>
  <c r="BO12" i="54"/>
  <c r="BG12" i="54"/>
  <c r="AN12" i="54"/>
  <c r="AM12" i="54"/>
  <c r="AL12" i="54"/>
  <c r="AK12" i="54"/>
  <c r="AG12" i="54"/>
  <c r="AF12" i="54"/>
  <c r="AE12" i="54"/>
  <c r="AD12" i="54"/>
  <c r="X12" i="54"/>
  <c r="L12" i="54"/>
  <c r="K12" i="54"/>
  <c r="J12" i="54"/>
  <c r="I12" i="54"/>
  <c r="B12" i="54"/>
  <c r="AG24" i="54" s="1"/>
  <c r="BO11" i="54"/>
  <c r="AY11" i="54"/>
  <c r="AU11" i="54"/>
  <c r="AT11" i="54"/>
  <c r="AS11" i="54"/>
  <c r="AR11" i="54"/>
  <c r="Q11" i="54"/>
  <c r="L11" i="54"/>
  <c r="K11" i="54"/>
  <c r="J11" i="54"/>
  <c r="I11" i="54"/>
  <c r="BO10" i="54"/>
  <c r="BK10" i="54"/>
  <c r="BC10" i="54"/>
  <c r="AY10" i="54"/>
  <c r="AU10" i="54"/>
  <c r="AT10" i="54"/>
  <c r="AS10" i="54"/>
  <c r="AR10" i="54"/>
  <c r="AG10" i="54"/>
  <c r="AF10" i="54"/>
  <c r="AE10" i="54"/>
  <c r="AD10" i="54"/>
  <c r="Z10" i="54"/>
  <c r="Y10" i="54"/>
  <c r="X10" i="54"/>
  <c r="W10" i="54"/>
  <c r="Q10" i="54"/>
  <c r="L10" i="54"/>
  <c r="K10" i="54"/>
  <c r="J10" i="54"/>
  <c r="I10" i="54"/>
  <c r="B10" i="54"/>
  <c r="BO9" i="54"/>
  <c r="BC9" i="54"/>
  <c r="AY9" i="54"/>
  <c r="AU9" i="54"/>
  <c r="AT9" i="54"/>
  <c r="AS9" i="54"/>
  <c r="AR9" i="54"/>
  <c r="AE9" i="54"/>
  <c r="AD9" i="54"/>
  <c r="Z9" i="54"/>
  <c r="Y9" i="54"/>
  <c r="X9" i="54"/>
  <c r="W9" i="54"/>
  <c r="L9" i="54"/>
  <c r="BO8" i="54"/>
  <c r="BK8" i="54"/>
  <c r="BG8" i="54"/>
  <c r="BC8" i="54"/>
  <c r="AY8" i="54"/>
  <c r="AU8" i="54"/>
  <c r="AT8" i="54"/>
  <c r="AS8" i="54"/>
  <c r="AR8" i="54"/>
  <c r="S8" i="54"/>
  <c r="P8" i="54"/>
  <c r="L8" i="54"/>
  <c r="K8" i="54"/>
  <c r="J8" i="54"/>
  <c r="I8" i="54"/>
  <c r="E8" i="54"/>
  <c r="BO7" i="54"/>
  <c r="BC7" i="54"/>
  <c r="AY7" i="54"/>
  <c r="AU7" i="54"/>
  <c r="AT7" i="54"/>
  <c r="AS7" i="54"/>
  <c r="AR7" i="54"/>
  <c r="BO6" i="54"/>
  <c r="BK6" i="54"/>
  <c r="BG6" i="54"/>
  <c r="BC6" i="54"/>
  <c r="AU6" i="54"/>
  <c r="AT6" i="54"/>
  <c r="AS6" i="54"/>
  <c r="AR6" i="54"/>
  <c r="AD6" i="54"/>
  <c r="W6" i="54"/>
  <c r="P6" i="54"/>
  <c r="BO5" i="54"/>
  <c r="BK5" i="54"/>
  <c r="BG5" i="54"/>
  <c r="BC5" i="54"/>
  <c r="AY5" i="54"/>
  <c r="AU5" i="54"/>
  <c r="AT5" i="54"/>
  <c r="AS5" i="54"/>
  <c r="AR5" i="54"/>
  <c r="AG5" i="54"/>
  <c r="AF5" i="54"/>
  <c r="AD5" i="54"/>
  <c r="Z5" i="54"/>
  <c r="Y5" i="54"/>
  <c r="R5" i="54"/>
  <c r="L5" i="54"/>
  <c r="E5" i="54"/>
  <c r="BO4" i="54"/>
  <c r="BK4" i="54"/>
  <c r="BG4" i="54"/>
  <c r="BC4" i="54"/>
  <c r="AY4" i="54"/>
  <c r="AU4" i="54"/>
  <c r="AT4" i="54"/>
  <c r="AS4" i="54"/>
  <c r="AR4" i="54"/>
  <c r="AU3" i="54"/>
  <c r="AT3" i="54"/>
  <c r="AS3" i="54"/>
  <c r="AR3" i="54"/>
  <c r="AN3" i="54"/>
  <c r="AM3" i="54"/>
  <c r="AL3" i="54"/>
  <c r="AK3" i="54"/>
  <c r="AG3" i="54"/>
  <c r="AF3" i="54"/>
  <c r="AE3" i="54"/>
  <c r="AD3" i="54"/>
  <c r="Z3" i="54"/>
  <c r="Y3" i="54"/>
  <c r="X3" i="54"/>
  <c r="W3" i="54"/>
  <c r="S3" i="54"/>
  <c r="R3" i="54"/>
  <c r="Q3" i="54"/>
  <c r="P3" i="54"/>
  <c r="C3" i="54"/>
  <c r="C4" i="57" s="1"/>
  <c r="AN2" i="54"/>
  <c r="AM2" i="54"/>
  <c r="AL2" i="54"/>
  <c r="AK2" i="54"/>
  <c r="AG2" i="54"/>
  <c r="AF2" i="54"/>
  <c r="AE2" i="54"/>
  <c r="AD2" i="54"/>
  <c r="Z2" i="54"/>
  <c r="Y2" i="54"/>
  <c r="X2" i="54"/>
  <c r="W2" i="54"/>
  <c r="S2" i="54"/>
  <c r="R2" i="54"/>
  <c r="Q2" i="54"/>
  <c r="P2" i="54"/>
  <c r="AN3" i="65"/>
  <c r="AN3" i="64"/>
  <c r="E17" i="35"/>
  <c r="E16" i="35"/>
  <c r="P20" i="63" l="1"/>
  <c r="P27" i="63" s="1"/>
  <c r="X5" i="54"/>
  <c r="Q5" i="54"/>
  <c r="C29" i="57" s="1"/>
  <c r="AE5" i="54"/>
  <c r="B45" i="55"/>
  <c r="P8" i="64"/>
  <c r="P20" i="64" s="1"/>
  <c r="P27" i="64" s="1"/>
  <c r="P28" i="64" s="1"/>
  <c r="P33" i="64" s="1"/>
  <c r="P8" i="65"/>
  <c r="P20" i="65" s="1"/>
  <c r="P27" i="65" s="1"/>
  <c r="P28" i="65" s="1"/>
  <c r="P33" i="65" s="1"/>
  <c r="X47" i="65"/>
  <c r="AP26" i="65"/>
  <c r="AP31" i="65" s="1"/>
  <c r="AL29" i="65" s="1"/>
  <c r="AP17" i="65"/>
  <c r="AP22" i="65" s="1"/>
  <c r="AL30" i="65" s="1"/>
  <c r="AL31" i="65" s="1"/>
  <c r="I25" i="65" s="1"/>
  <c r="AD22" i="64"/>
  <c r="AD25" i="64" s="1"/>
  <c r="AD22" i="65"/>
  <c r="AD25" i="65" s="1"/>
  <c r="Y33" i="65"/>
  <c r="B31" i="57"/>
  <c r="AN5" i="64"/>
  <c r="AN5" i="65"/>
  <c r="AU2" i="63"/>
  <c r="AU4" i="63" s="1"/>
  <c r="AU9" i="63" s="1"/>
  <c r="AU11" i="63" s="1"/>
  <c r="AM3" i="63"/>
  <c r="AM5" i="63" s="1"/>
  <c r="X16" i="63"/>
  <c r="X19" i="63" s="1"/>
  <c r="X30" i="63"/>
  <c r="X33" i="63" s="1"/>
  <c r="L13" i="54"/>
  <c r="S5" i="54"/>
  <c r="B3" i="56"/>
  <c r="B33" i="54"/>
  <c r="BX14" i="55"/>
  <c r="BO14" i="54"/>
  <c r="W31" i="68"/>
  <c r="W33" i="68" s="1"/>
  <c r="W39" i="68" s="1"/>
  <c r="AK44" i="68"/>
  <c r="AK49" i="68" s="1"/>
  <c r="AK53" i="68" s="1"/>
  <c r="I21" i="68" s="1"/>
  <c r="AK35" i="68"/>
  <c r="AK40" i="68" s="1"/>
  <c r="AK52" i="68" s="1"/>
  <c r="I20" i="68" s="1"/>
  <c r="AK23" i="68"/>
  <c r="AK25" i="68" s="1"/>
  <c r="AK30" i="68" s="1"/>
  <c r="AK11" i="68"/>
  <c r="AK13" i="68" s="1"/>
  <c r="AK18" i="68" s="1"/>
  <c r="AK51" i="68" s="1"/>
  <c r="I19" i="68" s="1"/>
  <c r="W10" i="69"/>
  <c r="W7" i="69"/>
  <c r="W24" i="69"/>
  <c r="W21" i="69"/>
  <c r="W38" i="69"/>
  <c r="W35" i="69"/>
  <c r="P39" i="69"/>
  <c r="P41" i="69" s="1"/>
  <c r="P34" i="69" s="1"/>
  <c r="P35" i="69" s="1"/>
  <c r="I5" i="69" s="1"/>
  <c r="I16" i="69" s="1"/>
  <c r="I54" i="69" s="1"/>
  <c r="W52" i="69"/>
  <c r="W49" i="69"/>
  <c r="X10" i="65"/>
  <c r="X7" i="65"/>
  <c r="J8" i="65" s="1"/>
  <c r="X24" i="65"/>
  <c r="X21" i="65"/>
  <c r="J10" i="65" s="1"/>
  <c r="AU36" i="65"/>
  <c r="AU38" i="65" s="1"/>
  <c r="AU31" i="65" s="1"/>
  <c r="AU32" i="65" s="1"/>
  <c r="X38" i="65"/>
  <c r="X35" i="65"/>
  <c r="J12" i="65" s="1"/>
  <c r="Q39" i="65"/>
  <c r="Q41" i="65" s="1"/>
  <c r="Q34" i="65" s="1"/>
  <c r="Q35" i="65" s="1"/>
  <c r="J5" i="65" s="1"/>
  <c r="J16" i="65" s="1"/>
  <c r="X52" i="65"/>
  <c r="X49" i="65"/>
  <c r="Y10" i="65"/>
  <c r="Y7" i="65"/>
  <c r="K8" i="65" s="1"/>
  <c r="Y24" i="65"/>
  <c r="Y21" i="65"/>
  <c r="K10" i="65" s="1"/>
  <c r="Y38" i="65"/>
  <c r="Y35" i="65"/>
  <c r="K12" i="65" s="1"/>
  <c r="R39" i="65"/>
  <c r="R41" i="65" s="1"/>
  <c r="R34" i="65" s="1"/>
  <c r="R35" i="65" s="1"/>
  <c r="K5" i="65" s="1"/>
  <c r="K16" i="65" s="1"/>
  <c r="Y52" i="65"/>
  <c r="Y49" i="65"/>
  <c r="Z10" i="65"/>
  <c r="Z7" i="65"/>
  <c r="Z24" i="65"/>
  <c r="Z21" i="65"/>
  <c r="AW36" i="65"/>
  <c r="AW38" i="65" s="1"/>
  <c r="AW31" i="65" s="1"/>
  <c r="AW32" i="65" s="1"/>
  <c r="Z38" i="65"/>
  <c r="Z35" i="65"/>
  <c r="S39" i="65"/>
  <c r="S41" i="65" s="1"/>
  <c r="S34" i="65" s="1"/>
  <c r="S35" i="65" s="1"/>
  <c r="Z52" i="65"/>
  <c r="Z49" i="65"/>
  <c r="X10" i="64"/>
  <c r="X7" i="64"/>
  <c r="X24" i="64"/>
  <c r="X21" i="64"/>
  <c r="AU36" i="64"/>
  <c r="AU38" i="64" s="1"/>
  <c r="AU31" i="64" s="1"/>
  <c r="AU32" i="64" s="1"/>
  <c r="X38" i="64"/>
  <c r="X35" i="64"/>
  <c r="J12" i="64" s="1"/>
  <c r="Q39" i="64"/>
  <c r="Q41" i="64" s="1"/>
  <c r="Q34" i="64" s="1"/>
  <c r="Q35" i="64" s="1"/>
  <c r="J5" i="64" s="1"/>
  <c r="X52" i="64"/>
  <c r="X49" i="64"/>
  <c r="Y10" i="64"/>
  <c r="Y7" i="64"/>
  <c r="Y24" i="64"/>
  <c r="Y21" i="64"/>
  <c r="Y38" i="64"/>
  <c r="Y35" i="64"/>
  <c r="K12" i="64" s="1"/>
  <c r="R39" i="64"/>
  <c r="R41" i="64" s="1"/>
  <c r="R34" i="64" s="1"/>
  <c r="R35" i="64" s="1"/>
  <c r="K5" i="64" s="1"/>
  <c r="Y52" i="64"/>
  <c r="Y49" i="64"/>
  <c r="Z10" i="64"/>
  <c r="Z7" i="64"/>
  <c r="Z24" i="64"/>
  <c r="Z21" i="64"/>
  <c r="AW36" i="64"/>
  <c r="AW38" i="64" s="1"/>
  <c r="AW31" i="64" s="1"/>
  <c r="AW32" i="64" s="1"/>
  <c r="Z38" i="64"/>
  <c r="Z35" i="64"/>
  <c r="S39" i="64"/>
  <c r="S41" i="64" s="1"/>
  <c r="S34" i="64" s="1"/>
  <c r="S35" i="64" s="1"/>
  <c r="Z52" i="64"/>
  <c r="Z49" i="64"/>
  <c r="W44" i="63"/>
  <c r="W47" i="63" s="1"/>
  <c r="W30" i="63"/>
  <c r="W33" i="63" s="1"/>
  <c r="W16" i="63"/>
  <c r="W19" i="63" s="1"/>
  <c r="BA11" i="63"/>
  <c r="BA15" i="63" s="1"/>
  <c r="BA17" i="63" s="1"/>
  <c r="BE17" i="63" s="1"/>
  <c r="BE21" i="63" s="1"/>
  <c r="AL3" i="63"/>
  <c r="AL5" i="63" s="1"/>
  <c r="AL7" i="63" s="1"/>
  <c r="AL11" i="63" s="1"/>
  <c r="AL12" i="63" s="1"/>
  <c r="BA2" i="63"/>
  <c r="BA6" i="63" s="1"/>
  <c r="BA8" i="63" s="1"/>
  <c r="BE8" i="63" s="1"/>
  <c r="BE20" i="63" s="1"/>
  <c r="BE22" i="63" s="1"/>
  <c r="BE24" i="63" s="1"/>
  <c r="I30" i="63" s="1"/>
  <c r="I38" i="63" s="1"/>
  <c r="AT2" i="63"/>
  <c r="AT4" i="63" s="1"/>
  <c r="AT9" i="63" s="1"/>
  <c r="AT11" i="63" s="1"/>
  <c r="AT13" i="63" s="1"/>
  <c r="W2" i="63"/>
  <c r="W5" i="63" s="1"/>
  <c r="Q40" i="62"/>
  <c r="Q42" i="62" s="1"/>
  <c r="Q35" i="62" s="1"/>
  <c r="Q36" i="62" s="1"/>
  <c r="J5" i="62" s="1"/>
  <c r="R40" i="62"/>
  <c r="R42" i="62" s="1"/>
  <c r="R35" i="62" s="1"/>
  <c r="R36" i="62" s="1"/>
  <c r="K5" i="62" s="1"/>
  <c r="S40" i="62"/>
  <c r="S42" i="62" s="1"/>
  <c r="S35" i="62" s="1"/>
  <c r="S36" i="62" s="1"/>
  <c r="AK5" i="62"/>
  <c r="AK7" i="62" s="1"/>
  <c r="P9" i="62"/>
  <c r="P21" i="62" s="1"/>
  <c r="P27" i="62" s="1"/>
  <c r="Z10" i="63"/>
  <c r="Z7" i="63"/>
  <c r="Z24" i="63"/>
  <c r="Z21" i="63"/>
  <c r="AW36" i="63"/>
  <c r="AW38" i="63" s="1"/>
  <c r="AW31" i="63" s="1"/>
  <c r="AW32" i="63" s="1"/>
  <c r="Z38" i="63"/>
  <c r="Z35" i="63"/>
  <c r="S39" i="63"/>
  <c r="S41" i="63" s="1"/>
  <c r="S34" i="63" s="1"/>
  <c r="S35" i="63" s="1"/>
  <c r="Z52" i="63"/>
  <c r="Z49" i="63"/>
  <c r="Y10" i="63"/>
  <c r="Y7" i="63"/>
  <c r="Y24" i="63"/>
  <c r="Y21" i="63"/>
  <c r="Y38" i="63"/>
  <c r="Y35" i="63"/>
  <c r="R39" i="63"/>
  <c r="R41" i="63" s="1"/>
  <c r="R34" i="63" s="1"/>
  <c r="R35" i="63" s="1"/>
  <c r="K5" i="63" s="1"/>
  <c r="K16" i="63" s="1"/>
  <c r="Y52" i="63"/>
  <c r="Y49" i="63"/>
  <c r="X10" i="63"/>
  <c r="X7" i="63"/>
  <c r="X24" i="63"/>
  <c r="X21" i="63"/>
  <c r="AU36" i="63"/>
  <c r="AU38" i="63" s="1"/>
  <c r="AU31" i="63" s="1"/>
  <c r="AU32" i="63" s="1"/>
  <c r="X38" i="63"/>
  <c r="X35" i="63"/>
  <c r="Q39" i="63"/>
  <c r="Q41" i="63" s="1"/>
  <c r="Q34" i="63" s="1"/>
  <c r="Q35" i="63" s="1"/>
  <c r="J5" i="63" s="1"/>
  <c r="J16" i="63" s="1"/>
  <c r="X52" i="63"/>
  <c r="X49" i="63"/>
  <c r="W44" i="61"/>
  <c r="W47" i="61" s="1"/>
  <c r="W30" i="61"/>
  <c r="W33" i="61" s="1"/>
  <c r="W16" i="61"/>
  <c r="W19" i="61" s="1"/>
  <c r="BA11" i="61"/>
  <c r="BA15" i="61" s="1"/>
  <c r="BA17" i="61" s="1"/>
  <c r="BE17" i="61" s="1"/>
  <c r="BE21" i="61" s="1"/>
  <c r="AL3" i="61"/>
  <c r="AL5" i="61" s="1"/>
  <c r="AL7" i="61" s="1"/>
  <c r="AL11" i="61" s="1"/>
  <c r="AL12" i="61" s="1"/>
  <c r="BA2" i="61"/>
  <c r="BA6" i="61" s="1"/>
  <c r="BA8" i="61" s="1"/>
  <c r="BE8" i="61" s="1"/>
  <c r="BE20" i="61" s="1"/>
  <c r="BE22" i="61" s="1"/>
  <c r="BE24" i="61" s="1"/>
  <c r="I30" i="61" s="1"/>
  <c r="AT2" i="61"/>
  <c r="AT4" i="61" s="1"/>
  <c r="AT9" i="61" s="1"/>
  <c r="AT11" i="61" s="1"/>
  <c r="AT13" i="61" s="1"/>
  <c r="W2" i="61"/>
  <c r="W5" i="61" s="1"/>
  <c r="Q40" i="60"/>
  <c r="Q42" i="60" s="1"/>
  <c r="Q35" i="60" s="1"/>
  <c r="Q36" i="60" s="1"/>
  <c r="J5" i="60" s="1"/>
  <c r="R40" i="60"/>
  <c r="R42" i="60" s="1"/>
  <c r="R35" i="60" s="1"/>
  <c r="R36" i="60" s="1"/>
  <c r="K5" i="60" s="1"/>
  <c r="S40" i="60"/>
  <c r="S42" i="60" s="1"/>
  <c r="S35" i="60" s="1"/>
  <c r="S36" i="60" s="1"/>
  <c r="AK5" i="60"/>
  <c r="AK7" i="60" s="1"/>
  <c r="P9" i="60"/>
  <c r="P21" i="60" s="1"/>
  <c r="P27" i="60" s="1"/>
  <c r="Z10" i="61"/>
  <c r="Z7" i="61"/>
  <c r="Z24" i="61"/>
  <c r="Z21" i="61"/>
  <c r="AW36" i="61"/>
  <c r="AW38" i="61" s="1"/>
  <c r="AW31" i="61" s="1"/>
  <c r="AW32" i="61" s="1"/>
  <c r="Z38" i="61"/>
  <c r="Z35" i="61"/>
  <c r="S39" i="61"/>
  <c r="S41" i="61" s="1"/>
  <c r="S34" i="61" s="1"/>
  <c r="S35" i="61" s="1"/>
  <c r="L5" i="61" s="1"/>
  <c r="L16" i="61" s="1"/>
  <c r="Z52" i="61"/>
  <c r="Z49" i="61"/>
  <c r="Y10" i="61"/>
  <c r="Y7" i="61"/>
  <c r="Y24" i="61"/>
  <c r="Y21" i="61"/>
  <c r="Y38" i="61"/>
  <c r="Y35" i="61"/>
  <c r="R39" i="61"/>
  <c r="R41" i="61" s="1"/>
  <c r="R34" i="61" s="1"/>
  <c r="R35" i="61" s="1"/>
  <c r="K5" i="61" s="1"/>
  <c r="K16" i="61" s="1"/>
  <c r="Y52" i="61"/>
  <c r="Y49" i="61"/>
  <c r="X10" i="61"/>
  <c r="X7" i="61"/>
  <c r="X24" i="61"/>
  <c r="X21" i="61"/>
  <c r="AU36" i="61"/>
  <c r="AU38" i="61" s="1"/>
  <c r="AU31" i="61" s="1"/>
  <c r="AU32" i="61" s="1"/>
  <c r="X38" i="61"/>
  <c r="X35" i="61"/>
  <c r="Q39" i="61"/>
  <c r="Q41" i="61" s="1"/>
  <c r="Q34" i="61" s="1"/>
  <c r="Q35" i="61" s="1"/>
  <c r="J5" i="61" s="1"/>
  <c r="J16" i="61" s="1"/>
  <c r="X52" i="61"/>
  <c r="X49" i="61"/>
  <c r="AL20" i="55"/>
  <c r="I15" i="56"/>
  <c r="I29" i="56" s="1"/>
  <c r="I31" i="56" s="1"/>
  <c r="I38" i="61"/>
  <c r="Q30" i="57"/>
  <c r="Q5" i="57"/>
  <c r="P31" i="57"/>
  <c r="B30" i="57"/>
  <c r="AN4" i="54"/>
  <c r="AM4" i="54" s="1"/>
  <c r="AL4" i="54" s="1"/>
  <c r="AK4" i="54" s="1"/>
  <c r="AG4" i="54" s="1"/>
  <c r="AF4" i="54" s="1"/>
  <c r="AE4" i="54" s="1"/>
  <c r="AD4" i="54" s="1"/>
  <c r="Z4" i="54" s="1"/>
  <c r="Y4" i="54" s="1"/>
  <c r="X4" i="54" s="1"/>
  <c r="W4" i="54" s="1"/>
  <c r="S4" i="54" s="1"/>
  <c r="R4" i="54" s="1"/>
  <c r="Q4" i="54" s="1"/>
  <c r="P4" i="54" s="1"/>
  <c r="AN5" i="54"/>
  <c r="AM5" i="54" s="1"/>
  <c r="AL5" i="54" s="1"/>
  <c r="AY6" i="54"/>
  <c r="BK7" i="54"/>
  <c r="BG7" i="54" s="1"/>
  <c r="BG15" i="54"/>
  <c r="AN16" i="54"/>
  <c r="AM16" i="54" s="1"/>
  <c r="AL16" i="54" s="1"/>
  <c r="AK16" i="54" s="1"/>
  <c r="AY21" i="54"/>
  <c r="AY23" i="54" s="1"/>
  <c r="BG23" i="54"/>
  <c r="BG25" i="54" s="1"/>
  <c r="Z24" i="54"/>
  <c r="Y24" i="54" s="1"/>
  <c r="X24" i="54" s="1"/>
  <c r="W24" i="54" s="1"/>
  <c r="AE24" i="54"/>
  <c r="AG26" i="54"/>
  <c r="AF26" i="54" s="1"/>
  <c r="AN27" i="54"/>
  <c r="AM27" i="54" s="1"/>
  <c r="AL27" i="54" s="1"/>
  <c r="AK27" i="54" s="1"/>
  <c r="AK37" i="54"/>
  <c r="BK37" i="54"/>
  <c r="BK39" i="54" s="1"/>
  <c r="AN38" i="54"/>
  <c r="AM38" i="54" s="1"/>
  <c r="AL38" i="54" s="1"/>
  <c r="AK38" i="54" s="1"/>
  <c r="BC40" i="54"/>
  <c r="AK46" i="54"/>
  <c r="Q47" i="54" s="1"/>
  <c r="AN47" i="54"/>
  <c r="AM47" i="54" s="1"/>
  <c r="AL47" i="54" s="1"/>
  <c r="AK47" i="54" s="1"/>
  <c r="BK47" i="54"/>
  <c r="BK49" i="54" s="1"/>
  <c r="BK51" i="54" s="1"/>
  <c r="X49" i="54"/>
  <c r="C34" i="56"/>
  <c r="C33" i="56"/>
  <c r="C32" i="56"/>
  <c r="C31" i="56"/>
  <c r="B31" i="56"/>
  <c r="C30" i="56"/>
  <c r="C29" i="56"/>
  <c r="A29" i="56"/>
  <c r="C28" i="56"/>
  <c r="C27" i="56"/>
  <c r="C24" i="56"/>
  <c r="B24" i="56"/>
  <c r="C22" i="56"/>
  <c r="C21" i="56"/>
  <c r="C17" i="56"/>
  <c r="C16" i="56"/>
  <c r="B21" i="57"/>
  <c r="W41" i="57" s="1"/>
  <c r="B15" i="57"/>
  <c r="AK14" i="57" s="1"/>
  <c r="B12" i="57"/>
  <c r="W47" i="57"/>
  <c r="W45" i="57"/>
  <c r="W44" i="57"/>
  <c r="S43" i="57"/>
  <c r="R43" i="57"/>
  <c r="Q43" i="57"/>
  <c r="P43" i="57"/>
  <c r="AG37" i="57"/>
  <c r="AF37" i="57"/>
  <c r="AE37" i="57"/>
  <c r="AD37" i="57"/>
  <c r="AG36" i="57"/>
  <c r="AF36" i="57"/>
  <c r="AE36" i="57"/>
  <c r="AD36" i="57"/>
  <c r="S32" i="57"/>
  <c r="R32" i="57"/>
  <c r="Q32" i="57"/>
  <c r="P32" i="57"/>
  <c r="AG21" i="57"/>
  <c r="AF21" i="57"/>
  <c r="AE21" i="57"/>
  <c r="AD21" i="57"/>
  <c r="AG20" i="57"/>
  <c r="AF20" i="57"/>
  <c r="AE20" i="57"/>
  <c r="AD20" i="57"/>
  <c r="AG7" i="57"/>
  <c r="AF7" i="57"/>
  <c r="AE7" i="57"/>
  <c r="AD7" i="57"/>
  <c r="AG6" i="57"/>
  <c r="AF6" i="57"/>
  <c r="AE6" i="57"/>
  <c r="AD6" i="57"/>
  <c r="S3" i="57"/>
  <c r="R3" i="57"/>
  <c r="Q3" i="57"/>
  <c r="P3" i="57"/>
  <c r="S2" i="57"/>
  <c r="R2" i="57"/>
  <c r="Q2" i="57"/>
  <c r="P2" i="57"/>
  <c r="S45" i="57"/>
  <c r="R45" i="57"/>
  <c r="Q45" i="57"/>
  <c r="P45" i="57"/>
  <c r="AG39" i="57"/>
  <c r="AF39" i="57"/>
  <c r="AE39" i="57"/>
  <c r="AD39" i="57"/>
  <c r="AG23" i="57"/>
  <c r="AF23" i="57"/>
  <c r="AE23" i="57"/>
  <c r="AD23" i="57"/>
  <c r="S20" i="57"/>
  <c r="R20" i="57"/>
  <c r="Q20" i="57"/>
  <c r="P20" i="57"/>
  <c r="AG9" i="57"/>
  <c r="AF9" i="57"/>
  <c r="AE9" i="57"/>
  <c r="AD9" i="57"/>
  <c r="AF5" i="57"/>
  <c r="O52" i="58"/>
  <c r="O54" i="58" s="1"/>
  <c r="O47" i="58"/>
  <c r="O49" i="58" s="1"/>
  <c r="O42" i="58"/>
  <c r="O44" i="58" s="1"/>
  <c r="O37" i="58"/>
  <c r="O39" i="58" s="1"/>
  <c r="P38" i="57"/>
  <c r="B27" i="57"/>
  <c r="P13" i="57"/>
  <c r="P6" i="57" s="1"/>
  <c r="P39" i="57"/>
  <c r="P14" i="57"/>
  <c r="X28" i="57" s="1"/>
  <c r="Q36" i="57"/>
  <c r="Q12" i="57"/>
  <c r="P40" i="57"/>
  <c r="P15" i="57"/>
  <c r="S4" i="55"/>
  <c r="R4" i="55" s="1"/>
  <c r="Q4" i="55" s="1"/>
  <c r="P4" i="55" s="1"/>
  <c r="AP5" i="55"/>
  <c r="BC5" i="55"/>
  <c r="BB5" i="55" s="1"/>
  <c r="BA5" i="55" s="1"/>
  <c r="AG6" i="55"/>
  <c r="AF6" i="55" s="1"/>
  <c r="AE6" i="55" s="1"/>
  <c r="BP6" i="55"/>
  <c r="BT12" i="55"/>
  <c r="BT14" i="55" s="1"/>
  <c r="BP13" i="55"/>
  <c r="BP15" i="55" s="1"/>
  <c r="BC14" i="55"/>
  <c r="BB14" i="55" s="1"/>
  <c r="BA14" i="55" s="1"/>
  <c r="L16" i="55"/>
  <c r="AP19" i="55"/>
  <c r="BP19" i="55"/>
  <c r="BP21" i="55" s="1"/>
  <c r="BP23" i="55" s="1"/>
  <c r="BP27" i="55" s="1"/>
  <c r="BP29" i="55" s="1"/>
  <c r="AL23" i="55"/>
  <c r="BT26" i="55"/>
  <c r="BT28" i="55" s="1"/>
  <c r="AP29" i="55"/>
  <c r="AD33" i="55"/>
  <c r="I36" i="55"/>
  <c r="BA36" i="55"/>
  <c r="BA38" i="55" s="1"/>
  <c r="W39" i="55"/>
  <c r="X39" i="55"/>
  <c r="Y39" i="55"/>
  <c r="Z39" i="55"/>
  <c r="BT40" i="55"/>
  <c r="BP40" i="55" s="1"/>
  <c r="I46" i="55"/>
  <c r="W53" i="55"/>
  <c r="X53" i="55"/>
  <c r="Z53" i="55"/>
  <c r="C4" i="56"/>
  <c r="B5" i="56"/>
  <c r="C5" i="56"/>
  <c r="AO5" i="56"/>
  <c r="C7" i="56"/>
  <c r="B8" i="56"/>
  <c r="C10" i="56"/>
  <c r="C11" i="56"/>
  <c r="C14" i="56"/>
  <c r="C15" i="56"/>
  <c r="O53" i="52"/>
  <c r="C51" i="52"/>
  <c r="B50" i="52"/>
  <c r="C49" i="52"/>
  <c r="O48" i="52"/>
  <c r="C47" i="52"/>
  <c r="A45" i="52"/>
  <c r="O43" i="52"/>
  <c r="B43" i="52"/>
  <c r="B42" i="52"/>
  <c r="C39" i="52"/>
  <c r="O38" i="52"/>
  <c r="S37" i="52"/>
  <c r="A35" i="52"/>
  <c r="S34" i="52"/>
  <c r="S33" i="52"/>
  <c r="B33" i="52"/>
  <c r="S32" i="52"/>
  <c r="B32" i="52"/>
  <c r="A34" i="52" s="1"/>
  <c r="S31" i="52"/>
  <c r="S30" i="52"/>
  <c r="S29" i="52"/>
  <c r="O29" i="52"/>
  <c r="O26" i="52"/>
  <c r="O25" i="52"/>
  <c r="B25" i="52"/>
  <c r="S24" i="52"/>
  <c r="O24" i="52"/>
  <c r="O23" i="52"/>
  <c r="O22" i="52"/>
  <c r="S21" i="52"/>
  <c r="S20" i="52"/>
  <c r="O20" i="52"/>
  <c r="S19" i="52"/>
  <c r="O19" i="52"/>
  <c r="J19" i="52"/>
  <c r="S18" i="52"/>
  <c r="J18" i="52"/>
  <c r="S17" i="52"/>
  <c r="S16" i="52"/>
  <c r="S15" i="52"/>
  <c r="S14" i="52"/>
  <c r="O14" i="52"/>
  <c r="E14" i="52"/>
  <c r="F13" i="52" s="1"/>
  <c r="D14" i="52"/>
  <c r="S13" i="52"/>
  <c r="E13" i="52"/>
  <c r="W12" i="52"/>
  <c r="S12" i="52"/>
  <c r="J12" i="52"/>
  <c r="B12" i="52"/>
  <c r="W11" i="52"/>
  <c r="S11" i="52"/>
  <c r="O11" i="52"/>
  <c r="J11" i="52"/>
  <c r="B11" i="52"/>
  <c r="W10" i="52"/>
  <c r="S10" i="52"/>
  <c r="O10" i="52"/>
  <c r="J10" i="52"/>
  <c r="W9" i="52"/>
  <c r="S9" i="52"/>
  <c r="O9" i="52"/>
  <c r="J9" i="52"/>
  <c r="D9" i="52"/>
  <c r="W8" i="52"/>
  <c r="S8" i="52"/>
  <c r="O8" i="52"/>
  <c r="J8" i="52"/>
  <c r="W7" i="52"/>
  <c r="S7" i="52"/>
  <c r="W6" i="52"/>
  <c r="S6" i="52"/>
  <c r="O6" i="52"/>
  <c r="W5" i="52"/>
  <c r="S5" i="52"/>
  <c r="E5" i="52"/>
  <c r="W4" i="52"/>
  <c r="S4" i="52"/>
  <c r="O4" i="52"/>
  <c r="S3" i="52"/>
  <c r="O3" i="52"/>
  <c r="C3" i="52"/>
  <c r="W59" i="51"/>
  <c r="W57" i="51"/>
  <c r="W56" i="51"/>
  <c r="W50" i="51"/>
  <c r="W48" i="51"/>
  <c r="S48" i="51"/>
  <c r="R48" i="51"/>
  <c r="Q48" i="51"/>
  <c r="P48" i="51"/>
  <c r="AD45" i="51"/>
  <c r="AG42" i="51"/>
  <c r="AF42" i="51"/>
  <c r="AE42" i="51"/>
  <c r="AD42" i="51"/>
  <c r="S42" i="51"/>
  <c r="R42" i="51"/>
  <c r="Q42" i="51"/>
  <c r="P42" i="51"/>
  <c r="C25" i="67"/>
  <c r="BA11" i="64" l="1"/>
  <c r="BA15" i="64" s="1"/>
  <c r="BA17" i="64" s="1"/>
  <c r="BE17" i="64" s="1"/>
  <c r="BE21" i="64" s="1"/>
  <c r="AL3" i="65"/>
  <c r="AL5" i="65" s="1"/>
  <c r="AL7" i="65" s="1"/>
  <c r="AL11" i="65" s="1"/>
  <c r="AL12" i="65" s="1"/>
  <c r="W44" i="64"/>
  <c r="W47" i="64" s="1"/>
  <c r="W52" i="64" s="1"/>
  <c r="AT2" i="64"/>
  <c r="AT4" i="64" s="1"/>
  <c r="AT9" i="64" s="1"/>
  <c r="AT11" i="64" s="1"/>
  <c r="AT13" i="64" s="1"/>
  <c r="W2" i="65"/>
  <c r="W5" i="65" s="1"/>
  <c r="W10" i="65" s="1"/>
  <c r="W16" i="65"/>
  <c r="W19" i="65" s="1"/>
  <c r="W24" i="65" s="1"/>
  <c r="BA2" i="65"/>
  <c r="BA6" i="65" s="1"/>
  <c r="BA8" i="65" s="1"/>
  <c r="BE8" i="65" s="1"/>
  <c r="BE20" i="65" s="1"/>
  <c r="BE22" i="65" s="1"/>
  <c r="BE24" i="65" s="1"/>
  <c r="I30" i="65" s="1"/>
  <c r="W30" i="65"/>
  <c r="W33" i="65" s="1"/>
  <c r="W35" i="65" s="1"/>
  <c r="I12" i="65" s="1"/>
  <c r="BA2" i="64"/>
  <c r="BA6" i="64" s="1"/>
  <c r="BA8" i="64" s="1"/>
  <c r="BE8" i="64" s="1"/>
  <c r="BE20" i="64" s="1"/>
  <c r="BE22" i="64" s="1"/>
  <c r="BE24" i="64" s="1"/>
  <c r="I30" i="64" s="1"/>
  <c r="I38" i="64" s="1"/>
  <c r="W16" i="64"/>
  <c r="W19" i="64" s="1"/>
  <c r="W24" i="64" s="1"/>
  <c r="AT2" i="65"/>
  <c r="AT4" i="65" s="1"/>
  <c r="AT9" i="65" s="1"/>
  <c r="AT11" i="65" s="1"/>
  <c r="AT13" i="65" s="1"/>
  <c r="BA11" i="65"/>
  <c r="BA15" i="65" s="1"/>
  <c r="BA17" i="65" s="1"/>
  <c r="BE17" i="65" s="1"/>
  <c r="BE21" i="65" s="1"/>
  <c r="W44" i="65"/>
  <c r="W47" i="65" s="1"/>
  <c r="W49" i="65" s="1"/>
  <c r="W2" i="64"/>
  <c r="W5" i="64" s="1"/>
  <c r="W7" i="64" s="1"/>
  <c r="AL3" i="64"/>
  <c r="AL5" i="64" s="1"/>
  <c r="AL7" i="64" s="1"/>
  <c r="AL11" i="64" s="1"/>
  <c r="AL12" i="64" s="1"/>
  <c r="W30" i="64"/>
  <c r="W33" i="64" s="1"/>
  <c r="W35" i="64" s="1"/>
  <c r="I12" i="64" s="1"/>
  <c r="BG39" i="54"/>
  <c r="BK41" i="54"/>
  <c r="BG41" i="54" s="1"/>
  <c r="F14" i="52"/>
  <c r="S4" i="57"/>
  <c r="S9" i="54"/>
  <c r="R9" i="54" s="1"/>
  <c r="Q9" i="54" s="1"/>
  <c r="K16" i="64"/>
  <c r="J16" i="64"/>
  <c r="I38" i="65"/>
  <c r="I22" i="68"/>
  <c r="I31" i="68" s="1"/>
  <c r="S8" i="55"/>
  <c r="S36" i="52"/>
  <c r="AG11" i="57"/>
  <c r="AG13" i="57" s="1"/>
  <c r="BT43" i="55"/>
  <c r="BT45" i="55" s="1"/>
  <c r="BP45" i="55" s="1"/>
  <c r="BP47" i="55" s="1"/>
  <c r="BP49" i="55" s="1"/>
  <c r="BK9" i="54"/>
  <c r="Z8" i="54"/>
  <c r="Y8" i="54" s="1"/>
  <c r="X8" i="54" s="1"/>
  <c r="AN7" i="54"/>
  <c r="O28" i="52"/>
  <c r="AD38" i="55"/>
  <c r="AH36" i="55"/>
  <c r="AH37" i="55" s="1"/>
  <c r="AH39" i="55" s="1"/>
  <c r="BL27" i="55"/>
  <c r="BL28" i="55" s="1"/>
  <c r="BL30" i="55" s="1"/>
  <c r="BK27" i="55"/>
  <c r="BK28" i="55" s="1"/>
  <c r="BJ27" i="55"/>
  <c r="BJ28" i="55" s="1"/>
  <c r="BI27" i="55"/>
  <c r="BI28" i="55" s="1"/>
  <c r="AW27" i="55"/>
  <c r="AV27" i="55"/>
  <c r="AU27" i="55"/>
  <c r="AT27" i="55"/>
  <c r="BP26" i="55"/>
  <c r="S24" i="55"/>
  <c r="S25" i="55" s="1"/>
  <c r="R24" i="55"/>
  <c r="R25" i="55" s="1"/>
  <c r="Q24" i="55"/>
  <c r="Q25" i="55" s="1"/>
  <c r="P24" i="55"/>
  <c r="P25" i="55" s="1"/>
  <c r="AG21" i="55"/>
  <c r="AF21" i="55"/>
  <c r="AE21" i="55"/>
  <c r="AD21" i="55"/>
  <c r="BL10" i="55"/>
  <c r="BL11" i="55" s="1"/>
  <c r="BK10" i="55"/>
  <c r="BK11" i="55" s="1"/>
  <c r="BJ10" i="55"/>
  <c r="BJ11" i="55" s="1"/>
  <c r="BI10" i="55"/>
  <c r="BI11" i="55" s="1"/>
  <c r="AW8" i="55"/>
  <c r="AV8" i="55"/>
  <c r="AU8" i="55"/>
  <c r="AT8" i="55"/>
  <c r="BL13" i="55"/>
  <c r="BK13" i="55" s="1"/>
  <c r="BJ13" i="55" s="1"/>
  <c r="BI13" i="55" s="1"/>
  <c r="BI15" i="55" s="1"/>
  <c r="Z55" i="54"/>
  <c r="Y55" i="54"/>
  <c r="Y56" i="54" s="1"/>
  <c r="X55" i="54"/>
  <c r="W55" i="54"/>
  <c r="AU49" i="54"/>
  <c r="AU50" i="54" s="1"/>
  <c r="AU52" i="54" s="1"/>
  <c r="AT49" i="54"/>
  <c r="AT50" i="54" s="1"/>
  <c r="AS49" i="54"/>
  <c r="AS50" i="54" s="1"/>
  <c r="AR49" i="54"/>
  <c r="AY44" i="54"/>
  <c r="BC43" i="54"/>
  <c r="Z38" i="54"/>
  <c r="Y38" i="54"/>
  <c r="X38" i="54"/>
  <c r="W38" i="54"/>
  <c r="AG33" i="54"/>
  <c r="AG34" i="54" s="1"/>
  <c r="AG36" i="54" s="1"/>
  <c r="AG42" i="54" s="1"/>
  <c r="AF33" i="54"/>
  <c r="AE33" i="54"/>
  <c r="AD33" i="54"/>
  <c r="AU30" i="54"/>
  <c r="AU31" i="54" s="1"/>
  <c r="AT30" i="54"/>
  <c r="AT31" i="54" s="1"/>
  <c r="AS30" i="54"/>
  <c r="AS31" i="54" s="1"/>
  <c r="AR30" i="54"/>
  <c r="AR31" i="54" s="1"/>
  <c r="AY26" i="54"/>
  <c r="BC25" i="54"/>
  <c r="BC26" i="54" s="1"/>
  <c r="BC28" i="54" s="1"/>
  <c r="S25" i="54"/>
  <c r="S26" i="54" s="1"/>
  <c r="R25" i="54"/>
  <c r="R26" i="54" s="1"/>
  <c r="Q25" i="54"/>
  <c r="Q26" i="54" s="1"/>
  <c r="P25" i="54"/>
  <c r="P26" i="54" s="1"/>
  <c r="Z21" i="54"/>
  <c r="Y21" i="54"/>
  <c r="X21" i="54"/>
  <c r="W21" i="54"/>
  <c r="AG14" i="54"/>
  <c r="AG15" i="54" s="1"/>
  <c r="AF14" i="54"/>
  <c r="AF15" i="54" s="1"/>
  <c r="AE14" i="54"/>
  <c r="AE15" i="54" s="1"/>
  <c r="AD14" i="54"/>
  <c r="AD15" i="54" s="1"/>
  <c r="AY12" i="54"/>
  <c r="AY13" i="54" s="1"/>
  <c r="AY15" i="54" s="1"/>
  <c r="AU12" i="54"/>
  <c r="AU13" i="54" s="1"/>
  <c r="AT12" i="54"/>
  <c r="AT13" i="54" s="1"/>
  <c r="AS12" i="54"/>
  <c r="AS13" i="54" s="1"/>
  <c r="AR12" i="54"/>
  <c r="AR13" i="54" s="1"/>
  <c r="BC11" i="54"/>
  <c r="BC12" i="54" s="1"/>
  <c r="BC14" i="54" s="1"/>
  <c r="AY27" i="54"/>
  <c r="AY29" i="54" s="1"/>
  <c r="I56" i="69"/>
  <c r="W43" i="68"/>
  <c r="W45" i="68" s="1"/>
  <c r="W41" i="68"/>
  <c r="P40" i="68"/>
  <c r="P42" i="68" s="1"/>
  <c r="P35" i="68" s="1"/>
  <c r="P36" i="68" s="1"/>
  <c r="I5" i="68" s="1"/>
  <c r="I47" i="68" s="1"/>
  <c r="W38" i="65"/>
  <c r="P39" i="65"/>
  <c r="P41" i="65" s="1"/>
  <c r="P34" i="65" s="1"/>
  <c r="P35" i="65" s="1"/>
  <c r="I5" i="65" s="1"/>
  <c r="P39" i="64"/>
  <c r="P41" i="64" s="1"/>
  <c r="P34" i="64" s="1"/>
  <c r="P35" i="64" s="1"/>
  <c r="I5" i="64" s="1"/>
  <c r="I16" i="64" s="1"/>
  <c r="I54" i="64" s="1"/>
  <c r="W49" i="64"/>
  <c r="W31" i="62"/>
  <c r="W33" i="62" s="1"/>
  <c r="W39" i="62" s="1"/>
  <c r="AK44" i="62"/>
  <c r="AK49" i="62" s="1"/>
  <c r="AK53" i="62" s="1"/>
  <c r="AK35" i="62"/>
  <c r="AK40" i="62" s="1"/>
  <c r="AK52" i="62" s="1"/>
  <c r="AK23" i="62"/>
  <c r="AK25" i="62" s="1"/>
  <c r="AK30" i="62" s="1"/>
  <c r="AK11" i="62"/>
  <c r="AK13" i="62" s="1"/>
  <c r="AK18" i="62" s="1"/>
  <c r="AK51" i="62" s="1"/>
  <c r="W10" i="63"/>
  <c r="W7" i="63"/>
  <c r="W24" i="63"/>
  <c r="W21" i="63"/>
  <c r="W38" i="63"/>
  <c r="W35" i="63"/>
  <c r="P39" i="63"/>
  <c r="P41" i="63" s="1"/>
  <c r="P34" i="63" s="1"/>
  <c r="P35" i="63" s="1"/>
  <c r="I5" i="63" s="1"/>
  <c r="I16" i="63" s="1"/>
  <c r="I54" i="63" s="1"/>
  <c r="W52" i="63"/>
  <c r="W49" i="63"/>
  <c r="W31" i="60"/>
  <c r="W33" i="60" s="1"/>
  <c r="W39" i="60" s="1"/>
  <c r="AK44" i="60"/>
  <c r="AK49" i="60" s="1"/>
  <c r="AK53" i="60" s="1"/>
  <c r="AK35" i="60"/>
  <c r="AK40" i="60" s="1"/>
  <c r="AK52" i="60" s="1"/>
  <c r="AK23" i="60"/>
  <c r="AK25" i="60" s="1"/>
  <c r="AK30" i="60" s="1"/>
  <c r="AK11" i="60"/>
  <c r="AK13" i="60" s="1"/>
  <c r="AK18" i="60" s="1"/>
  <c r="AK51" i="60" s="1"/>
  <c r="W10" i="61"/>
  <c r="W7" i="61"/>
  <c r="W24" i="61"/>
  <c r="W21" i="61"/>
  <c r="W38" i="61"/>
  <c r="W35" i="61"/>
  <c r="P39" i="61"/>
  <c r="P41" i="61" s="1"/>
  <c r="P34" i="61" s="1"/>
  <c r="P35" i="61" s="1"/>
  <c r="I5" i="61" s="1"/>
  <c r="I16" i="61" s="1"/>
  <c r="I54" i="61" s="1"/>
  <c r="W52" i="61"/>
  <c r="W49" i="61"/>
  <c r="O33" i="52"/>
  <c r="O30" i="52"/>
  <c r="B15" i="56"/>
  <c r="AS14" i="56" s="1"/>
  <c r="B12" i="56"/>
  <c r="AD41" i="56"/>
  <c r="AD40" i="56"/>
  <c r="AO37" i="56"/>
  <c r="AN37" i="56"/>
  <c r="AM37" i="56"/>
  <c r="AL37" i="56"/>
  <c r="AO36" i="56"/>
  <c r="AN36" i="56"/>
  <c r="AM36" i="56"/>
  <c r="AL36" i="56"/>
  <c r="Z28" i="56"/>
  <c r="Y28" i="56"/>
  <c r="X28" i="56"/>
  <c r="W28" i="56"/>
  <c r="AO21" i="56"/>
  <c r="AN21" i="56"/>
  <c r="AM21" i="56"/>
  <c r="AL21" i="56"/>
  <c r="AO20" i="56"/>
  <c r="AN20" i="56"/>
  <c r="AM20" i="56"/>
  <c r="AL20" i="56"/>
  <c r="AH20" i="56"/>
  <c r="AD20" i="56"/>
  <c r="AH19" i="56"/>
  <c r="AO7" i="56"/>
  <c r="AN7" i="56"/>
  <c r="AM7" i="56"/>
  <c r="AL7" i="56"/>
  <c r="AD7" i="56"/>
  <c r="AO6" i="56"/>
  <c r="AN6" i="56"/>
  <c r="AM6" i="56"/>
  <c r="AL6" i="56"/>
  <c r="AH6" i="56"/>
  <c r="AD6" i="56" s="1"/>
  <c r="AH5" i="56"/>
  <c r="Z5" i="56"/>
  <c r="Y5" i="56"/>
  <c r="X5" i="56"/>
  <c r="W5" i="56"/>
  <c r="S3" i="56"/>
  <c r="R3" i="56"/>
  <c r="Q3" i="56"/>
  <c r="P3" i="56"/>
  <c r="S2" i="56"/>
  <c r="R2" i="56"/>
  <c r="Q2" i="56"/>
  <c r="P2" i="56"/>
  <c r="AO39" i="56"/>
  <c r="AN39" i="56"/>
  <c r="AM39" i="56"/>
  <c r="AL39" i="56"/>
  <c r="AD39" i="56" s="1"/>
  <c r="S32" i="56"/>
  <c r="R32" i="56"/>
  <c r="Q32" i="56"/>
  <c r="P32" i="56"/>
  <c r="Z30" i="56"/>
  <c r="Y30" i="56"/>
  <c r="X30" i="56"/>
  <c r="W30" i="56"/>
  <c r="AD25" i="56"/>
  <c r="AH24" i="56"/>
  <c r="AO23" i="56"/>
  <c r="AN23" i="56"/>
  <c r="AM23" i="56"/>
  <c r="AL23" i="56"/>
  <c r="AD11" i="56"/>
  <c r="AH10" i="56"/>
  <c r="AO9" i="56"/>
  <c r="AN9" i="56"/>
  <c r="AM9" i="56"/>
  <c r="AL9" i="56"/>
  <c r="AN5" i="56"/>
  <c r="AD39" i="55"/>
  <c r="AP26" i="55"/>
  <c r="AP17" i="55"/>
  <c r="AP22" i="55" s="1"/>
  <c r="AL30" i="55" s="1"/>
  <c r="AF35" i="57"/>
  <c r="X30" i="57"/>
  <c r="U30" i="57"/>
  <c r="X29" i="57"/>
  <c r="U29" i="57"/>
  <c r="AE5" i="57"/>
  <c r="AF11" i="57"/>
  <c r="AF13" i="57" s="1"/>
  <c r="R4" i="57"/>
  <c r="S30" i="57"/>
  <c r="S5" i="57"/>
  <c r="S8" i="57" s="1"/>
  <c r="Q45" i="56"/>
  <c r="N45" i="56"/>
  <c r="AD44" i="56" s="1"/>
  <c r="Q44" i="56"/>
  <c r="N44" i="56"/>
  <c r="AD43" i="56"/>
  <c r="B27" i="56"/>
  <c r="Q5" i="56"/>
  <c r="X3" i="56"/>
  <c r="B30" i="56"/>
  <c r="Q43" i="56"/>
  <c r="W12" i="56"/>
  <c r="P9" i="56"/>
  <c r="R7" i="56"/>
  <c r="P7" i="56"/>
  <c r="Q13" i="56"/>
  <c r="X9" i="56"/>
  <c r="W49" i="54"/>
  <c r="W56" i="54" s="1"/>
  <c r="X56" i="54"/>
  <c r="AY40" i="54"/>
  <c r="BC44" i="54"/>
  <c r="AE26" i="54"/>
  <c r="AD26" i="54" s="1"/>
  <c r="AD34" i="54" s="1"/>
  <c r="AF34" i="54"/>
  <c r="AM7" i="54"/>
  <c r="AN44" i="54"/>
  <c r="AN49" i="54" s="1"/>
  <c r="AN35" i="54"/>
  <c r="AN40" i="54" s="1"/>
  <c r="AN23" i="54"/>
  <c r="AN25" i="54" s="1"/>
  <c r="AN11" i="54"/>
  <c r="S23" i="52"/>
  <c r="S25" i="52" s="1"/>
  <c r="J21" i="52"/>
  <c r="B38" i="52"/>
  <c r="S38" i="52"/>
  <c r="X31" i="57"/>
  <c r="P37" i="57"/>
  <c r="AD25" i="57"/>
  <c r="AE25" i="57"/>
  <c r="AF25" i="57"/>
  <c r="AG25" i="57"/>
  <c r="AG27" i="57" s="1"/>
  <c r="B21" i="56"/>
  <c r="B13" i="57"/>
  <c r="Q33" i="57"/>
  <c r="AD34" i="51"/>
  <c r="Q34" i="51"/>
  <c r="P34" i="51"/>
  <c r="AG33" i="51"/>
  <c r="AF33" i="51"/>
  <c r="AE33" i="51"/>
  <c r="AD33" i="51"/>
  <c r="F32" i="51"/>
  <c r="F31" i="51"/>
  <c r="AD29" i="51"/>
  <c r="F29" i="51"/>
  <c r="AG26" i="51"/>
  <c r="AF26" i="51"/>
  <c r="AE26" i="51"/>
  <c r="AD26" i="51"/>
  <c r="S25" i="51"/>
  <c r="R25" i="51"/>
  <c r="Q25" i="51"/>
  <c r="P25" i="51"/>
  <c r="F25" i="51"/>
  <c r="AE34" i="51" s="1"/>
  <c r="F22" i="51"/>
  <c r="AG19" i="51"/>
  <c r="AF19" i="51"/>
  <c r="AE19" i="51"/>
  <c r="AD19" i="51"/>
  <c r="W17" i="51"/>
  <c r="S17" i="51"/>
  <c r="R17" i="51"/>
  <c r="Q17" i="51"/>
  <c r="P17" i="51"/>
  <c r="E16" i="51"/>
  <c r="AD15" i="51"/>
  <c r="D14" i="51"/>
  <c r="I13" i="51"/>
  <c r="E13" i="51"/>
  <c r="AK12" i="51"/>
  <c r="AG12" i="51"/>
  <c r="AF12" i="51"/>
  <c r="AE12" i="51"/>
  <c r="AD12" i="51"/>
  <c r="I12" i="51"/>
  <c r="AK11" i="51"/>
  <c r="AK10" i="51"/>
  <c r="W10" i="51"/>
  <c r="Q10" i="51"/>
  <c r="P10" i="51"/>
  <c r="AK9" i="51"/>
  <c r="W9" i="51"/>
  <c r="Q9" i="51"/>
  <c r="P9" i="51"/>
  <c r="L9" i="51"/>
  <c r="K9" i="51"/>
  <c r="J9" i="51"/>
  <c r="I9" i="51"/>
  <c r="AK8" i="51"/>
  <c r="AK7" i="51"/>
  <c r="AK6" i="51"/>
  <c r="AK5" i="51"/>
  <c r="L5" i="51"/>
  <c r="AK4" i="51"/>
  <c r="AG4" i="51"/>
  <c r="AF4" i="51"/>
  <c r="AE4" i="51"/>
  <c r="AD4" i="51"/>
  <c r="Z4" i="51"/>
  <c r="Y4" i="51"/>
  <c r="X4" i="51"/>
  <c r="W4" i="51"/>
  <c r="AG3" i="51"/>
  <c r="AF3" i="51"/>
  <c r="AE3" i="51"/>
  <c r="AD3" i="51"/>
  <c r="E3" i="51"/>
  <c r="C3" i="51"/>
  <c r="O5" i="51" s="1"/>
  <c r="F58" i="50"/>
  <c r="F57" i="50"/>
  <c r="F55" i="50"/>
  <c r="W54" i="50"/>
  <c r="F51" i="50"/>
  <c r="F48" i="50"/>
  <c r="W47" i="50"/>
  <c r="AD46" i="50"/>
  <c r="W46" i="50"/>
  <c r="AL45" i="50"/>
  <c r="AO42" i="50"/>
  <c r="AN42" i="50"/>
  <c r="AM42" i="50"/>
  <c r="AL42" i="50"/>
  <c r="E42" i="50"/>
  <c r="Z41" i="50"/>
  <c r="Y41" i="50"/>
  <c r="X41" i="50"/>
  <c r="W41" i="50"/>
  <c r="C16" i="67"/>
  <c r="C25" i="66"/>
  <c r="C26" i="35"/>
  <c r="C25" i="35"/>
  <c r="W10" i="64" l="1"/>
  <c r="W7" i="65"/>
  <c r="I8" i="65" s="1"/>
  <c r="W21" i="64"/>
  <c r="W21" i="65"/>
  <c r="I10" i="65" s="1"/>
  <c r="I16" i="65" s="1"/>
  <c r="I54" i="65" s="1"/>
  <c r="I56" i="65" s="1"/>
  <c r="W38" i="64"/>
  <c r="W52" i="65"/>
  <c r="AF34" i="51"/>
  <c r="S4" i="56"/>
  <c r="S21" i="54"/>
  <c r="R21" i="54" s="1"/>
  <c r="Q21" i="54" s="1"/>
  <c r="R33" i="56"/>
  <c r="Z31" i="56"/>
  <c r="W31" i="56"/>
  <c r="AH25" i="56"/>
  <c r="Y31" i="56"/>
  <c r="S33" i="56"/>
  <c r="P33" i="56"/>
  <c r="X31" i="56"/>
  <c r="AD26" i="56"/>
  <c r="Q33" i="56"/>
  <c r="AH11" i="56"/>
  <c r="AD12" i="56"/>
  <c r="I49" i="68"/>
  <c r="I56" i="61"/>
  <c r="I56" i="63"/>
  <c r="R8" i="55"/>
  <c r="Q8" i="55" s="1"/>
  <c r="S20" i="55"/>
  <c r="AO11" i="56"/>
  <c r="AO13" i="56" s="1"/>
  <c r="AU15" i="54"/>
  <c r="AT15" i="54" s="1"/>
  <c r="AS15" i="54" s="1"/>
  <c r="AR15" i="54" s="1"/>
  <c r="AR17" i="54" s="1"/>
  <c r="AF27" i="57"/>
  <c r="AE27" i="57" s="1"/>
  <c r="AD27" i="57" s="1"/>
  <c r="AE34" i="54"/>
  <c r="AY45" i="54"/>
  <c r="B13" i="56"/>
  <c r="B3" i="51"/>
  <c r="C33" i="51" s="1"/>
  <c r="P40" i="51" s="1"/>
  <c r="I27" i="54"/>
  <c r="BG9" i="54"/>
  <c r="BK11" i="54"/>
  <c r="BK30" i="55"/>
  <c r="BJ30" i="55" s="1"/>
  <c r="BI30" i="55" s="1"/>
  <c r="BI32" i="55" s="1"/>
  <c r="AR50" i="54"/>
  <c r="AT52" i="54"/>
  <c r="AS52" i="54" s="1"/>
  <c r="I56" i="64"/>
  <c r="W43" i="62"/>
  <c r="W45" i="62" s="1"/>
  <c r="W41" i="62"/>
  <c r="P40" i="62"/>
  <c r="P42" i="62" s="1"/>
  <c r="P35" i="62" s="1"/>
  <c r="P36" i="62" s="1"/>
  <c r="I5" i="62" s="1"/>
  <c r="I47" i="62" s="1"/>
  <c r="W43" i="60"/>
  <c r="W45" i="60" s="1"/>
  <c r="W41" i="60"/>
  <c r="P40" i="60"/>
  <c r="P42" i="60" s="1"/>
  <c r="P35" i="60" s="1"/>
  <c r="P36" i="60" s="1"/>
  <c r="I5" i="60" s="1"/>
  <c r="I47" i="60" s="1"/>
  <c r="I15" i="51"/>
  <c r="P15" i="51"/>
  <c r="AF35" i="51"/>
  <c r="R30" i="57"/>
  <c r="R5" i="57"/>
  <c r="Y31" i="57"/>
  <c r="X33" i="57"/>
  <c r="AN13" i="54"/>
  <c r="AN18" i="54" s="1"/>
  <c r="AL7" i="54"/>
  <c r="AM44" i="54"/>
  <c r="AM35" i="54"/>
  <c r="AM23" i="54"/>
  <c r="AM11" i="54"/>
  <c r="R5" i="56"/>
  <c r="Y3" i="56"/>
  <c r="Q4" i="57"/>
  <c r="P4" i="57" s="1"/>
  <c r="R8" i="57"/>
  <c r="AD5" i="57"/>
  <c r="AE11" i="57"/>
  <c r="AE13" i="57" s="1"/>
  <c r="AE35" i="57"/>
  <c r="AF41" i="57"/>
  <c r="AF43" i="57" s="1"/>
  <c r="AM5" i="56"/>
  <c r="AN11" i="56"/>
  <c r="R4" i="56"/>
  <c r="AD13" i="56"/>
  <c r="AD15" i="56" s="1"/>
  <c r="S5" i="56"/>
  <c r="S8" i="56" s="1"/>
  <c r="S21" i="56" s="1"/>
  <c r="Z3" i="56"/>
  <c r="Z6" i="56" s="1"/>
  <c r="O52" i="52"/>
  <c r="O54" i="52" s="1"/>
  <c r="O47" i="52"/>
  <c r="O49" i="52" s="1"/>
  <c r="O42" i="52"/>
  <c r="O44" i="52" s="1"/>
  <c r="A44" i="52" s="1"/>
  <c r="O37" i="52"/>
  <c r="B5" i="51"/>
  <c r="C5" i="51"/>
  <c r="AG5" i="51"/>
  <c r="C7" i="51"/>
  <c r="B8" i="51"/>
  <c r="C10" i="51"/>
  <c r="C11" i="51"/>
  <c r="C14" i="51"/>
  <c r="C15" i="51"/>
  <c r="C16" i="51"/>
  <c r="C17" i="51"/>
  <c r="C21" i="51"/>
  <c r="C22" i="51"/>
  <c r="C24" i="51"/>
  <c r="C27" i="51"/>
  <c r="C28" i="51"/>
  <c r="A29" i="51"/>
  <c r="C31" i="51"/>
  <c r="C32" i="51"/>
  <c r="C34" i="51"/>
  <c r="AN13" i="56"/>
  <c r="AM25" i="54"/>
  <c r="AM40" i="54"/>
  <c r="AM49" i="54"/>
  <c r="AF36" i="54"/>
  <c r="AH12" i="56"/>
  <c r="AH14" i="56" s="1"/>
  <c r="AH26" i="56"/>
  <c r="AH28" i="56" s="1"/>
  <c r="AL25" i="56"/>
  <c r="AM25" i="56"/>
  <c r="AN25" i="56"/>
  <c r="AO25" i="56"/>
  <c r="AO27" i="56" s="1"/>
  <c r="AD21" i="56"/>
  <c r="AD23" i="56" s="1"/>
  <c r="AD27" i="56" s="1"/>
  <c r="AD29" i="56" s="1"/>
  <c r="AD37" i="56"/>
  <c r="AD42" i="56" s="1"/>
  <c r="D40" i="50"/>
  <c r="E39" i="50"/>
  <c r="S37" i="50"/>
  <c r="R37" i="50"/>
  <c r="Q37" i="50"/>
  <c r="P37" i="50"/>
  <c r="AO34" i="50"/>
  <c r="AN34" i="50"/>
  <c r="AM34" i="50"/>
  <c r="AL34" i="50"/>
  <c r="AO33" i="50"/>
  <c r="AN33" i="50"/>
  <c r="AM33" i="50"/>
  <c r="AL33" i="50"/>
  <c r="Z33" i="50"/>
  <c r="Y33" i="50"/>
  <c r="X33" i="50"/>
  <c r="W33" i="50"/>
  <c r="S31" i="50"/>
  <c r="R31" i="50"/>
  <c r="Q31" i="50"/>
  <c r="P31" i="50"/>
  <c r="AL29" i="50"/>
  <c r="Z29" i="50"/>
  <c r="Y29" i="50"/>
  <c r="X29" i="50"/>
  <c r="W29" i="50"/>
  <c r="S29" i="50"/>
  <c r="R29" i="50"/>
  <c r="Q29" i="50"/>
  <c r="P29" i="50"/>
  <c r="AD28" i="50"/>
  <c r="S28" i="50"/>
  <c r="R28" i="50"/>
  <c r="Q28" i="50"/>
  <c r="P28" i="50"/>
  <c r="AH27" i="50"/>
  <c r="Z27" i="50"/>
  <c r="Y27" i="50"/>
  <c r="X27" i="50"/>
  <c r="W27" i="50"/>
  <c r="S27" i="50"/>
  <c r="R27" i="50"/>
  <c r="Q27" i="50"/>
  <c r="P27" i="50"/>
  <c r="AO26" i="50"/>
  <c r="AN26" i="50"/>
  <c r="AM26" i="50"/>
  <c r="AL26" i="50"/>
  <c r="Z26" i="50"/>
  <c r="Y26" i="50"/>
  <c r="X26" i="50"/>
  <c r="W26" i="50"/>
  <c r="P26" i="50"/>
  <c r="I26" i="50"/>
  <c r="X25" i="50"/>
  <c r="W25" i="50"/>
  <c r="R25" i="50"/>
  <c r="P25" i="50"/>
  <c r="AD24" i="50"/>
  <c r="W24" i="50"/>
  <c r="Q24" i="50"/>
  <c r="P24" i="50"/>
  <c r="AH23" i="50"/>
  <c r="W23" i="50"/>
  <c r="P23" i="50"/>
  <c r="AD22" i="50"/>
  <c r="X22" i="50"/>
  <c r="W22" i="50"/>
  <c r="Q22" i="50"/>
  <c r="P22" i="50"/>
  <c r="I22" i="50"/>
  <c r="W21" i="50"/>
  <c r="I21" i="50"/>
  <c r="X20" i="50"/>
  <c r="W20" i="50"/>
  <c r="Q20" i="50"/>
  <c r="P20" i="50"/>
  <c r="I20" i="50"/>
  <c r="AO19" i="50"/>
  <c r="AN19" i="50"/>
  <c r="AM19" i="50"/>
  <c r="AL19" i="50"/>
  <c r="AD19" i="50"/>
  <c r="X19" i="50"/>
  <c r="W19" i="50"/>
  <c r="Q19" i="50"/>
  <c r="P19" i="50"/>
  <c r="I19" i="50"/>
  <c r="AH18" i="50"/>
  <c r="X18" i="50"/>
  <c r="W18" i="50"/>
  <c r="Q18" i="50"/>
  <c r="Q16" i="50" s="1"/>
  <c r="P18" i="50"/>
  <c r="X17" i="50"/>
  <c r="W17" i="50"/>
  <c r="Q17" i="50"/>
  <c r="P17" i="50"/>
  <c r="X16" i="50"/>
  <c r="W16" i="50"/>
  <c r="P16" i="50"/>
  <c r="AD8" i="50" s="1"/>
  <c r="AL15" i="50"/>
  <c r="X15" i="50"/>
  <c r="W15" i="50"/>
  <c r="S15" i="50"/>
  <c r="R15" i="50"/>
  <c r="Q15" i="50"/>
  <c r="P15" i="50"/>
  <c r="AD14" i="50"/>
  <c r="E14" i="50"/>
  <c r="F13" i="50" s="1"/>
  <c r="D14" i="50"/>
  <c r="AH13" i="50"/>
  <c r="W13" i="50"/>
  <c r="I13" i="50"/>
  <c r="E13" i="50"/>
  <c r="AS12" i="50"/>
  <c r="AO12" i="50"/>
  <c r="AN12" i="50"/>
  <c r="AM12" i="50"/>
  <c r="AL12" i="50"/>
  <c r="Q12" i="50"/>
  <c r="P12" i="50"/>
  <c r="I12" i="50"/>
  <c r="AS11" i="50"/>
  <c r="AS10" i="50"/>
  <c r="AD10" i="50"/>
  <c r="AS9" i="50"/>
  <c r="AH9" i="50"/>
  <c r="AD9" i="50"/>
  <c r="L9" i="50"/>
  <c r="K9" i="50"/>
  <c r="J9" i="50"/>
  <c r="I9" i="50"/>
  <c r="D9" i="50"/>
  <c r="AS8" i="50"/>
  <c r="AS7" i="50"/>
  <c r="X7" i="50"/>
  <c r="W7" i="50"/>
  <c r="AS6" i="50"/>
  <c r="AS5" i="50"/>
  <c r="AD5" i="50"/>
  <c r="L5" i="50"/>
  <c r="K5" i="50"/>
  <c r="J5" i="50"/>
  <c r="I5" i="50"/>
  <c r="E5" i="50"/>
  <c r="AS4" i="50"/>
  <c r="AO4" i="50"/>
  <c r="AN4" i="50"/>
  <c r="AM4" i="50"/>
  <c r="AL4" i="50"/>
  <c r="AH4" i="50"/>
  <c r="AD4" i="50"/>
  <c r="W4" i="50"/>
  <c r="E4" i="50"/>
  <c r="AO3" i="50"/>
  <c r="AN3" i="50"/>
  <c r="AM3" i="50"/>
  <c r="AL3" i="50"/>
  <c r="E3" i="50"/>
  <c r="C3" i="50"/>
  <c r="O5" i="50" s="1"/>
  <c r="B59" i="49"/>
  <c r="A59" i="49"/>
  <c r="F56" i="49"/>
  <c r="B58" i="49"/>
  <c r="A45" i="49" s="1"/>
  <c r="C57" i="49"/>
  <c r="AF44" i="49" s="1"/>
  <c r="F54" i="49"/>
  <c r="F53" i="49"/>
  <c r="I52" i="49"/>
  <c r="F51" i="49"/>
  <c r="C53" i="49"/>
  <c r="B28" i="52" s="1"/>
  <c r="Z48" i="49"/>
  <c r="Y48" i="49"/>
  <c r="X48" i="49"/>
  <c r="W48" i="49"/>
  <c r="AF47" i="49"/>
  <c r="AB47" i="49"/>
  <c r="BP46" i="49"/>
  <c r="AF46" i="49"/>
  <c r="AB46" i="49"/>
  <c r="Z46" i="49"/>
  <c r="Y46" i="49"/>
  <c r="X46" i="49"/>
  <c r="W46" i="49"/>
  <c r="E46" i="49"/>
  <c r="AF45" i="49"/>
  <c r="AB45" i="49"/>
  <c r="I45" i="49"/>
  <c r="F45" i="49"/>
  <c r="BT44" i="49"/>
  <c r="BP44" i="49"/>
  <c r="I44" i="49"/>
  <c r="BP43" i="49"/>
  <c r="I43" i="49"/>
  <c r="B45" i="49"/>
  <c r="BT42" i="49"/>
  <c r="BP42" i="49"/>
  <c r="I42" i="49"/>
  <c r="BT41" i="49"/>
  <c r="BP41" i="49"/>
  <c r="E41" i="49"/>
  <c r="B43" i="49"/>
  <c r="B42" i="49"/>
  <c r="BT39" i="49"/>
  <c r="BP39" i="49"/>
  <c r="S40" i="49"/>
  <c r="R40" i="49"/>
  <c r="Q40" i="49"/>
  <c r="P40" i="49"/>
  <c r="Y53" i="49" s="1"/>
  <c r="BT38" i="49"/>
  <c r="BP38" i="49"/>
  <c r="AH38" i="49"/>
  <c r="BA37" i="49"/>
  <c r="AW37" i="49"/>
  <c r="AV37" i="49"/>
  <c r="AU37" i="49"/>
  <c r="AT37" i="49"/>
  <c r="AD37" i="49"/>
  <c r="F37" i="49"/>
  <c r="C39" i="49"/>
  <c r="B39" i="49"/>
  <c r="BT36" i="49"/>
  <c r="BP36" i="49"/>
  <c r="AD36" i="49"/>
  <c r="F36" i="49"/>
  <c r="C38" i="49"/>
  <c r="B38" i="49" s="1"/>
  <c r="BT35" i="49" s="1"/>
  <c r="BP35" i="49"/>
  <c r="BA35" i="49"/>
  <c r="AH35" i="49"/>
  <c r="AD35" i="49"/>
  <c r="I35" i="49"/>
  <c r="B37" i="49"/>
  <c r="BA34" i="49"/>
  <c r="AH34" i="49"/>
  <c r="AD34" i="49"/>
  <c r="Z34" i="49"/>
  <c r="Y34" i="49"/>
  <c r="X34" i="49"/>
  <c r="W34" i="49"/>
  <c r="I34" i="49"/>
  <c r="C36" i="49"/>
  <c r="A36" i="49"/>
  <c r="BA33" i="49"/>
  <c r="AH33" i="49"/>
  <c r="F33" i="49"/>
  <c r="B35" i="49"/>
  <c r="BA32" i="49"/>
  <c r="AH32" i="49"/>
  <c r="AD32" i="49"/>
  <c r="Z32" i="49"/>
  <c r="Y32" i="49"/>
  <c r="X32" i="49"/>
  <c r="W32" i="49"/>
  <c r="BA31" i="49"/>
  <c r="AH31" i="49"/>
  <c r="AD31" i="49"/>
  <c r="S32" i="49"/>
  <c r="R32" i="49"/>
  <c r="Q32" i="49"/>
  <c r="P32" i="49"/>
  <c r="I31" i="49"/>
  <c r="C33" i="49"/>
  <c r="B33" i="49" s="1"/>
  <c r="BA30" i="49"/>
  <c r="AP30" i="49"/>
  <c r="F30" i="49"/>
  <c r="E30" i="49"/>
  <c r="BL29" i="49"/>
  <c r="BK29" i="49"/>
  <c r="BJ29" i="49"/>
  <c r="BI29" i="49"/>
  <c r="BA29" i="49"/>
  <c r="AW29" i="49"/>
  <c r="AV29" i="49"/>
  <c r="AU29" i="49"/>
  <c r="AT29" i="49"/>
  <c r="I29" i="49"/>
  <c r="D29" i="49"/>
  <c r="BP28" i="49"/>
  <c r="I28" i="49"/>
  <c r="E28" i="49"/>
  <c r="BT27" i="49"/>
  <c r="AP27" i="49"/>
  <c r="I27" i="49"/>
  <c r="BL26" i="49"/>
  <c r="BK26" i="49"/>
  <c r="BJ26" i="49"/>
  <c r="BI26" i="49"/>
  <c r="AW26" i="49"/>
  <c r="AV26" i="49"/>
  <c r="AU26" i="49"/>
  <c r="AT26" i="49"/>
  <c r="I26" i="49"/>
  <c r="E26" i="49"/>
  <c r="BT25" i="49"/>
  <c r="BP25" i="49"/>
  <c r="BL25" i="49"/>
  <c r="BK25" i="49"/>
  <c r="BJ25" i="49"/>
  <c r="BI25" i="49"/>
  <c r="AW25" i="49"/>
  <c r="AV25" i="49"/>
  <c r="AU25" i="49"/>
  <c r="AT25" i="49"/>
  <c r="Z25" i="49"/>
  <c r="Y25" i="49"/>
  <c r="W25" i="49"/>
  <c r="BT24" i="49"/>
  <c r="BP24" i="49"/>
  <c r="BL24" i="49"/>
  <c r="BK24" i="49"/>
  <c r="BJ24" i="49"/>
  <c r="BI24" i="49"/>
  <c r="AW24" i="49"/>
  <c r="AV24" i="49"/>
  <c r="AU24" i="49"/>
  <c r="AT24" i="49"/>
  <c r="AG24" i="49"/>
  <c r="AF24" i="49"/>
  <c r="AE24" i="49"/>
  <c r="AD24" i="49"/>
  <c r="F24" i="49"/>
  <c r="BT23" i="49"/>
  <c r="BL23" i="49"/>
  <c r="BK23" i="49"/>
  <c r="BJ23" i="49"/>
  <c r="BI23" i="49"/>
  <c r="AW23" i="49"/>
  <c r="AV23" i="49"/>
  <c r="AU23" i="49"/>
  <c r="AT23" i="49"/>
  <c r="AG23" i="49"/>
  <c r="AF23" i="49"/>
  <c r="AE23" i="49"/>
  <c r="AD23" i="49"/>
  <c r="S23" i="49"/>
  <c r="R23" i="49"/>
  <c r="Q23" i="49"/>
  <c r="P23" i="49"/>
  <c r="BT22" i="49"/>
  <c r="BP22" i="49"/>
  <c r="BL22" i="49"/>
  <c r="BK22" i="49"/>
  <c r="BJ22" i="49"/>
  <c r="BI22" i="49"/>
  <c r="AW22" i="49"/>
  <c r="AV22" i="49"/>
  <c r="AU22" i="49"/>
  <c r="AT22" i="49"/>
  <c r="AL22" i="49"/>
  <c r="S22" i="49"/>
  <c r="R22" i="49"/>
  <c r="Q22" i="49"/>
  <c r="P22" i="49"/>
  <c r="BT21" i="49"/>
  <c r="BL21" i="49"/>
  <c r="BK21" i="49"/>
  <c r="BJ21" i="49"/>
  <c r="BI21" i="49"/>
  <c r="AW21" i="49"/>
  <c r="AV21" i="49"/>
  <c r="AU21" i="49"/>
  <c r="AT21" i="49"/>
  <c r="AL21" i="49"/>
  <c r="S21" i="49"/>
  <c r="R21" i="49"/>
  <c r="Q21" i="49"/>
  <c r="P21" i="49"/>
  <c r="L21" i="49"/>
  <c r="K21" i="49"/>
  <c r="J21" i="49"/>
  <c r="I21" i="49"/>
  <c r="BT20" i="49"/>
  <c r="BP20" i="49"/>
  <c r="BL20" i="49"/>
  <c r="BK20" i="49"/>
  <c r="BJ20" i="49"/>
  <c r="BI20" i="49"/>
  <c r="BA20" i="49"/>
  <c r="AG20" i="49"/>
  <c r="AF20" i="49"/>
  <c r="AE20" i="49"/>
  <c r="AD20" i="49"/>
  <c r="Z20" i="49"/>
  <c r="Y20" i="49"/>
  <c r="X20" i="49"/>
  <c r="W20" i="49"/>
  <c r="L20" i="49"/>
  <c r="K20" i="49"/>
  <c r="J20" i="49"/>
  <c r="I20" i="49"/>
  <c r="BT19" i="49"/>
  <c r="BL19" i="49"/>
  <c r="BK19" i="49"/>
  <c r="BJ19" i="49"/>
  <c r="BI19" i="49"/>
  <c r="AU19" i="49"/>
  <c r="AL19" i="49"/>
  <c r="AG19" i="49"/>
  <c r="AF19" i="49"/>
  <c r="AE19" i="49"/>
  <c r="AD19" i="49"/>
  <c r="Q19" i="49"/>
  <c r="BT18" i="49"/>
  <c r="AT18" i="49"/>
  <c r="AL18" i="49"/>
  <c r="AG18" i="49"/>
  <c r="AF18" i="49"/>
  <c r="AE18" i="49"/>
  <c r="AD18" i="49"/>
  <c r="Z18" i="49"/>
  <c r="Y18" i="49"/>
  <c r="X18" i="49"/>
  <c r="W18" i="49"/>
  <c r="S18" i="49"/>
  <c r="R18" i="49"/>
  <c r="Q18" i="49"/>
  <c r="P18" i="49"/>
  <c r="S17" i="49"/>
  <c r="R17" i="49"/>
  <c r="Q17" i="49"/>
  <c r="P17" i="49"/>
  <c r="BC16" i="49"/>
  <c r="BB16" i="49"/>
  <c r="BA16" i="49"/>
  <c r="AD16" i="49"/>
  <c r="R16" i="49"/>
  <c r="B16" i="49"/>
  <c r="AD15" i="49"/>
  <c r="E15" i="49"/>
  <c r="BP14" i="49"/>
  <c r="P14" i="49"/>
  <c r="L14" i="49"/>
  <c r="K14" i="49"/>
  <c r="J14" i="49"/>
  <c r="I14" i="49"/>
  <c r="BT13" i="49"/>
  <c r="P13" i="49"/>
  <c r="B13" i="49"/>
  <c r="BX12" i="49"/>
  <c r="BP12" i="49"/>
  <c r="BL12" i="49"/>
  <c r="BK12" i="49"/>
  <c r="BJ12" i="49"/>
  <c r="BI12" i="49"/>
  <c r="BC12" i="49"/>
  <c r="BC13" i="49" s="1"/>
  <c r="BB12" i="49"/>
  <c r="BB13" i="49" s="1"/>
  <c r="BA12" i="49"/>
  <c r="BA13" i="49" s="1"/>
  <c r="L12" i="49"/>
  <c r="K12" i="49"/>
  <c r="J12" i="49"/>
  <c r="I12" i="49"/>
  <c r="B12" i="49"/>
  <c r="BX11" i="49"/>
  <c r="BT11" i="49"/>
  <c r="BP11" i="49"/>
  <c r="AE11" i="49"/>
  <c r="Z11" i="49"/>
  <c r="Y11" i="49"/>
  <c r="X11" i="49"/>
  <c r="W11" i="49"/>
  <c r="BX10" i="49"/>
  <c r="BT10" i="49"/>
  <c r="BP10" i="49"/>
  <c r="AW10" i="49"/>
  <c r="AV10" i="49"/>
  <c r="AU10" i="49"/>
  <c r="AT10" i="49"/>
  <c r="AL10" i="49"/>
  <c r="AE10" i="49"/>
  <c r="Q10" i="49"/>
  <c r="L10" i="49"/>
  <c r="K10" i="49"/>
  <c r="J10" i="49"/>
  <c r="I10" i="49"/>
  <c r="B10" i="49"/>
  <c r="BX9" i="49"/>
  <c r="BT9" i="49"/>
  <c r="BP9" i="49"/>
  <c r="BL9" i="49"/>
  <c r="BK9" i="49"/>
  <c r="BJ9" i="49"/>
  <c r="BI9" i="49"/>
  <c r="Q9" i="49"/>
  <c r="BX8" i="49"/>
  <c r="BT8" i="49"/>
  <c r="BP8" i="49"/>
  <c r="BL8" i="49"/>
  <c r="BK8" i="49"/>
  <c r="BJ8" i="49"/>
  <c r="BI8" i="49"/>
  <c r="AG8" i="49"/>
  <c r="AF8" i="49"/>
  <c r="AE8" i="49"/>
  <c r="AD8" i="49"/>
  <c r="L8" i="49"/>
  <c r="K8" i="49"/>
  <c r="J8" i="49"/>
  <c r="I8" i="49"/>
  <c r="BX7" i="49"/>
  <c r="BT7" i="49"/>
  <c r="BP7" i="49"/>
  <c r="BL7" i="49"/>
  <c r="BK7" i="49"/>
  <c r="BJ7" i="49"/>
  <c r="BI7" i="49"/>
  <c r="BC7" i="49"/>
  <c r="BB7" i="49"/>
  <c r="BA7" i="49"/>
  <c r="AW7" i="49"/>
  <c r="AV7" i="49"/>
  <c r="AU7" i="49"/>
  <c r="AT7" i="49"/>
  <c r="AG7" i="49"/>
  <c r="AF7" i="49"/>
  <c r="AE7" i="49"/>
  <c r="AD7" i="49"/>
  <c r="S7" i="49"/>
  <c r="P7" i="49"/>
  <c r="BX6" i="49"/>
  <c r="BT6" i="49"/>
  <c r="BL6" i="49"/>
  <c r="BK6" i="49"/>
  <c r="BJ6" i="49"/>
  <c r="BI6" i="49"/>
  <c r="AW6" i="49"/>
  <c r="AV6" i="49"/>
  <c r="AU6" i="49"/>
  <c r="AT6" i="49"/>
  <c r="Z6" i="49"/>
  <c r="Y6" i="49"/>
  <c r="X6" i="49"/>
  <c r="W6" i="49"/>
  <c r="BX5" i="49"/>
  <c r="BT5" i="49"/>
  <c r="BP5" i="49"/>
  <c r="BL5" i="49"/>
  <c r="BK5" i="49"/>
  <c r="BJ5" i="49"/>
  <c r="BI5" i="49"/>
  <c r="AW5" i="49"/>
  <c r="AV5" i="49"/>
  <c r="AU5" i="49"/>
  <c r="AT5" i="49"/>
  <c r="AG5" i="49"/>
  <c r="AF5" i="49"/>
  <c r="AE5" i="49"/>
  <c r="AD5" i="49"/>
  <c r="S5" i="49"/>
  <c r="R5" i="49"/>
  <c r="AF3" i="49" s="1"/>
  <c r="Q5" i="49"/>
  <c r="L5" i="49"/>
  <c r="H5" i="49"/>
  <c r="BX4" i="49"/>
  <c r="BT4" i="49"/>
  <c r="BP4" i="49"/>
  <c r="BL4" i="49"/>
  <c r="BK4" i="49"/>
  <c r="BJ4" i="49"/>
  <c r="BI4" i="49"/>
  <c r="AP4" i="49"/>
  <c r="AO4" i="49"/>
  <c r="AN4" i="49"/>
  <c r="AM4" i="49"/>
  <c r="AL4" i="49"/>
  <c r="AD4" i="49"/>
  <c r="Z4" i="49"/>
  <c r="Y4" i="49"/>
  <c r="X4" i="49"/>
  <c r="W4" i="49"/>
  <c r="E4" i="49"/>
  <c r="AP21" i="49" s="1"/>
  <c r="BL3" i="49"/>
  <c r="BK3" i="49"/>
  <c r="BJ3" i="49"/>
  <c r="BI3" i="49"/>
  <c r="BC3" i="49"/>
  <c r="BC4" i="49" s="1"/>
  <c r="BB3" i="49"/>
  <c r="BB4" i="49" s="1"/>
  <c r="BA3" i="49"/>
  <c r="BA4" i="49" s="1"/>
  <c r="AW3" i="49"/>
  <c r="AV3" i="49"/>
  <c r="AU3" i="49"/>
  <c r="AT3" i="49"/>
  <c r="AP3" i="49"/>
  <c r="AG3" i="49"/>
  <c r="AE3" i="49"/>
  <c r="S3" i="49"/>
  <c r="R3" i="49"/>
  <c r="Q3" i="49"/>
  <c r="P3" i="49"/>
  <c r="C3" i="49"/>
  <c r="BL2" i="49"/>
  <c r="BK2" i="49"/>
  <c r="BJ2" i="49"/>
  <c r="BI2" i="49"/>
  <c r="AV2" i="49"/>
  <c r="S2" i="49"/>
  <c r="R2" i="49"/>
  <c r="Q2" i="49"/>
  <c r="P2" i="49"/>
  <c r="B63" i="48"/>
  <c r="A63" i="48"/>
  <c r="Z60" i="48"/>
  <c r="Y60" i="48"/>
  <c r="X60" i="48"/>
  <c r="W60" i="48"/>
  <c r="B62" i="48"/>
  <c r="B49" i="48" s="1"/>
  <c r="C61" i="48"/>
  <c r="F58" i="48"/>
  <c r="Z57" i="48"/>
  <c r="Y57" i="48"/>
  <c r="X57" i="48"/>
  <c r="C57" i="48"/>
  <c r="Z54" i="48"/>
  <c r="Y54" i="48"/>
  <c r="X54" i="48"/>
  <c r="W54" i="48"/>
  <c r="Z53" i="48"/>
  <c r="Y53" i="48"/>
  <c r="X53" i="48"/>
  <c r="W53" i="48"/>
  <c r="X52" i="48"/>
  <c r="W52" i="48"/>
  <c r="AU51" i="48"/>
  <c r="AT51" i="48"/>
  <c r="AS51" i="48"/>
  <c r="AR51" i="48"/>
  <c r="Z51" i="48"/>
  <c r="Y51" i="48"/>
  <c r="X51" i="48"/>
  <c r="W51" i="48"/>
  <c r="BK50" i="48"/>
  <c r="Z50" i="48"/>
  <c r="Y50" i="48"/>
  <c r="X50" i="48"/>
  <c r="W50" i="48"/>
  <c r="Y49" i="48"/>
  <c r="F49" i="48"/>
  <c r="BK48" i="48"/>
  <c r="AU48" i="48"/>
  <c r="AT48" i="48"/>
  <c r="AS48" i="48"/>
  <c r="AR48" i="48"/>
  <c r="AN48" i="48"/>
  <c r="AM48" i="48"/>
  <c r="AL48" i="48"/>
  <c r="AK48" i="48"/>
  <c r="Q49" i="48"/>
  <c r="N49" i="48"/>
  <c r="F48" i="48"/>
  <c r="AU47" i="48"/>
  <c r="AT47" i="48"/>
  <c r="AS47" i="48"/>
  <c r="AR47" i="48"/>
  <c r="Q48" i="48"/>
  <c r="N48" i="48"/>
  <c r="A49" i="48"/>
  <c r="BK46" i="48"/>
  <c r="AY46" i="48"/>
  <c r="AU46" i="48"/>
  <c r="AT46" i="48"/>
  <c r="AS46" i="48"/>
  <c r="AR46" i="48"/>
  <c r="F46" i="48"/>
  <c r="BK45" i="48"/>
  <c r="BC45" i="48"/>
  <c r="AU45" i="48"/>
  <c r="AT45" i="48"/>
  <c r="AS45" i="48"/>
  <c r="AR45" i="48"/>
  <c r="AN45" i="48"/>
  <c r="AN46" i="48" s="1"/>
  <c r="AM45" i="48"/>
  <c r="AM46" i="48" s="1"/>
  <c r="AL45" i="48"/>
  <c r="AL46" i="48" s="1"/>
  <c r="AK45" i="48"/>
  <c r="B47" i="48"/>
  <c r="BK44" i="48"/>
  <c r="AU44" i="48"/>
  <c r="AT44" i="48"/>
  <c r="AS44" i="48"/>
  <c r="AR44" i="48"/>
  <c r="W44" i="48"/>
  <c r="B46" i="48"/>
  <c r="AY43" i="48"/>
  <c r="AU43" i="48"/>
  <c r="AT43" i="48"/>
  <c r="AS43" i="48"/>
  <c r="AR43" i="48"/>
  <c r="AG43" i="48"/>
  <c r="AF43" i="48"/>
  <c r="AE43" i="48"/>
  <c r="AD43" i="48"/>
  <c r="D43" i="48"/>
  <c r="BC42" i="48"/>
  <c r="AY42" i="48"/>
  <c r="I29" i="48"/>
  <c r="BC41" i="48"/>
  <c r="AY41" i="48"/>
  <c r="AR41" i="48"/>
  <c r="A43" i="48"/>
  <c r="BK40" i="48"/>
  <c r="BG40" i="48"/>
  <c r="AU40" i="48"/>
  <c r="AT40" i="48"/>
  <c r="AS40" i="48"/>
  <c r="AR40" i="48"/>
  <c r="Z40" i="48"/>
  <c r="Y40" i="48"/>
  <c r="X40" i="48"/>
  <c r="W40" i="48"/>
  <c r="S41" i="48"/>
  <c r="R41" i="48"/>
  <c r="Q41" i="48"/>
  <c r="P41" i="48"/>
  <c r="B42" i="48"/>
  <c r="BC39" i="48"/>
  <c r="AY39" i="48"/>
  <c r="AN39" i="48"/>
  <c r="AM39" i="48"/>
  <c r="AL39" i="48"/>
  <c r="AK39" i="48"/>
  <c r="B41" i="48"/>
  <c r="AR39" i="48" s="1"/>
  <c r="BK38" i="48"/>
  <c r="BG38" i="48"/>
  <c r="BC38" i="48"/>
  <c r="AY38" i="48"/>
  <c r="C40" i="48"/>
  <c r="B40" i="48" s="1"/>
  <c r="BG37" i="48"/>
  <c r="BC37" i="48"/>
  <c r="AY37" i="48"/>
  <c r="Z37" i="48"/>
  <c r="Y37" i="48"/>
  <c r="X37" i="48"/>
  <c r="W37" i="48"/>
  <c r="I41" i="48"/>
  <c r="E37" i="48"/>
  <c r="BK36" i="48"/>
  <c r="BG36" i="48"/>
  <c r="AN36" i="48"/>
  <c r="AN37" i="48" s="1"/>
  <c r="AM36" i="48"/>
  <c r="AM37" i="48" s="1"/>
  <c r="AL36" i="48"/>
  <c r="AL37" i="48" s="1"/>
  <c r="AK36" i="48"/>
  <c r="Z36" i="48"/>
  <c r="Y36" i="48"/>
  <c r="X36" i="48"/>
  <c r="W36" i="48"/>
  <c r="F36" i="48"/>
  <c r="A38" i="48"/>
  <c r="BK35" i="48"/>
  <c r="BC35" i="48" s="1"/>
  <c r="AY35" i="48"/>
  <c r="AG35" i="48"/>
  <c r="AF35" i="48"/>
  <c r="AE35" i="48"/>
  <c r="AD35" i="48"/>
  <c r="Z35" i="48"/>
  <c r="Y35" i="48"/>
  <c r="X35" i="48"/>
  <c r="W35" i="48"/>
  <c r="BK34" i="48"/>
  <c r="Z34" i="48"/>
  <c r="Y34" i="48"/>
  <c r="X34" i="48"/>
  <c r="W34" i="48"/>
  <c r="I37" i="48"/>
  <c r="B35" i="48"/>
  <c r="BG32" i="48"/>
  <c r="AU32" i="48"/>
  <c r="AT32" i="48"/>
  <c r="AS32" i="48"/>
  <c r="AR32" i="48"/>
  <c r="AG32" i="48"/>
  <c r="AF32" i="48"/>
  <c r="AE32" i="48"/>
  <c r="AD32" i="48"/>
  <c r="Z32" i="48"/>
  <c r="Y32" i="48"/>
  <c r="X32" i="48"/>
  <c r="W32" i="48"/>
  <c r="S33" i="48"/>
  <c r="R33" i="48"/>
  <c r="Q33" i="48"/>
  <c r="P33" i="48"/>
  <c r="I36" i="48"/>
  <c r="E32" i="48"/>
  <c r="AG31" i="48"/>
  <c r="AF31" i="48"/>
  <c r="AE31" i="48"/>
  <c r="AD31" i="48"/>
  <c r="I35" i="48"/>
  <c r="C33" i="48"/>
  <c r="C30" i="51" s="1"/>
  <c r="BK30" i="48"/>
  <c r="BG30" i="48"/>
  <c r="AG30" i="48"/>
  <c r="AF30" i="48"/>
  <c r="AE30" i="48"/>
  <c r="AD30" i="48"/>
  <c r="I34" i="48"/>
  <c r="BG29" i="48"/>
  <c r="AU29" i="48"/>
  <c r="AT29" i="48"/>
  <c r="AS29" i="48"/>
  <c r="AR29" i="48"/>
  <c r="AN29" i="48"/>
  <c r="AM29" i="48"/>
  <c r="AL29" i="48"/>
  <c r="AK29" i="48"/>
  <c r="AG29" i="48"/>
  <c r="AF29" i="48"/>
  <c r="AE29" i="48"/>
  <c r="AD29" i="48"/>
  <c r="S29" i="48"/>
  <c r="S30" i="48" s="1"/>
  <c r="R29" i="48"/>
  <c r="R30" i="48" s="1"/>
  <c r="Q29" i="48"/>
  <c r="Q30" i="48" s="1"/>
  <c r="P29" i="48"/>
  <c r="P30" i="48" s="1"/>
  <c r="BK28" i="48"/>
  <c r="BG28" i="48"/>
  <c r="AY28" i="48"/>
  <c r="AU28" i="48"/>
  <c r="AT28" i="48"/>
  <c r="AS28" i="48"/>
  <c r="AR28" i="48"/>
  <c r="AN28" i="48"/>
  <c r="AM28" i="48"/>
  <c r="AL28" i="48"/>
  <c r="AK28" i="48"/>
  <c r="AG28" i="48"/>
  <c r="AF28" i="48"/>
  <c r="AE28" i="48"/>
  <c r="AD28" i="48"/>
  <c r="BC27" i="48"/>
  <c r="AU27" i="48"/>
  <c r="AT27" i="48"/>
  <c r="AS27" i="48"/>
  <c r="AR27" i="48"/>
  <c r="AG27" i="48"/>
  <c r="AF27" i="48"/>
  <c r="AE27" i="48"/>
  <c r="AD27" i="48"/>
  <c r="BK26" i="48"/>
  <c r="AU26" i="48"/>
  <c r="AT26" i="48"/>
  <c r="AS26" i="48"/>
  <c r="AR26" i="48"/>
  <c r="AN26" i="48"/>
  <c r="AM26" i="48"/>
  <c r="AL26" i="48"/>
  <c r="AK26" i="48"/>
  <c r="Z26" i="48"/>
  <c r="Y26" i="48"/>
  <c r="X26" i="48"/>
  <c r="W26" i="48"/>
  <c r="BK25" i="48"/>
  <c r="AY25" i="48"/>
  <c r="AU25" i="48"/>
  <c r="AT25" i="48"/>
  <c r="AS25" i="48"/>
  <c r="AR25" i="48"/>
  <c r="AE25" i="48"/>
  <c r="Z25" i="48"/>
  <c r="Y25" i="48"/>
  <c r="X25" i="48"/>
  <c r="W25" i="48"/>
  <c r="I26" i="48"/>
  <c r="BK24" i="48"/>
  <c r="BG24" i="48"/>
  <c r="BC24" i="48"/>
  <c r="AY24" i="48"/>
  <c r="AU24" i="48"/>
  <c r="AT24" i="48"/>
  <c r="AS24" i="48"/>
  <c r="AR24" i="48"/>
  <c r="AN24" i="48"/>
  <c r="AM24" i="48"/>
  <c r="AL24" i="48"/>
  <c r="AK24" i="48"/>
  <c r="AF24" i="48"/>
  <c r="AD24" i="48"/>
  <c r="S24" i="48"/>
  <c r="R24" i="48"/>
  <c r="Q24" i="48"/>
  <c r="P24" i="48"/>
  <c r="I25" i="48"/>
  <c r="F24" i="48"/>
  <c r="E24" i="48"/>
  <c r="BC23" i="48"/>
  <c r="AU23" i="48"/>
  <c r="AT23" i="48"/>
  <c r="AS23" i="48"/>
  <c r="AR23" i="48"/>
  <c r="Z23" i="48"/>
  <c r="Y23" i="48"/>
  <c r="X23" i="48"/>
  <c r="W23" i="48"/>
  <c r="S23" i="48"/>
  <c r="R23" i="48"/>
  <c r="Q23" i="48"/>
  <c r="P23" i="48"/>
  <c r="D23" i="48"/>
  <c r="BG22" i="48"/>
  <c r="BC22" i="48"/>
  <c r="AY22" i="48"/>
  <c r="AU22" i="48"/>
  <c r="AT22" i="48"/>
  <c r="AS22" i="48"/>
  <c r="AR22" i="48"/>
  <c r="S22" i="48"/>
  <c r="R22" i="48"/>
  <c r="Q22" i="48"/>
  <c r="P22" i="48"/>
  <c r="E22" i="48"/>
  <c r="BG21" i="48"/>
  <c r="BC21" i="48"/>
  <c r="AU21" i="48"/>
  <c r="AT21" i="48"/>
  <c r="AS21" i="48"/>
  <c r="AR21" i="48"/>
  <c r="BK20" i="48"/>
  <c r="BG20" i="48"/>
  <c r="BC20" i="48"/>
  <c r="AY20" i="48"/>
  <c r="Z20" i="48"/>
  <c r="Y20" i="48"/>
  <c r="X20" i="48"/>
  <c r="W20" i="48"/>
  <c r="Q20" i="48"/>
  <c r="E20" i="48"/>
  <c r="BC19" i="48"/>
  <c r="AY19" i="48"/>
  <c r="Z19" i="48"/>
  <c r="Y19" i="48"/>
  <c r="X19" i="48"/>
  <c r="W19" i="48"/>
  <c r="S19" i="48"/>
  <c r="R19" i="48"/>
  <c r="Q19" i="48"/>
  <c r="P19" i="48"/>
  <c r="BK18" i="48"/>
  <c r="BC18" i="48"/>
  <c r="AG18" i="48"/>
  <c r="AF18" i="48"/>
  <c r="AE18" i="48"/>
  <c r="AD18" i="48"/>
  <c r="Z18" i="48"/>
  <c r="Y18" i="48"/>
  <c r="X18" i="48"/>
  <c r="W18" i="48"/>
  <c r="S18" i="48"/>
  <c r="R18" i="48"/>
  <c r="Q18" i="48"/>
  <c r="P18" i="48"/>
  <c r="AN17" i="48"/>
  <c r="AM17" i="48"/>
  <c r="AL17" i="48"/>
  <c r="AK17" i="48"/>
  <c r="S17" i="48"/>
  <c r="R17" i="48"/>
  <c r="Q17" i="48"/>
  <c r="P17" i="48"/>
  <c r="BK16" i="48"/>
  <c r="BG16" i="48"/>
  <c r="W16" i="48"/>
  <c r="S16" i="48"/>
  <c r="R16" i="48"/>
  <c r="Q16" i="48"/>
  <c r="P16" i="48"/>
  <c r="B16" i="48"/>
  <c r="AS39" i="48" s="1"/>
  <c r="BK15" i="48"/>
  <c r="W15" i="48"/>
  <c r="I16" i="48"/>
  <c r="BK14" i="48"/>
  <c r="BG14" i="48"/>
  <c r="AY14" i="48"/>
  <c r="AU14" i="48"/>
  <c r="AT14" i="48"/>
  <c r="AS14" i="48"/>
  <c r="AR14" i="48"/>
  <c r="AN14" i="48"/>
  <c r="AN15" i="48" s="1"/>
  <c r="AM14" i="48"/>
  <c r="AM15" i="48" s="1"/>
  <c r="AL14" i="48"/>
  <c r="AL15" i="48" s="1"/>
  <c r="AK14" i="48"/>
  <c r="AK15" i="48" s="1"/>
  <c r="P14" i="48"/>
  <c r="BG13" i="48"/>
  <c r="BC13" i="48"/>
  <c r="AG13" i="48"/>
  <c r="AF13" i="48"/>
  <c r="AE13" i="48"/>
  <c r="AD13" i="48"/>
  <c r="X13" i="48"/>
  <c r="P13" i="48"/>
  <c r="B13" i="48"/>
  <c r="BO12" i="48"/>
  <c r="BG12" i="48"/>
  <c r="AN12" i="48"/>
  <c r="AM12" i="48"/>
  <c r="AL12" i="48"/>
  <c r="AK12" i="48"/>
  <c r="AG12" i="48"/>
  <c r="AF12" i="48"/>
  <c r="AE12" i="48"/>
  <c r="AD12" i="48"/>
  <c r="X12" i="48"/>
  <c r="L12" i="48"/>
  <c r="K12" i="48"/>
  <c r="J12" i="48"/>
  <c r="I12" i="48"/>
  <c r="B12" i="48"/>
  <c r="AG24" i="48" s="1"/>
  <c r="BO11" i="48"/>
  <c r="AY11" i="48"/>
  <c r="AU11" i="48"/>
  <c r="AT11" i="48"/>
  <c r="AS11" i="48"/>
  <c r="AR11" i="48"/>
  <c r="Q11" i="48"/>
  <c r="L11" i="48"/>
  <c r="K11" i="48"/>
  <c r="J11" i="48"/>
  <c r="I11" i="48"/>
  <c r="BO10" i="48"/>
  <c r="BK10" i="48"/>
  <c r="BC10" i="48"/>
  <c r="AY10" i="48"/>
  <c r="AU10" i="48"/>
  <c r="AT10" i="48"/>
  <c r="AS10" i="48"/>
  <c r="AR10" i="48"/>
  <c r="AG10" i="48"/>
  <c r="AF10" i="48"/>
  <c r="AE10" i="48"/>
  <c r="AD10" i="48"/>
  <c r="Z10" i="48"/>
  <c r="Y10" i="48"/>
  <c r="X10" i="48"/>
  <c r="W10" i="48"/>
  <c r="Q10" i="48"/>
  <c r="L10" i="48"/>
  <c r="K10" i="48"/>
  <c r="J10" i="48"/>
  <c r="I10" i="48"/>
  <c r="B10" i="48"/>
  <c r="BO9" i="48"/>
  <c r="BC9" i="48"/>
  <c r="AY9" i="48"/>
  <c r="AU9" i="48"/>
  <c r="AT9" i="48"/>
  <c r="AS9" i="48"/>
  <c r="AR9" i="48"/>
  <c r="AE9" i="48"/>
  <c r="AD9" i="48"/>
  <c r="Z9" i="48"/>
  <c r="Y9" i="48"/>
  <c r="X9" i="48"/>
  <c r="W9" i="48"/>
  <c r="L9" i="48"/>
  <c r="BO8" i="48"/>
  <c r="BK8" i="48"/>
  <c r="BG8" i="48"/>
  <c r="BC8" i="48"/>
  <c r="AY8" i="48"/>
  <c r="AU8" i="48"/>
  <c r="AT8" i="48"/>
  <c r="AS8" i="48"/>
  <c r="AR8" i="48"/>
  <c r="S8" i="48"/>
  <c r="P8" i="48"/>
  <c r="L8" i="48"/>
  <c r="K8" i="48"/>
  <c r="J8" i="48"/>
  <c r="I8" i="48"/>
  <c r="E8" i="48"/>
  <c r="BO7" i="48"/>
  <c r="BC7" i="48"/>
  <c r="AY7" i="48"/>
  <c r="AU7" i="48"/>
  <c r="AT7" i="48"/>
  <c r="AS7" i="48"/>
  <c r="AR7" i="48"/>
  <c r="BO6" i="48"/>
  <c r="BK6" i="48"/>
  <c r="BG6" i="48"/>
  <c r="BC6" i="48"/>
  <c r="AU6" i="48"/>
  <c r="AT6" i="48"/>
  <c r="AS6" i="48"/>
  <c r="AR6" i="48"/>
  <c r="AD6" i="48"/>
  <c r="W6" i="48"/>
  <c r="P6" i="48"/>
  <c r="BO5" i="48"/>
  <c r="BK5" i="48"/>
  <c r="BG5" i="48"/>
  <c r="BC5" i="48"/>
  <c r="AY5" i="48"/>
  <c r="AU5" i="48"/>
  <c r="AT5" i="48"/>
  <c r="AS5" i="48"/>
  <c r="AR5" i="48"/>
  <c r="AG5" i="48"/>
  <c r="AF5" i="48"/>
  <c r="AE5" i="48"/>
  <c r="AD5" i="48"/>
  <c r="Y5" i="48"/>
  <c r="X5" i="48"/>
  <c r="R5" i="48"/>
  <c r="Q5" i="48"/>
  <c r="C29" i="51" s="1"/>
  <c r="L5" i="48"/>
  <c r="E5" i="48"/>
  <c r="BO4" i="48"/>
  <c r="BK4" i="48"/>
  <c r="BG4" i="48"/>
  <c r="BC4" i="48"/>
  <c r="AY4" i="48"/>
  <c r="AU4" i="48"/>
  <c r="AT4" i="48"/>
  <c r="AS4" i="48"/>
  <c r="AR4" i="48"/>
  <c r="AU3" i="48"/>
  <c r="AT3" i="48"/>
  <c r="AS3" i="48"/>
  <c r="AR3" i="48"/>
  <c r="AN3" i="48"/>
  <c r="AM3" i="48"/>
  <c r="AL3" i="48"/>
  <c r="AK3" i="48"/>
  <c r="AG3" i="48"/>
  <c r="AF3" i="48"/>
  <c r="AE3" i="48"/>
  <c r="AD3" i="48"/>
  <c r="Z3" i="48"/>
  <c r="Y3" i="48"/>
  <c r="X3" i="48"/>
  <c r="W3" i="48"/>
  <c r="S3" i="48"/>
  <c r="R3" i="48"/>
  <c r="Q3" i="48"/>
  <c r="P3" i="48"/>
  <c r="C3" i="48"/>
  <c r="C4" i="51" s="1"/>
  <c r="AN2" i="48"/>
  <c r="AM2" i="48"/>
  <c r="AL2" i="48"/>
  <c r="AK2" i="48"/>
  <c r="AG2" i="48"/>
  <c r="AF2" i="48"/>
  <c r="AE2" i="48"/>
  <c r="AD2" i="48"/>
  <c r="Z2" i="48"/>
  <c r="Y2" i="48"/>
  <c r="X2" i="48"/>
  <c r="W2" i="48"/>
  <c r="S2" i="48"/>
  <c r="R2" i="48"/>
  <c r="Q2" i="48"/>
  <c r="P2" i="48"/>
  <c r="O53" i="46"/>
  <c r="C51" i="46"/>
  <c r="B50" i="46"/>
  <c r="C49" i="46"/>
  <c r="O48" i="46"/>
  <c r="C47" i="46"/>
  <c r="A45" i="46"/>
  <c r="O43" i="46"/>
  <c r="B43" i="46"/>
  <c r="B42" i="46"/>
  <c r="C39" i="46"/>
  <c r="O38" i="46"/>
  <c r="S37" i="46"/>
  <c r="A35" i="46"/>
  <c r="S34" i="46"/>
  <c r="S33" i="46"/>
  <c r="B33" i="46"/>
  <c r="S32" i="46"/>
  <c r="B32" i="46"/>
  <c r="A34" i="46" s="1"/>
  <c r="S31" i="46"/>
  <c r="S30" i="46"/>
  <c r="O29" i="46"/>
  <c r="O26" i="46"/>
  <c r="O25" i="46"/>
  <c r="B25" i="46"/>
  <c r="S24" i="46"/>
  <c r="O24" i="46"/>
  <c r="O23" i="46"/>
  <c r="O22" i="46"/>
  <c r="S21" i="46"/>
  <c r="S20" i="46"/>
  <c r="O20" i="46"/>
  <c r="S19" i="46"/>
  <c r="O19" i="46"/>
  <c r="J19" i="46"/>
  <c r="S18" i="46"/>
  <c r="J18" i="46"/>
  <c r="S17" i="46"/>
  <c r="S16" i="46"/>
  <c r="S15" i="46"/>
  <c r="S14" i="46"/>
  <c r="O14" i="46"/>
  <c r="F14" i="46" s="1"/>
  <c r="E14" i="46"/>
  <c r="D14" i="46"/>
  <c r="S13" i="46"/>
  <c r="F13" i="46"/>
  <c r="E13" i="46"/>
  <c r="W12" i="46"/>
  <c r="S12" i="46"/>
  <c r="J12" i="46"/>
  <c r="B12" i="46"/>
  <c r="W11" i="46"/>
  <c r="S11" i="46"/>
  <c r="O11" i="46"/>
  <c r="J11" i="46"/>
  <c r="B11" i="46"/>
  <c r="W10" i="46"/>
  <c r="S10" i="46"/>
  <c r="O10" i="46"/>
  <c r="J10" i="46"/>
  <c r="W9" i="46"/>
  <c r="S9" i="46"/>
  <c r="O9" i="46"/>
  <c r="J9" i="46"/>
  <c r="D9" i="46"/>
  <c r="W8" i="46"/>
  <c r="S8" i="46"/>
  <c r="O8" i="46"/>
  <c r="J8" i="46"/>
  <c r="W7" i="46"/>
  <c r="S7" i="46"/>
  <c r="W6" i="46"/>
  <c r="S6" i="46"/>
  <c r="O6" i="46"/>
  <c r="W5" i="46"/>
  <c r="S5" i="46"/>
  <c r="E5" i="46"/>
  <c r="W4" i="46"/>
  <c r="S4" i="46"/>
  <c r="O4" i="46"/>
  <c r="C3" i="46"/>
  <c r="W59" i="45"/>
  <c r="W57" i="45"/>
  <c r="W56" i="45"/>
  <c r="W50" i="45"/>
  <c r="W48" i="45"/>
  <c r="S48" i="45"/>
  <c r="R48" i="45"/>
  <c r="Q48" i="45"/>
  <c r="P48" i="45"/>
  <c r="AD45" i="45"/>
  <c r="AG42" i="45"/>
  <c r="AF42" i="45"/>
  <c r="AE42" i="45"/>
  <c r="AD42" i="45"/>
  <c r="S42" i="45"/>
  <c r="R42" i="45"/>
  <c r="Q42" i="45"/>
  <c r="P42" i="45"/>
  <c r="Q34" i="45"/>
  <c r="P34" i="45"/>
  <c r="AG33" i="45"/>
  <c r="AF33" i="45"/>
  <c r="AE33" i="45"/>
  <c r="AD33" i="45"/>
  <c r="F32" i="45"/>
  <c r="F31" i="45"/>
  <c r="AD29" i="45"/>
  <c r="F29" i="45"/>
  <c r="AG26" i="45"/>
  <c r="AF26" i="45"/>
  <c r="AE26" i="45"/>
  <c r="AD26" i="45"/>
  <c r="S25" i="45"/>
  <c r="R25" i="45"/>
  <c r="Q25" i="45"/>
  <c r="P25" i="45"/>
  <c r="F25" i="45"/>
  <c r="AD34" i="45" s="1"/>
  <c r="F22" i="45"/>
  <c r="AG19" i="45"/>
  <c r="AF19" i="45"/>
  <c r="AE19" i="45"/>
  <c r="AD19" i="45"/>
  <c r="W17" i="45"/>
  <c r="S17" i="45"/>
  <c r="R17" i="45"/>
  <c r="Q17" i="45"/>
  <c r="P17" i="45"/>
  <c r="E16" i="45"/>
  <c r="AD15" i="45"/>
  <c r="D14" i="45"/>
  <c r="I13" i="45"/>
  <c r="E13" i="45"/>
  <c r="AK12" i="45"/>
  <c r="AG12" i="45"/>
  <c r="AF12" i="45"/>
  <c r="AE12" i="45"/>
  <c r="AD12" i="45"/>
  <c r="I12" i="45"/>
  <c r="AK11" i="45"/>
  <c r="AK10" i="45"/>
  <c r="W10" i="45"/>
  <c r="Q10" i="45"/>
  <c r="P10" i="45"/>
  <c r="AK9" i="45"/>
  <c r="W9" i="45"/>
  <c r="Q9" i="45"/>
  <c r="P9" i="45"/>
  <c r="L9" i="45"/>
  <c r="K9" i="45"/>
  <c r="J9" i="45"/>
  <c r="I9" i="45"/>
  <c r="AK8" i="45"/>
  <c r="AK7" i="45"/>
  <c r="AK6" i="45"/>
  <c r="AK5" i="45"/>
  <c r="L5" i="45"/>
  <c r="AK4" i="45"/>
  <c r="AG4" i="45"/>
  <c r="AF4" i="45"/>
  <c r="AE4" i="45"/>
  <c r="AD4" i="45"/>
  <c r="Z4" i="45"/>
  <c r="Y4" i="45"/>
  <c r="X4" i="45"/>
  <c r="W4" i="45"/>
  <c r="AG3" i="45"/>
  <c r="AF3" i="45"/>
  <c r="AE3" i="45"/>
  <c r="AD3" i="45"/>
  <c r="E3" i="45"/>
  <c r="C3" i="45"/>
  <c r="O5" i="45" s="1"/>
  <c r="F58" i="44"/>
  <c r="F57" i="44"/>
  <c r="F55" i="44"/>
  <c r="W54" i="44"/>
  <c r="F51" i="44"/>
  <c r="AM34" i="44" s="1"/>
  <c r="F48" i="44"/>
  <c r="AO4" i="44" s="1"/>
  <c r="W47" i="44"/>
  <c r="AD46" i="44"/>
  <c r="W46" i="44"/>
  <c r="AL45" i="44"/>
  <c r="AO42" i="44"/>
  <c r="AN42" i="44"/>
  <c r="AM42" i="44"/>
  <c r="AL42" i="44"/>
  <c r="E42" i="44"/>
  <c r="Z41" i="44"/>
  <c r="Y41" i="44"/>
  <c r="X41" i="44"/>
  <c r="W41" i="44"/>
  <c r="D40" i="44"/>
  <c r="E39" i="44"/>
  <c r="S37" i="44"/>
  <c r="R37" i="44"/>
  <c r="Q37" i="44"/>
  <c r="P37" i="44"/>
  <c r="AO34" i="44"/>
  <c r="AN34" i="44"/>
  <c r="AL34" i="44"/>
  <c r="AO33" i="44"/>
  <c r="AN33" i="44"/>
  <c r="AM33" i="44"/>
  <c r="AL33" i="44"/>
  <c r="Z33" i="44"/>
  <c r="Y33" i="44"/>
  <c r="X33" i="44"/>
  <c r="W33" i="44"/>
  <c r="S31" i="44"/>
  <c r="R31" i="44"/>
  <c r="Q31" i="44"/>
  <c r="P31" i="44"/>
  <c r="AL29" i="44"/>
  <c r="Z29" i="44"/>
  <c r="Y29" i="44"/>
  <c r="X29" i="44"/>
  <c r="W29" i="44"/>
  <c r="S29" i="44"/>
  <c r="R29" i="44"/>
  <c r="Q29" i="44"/>
  <c r="P29" i="44"/>
  <c r="AD28" i="44"/>
  <c r="S28" i="44"/>
  <c r="R28" i="44"/>
  <c r="Q28" i="44"/>
  <c r="P28" i="44"/>
  <c r="AH27" i="44"/>
  <c r="Z27" i="44"/>
  <c r="Y27" i="44"/>
  <c r="X27" i="44"/>
  <c r="W27" i="44"/>
  <c r="S27" i="44"/>
  <c r="R27" i="44"/>
  <c r="Q27" i="44"/>
  <c r="P27" i="44"/>
  <c r="AO26" i="44"/>
  <c r="AN26" i="44"/>
  <c r="AM26" i="44"/>
  <c r="AL26" i="44"/>
  <c r="Z26" i="44"/>
  <c r="Y26" i="44"/>
  <c r="X26" i="44"/>
  <c r="W26" i="44"/>
  <c r="P26" i="44"/>
  <c r="I26" i="44"/>
  <c r="X25" i="44"/>
  <c r="W25" i="44"/>
  <c r="R25" i="44"/>
  <c r="P25" i="44"/>
  <c r="AD24" i="44"/>
  <c r="W24" i="44"/>
  <c r="Q24" i="44"/>
  <c r="P24" i="44"/>
  <c r="AH23" i="44"/>
  <c r="W23" i="44"/>
  <c r="P23" i="44"/>
  <c r="AD22" i="44"/>
  <c r="X22" i="44"/>
  <c r="W22" i="44"/>
  <c r="Q22" i="44"/>
  <c r="P22" i="44"/>
  <c r="I22" i="44"/>
  <c r="W21" i="44"/>
  <c r="I21" i="44"/>
  <c r="X20" i="44"/>
  <c r="W20" i="44"/>
  <c r="Q20" i="44"/>
  <c r="P20" i="44"/>
  <c r="I20" i="44"/>
  <c r="AO19" i="44"/>
  <c r="AN19" i="44"/>
  <c r="AM19" i="44"/>
  <c r="AL19" i="44"/>
  <c r="AD19" i="44"/>
  <c r="X19" i="44"/>
  <c r="W19" i="44"/>
  <c r="Q19" i="44"/>
  <c r="P19" i="44"/>
  <c r="I19" i="44"/>
  <c r="AH18" i="44"/>
  <c r="X18" i="44"/>
  <c r="W18" i="44"/>
  <c r="Q18" i="44"/>
  <c r="Q16" i="44" s="1"/>
  <c r="P18" i="44"/>
  <c r="W7" i="44" s="1"/>
  <c r="X17" i="44"/>
  <c r="W17" i="44"/>
  <c r="Q17" i="44"/>
  <c r="P17" i="44"/>
  <c r="X16" i="44"/>
  <c r="W16" i="44"/>
  <c r="AL15" i="44"/>
  <c r="X15" i="44"/>
  <c r="W15" i="44"/>
  <c r="S15" i="44"/>
  <c r="R15" i="44"/>
  <c r="Q15" i="44"/>
  <c r="P15" i="44"/>
  <c r="AD14" i="44"/>
  <c r="E14" i="44"/>
  <c r="F13" i="44" s="1"/>
  <c r="D14" i="44"/>
  <c r="AH13" i="44"/>
  <c r="W13" i="44"/>
  <c r="I13" i="44"/>
  <c r="E13" i="44"/>
  <c r="AS12" i="44"/>
  <c r="AO12" i="44"/>
  <c r="AN12" i="44"/>
  <c r="AM12" i="44"/>
  <c r="AL12" i="44"/>
  <c r="Q12" i="44"/>
  <c r="P12" i="44"/>
  <c r="I12" i="44"/>
  <c r="AS11" i="44"/>
  <c r="AS10" i="44"/>
  <c r="AD10" i="44"/>
  <c r="AS9" i="44"/>
  <c r="AH9" i="44"/>
  <c r="AD9" i="44"/>
  <c r="L9" i="44"/>
  <c r="K9" i="44"/>
  <c r="J9" i="44"/>
  <c r="I9" i="44"/>
  <c r="D9" i="44"/>
  <c r="AS8" i="44"/>
  <c r="AS7" i="44"/>
  <c r="X7" i="44"/>
  <c r="AS6" i="44"/>
  <c r="AS5" i="44"/>
  <c r="AD5" i="44"/>
  <c r="L5" i="44"/>
  <c r="K5" i="44"/>
  <c r="J5" i="44"/>
  <c r="I5" i="44"/>
  <c r="E5" i="44"/>
  <c r="AS4" i="44"/>
  <c r="AN4" i="44"/>
  <c r="AM4" i="44"/>
  <c r="AH4" i="44"/>
  <c r="AD4" i="44"/>
  <c r="W4" i="44"/>
  <c r="E4" i="44"/>
  <c r="AO3" i="44"/>
  <c r="AN3" i="44"/>
  <c r="AM3" i="44"/>
  <c r="AL3" i="44"/>
  <c r="E3" i="44"/>
  <c r="C3" i="44"/>
  <c r="O5" i="44" s="1"/>
  <c r="B59" i="43"/>
  <c r="A59" i="43"/>
  <c r="F56" i="43"/>
  <c r="B58" i="43"/>
  <c r="A45" i="43" s="1"/>
  <c r="C57" i="43"/>
  <c r="F54" i="43"/>
  <c r="F53" i="43"/>
  <c r="I52" i="43"/>
  <c r="F51" i="43"/>
  <c r="BP28" i="43" s="1"/>
  <c r="C53" i="43"/>
  <c r="Z48" i="43"/>
  <c r="Y48" i="43"/>
  <c r="X48" i="43"/>
  <c r="W48" i="43"/>
  <c r="AF47" i="43"/>
  <c r="AB47" i="43"/>
  <c r="BP46" i="43"/>
  <c r="AF46" i="43"/>
  <c r="AB46" i="43"/>
  <c r="Z46" i="43"/>
  <c r="Y46" i="43"/>
  <c r="X46" i="43"/>
  <c r="W46" i="43"/>
  <c r="E46" i="43"/>
  <c r="AF45" i="43"/>
  <c r="AB45" i="43"/>
  <c r="I45" i="43"/>
  <c r="F45" i="43"/>
  <c r="BT44" i="43"/>
  <c r="BP44" i="43"/>
  <c r="AF44" i="43"/>
  <c r="I44" i="43"/>
  <c r="BP43" i="43"/>
  <c r="I43" i="43"/>
  <c r="BT42" i="43"/>
  <c r="BP42" i="43"/>
  <c r="I42" i="43"/>
  <c r="BT41" i="43"/>
  <c r="BP41" i="43"/>
  <c r="E41" i="43"/>
  <c r="B43" i="43"/>
  <c r="B42" i="43"/>
  <c r="BT39" i="43"/>
  <c r="BP39" i="43"/>
  <c r="S40" i="43"/>
  <c r="R40" i="43"/>
  <c r="Q40" i="43"/>
  <c r="P40" i="43"/>
  <c r="Y53" i="43" s="1"/>
  <c r="BT38" i="43"/>
  <c r="BP38" i="43"/>
  <c r="AH38" i="43"/>
  <c r="BA37" i="43"/>
  <c r="AW37" i="43"/>
  <c r="AV37" i="43"/>
  <c r="AU37" i="43"/>
  <c r="AT37" i="43"/>
  <c r="AD37" i="43"/>
  <c r="F37" i="43"/>
  <c r="C39" i="43"/>
  <c r="B39" i="43"/>
  <c r="BT36" i="43"/>
  <c r="BP36" i="43"/>
  <c r="AD36" i="43"/>
  <c r="F36" i="43"/>
  <c r="C38" i="43"/>
  <c r="B38" i="43" s="1"/>
  <c r="BT35" i="43" s="1"/>
  <c r="BP35" i="43"/>
  <c r="BA35" i="43"/>
  <c r="AH35" i="43"/>
  <c r="AD35" i="43"/>
  <c r="I35" i="43"/>
  <c r="B37" i="43"/>
  <c r="BA34" i="43"/>
  <c r="AH34" i="43"/>
  <c r="AD34" i="43"/>
  <c r="Z34" i="43"/>
  <c r="Y34" i="43"/>
  <c r="X34" i="43"/>
  <c r="W34" i="43"/>
  <c r="I34" i="43"/>
  <c r="C36" i="43"/>
  <c r="A36" i="43"/>
  <c r="BA33" i="43"/>
  <c r="AH33" i="43"/>
  <c r="F33" i="43"/>
  <c r="B35" i="43"/>
  <c r="BA32" i="43"/>
  <c r="AH32" i="43"/>
  <c r="AD32" i="43"/>
  <c r="Z32" i="43"/>
  <c r="Y32" i="43"/>
  <c r="X32" i="43"/>
  <c r="W32" i="43"/>
  <c r="BA31" i="43"/>
  <c r="AH31" i="43"/>
  <c r="AD31" i="43"/>
  <c r="S32" i="43"/>
  <c r="R32" i="43"/>
  <c r="Q32" i="43"/>
  <c r="P32" i="43"/>
  <c r="I31" i="43"/>
  <c r="C33" i="43"/>
  <c r="B33" i="43" s="1"/>
  <c r="BA30" i="43"/>
  <c r="AP30" i="43"/>
  <c r="F30" i="43"/>
  <c r="E30" i="43"/>
  <c r="BL29" i="43"/>
  <c r="BK29" i="43"/>
  <c r="BJ29" i="43"/>
  <c r="BI29" i="43"/>
  <c r="BA29" i="43"/>
  <c r="AW29" i="43"/>
  <c r="AV29" i="43"/>
  <c r="AU29" i="43"/>
  <c r="AT29" i="43"/>
  <c r="I29" i="43"/>
  <c r="D29" i="43"/>
  <c r="I28" i="43"/>
  <c r="E28" i="43"/>
  <c r="AP27" i="43"/>
  <c r="I27" i="43"/>
  <c r="BL26" i="43"/>
  <c r="BK26" i="43"/>
  <c r="BJ26" i="43"/>
  <c r="BI26" i="43"/>
  <c r="AW26" i="43"/>
  <c r="AV26" i="43"/>
  <c r="AU26" i="43"/>
  <c r="AT26" i="43"/>
  <c r="I26" i="43"/>
  <c r="E26" i="43"/>
  <c r="BT25" i="43"/>
  <c r="BP25" i="43"/>
  <c r="BL25" i="43"/>
  <c r="BK25" i="43"/>
  <c r="BJ25" i="43"/>
  <c r="BI25" i="43"/>
  <c r="AW25" i="43"/>
  <c r="AV25" i="43"/>
  <c r="AU25" i="43"/>
  <c r="AT25" i="43"/>
  <c r="Z25" i="43"/>
  <c r="Y25" i="43"/>
  <c r="X25" i="43"/>
  <c r="W25" i="43"/>
  <c r="BT24" i="43"/>
  <c r="BP24" i="43"/>
  <c r="BL24" i="43"/>
  <c r="BK24" i="43"/>
  <c r="BJ24" i="43"/>
  <c r="BI24" i="43"/>
  <c r="AW24" i="43"/>
  <c r="AV24" i="43"/>
  <c r="AU24" i="43"/>
  <c r="AT24" i="43"/>
  <c r="AG24" i="43"/>
  <c r="AF24" i="43"/>
  <c r="AE24" i="43"/>
  <c r="AD24" i="43"/>
  <c r="F24" i="43"/>
  <c r="BT23" i="43"/>
  <c r="BL23" i="43"/>
  <c r="BK23" i="43"/>
  <c r="BJ23" i="43"/>
  <c r="BI23" i="43"/>
  <c r="AW23" i="43"/>
  <c r="AV23" i="43"/>
  <c r="AU23" i="43"/>
  <c r="AT23" i="43"/>
  <c r="AG23" i="43"/>
  <c r="AF23" i="43"/>
  <c r="AE23" i="43"/>
  <c r="AD23" i="43"/>
  <c r="S23" i="43"/>
  <c r="R23" i="43"/>
  <c r="Q23" i="43"/>
  <c r="P23" i="43"/>
  <c r="BT22" i="43"/>
  <c r="BP22" i="43"/>
  <c r="BL22" i="43"/>
  <c r="BK22" i="43"/>
  <c r="BJ22" i="43"/>
  <c r="BI22" i="43"/>
  <c r="AW22" i="43"/>
  <c r="AV22" i="43"/>
  <c r="AU22" i="43"/>
  <c r="AT22" i="43"/>
  <c r="AL22" i="43"/>
  <c r="S22" i="43"/>
  <c r="R22" i="43"/>
  <c r="Q22" i="43"/>
  <c r="P22" i="43"/>
  <c r="BT21" i="43"/>
  <c r="BL21" i="43"/>
  <c r="BK21" i="43"/>
  <c r="BJ21" i="43"/>
  <c r="BI21" i="43"/>
  <c r="AW21" i="43"/>
  <c r="AV21" i="43"/>
  <c r="AU21" i="43"/>
  <c r="AT21" i="43"/>
  <c r="AL21" i="43"/>
  <c r="S21" i="43"/>
  <c r="R21" i="43"/>
  <c r="Q21" i="43"/>
  <c r="P21" i="43"/>
  <c r="L21" i="43"/>
  <c r="K21" i="43"/>
  <c r="J21" i="43"/>
  <c r="I21" i="43"/>
  <c r="BT20" i="43"/>
  <c r="BP20" i="43"/>
  <c r="BL20" i="43"/>
  <c r="BK20" i="43"/>
  <c r="BJ20" i="43"/>
  <c r="BI20" i="43"/>
  <c r="BA20" i="43"/>
  <c r="AG20" i="43"/>
  <c r="AF20" i="43"/>
  <c r="AE20" i="43"/>
  <c r="AD20" i="43"/>
  <c r="Z20" i="43"/>
  <c r="Y20" i="43"/>
  <c r="X20" i="43"/>
  <c r="W20" i="43"/>
  <c r="L20" i="43"/>
  <c r="K20" i="43"/>
  <c r="J20" i="43"/>
  <c r="I20" i="43"/>
  <c r="BT19" i="43"/>
  <c r="BL19" i="43"/>
  <c r="BK19" i="43"/>
  <c r="BJ19" i="43"/>
  <c r="BI19" i="43"/>
  <c r="AU19" i="43"/>
  <c r="AL19" i="43"/>
  <c r="AG19" i="43"/>
  <c r="AF19" i="43"/>
  <c r="AE19" i="43"/>
  <c r="AD19" i="43"/>
  <c r="Q19" i="43"/>
  <c r="BT18" i="43"/>
  <c r="AT18" i="43"/>
  <c r="AL18" i="43"/>
  <c r="AG18" i="43"/>
  <c r="AF18" i="43"/>
  <c r="AE18" i="43"/>
  <c r="AD18" i="43"/>
  <c r="Z18" i="43"/>
  <c r="Y18" i="43"/>
  <c r="X18" i="43"/>
  <c r="W18" i="43"/>
  <c r="S18" i="43"/>
  <c r="R18" i="43"/>
  <c r="Q18" i="43"/>
  <c r="P18" i="43"/>
  <c r="S17" i="43"/>
  <c r="R17" i="43"/>
  <c r="Q17" i="43"/>
  <c r="P17" i="43"/>
  <c r="BC16" i="43"/>
  <c r="BB16" i="43"/>
  <c r="BA16" i="43"/>
  <c r="AD16" i="43"/>
  <c r="R16" i="43"/>
  <c r="B16" i="43"/>
  <c r="AD15" i="43"/>
  <c r="E15" i="43"/>
  <c r="P14" i="43"/>
  <c r="L14" i="43"/>
  <c r="K14" i="43"/>
  <c r="J14" i="43"/>
  <c r="I14" i="43"/>
  <c r="P13" i="43"/>
  <c r="B13" i="43"/>
  <c r="BX12" i="43"/>
  <c r="BP12" i="43"/>
  <c r="BL12" i="43"/>
  <c r="BK12" i="43"/>
  <c r="BJ12" i="43"/>
  <c r="BI12" i="43"/>
  <c r="BC12" i="43"/>
  <c r="BC13" i="43" s="1"/>
  <c r="BB12" i="43"/>
  <c r="BB13" i="43" s="1"/>
  <c r="BA12" i="43"/>
  <c r="BA13" i="43" s="1"/>
  <c r="L12" i="43"/>
  <c r="K12" i="43"/>
  <c r="J12" i="43"/>
  <c r="I12" i="43"/>
  <c r="B12" i="43"/>
  <c r="BX11" i="43"/>
  <c r="BT11" i="43"/>
  <c r="BP11" i="43"/>
  <c r="AE11" i="43"/>
  <c r="Z11" i="43"/>
  <c r="Y11" i="43"/>
  <c r="X11" i="43"/>
  <c r="W11" i="43"/>
  <c r="BX10" i="43"/>
  <c r="BT10" i="43"/>
  <c r="BP10" i="43"/>
  <c r="AW10" i="43"/>
  <c r="AV10" i="43"/>
  <c r="AU10" i="43"/>
  <c r="AT10" i="43"/>
  <c r="AL10" i="43"/>
  <c r="AE10" i="43"/>
  <c r="Q10" i="43"/>
  <c r="L10" i="43"/>
  <c r="K10" i="43"/>
  <c r="J10" i="43"/>
  <c r="I10" i="43"/>
  <c r="B10" i="43"/>
  <c r="BX9" i="43"/>
  <c r="BT9" i="43"/>
  <c r="BP9" i="43"/>
  <c r="BL9" i="43"/>
  <c r="BK9" i="43"/>
  <c r="BJ9" i="43"/>
  <c r="BI9" i="43"/>
  <c r="Q9" i="43"/>
  <c r="BX8" i="43"/>
  <c r="BT8" i="43"/>
  <c r="BP8" i="43"/>
  <c r="BL8" i="43"/>
  <c r="BK8" i="43"/>
  <c r="BJ8" i="43"/>
  <c r="BI8" i="43"/>
  <c r="AG8" i="43"/>
  <c r="AF8" i="43"/>
  <c r="AE8" i="43"/>
  <c r="AD8" i="43"/>
  <c r="L8" i="43"/>
  <c r="K8" i="43"/>
  <c r="J8" i="43"/>
  <c r="I8" i="43"/>
  <c r="BX7" i="43"/>
  <c r="BT7" i="43"/>
  <c r="BP7" i="43"/>
  <c r="BL7" i="43"/>
  <c r="BK7" i="43"/>
  <c r="BJ7" i="43"/>
  <c r="BI7" i="43"/>
  <c r="BC7" i="43"/>
  <c r="BB7" i="43"/>
  <c r="BA7" i="43"/>
  <c r="AW7" i="43"/>
  <c r="AV7" i="43"/>
  <c r="AU7" i="43"/>
  <c r="AT7" i="43"/>
  <c r="AG7" i="43"/>
  <c r="AF7" i="43"/>
  <c r="AE7" i="43"/>
  <c r="AD7" i="43"/>
  <c r="S7" i="43"/>
  <c r="P7" i="43"/>
  <c r="BX6" i="43"/>
  <c r="BT6" i="43"/>
  <c r="BL6" i="43"/>
  <c r="BK6" i="43"/>
  <c r="BJ6" i="43"/>
  <c r="BI6" i="43"/>
  <c r="AW6" i="43"/>
  <c r="AV6" i="43"/>
  <c r="AU6" i="43"/>
  <c r="AT6" i="43"/>
  <c r="Z6" i="43"/>
  <c r="Y6" i="43"/>
  <c r="X6" i="43"/>
  <c r="W6" i="43"/>
  <c r="BX5" i="43"/>
  <c r="BT5" i="43"/>
  <c r="BP5" i="43"/>
  <c r="BL5" i="43"/>
  <c r="BK5" i="43"/>
  <c r="BJ5" i="43"/>
  <c r="BI5" i="43"/>
  <c r="AW5" i="43"/>
  <c r="AV5" i="43"/>
  <c r="AU5" i="43"/>
  <c r="AT5" i="43"/>
  <c r="AG5" i="43"/>
  <c r="AF5" i="43"/>
  <c r="AE5" i="43"/>
  <c r="AD5" i="43"/>
  <c r="S5" i="43"/>
  <c r="R5" i="43"/>
  <c r="AF3" i="43" s="1"/>
  <c r="Q5" i="43"/>
  <c r="L5" i="43"/>
  <c r="H5" i="43"/>
  <c r="BX4" i="43"/>
  <c r="BT4" i="43"/>
  <c r="BP4" i="43"/>
  <c r="BL4" i="43"/>
  <c r="BK4" i="43"/>
  <c r="BJ4" i="43"/>
  <c r="BI4" i="43"/>
  <c r="AP4" i="43"/>
  <c r="AO4" i="43"/>
  <c r="AN4" i="43"/>
  <c r="AM4" i="43"/>
  <c r="AL4" i="43"/>
  <c r="AD4" i="43"/>
  <c r="Z4" i="43"/>
  <c r="Y4" i="43"/>
  <c r="X4" i="43"/>
  <c r="W4" i="43"/>
  <c r="E4" i="43"/>
  <c r="AP21" i="43" s="1"/>
  <c r="BL3" i="43"/>
  <c r="BK3" i="43"/>
  <c r="BJ3" i="43"/>
  <c r="BI3" i="43"/>
  <c r="BC3" i="43"/>
  <c r="BC4" i="43" s="1"/>
  <c r="BB3" i="43"/>
  <c r="BB4" i="43" s="1"/>
  <c r="BA3" i="43"/>
  <c r="BA4" i="43" s="1"/>
  <c r="AW3" i="43"/>
  <c r="AV3" i="43"/>
  <c r="AU3" i="43"/>
  <c r="AT3" i="43"/>
  <c r="AG3" i="43"/>
  <c r="AE3" i="43"/>
  <c r="S3" i="43"/>
  <c r="R3" i="43"/>
  <c r="Q3" i="43"/>
  <c r="P3" i="43"/>
  <c r="C3" i="43"/>
  <c r="BL2" i="43"/>
  <c r="BK2" i="43"/>
  <c r="BJ2" i="43"/>
  <c r="BI2" i="43"/>
  <c r="AV2" i="43"/>
  <c r="S2" i="43"/>
  <c r="R2" i="43"/>
  <c r="Q2" i="43"/>
  <c r="P2" i="43"/>
  <c r="B63" i="42"/>
  <c r="A63" i="42"/>
  <c r="Z60" i="42"/>
  <c r="Y60" i="42"/>
  <c r="X60" i="42"/>
  <c r="W60" i="42"/>
  <c r="B62" i="42"/>
  <c r="B49" i="42" s="1"/>
  <c r="C61" i="42"/>
  <c r="F58" i="42"/>
  <c r="Z57" i="42"/>
  <c r="Y57" i="42"/>
  <c r="X57" i="42"/>
  <c r="C57" i="42"/>
  <c r="Z54" i="42"/>
  <c r="Y54" i="42"/>
  <c r="X54" i="42"/>
  <c r="W54" i="42"/>
  <c r="Z53" i="42"/>
  <c r="Y53" i="42"/>
  <c r="X53" i="42"/>
  <c r="W53" i="42"/>
  <c r="X52" i="42"/>
  <c r="W52" i="42"/>
  <c r="AU51" i="42"/>
  <c r="AT51" i="42"/>
  <c r="AS51" i="42"/>
  <c r="AR51" i="42"/>
  <c r="Z51" i="42"/>
  <c r="Y51" i="42"/>
  <c r="X51" i="42"/>
  <c r="W51" i="42"/>
  <c r="BK50" i="42"/>
  <c r="Z50" i="42"/>
  <c r="Y50" i="42"/>
  <c r="X50" i="42"/>
  <c r="W50" i="42"/>
  <c r="Y49" i="42"/>
  <c r="F49" i="42"/>
  <c r="BK48" i="42"/>
  <c r="AU48" i="42"/>
  <c r="AT48" i="42"/>
  <c r="AS48" i="42"/>
  <c r="AR48" i="42"/>
  <c r="AN48" i="42"/>
  <c r="AM48" i="42"/>
  <c r="AL48" i="42"/>
  <c r="AK48" i="42"/>
  <c r="Q49" i="42"/>
  <c r="N49" i="42"/>
  <c r="F48" i="42"/>
  <c r="AU47" i="42"/>
  <c r="AT47" i="42"/>
  <c r="AS47" i="42"/>
  <c r="AR47" i="42"/>
  <c r="Q48" i="42"/>
  <c r="N48" i="42"/>
  <c r="A49" i="42"/>
  <c r="BK46" i="42"/>
  <c r="AY46" i="42"/>
  <c r="AU46" i="42"/>
  <c r="AT46" i="42"/>
  <c r="AS46" i="42"/>
  <c r="AR46" i="42"/>
  <c r="F46" i="42"/>
  <c r="AY14" i="42" s="1"/>
  <c r="BK45" i="42"/>
  <c r="BC45" i="42"/>
  <c r="AU45" i="42"/>
  <c r="AT45" i="42"/>
  <c r="AS45" i="42"/>
  <c r="AR45" i="42"/>
  <c r="AN45" i="42"/>
  <c r="AN46" i="42" s="1"/>
  <c r="AM45" i="42"/>
  <c r="AM46" i="42" s="1"/>
  <c r="AL45" i="42"/>
  <c r="AL46" i="42" s="1"/>
  <c r="AK45" i="42"/>
  <c r="B47" i="42"/>
  <c r="BK44" i="42"/>
  <c r="AU44" i="42"/>
  <c r="AT44" i="42"/>
  <c r="AS44" i="42"/>
  <c r="AR44" i="42"/>
  <c r="W44" i="42"/>
  <c r="B46" i="42"/>
  <c r="AY43" i="42"/>
  <c r="AU43" i="42"/>
  <c r="AT43" i="42"/>
  <c r="AS43" i="42"/>
  <c r="AR43" i="42"/>
  <c r="AG43" i="42"/>
  <c r="AF43" i="42"/>
  <c r="AE43" i="42"/>
  <c r="AD43" i="42"/>
  <c r="D43" i="42"/>
  <c r="BC42" i="42"/>
  <c r="AY42" i="42"/>
  <c r="I29" i="42"/>
  <c r="BC41" i="42"/>
  <c r="AY41" i="42"/>
  <c r="AR41" i="42"/>
  <c r="A43" i="42"/>
  <c r="BK40" i="42"/>
  <c r="BG40" i="42"/>
  <c r="AU40" i="42"/>
  <c r="AT40" i="42"/>
  <c r="AS40" i="42"/>
  <c r="AR40" i="42"/>
  <c r="Z40" i="42"/>
  <c r="Y40" i="42"/>
  <c r="X40" i="42"/>
  <c r="W40" i="42"/>
  <c r="S41" i="42"/>
  <c r="R41" i="42"/>
  <c r="Q41" i="42"/>
  <c r="P41" i="42"/>
  <c r="B42" i="42"/>
  <c r="BC39" i="42"/>
  <c r="AY39" i="42"/>
  <c r="AN39" i="42"/>
  <c r="AM39" i="42"/>
  <c r="AL39" i="42"/>
  <c r="AK39" i="42"/>
  <c r="B41" i="42"/>
  <c r="AR39" i="42" s="1"/>
  <c r="BK38" i="42"/>
  <c r="BG38" i="42"/>
  <c r="BC38" i="42"/>
  <c r="AY38" i="42"/>
  <c r="C40" i="42"/>
  <c r="B40" i="42" s="1"/>
  <c r="BG37" i="42"/>
  <c r="BC37" i="42"/>
  <c r="AY37" i="42"/>
  <c r="Z37" i="42"/>
  <c r="Y37" i="42"/>
  <c r="X37" i="42"/>
  <c r="W37" i="42"/>
  <c r="I41" i="42"/>
  <c r="E37" i="42"/>
  <c r="BK36" i="42"/>
  <c r="BG36" i="42"/>
  <c r="AN36" i="42"/>
  <c r="AN37" i="42" s="1"/>
  <c r="AM36" i="42"/>
  <c r="AM37" i="42" s="1"/>
  <c r="AL36" i="42"/>
  <c r="AL37" i="42" s="1"/>
  <c r="AK36" i="42"/>
  <c r="Z36" i="42"/>
  <c r="Y36" i="42"/>
  <c r="X36" i="42"/>
  <c r="W36" i="42"/>
  <c r="F36" i="42"/>
  <c r="A38" i="42"/>
  <c r="BK35" i="42"/>
  <c r="BC35" i="42" s="1"/>
  <c r="AY35" i="42"/>
  <c r="AG35" i="42"/>
  <c r="AF35" i="42"/>
  <c r="AE35" i="42"/>
  <c r="AD35" i="42"/>
  <c r="Z35" i="42"/>
  <c r="Y35" i="42"/>
  <c r="X35" i="42"/>
  <c r="W35" i="42"/>
  <c r="BK34" i="42"/>
  <c r="Z34" i="42"/>
  <c r="Y34" i="42"/>
  <c r="X34" i="42"/>
  <c r="W34" i="42"/>
  <c r="I37" i="42"/>
  <c r="B35" i="42"/>
  <c r="BG32" i="42"/>
  <c r="AU32" i="42"/>
  <c r="AT32" i="42"/>
  <c r="AS32" i="42"/>
  <c r="AR32" i="42"/>
  <c r="AG32" i="42"/>
  <c r="AF32" i="42"/>
  <c r="AE32" i="42"/>
  <c r="AD32" i="42"/>
  <c r="Z32" i="42"/>
  <c r="Y32" i="42"/>
  <c r="X32" i="42"/>
  <c r="W32" i="42"/>
  <c r="S33" i="42"/>
  <c r="R33" i="42"/>
  <c r="Q33" i="42"/>
  <c r="P33" i="42"/>
  <c r="I36" i="42"/>
  <c r="E32" i="42"/>
  <c r="AG31" i="42"/>
  <c r="AF31" i="42"/>
  <c r="AE31" i="42"/>
  <c r="AD31" i="42"/>
  <c r="I35" i="42"/>
  <c r="C33" i="42"/>
  <c r="B33" i="42" s="1"/>
  <c r="BK30" i="42"/>
  <c r="BG30" i="42"/>
  <c r="AG30" i="42"/>
  <c r="AF30" i="42"/>
  <c r="AE30" i="42"/>
  <c r="AD30" i="42"/>
  <c r="I34" i="42"/>
  <c r="BG29" i="42"/>
  <c r="AU29" i="42"/>
  <c r="AT29" i="42"/>
  <c r="AS29" i="42"/>
  <c r="AR29" i="42"/>
  <c r="AN29" i="42"/>
  <c r="AM29" i="42"/>
  <c r="AL29" i="42"/>
  <c r="AK29" i="42"/>
  <c r="AG29" i="42"/>
  <c r="AF29" i="42"/>
  <c r="AE29" i="42"/>
  <c r="AD29" i="42"/>
  <c r="S29" i="42"/>
  <c r="S30" i="42" s="1"/>
  <c r="R29" i="42"/>
  <c r="R30" i="42" s="1"/>
  <c r="Q29" i="42"/>
  <c r="Q30" i="42" s="1"/>
  <c r="P29" i="42"/>
  <c r="P30" i="42" s="1"/>
  <c r="BK28" i="42"/>
  <c r="BG28" i="42"/>
  <c r="AU28" i="42"/>
  <c r="AT28" i="42"/>
  <c r="AS28" i="42"/>
  <c r="AR28" i="42"/>
  <c r="AN28" i="42"/>
  <c r="AM28" i="42"/>
  <c r="AL28" i="42"/>
  <c r="AK28" i="42"/>
  <c r="AG28" i="42"/>
  <c r="AF28" i="42"/>
  <c r="AE28" i="42"/>
  <c r="AD28" i="42"/>
  <c r="BC27" i="42"/>
  <c r="AU27" i="42"/>
  <c r="AT27" i="42"/>
  <c r="AS27" i="42"/>
  <c r="AR27" i="42"/>
  <c r="AG27" i="42"/>
  <c r="AF27" i="42"/>
  <c r="AE27" i="42"/>
  <c r="AD27" i="42"/>
  <c r="BK26" i="42"/>
  <c r="AU26" i="42"/>
  <c r="AT26" i="42"/>
  <c r="AS26" i="42"/>
  <c r="AR26" i="42"/>
  <c r="AN26" i="42"/>
  <c r="AM26" i="42"/>
  <c r="AL26" i="42"/>
  <c r="AK26" i="42"/>
  <c r="Z26" i="42"/>
  <c r="Y26" i="42"/>
  <c r="X26" i="42"/>
  <c r="W26" i="42"/>
  <c r="BK25" i="42"/>
  <c r="AY25" i="42"/>
  <c r="AU25" i="42"/>
  <c r="AT25" i="42"/>
  <c r="AS25" i="42"/>
  <c r="AR25" i="42"/>
  <c r="AE25" i="42"/>
  <c r="Z25" i="42"/>
  <c r="Y25" i="42"/>
  <c r="X25" i="42"/>
  <c r="W25" i="42"/>
  <c r="I26" i="42"/>
  <c r="BK24" i="42"/>
  <c r="BG24" i="42"/>
  <c r="BC24" i="42"/>
  <c r="AY24" i="42"/>
  <c r="AU24" i="42"/>
  <c r="AT24" i="42"/>
  <c r="AS24" i="42"/>
  <c r="AR24" i="42"/>
  <c r="AN24" i="42"/>
  <c r="AM24" i="42"/>
  <c r="AL24" i="42"/>
  <c r="AK24" i="42"/>
  <c r="AF24" i="42"/>
  <c r="AD24" i="42"/>
  <c r="S24" i="42"/>
  <c r="R24" i="42"/>
  <c r="Q24" i="42"/>
  <c r="P24" i="42"/>
  <c r="I25" i="42"/>
  <c r="F24" i="42"/>
  <c r="E24" i="42"/>
  <c r="BC23" i="42"/>
  <c r="AU23" i="42"/>
  <c r="AT23" i="42"/>
  <c r="AS23" i="42"/>
  <c r="AR23" i="42"/>
  <c r="Z23" i="42"/>
  <c r="Y23" i="42"/>
  <c r="X23" i="42"/>
  <c r="W23" i="42"/>
  <c r="S23" i="42"/>
  <c r="R23" i="42"/>
  <c r="Q23" i="42"/>
  <c r="P23" i="42"/>
  <c r="D23" i="42"/>
  <c r="BG22" i="42"/>
  <c r="BC22" i="42"/>
  <c r="AY22" i="42"/>
  <c r="AU22" i="42"/>
  <c r="AT22" i="42"/>
  <c r="AS22" i="42"/>
  <c r="AR22" i="42"/>
  <c r="S22" i="42"/>
  <c r="R22" i="42"/>
  <c r="Q22" i="42"/>
  <c r="P22" i="42"/>
  <c r="E22" i="42"/>
  <c r="BG21" i="42"/>
  <c r="BC21" i="42"/>
  <c r="AU21" i="42"/>
  <c r="AT21" i="42"/>
  <c r="AS21" i="42"/>
  <c r="AR21" i="42"/>
  <c r="BK20" i="42"/>
  <c r="BG20" i="42"/>
  <c r="BC20" i="42"/>
  <c r="AY20" i="42"/>
  <c r="Z20" i="42"/>
  <c r="Y20" i="42"/>
  <c r="X20" i="42"/>
  <c r="W20" i="42"/>
  <c r="Q20" i="42"/>
  <c r="E20" i="42"/>
  <c r="BC19" i="42"/>
  <c r="Z19" i="42"/>
  <c r="Y19" i="42"/>
  <c r="X19" i="42"/>
  <c r="W19" i="42"/>
  <c r="S19" i="42"/>
  <c r="R19" i="42"/>
  <c r="Q19" i="42"/>
  <c r="P19" i="42"/>
  <c r="BK18" i="42"/>
  <c r="BC18" i="42"/>
  <c r="AG18" i="42"/>
  <c r="AF18" i="42"/>
  <c r="AE18" i="42"/>
  <c r="AD18" i="42"/>
  <c r="Z18" i="42"/>
  <c r="Y18" i="42"/>
  <c r="X18" i="42"/>
  <c r="W18" i="42"/>
  <c r="S18" i="42"/>
  <c r="R18" i="42"/>
  <c r="Q18" i="42"/>
  <c r="P18" i="42"/>
  <c r="AN17" i="42"/>
  <c r="AM17" i="42"/>
  <c r="AL17" i="42"/>
  <c r="AK17" i="42"/>
  <c r="S17" i="42"/>
  <c r="R17" i="42"/>
  <c r="Q17" i="42"/>
  <c r="P17" i="42"/>
  <c r="BK16" i="42"/>
  <c r="BG16" i="42"/>
  <c r="W16" i="42"/>
  <c r="S16" i="42"/>
  <c r="R16" i="42"/>
  <c r="Q16" i="42"/>
  <c r="P16" i="42"/>
  <c r="B16" i="42"/>
  <c r="AS39" i="42" s="1"/>
  <c r="BK15" i="42"/>
  <c r="W15" i="42"/>
  <c r="I16" i="42"/>
  <c r="BK14" i="42"/>
  <c r="BG14" i="42"/>
  <c r="AU14" i="42"/>
  <c r="AT14" i="42"/>
  <c r="AS14" i="42"/>
  <c r="AR14" i="42"/>
  <c r="AN14" i="42"/>
  <c r="AN15" i="42" s="1"/>
  <c r="AM14" i="42"/>
  <c r="AM15" i="42" s="1"/>
  <c r="AL14" i="42"/>
  <c r="AL15" i="42" s="1"/>
  <c r="AK14" i="42"/>
  <c r="AK15" i="42" s="1"/>
  <c r="P14" i="42"/>
  <c r="BG13" i="42"/>
  <c r="BC13" i="42"/>
  <c r="AG13" i="42"/>
  <c r="AF13" i="42"/>
  <c r="AE13" i="42"/>
  <c r="AD13" i="42"/>
  <c r="X13" i="42"/>
  <c r="P13" i="42"/>
  <c r="B13" i="42"/>
  <c r="BO12" i="42"/>
  <c r="BG12" i="42"/>
  <c r="AN12" i="42"/>
  <c r="AM12" i="42"/>
  <c r="AL12" i="42"/>
  <c r="AK12" i="42"/>
  <c r="AG12" i="42"/>
  <c r="AF12" i="42"/>
  <c r="AE12" i="42"/>
  <c r="AD12" i="42"/>
  <c r="X12" i="42"/>
  <c r="L12" i="42"/>
  <c r="K12" i="42"/>
  <c r="J12" i="42"/>
  <c r="I12" i="42"/>
  <c r="B12" i="42"/>
  <c r="AG24" i="42" s="1"/>
  <c r="BO11" i="42"/>
  <c r="AY11" i="42"/>
  <c r="AU11" i="42"/>
  <c r="AT11" i="42"/>
  <c r="AS11" i="42"/>
  <c r="AR11" i="42"/>
  <c r="Q11" i="42"/>
  <c r="L11" i="42"/>
  <c r="K11" i="42"/>
  <c r="J11" i="42"/>
  <c r="I11" i="42"/>
  <c r="BO10" i="42"/>
  <c r="BK10" i="42"/>
  <c r="BC10" i="42"/>
  <c r="AY10" i="42"/>
  <c r="AU10" i="42"/>
  <c r="AT10" i="42"/>
  <c r="AS10" i="42"/>
  <c r="AR10" i="42"/>
  <c r="AG10" i="42"/>
  <c r="AF10" i="42"/>
  <c r="AE10" i="42"/>
  <c r="AD10" i="42"/>
  <c r="Z10" i="42"/>
  <c r="Y10" i="42"/>
  <c r="X10" i="42"/>
  <c r="W10" i="42"/>
  <c r="Q10" i="42"/>
  <c r="L10" i="42"/>
  <c r="K10" i="42"/>
  <c r="J10" i="42"/>
  <c r="I10" i="42"/>
  <c r="B10" i="42"/>
  <c r="BO9" i="42"/>
  <c r="BC9" i="42"/>
  <c r="AY9" i="42"/>
  <c r="AU9" i="42"/>
  <c r="AT9" i="42"/>
  <c r="AS9" i="42"/>
  <c r="AR9" i="42"/>
  <c r="AE9" i="42"/>
  <c r="AD9" i="42"/>
  <c r="Z9" i="42"/>
  <c r="Y9" i="42"/>
  <c r="X9" i="42"/>
  <c r="W9" i="42"/>
  <c r="L9" i="42"/>
  <c r="BO8" i="42"/>
  <c r="BK8" i="42"/>
  <c r="BG8" i="42"/>
  <c r="BC8" i="42"/>
  <c r="AY8" i="42"/>
  <c r="AU8" i="42"/>
  <c r="AT8" i="42"/>
  <c r="AS8" i="42"/>
  <c r="AR8" i="42"/>
  <c r="S8" i="42"/>
  <c r="P8" i="42"/>
  <c r="L8" i="42"/>
  <c r="K8" i="42"/>
  <c r="J8" i="42"/>
  <c r="I8" i="42"/>
  <c r="E8" i="42"/>
  <c r="BO7" i="42"/>
  <c r="BC7" i="42"/>
  <c r="AY7" i="42"/>
  <c r="AU7" i="42"/>
  <c r="AT7" i="42"/>
  <c r="AS7" i="42"/>
  <c r="AR7" i="42"/>
  <c r="BO6" i="42"/>
  <c r="BK6" i="42"/>
  <c r="BG6" i="42"/>
  <c r="BC6" i="42"/>
  <c r="AU6" i="42"/>
  <c r="AT6" i="42"/>
  <c r="AS6" i="42"/>
  <c r="AR6" i="42"/>
  <c r="AD6" i="42"/>
  <c r="W6" i="42"/>
  <c r="P6" i="42"/>
  <c r="BO5" i="42"/>
  <c r="BK5" i="42"/>
  <c r="BG5" i="42"/>
  <c r="BC5" i="42"/>
  <c r="AY5" i="42"/>
  <c r="AU5" i="42"/>
  <c r="AT5" i="42"/>
  <c r="AS5" i="42"/>
  <c r="AR5" i="42"/>
  <c r="AG5" i="42"/>
  <c r="AF5" i="42"/>
  <c r="AE5" i="42"/>
  <c r="AD5" i="42"/>
  <c r="Y5" i="42"/>
  <c r="X5" i="42"/>
  <c r="R5" i="42"/>
  <c r="Q5" i="42"/>
  <c r="L5" i="42"/>
  <c r="E5" i="42"/>
  <c r="BO4" i="42"/>
  <c r="BK4" i="42"/>
  <c r="BG4" i="42"/>
  <c r="BC4" i="42"/>
  <c r="AY4" i="42"/>
  <c r="AU4" i="42"/>
  <c r="AT4" i="42"/>
  <c r="AS4" i="42"/>
  <c r="AR4" i="42"/>
  <c r="AU3" i="42"/>
  <c r="AT3" i="42"/>
  <c r="AS3" i="42"/>
  <c r="AR3" i="42"/>
  <c r="AN3" i="42"/>
  <c r="AM3" i="42"/>
  <c r="AL3" i="42"/>
  <c r="AK3" i="42"/>
  <c r="AG3" i="42"/>
  <c r="AF3" i="42"/>
  <c r="AE3" i="42"/>
  <c r="AD3" i="42"/>
  <c r="Z3" i="42"/>
  <c r="Y3" i="42"/>
  <c r="X3" i="42"/>
  <c r="W3" i="42"/>
  <c r="S3" i="42"/>
  <c r="R3" i="42"/>
  <c r="Q3" i="42"/>
  <c r="P3" i="42"/>
  <c r="C3" i="42"/>
  <c r="AN2" i="42"/>
  <c r="AM2" i="42"/>
  <c r="AL2" i="42"/>
  <c r="AK2" i="42"/>
  <c r="AG2" i="42"/>
  <c r="AF2" i="42"/>
  <c r="AE2" i="42"/>
  <c r="AD2" i="42"/>
  <c r="Z2" i="42"/>
  <c r="Y2" i="42"/>
  <c r="X2" i="42"/>
  <c r="W2" i="42"/>
  <c r="S2" i="42"/>
  <c r="R2" i="42"/>
  <c r="Q2" i="42"/>
  <c r="P2" i="42"/>
  <c r="C26" i="66"/>
  <c r="C17" i="35"/>
  <c r="C16" i="35"/>
  <c r="AY19" i="42" l="1"/>
  <c r="AY28" i="42"/>
  <c r="S5" i="42"/>
  <c r="Z5" i="42"/>
  <c r="BT13" i="43"/>
  <c r="BP14" i="43"/>
  <c r="BT27" i="43"/>
  <c r="B45" i="43"/>
  <c r="AL4" i="44"/>
  <c r="F14" i="44"/>
  <c r="AE34" i="45"/>
  <c r="S3" i="46"/>
  <c r="O28" i="46"/>
  <c r="S5" i="48"/>
  <c r="Z5" i="48"/>
  <c r="X25" i="49"/>
  <c r="AF34" i="45"/>
  <c r="P16" i="44"/>
  <c r="AD8" i="44" s="1"/>
  <c r="F14" i="50"/>
  <c r="B31" i="51"/>
  <c r="I49" i="60"/>
  <c r="I49" i="62"/>
  <c r="AV18" i="43"/>
  <c r="AV18" i="49"/>
  <c r="R20" i="55"/>
  <c r="L13" i="48"/>
  <c r="S27" i="55"/>
  <c r="S28" i="55" s="1"/>
  <c r="S33" i="55" s="1"/>
  <c r="L13" i="42"/>
  <c r="Q8" i="57"/>
  <c r="AR52" i="54"/>
  <c r="B3" i="45"/>
  <c r="C33" i="45" s="1"/>
  <c r="P15" i="45" s="1"/>
  <c r="B3" i="44"/>
  <c r="C34" i="44" s="1"/>
  <c r="B3" i="50"/>
  <c r="C33" i="50" s="1"/>
  <c r="AN27" i="56"/>
  <c r="AM27" i="56" s="1"/>
  <c r="AL27" i="56" s="1"/>
  <c r="B33" i="48"/>
  <c r="O3" i="46"/>
  <c r="S29" i="46"/>
  <c r="S36" i="46" s="1"/>
  <c r="BX14" i="43"/>
  <c r="AP18" i="43"/>
  <c r="AP20" i="43" s="1"/>
  <c r="BX14" i="49"/>
  <c r="AP18" i="49"/>
  <c r="AP20" i="49" s="1"/>
  <c r="BO14" i="42"/>
  <c r="BO14" i="48"/>
  <c r="AL20" i="43"/>
  <c r="I15" i="44"/>
  <c r="I15" i="45"/>
  <c r="AL20" i="49"/>
  <c r="I15" i="50"/>
  <c r="Q13" i="44"/>
  <c r="X9" i="44"/>
  <c r="P40" i="45"/>
  <c r="AF35" i="45"/>
  <c r="B28" i="46"/>
  <c r="O33" i="46"/>
  <c r="O30" i="46"/>
  <c r="AP3" i="43"/>
  <c r="Q30" i="51"/>
  <c r="Q5" i="51"/>
  <c r="P31" i="51"/>
  <c r="B30" i="51"/>
  <c r="Y6" i="56"/>
  <c r="X6" i="56" s="1"/>
  <c r="Z8" i="56"/>
  <c r="S30" i="56"/>
  <c r="AN4" i="42"/>
  <c r="AM4" i="42" s="1"/>
  <c r="AL4" i="42" s="1"/>
  <c r="AK4" i="42" s="1"/>
  <c r="AG4" i="42" s="1"/>
  <c r="AF4" i="42" s="1"/>
  <c r="AE4" i="42" s="1"/>
  <c r="AD4" i="42" s="1"/>
  <c r="Z4" i="42" s="1"/>
  <c r="Y4" i="42" s="1"/>
  <c r="X4" i="42" s="1"/>
  <c r="W4" i="42" s="1"/>
  <c r="S4" i="42" s="1"/>
  <c r="R4" i="42" s="1"/>
  <c r="Q4" i="42" s="1"/>
  <c r="P4" i="42" s="1"/>
  <c r="AN5" i="42"/>
  <c r="AM5" i="42" s="1"/>
  <c r="AL5" i="42" s="1"/>
  <c r="AY6" i="42"/>
  <c r="BK7" i="42"/>
  <c r="BG7" i="42" s="1"/>
  <c r="BG15" i="42"/>
  <c r="AN16" i="42"/>
  <c r="AM16" i="42" s="1"/>
  <c r="AL16" i="42" s="1"/>
  <c r="AK16" i="42" s="1"/>
  <c r="AY21" i="42"/>
  <c r="AY23" i="42" s="1"/>
  <c r="BG23" i="42"/>
  <c r="BG25" i="42" s="1"/>
  <c r="Z24" i="42"/>
  <c r="Y24" i="42" s="1"/>
  <c r="X24" i="42" s="1"/>
  <c r="W24" i="42" s="1"/>
  <c r="AE24" i="42"/>
  <c r="AG26" i="42"/>
  <c r="AF26" i="42" s="1"/>
  <c r="AN27" i="42"/>
  <c r="AM27" i="42" s="1"/>
  <c r="AL27" i="42" s="1"/>
  <c r="AK27" i="42" s="1"/>
  <c r="AK37" i="42"/>
  <c r="BK37" i="42"/>
  <c r="BK39" i="42" s="1"/>
  <c r="AN38" i="42"/>
  <c r="AM38" i="42" s="1"/>
  <c r="AL38" i="42" s="1"/>
  <c r="AK38" i="42" s="1"/>
  <c r="BC40" i="42"/>
  <c r="AK46" i="42"/>
  <c r="Q47" i="42" s="1"/>
  <c r="AN47" i="42"/>
  <c r="AM47" i="42" s="1"/>
  <c r="AL47" i="42" s="1"/>
  <c r="AK47" i="42" s="1"/>
  <c r="BK47" i="42"/>
  <c r="BK49" i="42" s="1"/>
  <c r="BK51" i="42" s="1"/>
  <c r="X49" i="42"/>
  <c r="S4" i="43"/>
  <c r="R4" i="43" s="1"/>
  <c r="Q4" i="43" s="1"/>
  <c r="P4" i="43" s="1"/>
  <c r="AP5" i="43"/>
  <c r="BC5" i="43"/>
  <c r="BB5" i="43" s="1"/>
  <c r="BA5" i="43" s="1"/>
  <c r="AG6" i="43"/>
  <c r="AF6" i="43" s="1"/>
  <c r="AE6" i="43" s="1"/>
  <c r="BP6" i="43"/>
  <c r="BP13" i="43" s="1"/>
  <c r="BP15" i="43" s="1"/>
  <c r="BT12" i="43"/>
  <c r="BT14" i="43" s="1"/>
  <c r="BC14" i="43"/>
  <c r="BB14" i="43" s="1"/>
  <c r="BA14" i="43" s="1"/>
  <c r="L16" i="43"/>
  <c r="AP19" i="43"/>
  <c r="BP19" i="43"/>
  <c r="BP21" i="43" s="1"/>
  <c r="BP23" i="43" s="1"/>
  <c r="AL23" i="43"/>
  <c r="BT26" i="43"/>
  <c r="BT28" i="43" s="1"/>
  <c r="AP29" i="43"/>
  <c r="AD33" i="43"/>
  <c r="I36" i="43"/>
  <c r="BA36" i="43"/>
  <c r="BA38" i="43" s="1"/>
  <c r="W39" i="43"/>
  <c r="X39" i="43"/>
  <c r="Y39" i="43"/>
  <c r="Z39" i="43"/>
  <c r="BT40" i="43"/>
  <c r="BP40" i="43" s="1"/>
  <c r="BT43" i="43"/>
  <c r="BT45" i="43" s="1"/>
  <c r="BP45" i="43" s="1"/>
  <c r="BP47" i="43" s="1"/>
  <c r="BP49" i="43" s="1"/>
  <c r="I46" i="43"/>
  <c r="W53" i="43"/>
  <c r="X53" i="43"/>
  <c r="Z53" i="43"/>
  <c r="C4" i="44"/>
  <c r="B5" i="44"/>
  <c r="C5" i="44"/>
  <c r="AO5" i="44"/>
  <c r="AN5" i="44" s="1"/>
  <c r="AM5" i="44" s="1"/>
  <c r="AL5" i="44" s="1"/>
  <c r="C7" i="44"/>
  <c r="B8" i="44"/>
  <c r="C10" i="44"/>
  <c r="C11" i="44"/>
  <c r="C14" i="44"/>
  <c r="C15" i="44"/>
  <c r="C16" i="44"/>
  <c r="C17" i="44"/>
  <c r="C21" i="44"/>
  <c r="C22" i="44"/>
  <c r="I23" i="44"/>
  <c r="B24" i="44"/>
  <c r="C24" i="44"/>
  <c r="C27" i="44"/>
  <c r="C28" i="44"/>
  <c r="A29" i="44"/>
  <c r="C29" i="44"/>
  <c r="C30" i="44"/>
  <c r="B31" i="44"/>
  <c r="C31" i="44"/>
  <c r="C32" i="44"/>
  <c r="C33" i="44"/>
  <c r="AL48" i="44"/>
  <c r="W48" i="44" s="1"/>
  <c r="C4" i="45"/>
  <c r="B5" i="45"/>
  <c r="C5" i="45"/>
  <c r="AG5" i="45"/>
  <c r="C7" i="45"/>
  <c r="B8" i="45"/>
  <c r="C10" i="45"/>
  <c r="C11" i="45"/>
  <c r="C14" i="45"/>
  <c r="C15" i="45"/>
  <c r="C16" i="45"/>
  <c r="C17" i="45"/>
  <c r="C21" i="45"/>
  <c r="C22" i="45"/>
  <c r="C24" i="45"/>
  <c r="C27" i="45"/>
  <c r="C28" i="45"/>
  <c r="A29" i="45"/>
  <c r="C29" i="45"/>
  <c r="C30" i="45"/>
  <c r="B31" i="45"/>
  <c r="C31" i="45"/>
  <c r="C32" i="45"/>
  <c r="C34" i="45"/>
  <c r="S23" i="46"/>
  <c r="S25" i="46" s="1"/>
  <c r="J21" i="46"/>
  <c r="B38" i="46"/>
  <c r="S38" i="46"/>
  <c r="AN4" i="48"/>
  <c r="AM4" i="48" s="1"/>
  <c r="AL4" i="48" s="1"/>
  <c r="AK4" i="48" s="1"/>
  <c r="AG4" i="48" s="1"/>
  <c r="AF4" i="48" s="1"/>
  <c r="AE4" i="48" s="1"/>
  <c r="AD4" i="48" s="1"/>
  <c r="Z4" i="48" s="1"/>
  <c r="Y4" i="48" s="1"/>
  <c r="X4" i="48" s="1"/>
  <c r="W4" i="48" s="1"/>
  <c r="S4" i="48" s="1"/>
  <c r="R4" i="48" s="1"/>
  <c r="Q4" i="48" s="1"/>
  <c r="P4" i="48" s="1"/>
  <c r="AN5" i="48"/>
  <c r="AM5" i="48" s="1"/>
  <c r="AL5" i="48" s="1"/>
  <c r="AY6" i="48"/>
  <c r="BK7" i="48"/>
  <c r="BG7" i="48" s="1"/>
  <c r="AD45" i="56"/>
  <c r="AD47" i="56" s="1"/>
  <c r="AE36" i="54"/>
  <c r="AF42" i="54"/>
  <c r="Q36" i="51"/>
  <c r="Q12" i="51"/>
  <c r="P39" i="51"/>
  <c r="P14" i="51"/>
  <c r="P38" i="51"/>
  <c r="B27" i="51"/>
  <c r="P13" i="51"/>
  <c r="P6" i="51" s="1"/>
  <c r="B21" i="51"/>
  <c r="W41" i="51" s="1"/>
  <c r="B15" i="51"/>
  <c r="AK14" i="51" s="1"/>
  <c r="B12" i="51"/>
  <c r="W47" i="51"/>
  <c r="W45" i="51"/>
  <c r="W44" i="51"/>
  <c r="S43" i="51"/>
  <c r="R43" i="51"/>
  <c r="Q43" i="51"/>
  <c r="P43" i="51"/>
  <c r="AG37" i="51"/>
  <c r="AF37" i="51"/>
  <c r="AE37" i="51"/>
  <c r="AD37" i="51"/>
  <c r="AG36" i="51"/>
  <c r="AF36" i="51"/>
  <c r="AE36" i="51"/>
  <c r="AD36" i="51"/>
  <c r="S32" i="51"/>
  <c r="R32" i="51"/>
  <c r="Q32" i="51"/>
  <c r="P32" i="51"/>
  <c r="AG21" i="51"/>
  <c r="AF21" i="51"/>
  <c r="AE21" i="51"/>
  <c r="AD21" i="51"/>
  <c r="AG20" i="51"/>
  <c r="AF20" i="51"/>
  <c r="AE20" i="51"/>
  <c r="AD20" i="51"/>
  <c r="AG7" i="51"/>
  <c r="AF7" i="51"/>
  <c r="AE7" i="51"/>
  <c r="AD7" i="51"/>
  <c r="AG6" i="51"/>
  <c r="AF6" i="51"/>
  <c r="AE6" i="51"/>
  <c r="AD6" i="51"/>
  <c r="S3" i="51"/>
  <c r="R3" i="51"/>
  <c r="Q3" i="51"/>
  <c r="P3" i="51"/>
  <c r="S2" i="51"/>
  <c r="S4" i="51" s="1"/>
  <c r="R2" i="51"/>
  <c r="Q2" i="51"/>
  <c r="P2" i="51"/>
  <c r="S45" i="51"/>
  <c r="R45" i="51"/>
  <c r="Q45" i="51"/>
  <c r="P45" i="51"/>
  <c r="AG39" i="51"/>
  <c r="AF39" i="51"/>
  <c r="AE39" i="51"/>
  <c r="AD39" i="51"/>
  <c r="AG23" i="51"/>
  <c r="AF23" i="51"/>
  <c r="AE23" i="51"/>
  <c r="AD23" i="51"/>
  <c r="S20" i="51"/>
  <c r="R20" i="51"/>
  <c r="Q20" i="51"/>
  <c r="P20" i="51"/>
  <c r="AG9" i="51"/>
  <c r="AF9" i="51"/>
  <c r="AE9" i="51"/>
  <c r="AD9" i="51"/>
  <c r="AF5" i="51"/>
  <c r="C37" i="52"/>
  <c r="O7" i="52" s="1"/>
  <c r="O13" i="52" s="1"/>
  <c r="O39" i="52"/>
  <c r="Q4" i="56"/>
  <c r="R8" i="56"/>
  <c r="R21" i="56" s="1"/>
  <c r="AL5" i="56"/>
  <c r="AL11" i="56" s="1"/>
  <c r="AM11" i="56"/>
  <c r="Z44" i="55"/>
  <c r="Z47" i="55" s="1"/>
  <c r="Z30" i="55"/>
  <c r="Z33" i="55" s="1"/>
  <c r="AW18" i="55"/>
  <c r="AW20" i="55" s="1"/>
  <c r="Z16" i="55"/>
  <c r="Z19" i="55" s="1"/>
  <c r="AO3" i="55"/>
  <c r="AO5" i="55" s="1"/>
  <c r="AW2" i="55"/>
  <c r="AW4" i="55" s="1"/>
  <c r="Z2" i="55"/>
  <c r="Z5" i="55" s="1"/>
  <c r="AD35" i="57"/>
  <c r="AE41" i="57"/>
  <c r="AD11" i="57"/>
  <c r="W11" i="57" s="1"/>
  <c r="AL44" i="54"/>
  <c r="AL35" i="54"/>
  <c r="AL23" i="54"/>
  <c r="AL25" i="54" s="1"/>
  <c r="AL11" i="54"/>
  <c r="AN30" i="54"/>
  <c r="AE35" i="51"/>
  <c r="BG15" i="48"/>
  <c r="AN16" i="48"/>
  <c r="AM16" i="48" s="1"/>
  <c r="AL16" i="48" s="1"/>
  <c r="AK16" i="48" s="1"/>
  <c r="AY21" i="48"/>
  <c r="AY23" i="48" s="1"/>
  <c r="BG23" i="48"/>
  <c r="BG25" i="48" s="1"/>
  <c r="Z24" i="48"/>
  <c r="Y24" i="48" s="1"/>
  <c r="X24" i="48" s="1"/>
  <c r="W24" i="48" s="1"/>
  <c r="AE24" i="48"/>
  <c r="AG26" i="48"/>
  <c r="AF26" i="48" s="1"/>
  <c r="AN27" i="48"/>
  <c r="AM27" i="48" s="1"/>
  <c r="AL27" i="48" s="1"/>
  <c r="AK27" i="48" s="1"/>
  <c r="AK37" i="48"/>
  <c r="BK37" i="48"/>
  <c r="BK39" i="48" s="1"/>
  <c r="AN38" i="48"/>
  <c r="AM38" i="48" s="1"/>
  <c r="AL38" i="48" s="1"/>
  <c r="AK38" i="48" s="1"/>
  <c r="BC40" i="48"/>
  <c r="AK46" i="48"/>
  <c r="Q47" i="48" s="1"/>
  <c r="AN47" i="48"/>
  <c r="AM47" i="48" s="1"/>
  <c r="AL47" i="48" s="1"/>
  <c r="AK47" i="48" s="1"/>
  <c r="BK47" i="48"/>
  <c r="BK49" i="48" s="1"/>
  <c r="BK51" i="48" s="1"/>
  <c r="X49" i="48"/>
  <c r="S4" i="49"/>
  <c r="R4" i="49" s="1"/>
  <c r="Q4" i="49" s="1"/>
  <c r="P4" i="49" s="1"/>
  <c r="AP5" i="49"/>
  <c r="BC5" i="49"/>
  <c r="BB5" i="49" s="1"/>
  <c r="BA5" i="49" s="1"/>
  <c r="AG6" i="49"/>
  <c r="AF6" i="49" s="1"/>
  <c r="AE6" i="49" s="1"/>
  <c r="BP6" i="49"/>
  <c r="BP13" i="49" s="1"/>
  <c r="BP15" i="49" s="1"/>
  <c r="BT12" i="49"/>
  <c r="BT14" i="49" s="1"/>
  <c r="BC14" i="49"/>
  <c r="BB14" i="49" s="1"/>
  <c r="BA14" i="49" s="1"/>
  <c r="L16" i="49"/>
  <c r="AP19" i="49"/>
  <c r="BP19" i="49"/>
  <c r="BP21" i="49" s="1"/>
  <c r="BP23" i="49" s="1"/>
  <c r="AL23" i="49"/>
  <c r="BT26" i="49"/>
  <c r="BT28" i="49" s="1"/>
  <c r="AP29" i="49"/>
  <c r="AD33" i="49"/>
  <c r="I36" i="49"/>
  <c r="BA36" i="49"/>
  <c r="BA38" i="49" s="1"/>
  <c r="W39" i="49"/>
  <c r="X39" i="49"/>
  <c r="Y39" i="49"/>
  <c r="Z39" i="49"/>
  <c r="BT40" i="49"/>
  <c r="BP40" i="49" s="1"/>
  <c r="I46" i="49"/>
  <c r="W53" i="49"/>
  <c r="X53" i="49"/>
  <c r="Z53" i="49"/>
  <c r="C4" i="50"/>
  <c r="B5" i="50"/>
  <c r="C5" i="50"/>
  <c r="AO5" i="50"/>
  <c r="C7" i="50"/>
  <c r="B8" i="50"/>
  <c r="C10" i="50"/>
  <c r="C11" i="50"/>
  <c r="C14" i="50"/>
  <c r="C15" i="50"/>
  <c r="C16" i="50"/>
  <c r="C17" i="50"/>
  <c r="C21" i="50"/>
  <c r="C22" i="50"/>
  <c r="I23" i="50"/>
  <c r="B24" i="50"/>
  <c r="C24" i="50"/>
  <c r="C27" i="50"/>
  <c r="C28" i="50"/>
  <c r="A29" i="50"/>
  <c r="C29" i="50"/>
  <c r="C30" i="50"/>
  <c r="B30" i="50" s="1"/>
  <c r="B31" i="50"/>
  <c r="C31" i="50"/>
  <c r="C32" i="50"/>
  <c r="AL49" i="54"/>
  <c r="AL40" i="54"/>
  <c r="AM13" i="56"/>
  <c r="AL13" i="56" s="1"/>
  <c r="AE43" i="57"/>
  <c r="X28" i="51"/>
  <c r="AL48" i="50"/>
  <c r="W48" i="50" s="1"/>
  <c r="AM13" i="54"/>
  <c r="AL13" i="54" s="1"/>
  <c r="O53" i="40"/>
  <c r="C51" i="40"/>
  <c r="B50" i="40"/>
  <c r="C49" i="40"/>
  <c r="O48" i="40"/>
  <c r="C47" i="40"/>
  <c r="A45" i="40"/>
  <c r="O43" i="40"/>
  <c r="B43" i="40"/>
  <c r="B42" i="40"/>
  <c r="C39" i="40"/>
  <c r="O38" i="40"/>
  <c r="S37" i="40"/>
  <c r="A35" i="40"/>
  <c r="S34" i="40"/>
  <c r="S33" i="40"/>
  <c r="B33" i="40"/>
  <c r="S32" i="40"/>
  <c r="B32" i="40"/>
  <c r="A34" i="40" s="1"/>
  <c r="S31" i="40"/>
  <c r="S30" i="40"/>
  <c r="S29" i="40"/>
  <c r="S36" i="40" s="1"/>
  <c r="O29" i="40"/>
  <c r="O26" i="40"/>
  <c r="O25" i="40"/>
  <c r="B25" i="40"/>
  <c r="S24" i="40"/>
  <c r="O24" i="40"/>
  <c r="O23" i="40"/>
  <c r="O22" i="40"/>
  <c r="S21" i="40"/>
  <c r="S20" i="40"/>
  <c r="O20" i="40"/>
  <c r="S19" i="40"/>
  <c r="O19" i="40"/>
  <c r="J19" i="40"/>
  <c r="S18" i="40"/>
  <c r="J18" i="40"/>
  <c r="S17" i="40"/>
  <c r="S16" i="40"/>
  <c r="S15" i="40"/>
  <c r="S14" i="40"/>
  <c r="O14" i="40"/>
  <c r="E14" i="40"/>
  <c r="E13" i="40" s="1"/>
  <c r="D14" i="40"/>
  <c r="S13" i="40"/>
  <c r="F13" i="40"/>
  <c r="W12" i="40"/>
  <c r="S12" i="40"/>
  <c r="J12" i="40"/>
  <c r="B12" i="40"/>
  <c r="W11" i="40"/>
  <c r="S11" i="40"/>
  <c r="O11" i="40"/>
  <c r="J11" i="40"/>
  <c r="B11" i="40"/>
  <c r="W10" i="40"/>
  <c r="S10" i="40"/>
  <c r="O10" i="40"/>
  <c r="J10" i="40"/>
  <c r="W9" i="40"/>
  <c r="S9" i="40"/>
  <c r="O9" i="40"/>
  <c r="J9" i="40"/>
  <c r="D9" i="40"/>
  <c r="W8" i="40"/>
  <c r="S8" i="40"/>
  <c r="O8" i="40"/>
  <c r="J8" i="40"/>
  <c r="W7" i="40"/>
  <c r="S7" i="40"/>
  <c r="W6" i="40"/>
  <c r="S6" i="40"/>
  <c r="O6" i="40"/>
  <c r="W5" i="40"/>
  <c r="S5" i="40"/>
  <c r="E5" i="40"/>
  <c r="W4" i="40"/>
  <c r="S4" i="40"/>
  <c r="O4" i="40"/>
  <c r="S3" i="40"/>
  <c r="C3" i="40"/>
  <c r="W59" i="39"/>
  <c r="W57" i="39"/>
  <c r="W56" i="39"/>
  <c r="W50" i="39"/>
  <c r="W48" i="39"/>
  <c r="S48" i="39"/>
  <c r="R48" i="39"/>
  <c r="Q48" i="39"/>
  <c r="P48" i="39"/>
  <c r="AD45" i="39"/>
  <c r="AG42" i="39"/>
  <c r="AF42" i="39"/>
  <c r="AE42" i="39"/>
  <c r="AD42" i="39"/>
  <c r="S42" i="39"/>
  <c r="R42" i="39"/>
  <c r="Q42" i="39"/>
  <c r="P42" i="39"/>
  <c r="Q34" i="39"/>
  <c r="P34" i="39"/>
  <c r="AG33" i="39"/>
  <c r="AF33" i="39"/>
  <c r="AE33" i="39"/>
  <c r="AD33" i="39"/>
  <c r="F32" i="39"/>
  <c r="F31" i="39"/>
  <c r="AD29" i="39"/>
  <c r="F29" i="39"/>
  <c r="AG26" i="39"/>
  <c r="AF26" i="39"/>
  <c r="AE26" i="39"/>
  <c r="AD26" i="39"/>
  <c r="S25" i="39"/>
  <c r="R25" i="39"/>
  <c r="Q25" i="39"/>
  <c r="P25" i="39"/>
  <c r="F25" i="39"/>
  <c r="AD34" i="39" s="1"/>
  <c r="F22" i="39"/>
  <c r="AG19" i="39"/>
  <c r="AF19" i="39"/>
  <c r="AE19" i="39"/>
  <c r="AD19" i="39"/>
  <c r="W17" i="39"/>
  <c r="S17" i="39"/>
  <c r="R17" i="39"/>
  <c r="Q17" i="39"/>
  <c r="P17" i="39"/>
  <c r="E16" i="39"/>
  <c r="AD15" i="39"/>
  <c r="D14" i="39"/>
  <c r="I13" i="39"/>
  <c r="E13" i="39"/>
  <c r="AK12" i="39"/>
  <c r="AG12" i="39"/>
  <c r="AF12" i="39"/>
  <c r="AE12" i="39"/>
  <c r="AD12" i="39"/>
  <c r="I12" i="39"/>
  <c r="AK11" i="39"/>
  <c r="AK10" i="39"/>
  <c r="W10" i="39"/>
  <c r="Q10" i="39"/>
  <c r="P10" i="39"/>
  <c r="AK9" i="39"/>
  <c r="W9" i="39"/>
  <c r="Q9" i="39"/>
  <c r="P9" i="39"/>
  <c r="L9" i="39"/>
  <c r="K9" i="39"/>
  <c r="J9" i="39"/>
  <c r="I9" i="39"/>
  <c r="AK8" i="39"/>
  <c r="AK7" i="39"/>
  <c r="AK6" i="39"/>
  <c r="AK5" i="39"/>
  <c r="L5" i="39"/>
  <c r="AK4" i="39"/>
  <c r="AG4" i="39"/>
  <c r="AF4" i="39"/>
  <c r="AE4" i="39"/>
  <c r="AD4" i="39"/>
  <c r="Z4" i="39"/>
  <c r="Y4" i="39"/>
  <c r="X4" i="39"/>
  <c r="W4" i="39"/>
  <c r="AG3" i="39"/>
  <c r="AF3" i="39"/>
  <c r="AE3" i="39"/>
  <c r="AD3" i="39"/>
  <c r="E3" i="39"/>
  <c r="C3" i="39"/>
  <c r="O5" i="39" s="1"/>
  <c r="F58" i="38"/>
  <c r="F57" i="38"/>
  <c r="F55" i="38"/>
  <c r="W54" i="38"/>
  <c r="F51" i="38"/>
  <c r="AM34" i="38" s="1"/>
  <c r="F48" i="38"/>
  <c r="AN4" i="38" s="1"/>
  <c r="W47" i="38"/>
  <c r="AD46" i="38"/>
  <c r="W46" i="38"/>
  <c r="AL45" i="38"/>
  <c r="AO42" i="38"/>
  <c r="AN42" i="38"/>
  <c r="AM42" i="38"/>
  <c r="AL42" i="38"/>
  <c r="E42" i="38"/>
  <c r="Z41" i="38"/>
  <c r="Y41" i="38"/>
  <c r="X41" i="38"/>
  <c r="W41" i="38"/>
  <c r="D40" i="38"/>
  <c r="E39" i="38"/>
  <c r="S37" i="38"/>
  <c r="R37" i="38"/>
  <c r="Q37" i="38"/>
  <c r="P37" i="38"/>
  <c r="AO34" i="38"/>
  <c r="AN34" i="38"/>
  <c r="AL34" i="38"/>
  <c r="AO33" i="38"/>
  <c r="AN33" i="38"/>
  <c r="AM33" i="38"/>
  <c r="AL33" i="38"/>
  <c r="Z33" i="38"/>
  <c r="Y33" i="38"/>
  <c r="X33" i="38"/>
  <c r="W33" i="38"/>
  <c r="S31" i="38"/>
  <c r="R31" i="38"/>
  <c r="Q31" i="38"/>
  <c r="P31" i="38"/>
  <c r="AL29" i="38"/>
  <c r="Z29" i="38"/>
  <c r="Y29" i="38"/>
  <c r="X29" i="38"/>
  <c r="W29" i="38"/>
  <c r="S29" i="38"/>
  <c r="R29" i="38"/>
  <c r="Q29" i="38"/>
  <c r="P29" i="38"/>
  <c r="AD28" i="38"/>
  <c r="S28" i="38"/>
  <c r="R28" i="38"/>
  <c r="Q28" i="38"/>
  <c r="P28" i="38"/>
  <c r="AH27" i="38"/>
  <c r="Z27" i="38"/>
  <c r="Y27" i="38"/>
  <c r="X27" i="38"/>
  <c r="W27" i="38"/>
  <c r="S27" i="38"/>
  <c r="R27" i="38"/>
  <c r="Q27" i="38"/>
  <c r="P27" i="38"/>
  <c r="AO26" i="38"/>
  <c r="AN26" i="38"/>
  <c r="AM26" i="38"/>
  <c r="AL26" i="38"/>
  <c r="Z26" i="38"/>
  <c r="Y26" i="38"/>
  <c r="X26" i="38"/>
  <c r="W26" i="38"/>
  <c r="P26" i="38"/>
  <c r="I26" i="38"/>
  <c r="X25" i="38"/>
  <c r="W25" i="38"/>
  <c r="R25" i="38"/>
  <c r="P25" i="38"/>
  <c r="AD24" i="38"/>
  <c r="W24" i="38"/>
  <c r="Q24" i="38"/>
  <c r="P24" i="38"/>
  <c r="AH23" i="38"/>
  <c r="W23" i="38"/>
  <c r="P23" i="38"/>
  <c r="AD22" i="38"/>
  <c r="X22" i="38"/>
  <c r="W22" i="38"/>
  <c r="Q22" i="38"/>
  <c r="P22" i="38"/>
  <c r="I22" i="38"/>
  <c r="W21" i="38"/>
  <c r="I21" i="38"/>
  <c r="X20" i="38"/>
  <c r="W20" i="38"/>
  <c r="Q20" i="38"/>
  <c r="P20" i="38"/>
  <c r="I20" i="38"/>
  <c r="AO19" i="38"/>
  <c r="AN19" i="38"/>
  <c r="AM19" i="38"/>
  <c r="AL19" i="38"/>
  <c r="AD19" i="38"/>
  <c r="X19" i="38"/>
  <c r="W19" i="38"/>
  <c r="Q19" i="38"/>
  <c r="P19" i="38"/>
  <c r="I19" i="38"/>
  <c r="AH18" i="38"/>
  <c r="X18" i="38"/>
  <c r="X7" i="38" s="1"/>
  <c r="W18" i="38"/>
  <c r="Q18" i="38"/>
  <c r="Q16" i="38" s="1"/>
  <c r="P18" i="38"/>
  <c r="P16" i="38" s="1"/>
  <c r="AD8" i="38" s="1"/>
  <c r="X17" i="38"/>
  <c r="W17" i="38"/>
  <c r="Q17" i="38"/>
  <c r="P17" i="38"/>
  <c r="X16" i="38"/>
  <c r="W16" i="38"/>
  <c r="AL15" i="38"/>
  <c r="X15" i="38"/>
  <c r="W15" i="38"/>
  <c r="S15" i="38"/>
  <c r="R15" i="38"/>
  <c r="Q15" i="38"/>
  <c r="P15" i="38"/>
  <c r="AD14" i="38"/>
  <c r="E14" i="38"/>
  <c r="F13" i="38" s="1"/>
  <c r="D14" i="38"/>
  <c r="AH13" i="38"/>
  <c r="W13" i="38"/>
  <c r="I13" i="38"/>
  <c r="E13" i="38"/>
  <c r="AS12" i="38"/>
  <c r="AO12" i="38"/>
  <c r="AN12" i="38"/>
  <c r="AM12" i="38"/>
  <c r="AL12" i="38"/>
  <c r="Q12" i="38"/>
  <c r="P12" i="38"/>
  <c r="I12" i="38"/>
  <c r="AS11" i="38"/>
  <c r="AS10" i="38"/>
  <c r="AD10" i="38"/>
  <c r="AS9" i="38"/>
  <c r="AH9" i="38"/>
  <c r="AD9" i="38"/>
  <c r="L9" i="38"/>
  <c r="K9" i="38"/>
  <c r="J9" i="38"/>
  <c r="I9" i="38"/>
  <c r="D9" i="38"/>
  <c r="AS8" i="38"/>
  <c r="AS7" i="38"/>
  <c r="W7" i="38"/>
  <c r="AS6" i="38"/>
  <c r="AS5" i="38"/>
  <c r="AD5" i="38"/>
  <c r="L5" i="38"/>
  <c r="K5" i="38"/>
  <c r="J5" i="38"/>
  <c r="I5" i="38"/>
  <c r="E5" i="38"/>
  <c r="AS4" i="38"/>
  <c r="AM4" i="38"/>
  <c r="AH4" i="38"/>
  <c r="AD4" i="38"/>
  <c r="W4" i="38"/>
  <c r="E4" i="38"/>
  <c r="AO3" i="38"/>
  <c r="AN3" i="38"/>
  <c r="AM3" i="38"/>
  <c r="AL3" i="38"/>
  <c r="E3" i="38"/>
  <c r="C3" i="38"/>
  <c r="O5" i="38" s="1"/>
  <c r="B59" i="37"/>
  <c r="A59" i="37"/>
  <c r="F56" i="37"/>
  <c r="B58" i="37"/>
  <c r="A45" i="37" s="1"/>
  <c r="C57" i="37"/>
  <c r="F54" i="37"/>
  <c r="F53" i="37"/>
  <c r="I52" i="37"/>
  <c r="F51" i="37"/>
  <c r="BP28" i="37" s="1"/>
  <c r="C53" i="37"/>
  <c r="Z48" i="37"/>
  <c r="Y48" i="37"/>
  <c r="X48" i="37"/>
  <c r="W48" i="37"/>
  <c r="AF47" i="37"/>
  <c r="AB47" i="37"/>
  <c r="BP46" i="37"/>
  <c r="AF46" i="37"/>
  <c r="AB46" i="37"/>
  <c r="Z46" i="37"/>
  <c r="Y46" i="37"/>
  <c r="X46" i="37"/>
  <c r="W46" i="37"/>
  <c r="E46" i="37"/>
  <c r="AF45" i="37"/>
  <c r="AB45" i="37"/>
  <c r="I45" i="37"/>
  <c r="F45" i="37"/>
  <c r="BT44" i="37"/>
  <c r="BP44" i="37"/>
  <c r="AF44" i="37"/>
  <c r="I44" i="37"/>
  <c r="BP43" i="37"/>
  <c r="I43" i="37"/>
  <c r="BT42" i="37"/>
  <c r="BP42" i="37"/>
  <c r="I42" i="37"/>
  <c r="BT41" i="37"/>
  <c r="BP41" i="37"/>
  <c r="E41" i="37"/>
  <c r="B43" i="37"/>
  <c r="B42" i="37"/>
  <c r="BT39" i="37"/>
  <c r="BP39" i="37"/>
  <c r="S40" i="37"/>
  <c r="R40" i="37"/>
  <c r="Q40" i="37"/>
  <c r="P40" i="37"/>
  <c r="Y53" i="37" s="1"/>
  <c r="BT38" i="37"/>
  <c r="BP38" i="37"/>
  <c r="AH38" i="37"/>
  <c r="BA37" i="37"/>
  <c r="AW37" i="37"/>
  <c r="AV37" i="37"/>
  <c r="AU37" i="37"/>
  <c r="AT37" i="37"/>
  <c r="AD37" i="37"/>
  <c r="F37" i="37"/>
  <c r="C39" i="37"/>
  <c r="B39" i="37"/>
  <c r="BT36" i="37"/>
  <c r="BP36" i="37"/>
  <c r="AD36" i="37"/>
  <c r="F36" i="37"/>
  <c r="C38" i="37"/>
  <c r="B38" i="37" s="1"/>
  <c r="BT35" i="37" s="1"/>
  <c r="BP35" i="37"/>
  <c r="BA35" i="37"/>
  <c r="AH35" i="37"/>
  <c r="AD35" i="37"/>
  <c r="I35" i="37"/>
  <c r="B37" i="37"/>
  <c r="BA34" i="37"/>
  <c r="AH34" i="37"/>
  <c r="AD34" i="37"/>
  <c r="Z34" i="37"/>
  <c r="Y34" i="37"/>
  <c r="X34" i="37"/>
  <c r="W34" i="37"/>
  <c r="I34" i="37"/>
  <c r="C36" i="37"/>
  <c r="A36" i="37"/>
  <c r="BA33" i="37"/>
  <c r="AH33" i="37"/>
  <c r="F33" i="37"/>
  <c r="B35" i="37"/>
  <c r="BA32" i="37"/>
  <c r="AH32" i="37"/>
  <c r="AD32" i="37"/>
  <c r="Z32" i="37"/>
  <c r="Y32" i="37"/>
  <c r="X32" i="37"/>
  <c r="W32" i="37"/>
  <c r="BA31" i="37"/>
  <c r="AH31" i="37"/>
  <c r="AD31" i="37"/>
  <c r="S32" i="37"/>
  <c r="R32" i="37"/>
  <c r="Q32" i="37"/>
  <c r="P32" i="37"/>
  <c r="I31" i="37"/>
  <c r="C33" i="37"/>
  <c r="B33" i="37" s="1"/>
  <c r="BA30" i="37"/>
  <c r="AP30" i="37"/>
  <c r="F30" i="37"/>
  <c r="E30" i="37"/>
  <c r="BL29" i="37"/>
  <c r="BK29" i="37"/>
  <c r="BJ29" i="37"/>
  <c r="BI29" i="37"/>
  <c r="BA29" i="37"/>
  <c r="AW29" i="37"/>
  <c r="AV29" i="37"/>
  <c r="AU29" i="37"/>
  <c r="AT29" i="37"/>
  <c r="I29" i="37"/>
  <c r="D29" i="37"/>
  <c r="I28" i="37"/>
  <c r="E28" i="37"/>
  <c r="AP27" i="37"/>
  <c r="I27" i="37"/>
  <c r="BL26" i="37"/>
  <c r="BK26" i="37"/>
  <c r="BJ26" i="37"/>
  <c r="BI26" i="37"/>
  <c r="AW26" i="37"/>
  <c r="AV26" i="37"/>
  <c r="AU26" i="37"/>
  <c r="AT26" i="37"/>
  <c r="I26" i="37"/>
  <c r="E26" i="37"/>
  <c r="BT25" i="37"/>
  <c r="BP25" i="37"/>
  <c r="BL25" i="37"/>
  <c r="BK25" i="37"/>
  <c r="BJ25" i="37"/>
  <c r="BI25" i="37"/>
  <c r="AW25" i="37"/>
  <c r="AV25" i="37"/>
  <c r="AU25" i="37"/>
  <c r="AT25" i="37"/>
  <c r="Y25" i="37"/>
  <c r="W25" i="37"/>
  <c r="BT24" i="37"/>
  <c r="BP24" i="37"/>
  <c r="BL24" i="37"/>
  <c r="BK24" i="37"/>
  <c r="BJ24" i="37"/>
  <c r="BI24" i="37"/>
  <c r="AW24" i="37"/>
  <c r="AV24" i="37"/>
  <c r="AU24" i="37"/>
  <c r="AT24" i="37"/>
  <c r="AG24" i="37"/>
  <c r="AF24" i="37"/>
  <c r="AE24" i="37"/>
  <c r="AD24" i="37"/>
  <c r="F24" i="37"/>
  <c r="BT23" i="37"/>
  <c r="BL23" i="37"/>
  <c r="BK23" i="37"/>
  <c r="BJ23" i="37"/>
  <c r="BI23" i="37"/>
  <c r="AW23" i="37"/>
  <c r="AV23" i="37"/>
  <c r="AU23" i="37"/>
  <c r="AT23" i="37"/>
  <c r="AG23" i="37"/>
  <c r="AF23" i="37"/>
  <c r="AE23" i="37"/>
  <c r="AD23" i="37"/>
  <c r="S23" i="37"/>
  <c r="R23" i="37"/>
  <c r="Q23" i="37"/>
  <c r="P23" i="37"/>
  <c r="BT22" i="37"/>
  <c r="BP22" i="37"/>
  <c r="BL22" i="37"/>
  <c r="BK22" i="37"/>
  <c r="BJ22" i="37"/>
  <c r="BI22" i="37"/>
  <c r="AW22" i="37"/>
  <c r="AV22" i="37"/>
  <c r="AU22" i="37"/>
  <c r="AT22" i="37"/>
  <c r="AL22" i="37"/>
  <c r="S22" i="37"/>
  <c r="R22" i="37"/>
  <c r="Q22" i="37"/>
  <c r="P22" i="37"/>
  <c r="BT21" i="37"/>
  <c r="BL21" i="37"/>
  <c r="BK21" i="37"/>
  <c r="BJ21" i="37"/>
  <c r="BI21" i="37"/>
  <c r="AW21" i="37"/>
  <c r="AV21" i="37"/>
  <c r="AU21" i="37"/>
  <c r="AT21" i="37"/>
  <c r="S21" i="37"/>
  <c r="R21" i="37"/>
  <c r="Q21" i="37"/>
  <c r="P21" i="37"/>
  <c r="L21" i="37"/>
  <c r="K21" i="37"/>
  <c r="J21" i="37"/>
  <c r="I21" i="37"/>
  <c r="BT20" i="37"/>
  <c r="BP20" i="37"/>
  <c r="BL20" i="37"/>
  <c r="BK20" i="37"/>
  <c r="BJ20" i="37"/>
  <c r="BI20" i="37"/>
  <c r="BA20" i="37"/>
  <c r="AG20" i="37"/>
  <c r="AF20" i="37"/>
  <c r="AE20" i="37"/>
  <c r="AD20" i="37"/>
  <c r="Z20" i="37"/>
  <c r="Y20" i="37"/>
  <c r="X20" i="37"/>
  <c r="W20" i="37"/>
  <c r="L20" i="37"/>
  <c r="K20" i="37"/>
  <c r="J20" i="37"/>
  <c r="I20" i="37"/>
  <c r="BT19" i="37"/>
  <c r="BL19" i="37"/>
  <c r="BK19" i="37"/>
  <c r="BJ19" i="37"/>
  <c r="BI19" i="37"/>
  <c r="AU19" i="37"/>
  <c r="AL19" i="37"/>
  <c r="AG19" i="37"/>
  <c r="AF19" i="37"/>
  <c r="AE19" i="37"/>
  <c r="AD19" i="37"/>
  <c r="Q19" i="37"/>
  <c r="BT18" i="37"/>
  <c r="AV18" i="37"/>
  <c r="AT18" i="37"/>
  <c r="AL18" i="37"/>
  <c r="AG18" i="37"/>
  <c r="AF18" i="37"/>
  <c r="AE18" i="37"/>
  <c r="AD18" i="37"/>
  <c r="Z18" i="37"/>
  <c r="Y18" i="37"/>
  <c r="X18" i="37"/>
  <c r="W18" i="37"/>
  <c r="S18" i="37"/>
  <c r="R18" i="37"/>
  <c r="Q18" i="37"/>
  <c r="P18" i="37"/>
  <c r="S17" i="37"/>
  <c r="R17" i="37"/>
  <c r="Q17" i="37"/>
  <c r="P17" i="37"/>
  <c r="BC16" i="37"/>
  <c r="BB16" i="37"/>
  <c r="BA16" i="37"/>
  <c r="AD16" i="37"/>
  <c r="R16" i="37"/>
  <c r="B16" i="37"/>
  <c r="Q5" i="37" s="1"/>
  <c r="AD15" i="37"/>
  <c r="E15" i="37"/>
  <c r="BP14" i="37"/>
  <c r="P14" i="37"/>
  <c r="L14" i="37"/>
  <c r="K14" i="37"/>
  <c r="J14" i="37"/>
  <c r="I14" i="37"/>
  <c r="BT13" i="37"/>
  <c r="P13" i="37"/>
  <c r="B13" i="37"/>
  <c r="BX12" i="37"/>
  <c r="BP12" i="37"/>
  <c r="BL12" i="37"/>
  <c r="BK12" i="37"/>
  <c r="BJ12" i="37"/>
  <c r="BI12" i="37"/>
  <c r="BC12" i="37"/>
  <c r="BC13" i="37" s="1"/>
  <c r="BB12" i="37"/>
  <c r="BB13" i="37" s="1"/>
  <c r="BA12" i="37"/>
  <c r="BA13" i="37" s="1"/>
  <c r="L12" i="37"/>
  <c r="K12" i="37"/>
  <c r="J12" i="37"/>
  <c r="I12" i="37"/>
  <c r="B12" i="37"/>
  <c r="BX11" i="37"/>
  <c r="BT11" i="37"/>
  <c r="BP11" i="37"/>
  <c r="AE11" i="37"/>
  <c r="Z11" i="37"/>
  <c r="Y11" i="37"/>
  <c r="X11" i="37"/>
  <c r="W11" i="37"/>
  <c r="BX10" i="37"/>
  <c r="BT10" i="37"/>
  <c r="BP10" i="37"/>
  <c r="AW10" i="37"/>
  <c r="AV10" i="37"/>
  <c r="AU10" i="37"/>
  <c r="AT10" i="37"/>
  <c r="AL10" i="37"/>
  <c r="AE10" i="37"/>
  <c r="Q10" i="37"/>
  <c r="L10" i="37"/>
  <c r="K10" i="37"/>
  <c r="J10" i="37"/>
  <c r="I10" i="37"/>
  <c r="B10" i="37"/>
  <c r="BX9" i="37"/>
  <c r="BT9" i="37"/>
  <c r="BP9" i="37"/>
  <c r="BL9" i="37"/>
  <c r="BK9" i="37"/>
  <c r="BJ9" i="37"/>
  <c r="BI9" i="37"/>
  <c r="Q9" i="37"/>
  <c r="BX8" i="37"/>
  <c r="BT8" i="37"/>
  <c r="BP8" i="37"/>
  <c r="BL8" i="37"/>
  <c r="BK8" i="37"/>
  <c r="BJ8" i="37"/>
  <c r="BI8" i="37"/>
  <c r="AG8" i="37"/>
  <c r="AF8" i="37"/>
  <c r="AE8" i="37"/>
  <c r="AD8" i="37"/>
  <c r="L8" i="37"/>
  <c r="K8" i="37"/>
  <c r="J8" i="37"/>
  <c r="I8" i="37"/>
  <c r="BX7" i="37"/>
  <c r="BT7" i="37"/>
  <c r="BP7" i="37"/>
  <c r="BL7" i="37"/>
  <c r="BK7" i="37"/>
  <c r="BJ7" i="37"/>
  <c r="BI7" i="37"/>
  <c r="BC7" i="37"/>
  <c r="BB7" i="37"/>
  <c r="BA7" i="37"/>
  <c r="AW7" i="37"/>
  <c r="AV7" i="37"/>
  <c r="AU7" i="37"/>
  <c r="AT7" i="37"/>
  <c r="AG7" i="37"/>
  <c r="AF7" i="37"/>
  <c r="AE7" i="37"/>
  <c r="AD7" i="37"/>
  <c r="S7" i="37"/>
  <c r="P7" i="37"/>
  <c r="BX6" i="37"/>
  <c r="BT6" i="37"/>
  <c r="BL6" i="37"/>
  <c r="BK6" i="37"/>
  <c r="BJ6" i="37"/>
  <c r="BI6" i="37"/>
  <c r="AW6" i="37"/>
  <c r="AV6" i="37"/>
  <c r="AU6" i="37"/>
  <c r="AT6" i="37"/>
  <c r="Z6" i="37"/>
  <c r="Y6" i="37"/>
  <c r="X6" i="37"/>
  <c r="W6" i="37"/>
  <c r="BX5" i="37"/>
  <c r="BT5" i="37"/>
  <c r="BP5" i="37"/>
  <c r="BL5" i="37"/>
  <c r="BK5" i="37"/>
  <c r="BJ5" i="37"/>
  <c r="BI5" i="37"/>
  <c r="AW5" i="37"/>
  <c r="AV5" i="37"/>
  <c r="AU5" i="37"/>
  <c r="AT5" i="37"/>
  <c r="AG5" i="37"/>
  <c r="AF5" i="37"/>
  <c r="AE5" i="37"/>
  <c r="AD5" i="37"/>
  <c r="S5" i="37"/>
  <c r="R5" i="37"/>
  <c r="AF3" i="37" s="1"/>
  <c r="L5" i="37"/>
  <c r="H5" i="37"/>
  <c r="BX4" i="37"/>
  <c r="BT4" i="37"/>
  <c r="BP4" i="37"/>
  <c r="BL4" i="37"/>
  <c r="BK4" i="37"/>
  <c r="BJ4" i="37"/>
  <c r="BI4" i="37"/>
  <c r="AP4" i="37"/>
  <c r="AO4" i="37"/>
  <c r="AN4" i="37"/>
  <c r="AM4" i="37"/>
  <c r="AL4" i="37"/>
  <c r="AD4" i="37"/>
  <c r="Z4" i="37"/>
  <c r="Y4" i="37"/>
  <c r="X4" i="37"/>
  <c r="W4" i="37"/>
  <c r="E4" i="37"/>
  <c r="AP21" i="37" s="1"/>
  <c r="BL3" i="37"/>
  <c r="BK3" i="37"/>
  <c r="BJ3" i="37"/>
  <c r="BI3" i="37"/>
  <c r="BC3" i="37"/>
  <c r="BC4" i="37" s="1"/>
  <c r="BB3" i="37"/>
  <c r="BB4" i="37" s="1"/>
  <c r="BA3" i="37"/>
  <c r="BA4" i="37" s="1"/>
  <c r="AW3" i="37"/>
  <c r="AV3" i="37"/>
  <c r="AU3" i="37"/>
  <c r="AT3" i="37"/>
  <c r="AG3" i="37"/>
  <c r="S3" i="37"/>
  <c r="R3" i="37"/>
  <c r="Q3" i="37"/>
  <c r="P3" i="37"/>
  <c r="C3" i="37"/>
  <c r="BL2" i="37"/>
  <c r="BK2" i="37"/>
  <c r="BJ2" i="37"/>
  <c r="BI2" i="37"/>
  <c r="AV2" i="37"/>
  <c r="S2" i="37"/>
  <c r="R2" i="37"/>
  <c r="Q2" i="37"/>
  <c r="P2" i="37"/>
  <c r="B63" i="36"/>
  <c r="A63" i="36"/>
  <c r="Z60" i="36"/>
  <c r="Y60" i="36"/>
  <c r="X60" i="36"/>
  <c r="W60" i="36"/>
  <c r="B62" i="36"/>
  <c r="A49" i="36" s="1"/>
  <c r="C61" i="36"/>
  <c r="F58" i="36"/>
  <c r="Z57" i="36"/>
  <c r="Y57" i="36"/>
  <c r="X57" i="36"/>
  <c r="C57" i="36"/>
  <c r="Z54" i="36"/>
  <c r="Y54" i="36"/>
  <c r="X54" i="36"/>
  <c r="W54" i="36"/>
  <c r="Z53" i="36"/>
  <c r="Y53" i="36"/>
  <c r="X53" i="36"/>
  <c r="W53" i="36"/>
  <c r="X52" i="36"/>
  <c r="W52" i="36"/>
  <c r="AU51" i="36"/>
  <c r="AT51" i="36"/>
  <c r="AS51" i="36"/>
  <c r="AR51" i="36"/>
  <c r="Z51" i="36"/>
  <c r="Y51" i="36"/>
  <c r="X51" i="36"/>
  <c r="W51" i="36"/>
  <c r="BK50" i="36"/>
  <c r="Z50" i="36"/>
  <c r="Y50" i="36"/>
  <c r="X50" i="36"/>
  <c r="W50" i="36"/>
  <c r="Y49" i="36"/>
  <c r="F49" i="36"/>
  <c r="BK48" i="36"/>
  <c r="AU48" i="36"/>
  <c r="AT48" i="36"/>
  <c r="AS48" i="36"/>
  <c r="AR48" i="36"/>
  <c r="AN48" i="36"/>
  <c r="AM48" i="36"/>
  <c r="AL48" i="36"/>
  <c r="AK48" i="36"/>
  <c r="Q49" i="36"/>
  <c r="N49" i="36"/>
  <c r="F48" i="36"/>
  <c r="AU47" i="36"/>
  <c r="AT47" i="36"/>
  <c r="AS47" i="36"/>
  <c r="AR47" i="36"/>
  <c r="Q48" i="36"/>
  <c r="N48" i="36"/>
  <c r="B49" i="36"/>
  <c r="BK46" i="36"/>
  <c r="AY46" i="36"/>
  <c r="AU46" i="36"/>
  <c r="AT46" i="36"/>
  <c r="AS46" i="36"/>
  <c r="AR46" i="36"/>
  <c r="F46" i="36"/>
  <c r="BK45" i="36"/>
  <c r="BC45" i="36"/>
  <c r="AU45" i="36"/>
  <c r="AT45" i="36"/>
  <c r="AS45" i="36"/>
  <c r="AR45" i="36"/>
  <c r="AN45" i="36"/>
  <c r="AN46" i="36" s="1"/>
  <c r="AM45" i="36"/>
  <c r="AM46" i="36" s="1"/>
  <c r="AL45" i="36"/>
  <c r="AL46" i="36" s="1"/>
  <c r="AK45" i="36"/>
  <c r="B47" i="36"/>
  <c r="BK44" i="36"/>
  <c r="AU44" i="36"/>
  <c r="AT44" i="36"/>
  <c r="AS44" i="36"/>
  <c r="AR44" i="36"/>
  <c r="W44" i="36"/>
  <c r="B46" i="36"/>
  <c r="AY43" i="36"/>
  <c r="AU43" i="36"/>
  <c r="AT43" i="36"/>
  <c r="AS43" i="36"/>
  <c r="AR43" i="36"/>
  <c r="AG43" i="36"/>
  <c r="AF43" i="36"/>
  <c r="AE43" i="36"/>
  <c r="AD43" i="36"/>
  <c r="D43" i="36"/>
  <c r="BC42" i="36"/>
  <c r="AY42" i="36"/>
  <c r="I29" i="36"/>
  <c r="BC41" i="36"/>
  <c r="AY41" i="36"/>
  <c r="AR41" i="36"/>
  <c r="A43" i="36"/>
  <c r="BK40" i="36"/>
  <c r="BG40" i="36"/>
  <c r="AU40" i="36"/>
  <c r="AT40" i="36"/>
  <c r="AS40" i="36"/>
  <c r="AR40" i="36"/>
  <c r="Z40" i="36"/>
  <c r="Y40" i="36"/>
  <c r="X40" i="36"/>
  <c r="W40" i="36"/>
  <c r="S41" i="36"/>
  <c r="R41" i="36"/>
  <c r="Q41" i="36"/>
  <c r="P41" i="36"/>
  <c r="B42" i="36"/>
  <c r="BC39" i="36"/>
  <c r="AY39" i="36"/>
  <c r="AN39" i="36"/>
  <c r="AM39" i="36"/>
  <c r="AL39" i="36"/>
  <c r="AK39" i="36"/>
  <c r="B41" i="36"/>
  <c r="AR39" i="36" s="1"/>
  <c r="BK38" i="36"/>
  <c r="BG38" i="36"/>
  <c r="BC38" i="36"/>
  <c r="AY38" i="36"/>
  <c r="C40" i="36"/>
  <c r="B40" i="36" s="1"/>
  <c r="BG37" i="36"/>
  <c r="BC37" i="36"/>
  <c r="AY37" i="36"/>
  <c r="Z37" i="36"/>
  <c r="Y37" i="36"/>
  <c r="X37" i="36"/>
  <c r="W37" i="36"/>
  <c r="I41" i="36"/>
  <c r="E37" i="36"/>
  <c r="BK36" i="36"/>
  <c r="BG36" i="36"/>
  <c r="AN36" i="36"/>
  <c r="AN37" i="36" s="1"/>
  <c r="AM36" i="36"/>
  <c r="AM37" i="36" s="1"/>
  <c r="AL36" i="36"/>
  <c r="AL37" i="36" s="1"/>
  <c r="AK36" i="36"/>
  <c r="Z36" i="36"/>
  <c r="Y36" i="36"/>
  <c r="X36" i="36"/>
  <c r="W36" i="36"/>
  <c r="F36" i="36"/>
  <c r="A38" i="36"/>
  <c r="BK35" i="36"/>
  <c r="BC35" i="36" s="1"/>
  <c r="AY35" i="36"/>
  <c r="AG35" i="36"/>
  <c r="AF35" i="36"/>
  <c r="AE35" i="36"/>
  <c r="AD35" i="36"/>
  <c r="Z35" i="36"/>
  <c r="Y35" i="36"/>
  <c r="X35" i="36"/>
  <c r="W35" i="36"/>
  <c r="BK34" i="36"/>
  <c r="Z34" i="36"/>
  <c r="Y34" i="36"/>
  <c r="X34" i="36"/>
  <c r="W34" i="36"/>
  <c r="I37" i="36"/>
  <c r="B35" i="36"/>
  <c r="BG32" i="36"/>
  <c r="AU32" i="36"/>
  <c r="AT32" i="36"/>
  <c r="AS32" i="36"/>
  <c r="AR32" i="36"/>
  <c r="AG32" i="36"/>
  <c r="AF32" i="36"/>
  <c r="AE32" i="36"/>
  <c r="AD32" i="36"/>
  <c r="Z32" i="36"/>
  <c r="Y32" i="36"/>
  <c r="X32" i="36"/>
  <c r="W32" i="36"/>
  <c r="S33" i="36"/>
  <c r="R33" i="36"/>
  <c r="Q33" i="36"/>
  <c r="P33" i="36"/>
  <c r="I36" i="36"/>
  <c r="E32" i="36"/>
  <c r="AG31" i="36"/>
  <c r="AF31" i="36"/>
  <c r="AE31" i="36"/>
  <c r="AD31" i="36"/>
  <c r="I35" i="36"/>
  <c r="C33" i="36"/>
  <c r="B33" i="36" s="1"/>
  <c r="BK30" i="36"/>
  <c r="BG30" i="36"/>
  <c r="AG30" i="36"/>
  <c r="AF30" i="36"/>
  <c r="AE30" i="36"/>
  <c r="AD30" i="36"/>
  <c r="I34" i="36"/>
  <c r="BG29" i="36"/>
  <c r="AU29" i="36"/>
  <c r="AT29" i="36"/>
  <c r="AS29" i="36"/>
  <c r="AR29" i="36"/>
  <c r="AN29" i="36"/>
  <c r="AM29" i="36"/>
  <c r="AL29" i="36"/>
  <c r="AK29" i="36"/>
  <c r="AG29" i="36"/>
  <c r="AF29" i="36"/>
  <c r="AE29" i="36"/>
  <c r="AD29" i="36"/>
  <c r="S29" i="36"/>
  <c r="S30" i="36" s="1"/>
  <c r="R29" i="36"/>
  <c r="R30" i="36" s="1"/>
  <c r="Q29" i="36"/>
  <c r="Q30" i="36" s="1"/>
  <c r="P29" i="36"/>
  <c r="P30" i="36" s="1"/>
  <c r="BK28" i="36"/>
  <c r="BG28" i="36"/>
  <c r="AY28" i="36"/>
  <c r="AU28" i="36"/>
  <c r="AT28" i="36"/>
  <c r="AS28" i="36"/>
  <c r="AR28" i="36"/>
  <c r="AN28" i="36"/>
  <c r="AM28" i="36"/>
  <c r="AL28" i="36"/>
  <c r="AK28" i="36"/>
  <c r="AG28" i="36"/>
  <c r="AF28" i="36"/>
  <c r="AE28" i="36"/>
  <c r="AD28" i="36"/>
  <c r="BC27" i="36"/>
  <c r="AU27" i="36"/>
  <c r="AT27" i="36"/>
  <c r="AS27" i="36"/>
  <c r="AR27" i="36"/>
  <c r="AG27" i="36"/>
  <c r="AF27" i="36"/>
  <c r="AE27" i="36"/>
  <c r="AD27" i="36"/>
  <c r="BK26" i="36"/>
  <c r="AU26" i="36"/>
  <c r="AT26" i="36"/>
  <c r="AS26" i="36"/>
  <c r="AR26" i="36"/>
  <c r="AN26" i="36"/>
  <c r="AM26" i="36"/>
  <c r="AL26" i="36"/>
  <c r="AK26" i="36"/>
  <c r="Z26" i="36"/>
  <c r="Y26" i="36"/>
  <c r="X26" i="36"/>
  <c r="W26" i="36"/>
  <c r="BK25" i="36"/>
  <c r="AY25" i="36"/>
  <c r="AU25" i="36"/>
  <c r="AT25" i="36"/>
  <c r="AS25" i="36"/>
  <c r="AR25" i="36"/>
  <c r="AE25" i="36"/>
  <c r="Z25" i="36"/>
  <c r="Y25" i="36"/>
  <c r="X25" i="36"/>
  <c r="W25" i="36"/>
  <c r="I26" i="36"/>
  <c r="BK24" i="36"/>
  <c r="BG24" i="36"/>
  <c r="BC24" i="36"/>
  <c r="AY24" i="36"/>
  <c r="AU24" i="36"/>
  <c r="AT24" i="36"/>
  <c r="AS24" i="36"/>
  <c r="AR24" i="36"/>
  <c r="AN24" i="36"/>
  <c r="AM24" i="36"/>
  <c r="AL24" i="36"/>
  <c r="AK24" i="36"/>
  <c r="AF24" i="36"/>
  <c r="AD24" i="36"/>
  <c r="S24" i="36"/>
  <c r="R24" i="36"/>
  <c r="Q24" i="36"/>
  <c r="P24" i="36"/>
  <c r="I25" i="36"/>
  <c r="F24" i="36"/>
  <c r="E24" i="36"/>
  <c r="BC23" i="36"/>
  <c r="AU23" i="36"/>
  <c r="AT23" i="36"/>
  <c r="AS23" i="36"/>
  <c r="AR23" i="36"/>
  <c r="Z23" i="36"/>
  <c r="Y23" i="36"/>
  <c r="X23" i="36"/>
  <c r="W23" i="36"/>
  <c r="S23" i="36"/>
  <c r="R23" i="36"/>
  <c r="Q23" i="36"/>
  <c r="P23" i="36"/>
  <c r="D23" i="36"/>
  <c r="BG22" i="36"/>
  <c r="BC22" i="36"/>
  <c r="AY22" i="36"/>
  <c r="AU22" i="36"/>
  <c r="AT22" i="36"/>
  <c r="AS22" i="36"/>
  <c r="AR22" i="36"/>
  <c r="S22" i="36"/>
  <c r="R22" i="36"/>
  <c r="Q22" i="36"/>
  <c r="P22" i="36"/>
  <c r="E22" i="36"/>
  <c r="BG21" i="36"/>
  <c r="BC21" i="36"/>
  <c r="AU21" i="36"/>
  <c r="AT21" i="36"/>
  <c r="AS21" i="36"/>
  <c r="AR21" i="36"/>
  <c r="BK20" i="36"/>
  <c r="BG20" i="36"/>
  <c r="BC20" i="36"/>
  <c r="AY20" i="36"/>
  <c r="Z20" i="36"/>
  <c r="Y20" i="36"/>
  <c r="X20" i="36"/>
  <c r="W20" i="36"/>
  <c r="Q20" i="36"/>
  <c r="E20" i="36"/>
  <c r="BC19" i="36"/>
  <c r="AY19" i="36"/>
  <c r="Z19" i="36"/>
  <c r="Y19" i="36"/>
  <c r="X19" i="36"/>
  <c r="W19" i="36"/>
  <c r="S19" i="36"/>
  <c r="R19" i="36"/>
  <c r="Q19" i="36"/>
  <c r="P19" i="36"/>
  <c r="BK18" i="36"/>
  <c r="BC18" i="36"/>
  <c r="AG18" i="36"/>
  <c r="AF18" i="36"/>
  <c r="AE18" i="36"/>
  <c r="AD18" i="36"/>
  <c r="Z18" i="36"/>
  <c r="Y18" i="36"/>
  <c r="X18" i="36"/>
  <c r="W18" i="36"/>
  <c r="S18" i="36"/>
  <c r="R18" i="36"/>
  <c r="Q18" i="36"/>
  <c r="P18" i="36"/>
  <c r="AN17" i="36"/>
  <c r="AM17" i="36"/>
  <c r="AL17" i="36"/>
  <c r="AK17" i="36"/>
  <c r="S17" i="36"/>
  <c r="R17" i="36"/>
  <c r="Q17" i="36"/>
  <c r="P17" i="36"/>
  <c r="BK16" i="36"/>
  <c r="BG16" i="36"/>
  <c r="W16" i="36"/>
  <c r="S16" i="36"/>
  <c r="R16" i="36"/>
  <c r="Q16" i="36"/>
  <c r="P16" i="36"/>
  <c r="B16" i="36"/>
  <c r="AS39" i="36" s="1"/>
  <c r="BK15" i="36"/>
  <c r="W15" i="36"/>
  <c r="I16" i="36"/>
  <c r="BK14" i="36"/>
  <c r="BG14" i="36"/>
  <c r="AY14" i="36"/>
  <c r="AU14" i="36"/>
  <c r="AT14" i="36"/>
  <c r="AS14" i="36"/>
  <c r="AR14" i="36"/>
  <c r="AN14" i="36"/>
  <c r="AN15" i="36" s="1"/>
  <c r="AM14" i="36"/>
  <c r="AM15" i="36" s="1"/>
  <c r="AL14" i="36"/>
  <c r="AL15" i="36" s="1"/>
  <c r="AK14" i="36"/>
  <c r="AK15" i="36" s="1"/>
  <c r="P14" i="36"/>
  <c r="BG13" i="36"/>
  <c r="BC13" i="36"/>
  <c r="AG13" i="36"/>
  <c r="AF13" i="36"/>
  <c r="AE13" i="36"/>
  <c r="AD13" i="36"/>
  <c r="X13" i="36"/>
  <c r="P13" i="36"/>
  <c r="B13" i="36"/>
  <c r="BO12" i="36"/>
  <c r="BG12" i="36"/>
  <c r="AN12" i="36"/>
  <c r="AM12" i="36"/>
  <c r="AL12" i="36"/>
  <c r="AK12" i="36"/>
  <c r="AG12" i="36"/>
  <c r="AF12" i="36"/>
  <c r="AE12" i="36"/>
  <c r="AD12" i="36"/>
  <c r="X12" i="36"/>
  <c r="L12" i="36"/>
  <c r="K12" i="36"/>
  <c r="J12" i="36"/>
  <c r="I12" i="36"/>
  <c r="B12" i="36"/>
  <c r="AG24" i="36" s="1"/>
  <c r="BO11" i="36"/>
  <c r="AY11" i="36"/>
  <c r="AU11" i="36"/>
  <c r="AT11" i="36"/>
  <c r="AS11" i="36"/>
  <c r="AR11" i="36"/>
  <c r="Q11" i="36"/>
  <c r="L11" i="36"/>
  <c r="K11" i="36"/>
  <c r="J11" i="36"/>
  <c r="I11" i="36"/>
  <c r="BO10" i="36"/>
  <c r="BK10" i="36"/>
  <c r="BC10" i="36"/>
  <c r="AY10" i="36"/>
  <c r="AU10" i="36"/>
  <c r="AT10" i="36"/>
  <c r="AS10" i="36"/>
  <c r="AR10" i="36"/>
  <c r="AG10" i="36"/>
  <c r="AF10" i="36"/>
  <c r="AE10" i="36"/>
  <c r="AD10" i="36"/>
  <c r="Z10" i="36"/>
  <c r="Y10" i="36"/>
  <c r="X10" i="36"/>
  <c r="W10" i="36"/>
  <c r="Q10" i="36"/>
  <c r="L10" i="36"/>
  <c r="K10" i="36"/>
  <c r="J10" i="36"/>
  <c r="I10" i="36"/>
  <c r="B10" i="36"/>
  <c r="BO9" i="36"/>
  <c r="BC9" i="36"/>
  <c r="AY9" i="36"/>
  <c r="AU9" i="36"/>
  <c r="AT9" i="36"/>
  <c r="AS9" i="36"/>
  <c r="AR9" i="36"/>
  <c r="AE9" i="36"/>
  <c r="AD9" i="36"/>
  <c r="Z9" i="36"/>
  <c r="Y9" i="36"/>
  <c r="X9" i="36"/>
  <c r="W9" i="36"/>
  <c r="L9" i="36"/>
  <c r="BO8" i="36"/>
  <c r="BK8" i="36"/>
  <c r="BG8" i="36"/>
  <c r="BC8" i="36"/>
  <c r="AY8" i="36"/>
  <c r="AU8" i="36"/>
  <c r="AT8" i="36"/>
  <c r="AS8" i="36"/>
  <c r="AR8" i="36"/>
  <c r="S8" i="36"/>
  <c r="P8" i="36"/>
  <c r="L8" i="36"/>
  <c r="K8" i="36"/>
  <c r="J8" i="36"/>
  <c r="I8" i="36"/>
  <c r="E8" i="36"/>
  <c r="BO7" i="36"/>
  <c r="BC7" i="36"/>
  <c r="AY7" i="36"/>
  <c r="AU7" i="36"/>
  <c r="AT7" i="36"/>
  <c r="AS7" i="36"/>
  <c r="AR7" i="36"/>
  <c r="BO6" i="36"/>
  <c r="BK6" i="36"/>
  <c r="BG6" i="36"/>
  <c r="BC6" i="36"/>
  <c r="AU6" i="36"/>
  <c r="AT6" i="36"/>
  <c r="AS6" i="36"/>
  <c r="AR6" i="36"/>
  <c r="AD6" i="36"/>
  <c r="W6" i="36"/>
  <c r="P6" i="36"/>
  <c r="BO5" i="36"/>
  <c r="BK5" i="36"/>
  <c r="BG5" i="36"/>
  <c r="BC5" i="36"/>
  <c r="AY5" i="36"/>
  <c r="AU5" i="36"/>
  <c r="AT5" i="36"/>
  <c r="AS5" i="36"/>
  <c r="AR5" i="36"/>
  <c r="AG5" i="36"/>
  <c r="AF5" i="36"/>
  <c r="AE5" i="36"/>
  <c r="AD5" i="36"/>
  <c r="Y5" i="36"/>
  <c r="R5" i="36"/>
  <c r="L5" i="36"/>
  <c r="E5" i="36"/>
  <c r="BO4" i="36"/>
  <c r="BK4" i="36"/>
  <c r="BG4" i="36"/>
  <c r="BC4" i="36"/>
  <c r="AY4" i="36"/>
  <c r="AU4" i="36"/>
  <c r="AT4" i="36"/>
  <c r="AS4" i="36"/>
  <c r="AR4" i="36"/>
  <c r="AU3" i="36"/>
  <c r="AT3" i="36"/>
  <c r="AS3" i="36"/>
  <c r="AR3" i="36"/>
  <c r="AN3" i="36"/>
  <c r="AM3" i="36"/>
  <c r="AL3" i="36"/>
  <c r="AK3" i="36"/>
  <c r="AG3" i="36"/>
  <c r="AF3" i="36"/>
  <c r="AE3" i="36"/>
  <c r="AD3" i="36"/>
  <c r="Z3" i="36"/>
  <c r="Y3" i="36"/>
  <c r="X3" i="36"/>
  <c r="W3" i="36"/>
  <c r="S3" i="36"/>
  <c r="R3" i="36"/>
  <c r="Q3" i="36"/>
  <c r="P3" i="36"/>
  <c r="C3" i="36"/>
  <c r="AN2" i="36"/>
  <c r="AM2" i="36"/>
  <c r="AL2" i="36"/>
  <c r="AK2" i="36"/>
  <c r="AG2" i="36"/>
  <c r="AF2" i="36"/>
  <c r="AE2" i="36"/>
  <c r="AD2" i="36"/>
  <c r="Z2" i="36"/>
  <c r="Y2" i="36"/>
  <c r="X2" i="36"/>
  <c r="W2" i="36"/>
  <c r="S2" i="36"/>
  <c r="R2" i="36"/>
  <c r="Q2" i="36"/>
  <c r="P2" i="36"/>
  <c r="B59" i="30"/>
  <c r="A59" i="30"/>
  <c r="F56" i="30"/>
  <c r="B58" i="30"/>
  <c r="A45" i="30" s="1"/>
  <c r="C57" i="30"/>
  <c r="AF44" i="30" s="1"/>
  <c r="F54" i="30"/>
  <c r="F53" i="30"/>
  <c r="I52" i="30"/>
  <c r="F51" i="30"/>
  <c r="C53" i="30"/>
  <c r="Z48" i="30"/>
  <c r="Y48" i="30"/>
  <c r="X48" i="30"/>
  <c r="W48" i="30"/>
  <c r="AF47" i="30"/>
  <c r="AB47" i="30"/>
  <c r="BP46" i="30"/>
  <c r="AF46" i="30"/>
  <c r="AB46" i="30"/>
  <c r="Z46" i="30"/>
  <c r="Y46" i="30"/>
  <c r="X46" i="30"/>
  <c r="W46" i="30"/>
  <c r="E46" i="30"/>
  <c r="AF45" i="30"/>
  <c r="AB45" i="30"/>
  <c r="AB48" i="30" s="1"/>
  <c r="AB50" i="30" s="1"/>
  <c r="I45" i="30"/>
  <c r="F45" i="30"/>
  <c r="BT44" i="30"/>
  <c r="BP44" i="30"/>
  <c r="I44" i="30"/>
  <c r="BP43" i="30"/>
  <c r="I43" i="30"/>
  <c r="B45" i="30"/>
  <c r="BT42" i="30"/>
  <c r="BP42" i="30"/>
  <c r="I42" i="30"/>
  <c r="BT41" i="30"/>
  <c r="BP41" i="30"/>
  <c r="E41" i="30"/>
  <c r="B43" i="30"/>
  <c r="B42" i="30"/>
  <c r="BT39" i="30"/>
  <c r="BP39" i="30"/>
  <c r="S40" i="30"/>
  <c r="R40" i="30"/>
  <c r="Q40" i="30"/>
  <c r="P40" i="30"/>
  <c r="Y53" i="30" s="1"/>
  <c r="BT38" i="30"/>
  <c r="BP38" i="30"/>
  <c r="AH38" i="30"/>
  <c r="BA37" i="30"/>
  <c r="AW37" i="30"/>
  <c r="AV37" i="30"/>
  <c r="AU37" i="30"/>
  <c r="AT37" i="30"/>
  <c r="AD37" i="30"/>
  <c r="F37" i="30"/>
  <c r="C39" i="30"/>
  <c r="B39" i="30"/>
  <c r="BT36" i="30"/>
  <c r="BP36" i="30"/>
  <c r="AD36" i="30"/>
  <c r="F36" i="30"/>
  <c r="C38" i="30"/>
  <c r="B38" i="30" s="1"/>
  <c r="BT35" i="30"/>
  <c r="BP35" i="30"/>
  <c r="BA35" i="30"/>
  <c r="AH35" i="30"/>
  <c r="AD35" i="30"/>
  <c r="I35" i="30"/>
  <c r="B37" i="30"/>
  <c r="BA34" i="30"/>
  <c r="AH34" i="30"/>
  <c r="AD34" i="30"/>
  <c r="Z34" i="30"/>
  <c r="Y34" i="30"/>
  <c r="X34" i="30"/>
  <c r="W34" i="30"/>
  <c r="I34" i="30"/>
  <c r="C36" i="30"/>
  <c r="A36" i="30"/>
  <c r="BA33" i="30"/>
  <c r="AH33" i="30"/>
  <c r="F33" i="30"/>
  <c r="B35" i="30"/>
  <c r="BA32" i="30"/>
  <c r="AH32" i="30"/>
  <c r="AD32" i="30"/>
  <c r="Z32" i="30"/>
  <c r="Y32" i="30"/>
  <c r="X32" i="30"/>
  <c r="W32" i="30"/>
  <c r="BA31" i="30"/>
  <c r="AH31" i="30"/>
  <c r="AD31" i="30"/>
  <c r="S32" i="30"/>
  <c r="R32" i="30"/>
  <c r="Q32" i="30"/>
  <c r="P32" i="30"/>
  <c r="I31" i="30"/>
  <c r="C33" i="30"/>
  <c r="B33" i="30" s="1"/>
  <c r="BA30" i="30"/>
  <c r="AP30" i="30"/>
  <c r="F30" i="30"/>
  <c r="E30" i="30"/>
  <c r="BL29" i="30"/>
  <c r="BK29" i="30"/>
  <c r="BJ29" i="30"/>
  <c r="BI29" i="30"/>
  <c r="BA29" i="30"/>
  <c r="AW29" i="30"/>
  <c r="AV29" i="30"/>
  <c r="AU29" i="30"/>
  <c r="AT29" i="30"/>
  <c r="I29" i="30"/>
  <c r="D29" i="30"/>
  <c r="BP28" i="30"/>
  <c r="I28" i="30"/>
  <c r="E28" i="30"/>
  <c r="BT27" i="30"/>
  <c r="AP27" i="30"/>
  <c r="I27" i="30"/>
  <c r="BL26" i="30"/>
  <c r="BK26" i="30"/>
  <c r="BJ26" i="30"/>
  <c r="BI26" i="30"/>
  <c r="AW26" i="30"/>
  <c r="AV26" i="30"/>
  <c r="AU26" i="30"/>
  <c r="AT26" i="30"/>
  <c r="I26" i="30"/>
  <c r="E26" i="30"/>
  <c r="BT25" i="30"/>
  <c r="BP25" i="30"/>
  <c r="BL25" i="30"/>
  <c r="BK25" i="30"/>
  <c r="BJ25" i="30"/>
  <c r="BI25" i="30"/>
  <c r="AW25" i="30"/>
  <c r="AV25" i="30"/>
  <c r="AU25" i="30"/>
  <c r="AT25" i="30"/>
  <c r="Z25" i="30"/>
  <c r="W25" i="30"/>
  <c r="BT24" i="30"/>
  <c r="BP24" i="30"/>
  <c r="BL24" i="30"/>
  <c r="BK24" i="30"/>
  <c r="BJ24" i="30"/>
  <c r="BI24" i="30"/>
  <c r="AW24" i="30"/>
  <c r="AV24" i="30"/>
  <c r="AU24" i="30"/>
  <c r="AT24" i="30"/>
  <c r="AG24" i="30"/>
  <c r="AF24" i="30"/>
  <c r="AE24" i="30"/>
  <c r="AD24" i="30"/>
  <c r="F24" i="30"/>
  <c r="BA20" i="30" s="1"/>
  <c r="BA22" i="30" s="1"/>
  <c r="BE23" i="30" s="1"/>
  <c r="BT23" i="30"/>
  <c r="BL23" i="30"/>
  <c r="BK23" i="30"/>
  <c r="BJ23" i="30"/>
  <c r="BI23" i="30"/>
  <c r="AW23" i="30"/>
  <c r="AV23" i="30"/>
  <c r="AU23" i="30"/>
  <c r="AT23" i="30"/>
  <c r="AG23" i="30"/>
  <c r="AF23" i="30"/>
  <c r="AE23" i="30"/>
  <c r="AD23" i="30"/>
  <c r="S23" i="30"/>
  <c r="R23" i="30"/>
  <c r="Q23" i="30"/>
  <c r="P23" i="30"/>
  <c r="BT22" i="30"/>
  <c r="BP22" i="30"/>
  <c r="BL22" i="30"/>
  <c r="BK22" i="30"/>
  <c r="BJ22" i="30"/>
  <c r="BI22" i="30"/>
  <c r="AW22" i="30"/>
  <c r="AV22" i="30"/>
  <c r="AU22" i="30"/>
  <c r="AT22" i="30"/>
  <c r="AL22" i="30"/>
  <c r="S22" i="30"/>
  <c r="R22" i="30"/>
  <c r="Q22" i="30"/>
  <c r="P22" i="30"/>
  <c r="BT21" i="30"/>
  <c r="BL21" i="30"/>
  <c r="BK21" i="30"/>
  <c r="BJ21" i="30"/>
  <c r="BI21" i="30"/>
  <c r="AW21" i="30"/>
  <c r="AV21" i="30"/>
  <c r="AU21" i="30"/>
  <c r="AT21" i="30"/>
  <c r="AP21" i="30"/>
  <c r="AL21" i="30"/>
  <c r="S21" i="30"/>
  <c r="R21" i="30"/>
  <c r="Q21" i="30"/>
  <c r="P21" i="30"/>
  <c r="L21" i="30"/>
  <c r="K21" i="30"/>
  <c r="J21" i="30"/>
  <c r="I21" i="30"/>
  <c r="BT20" i="30"/>
  <c r="BP20" i="30"/>
  <c r="BL20" i="30"/>
  <c r="BK20" i="30"/>
  <c r="BJ20" i="30"/>
  <c r="BI20" i="30"/>
  <c r="AG20" i="30"/>
  <c r="AF20" i="30"/>
  <c r="AE20" i="30"/>
  <c r="AD20" i="30"/>
  <c r="Z20" i="30"/>
  <c r="Y20" i="30"/>
  <c r="X20" i="30"/>
  <c r="W20" i="30"/>
  <c r="L20" i="30"/>
  <c r="K20" i="30"/>
  <c r="J20" i="30"/>
  <c r="I20" i="30"/>
  <c r="BT19" i="30"/>
  <c r="BL19" i="30"/>
  <c r="BK19" i="30"/>
  <c r="BJ19" i="30"/>
  <c r="BI19" i="30"/>
  <c r="AU19" i="30"/>
  <c r="AL19" i="30"/>
  <c r="AG19" i="30"/>
  <c r="AF19" i="30"/>
  <c r="AE19" i="30"/>
  <c r="AD19" i="30"/>
  <c r="Q19" i="30"/>
  <c r="BT18" i="30"/>
  <c r="AV18" i="30"/>
  <c r="AT18" i="30"/>
  <c r="AL18" i="30"/>
  <c r="AG18" i="30"/>
  <c r="AF18" i="30"/>
  <c r="AE18" i="30"/>
  <c r="AD18" i="30"/>
  <c r="Z18" i="30"/>
  <c r="Y18" i="30"/>
  <c r="X18" i="30"/>
  <c r="W18" i="30"/>
  <c r="S18" i="30"/>
  <c r="R18" i="30"/>
  <c r="Q18" i="30"/>
  <c r="P18" i="30"/>
  <c r="S17" i="30"/>
  <c r="R17" i="30"/>
  <c r="Q17" i="30"/>
  <c r="P17" i="30"/>
  <c r="BC16" i="30"/>
  <c r="BB16" i="30"/>
  <c r="BA16" i="30"/>
  <c r="AD16" i="30"/>
  <c r="R16" i="30"/>
  <c r="B16" i="30"/>
  <c r="AE3" i="30" s="1"/>
  <c r="AD15" i="30"/>
  <c r="E15" i="30"/>
  <c r="BP14" i="30"/>
  <c r="P14" i="30"/>
  <c r="L14" i="30"/>
  <c r="K14" i="30"/>
  <c r="J14" i="30"/>
  <c r="I14" i="30"/>
  <c r="BT13" i="30"/>
  <c r="P13" i="30"/>
  <c r="B13" i="30"/>
  <c r="BX12" i="30"/>
  <c r="BP12" i="30"/>
  <c r="BL12" i="30"/>
  <c r="BK12" i="30"/>
  <c r="BJ12" i="30"/>
  <c r="BI12" i="30"/>
  <c r="BC12" i="30"/>
  <c r="BC13" i="30" s="1"/>
  <c r="BB12" i="30"/>
  <c r="BB13" i="30" s="1"/>
  <c r="BA12" i="30"/>
  <c r="BA13" i="30" s="1"/>
  <c r="L12" i="30"/>
  <c r="K12" i="30"/>
  <c r="J12" i="30"/>
  <c r="I12" i="30"/>
  <c r="B12" i="30"/>
  <c r="BX11" i="30"/>
  <c r="BT11" i="30"/>
  <c r="BP11" i="30"/>
  <c r="AE11" i="30"/>
  <c r="Z11" i="30"/>
  <c r="W11" i="30"/>
  <c r="BX10" i="30"/>
  <c r="BT10" i="30"/>
  <c r="BP10" i="30"/>
  <c r="AW10" i="30"/>
  <c r="AV10" i="30"/>
  <c r="AU10" i="30"/>
  <c r="AT10" i="30"/>
  <c r="AL10" i="30"/>
  <c r="AE10" i="30"/>
  <c r="Q10" i="30"/>
  <c r="L10" i="30"/>
  <c r="K10" i="30"/>
  <c r="J10" i="30"/>
  <c r="I10" i="30"/>
  <c r="B10" i="30"/>
  <c r="BX9" i="30"/>
  <c r="BT9" i="30"/>
  <c r="BP9" i="30"/>
  <c r="BL9" i="30"/>
  <c r="BK9" i="30"/>
  <c r="BJ9" i="30"/>
  <c r="BI9" i="30"/>
  <c r="Q9" i="30"/>
  <c r="BX8" i="30"/>
  <c r="BT8" i="30"/>
  <c r="BP8" i="30"/>
  <c r="BL8" i="30"/>
  <c r="BK8" i="30"/>
  <c r="BJ8" i="30"/>
  <c r="BI8" i="30"/>
  <c r="AG8" i="30"/>
  <c r="AF8" i="30"/>
  <c r="AE8" i="30"/>
  <c r="AD8" i="30"/>
  <c r="L8" i="30"/>
  <c r="K8" i="30"/>
  <c r="J8" i="30"/>
  <c r="I8" i="30"/>
  <c r="BX7" i="30"/>
  <c r="BT7" i="30"/>
  <c r="BP7" i="30"/>
  <c r="BL7" i="30"/>
  <c r="BK7" i="30"/>
  <c r="BJ7" i="30"/>
  <c r="BI7" i="30"/>
  <c r="BC7" i="30"/>
  <c r="BB7" i="30"/>
  <c r="BA7" i="30"/>
  <c r="AW7" i="30"/>
  <c r="AV7" i="30"/>
  <c r="AU7" i="30"/>
  <c r="AT7" i="30"/>
  <c r="AG7" i="30"/>
  <c r="AF7" i="30"/>
  <c r="AE7" i="30"/>
  <c r="AD7" i="30"/>
  <c r="S7" i="30"/>
  <c r="P7" i="30"/>
  <c r="BX6" i="30"/>
  <c r="BT6" i="30"/>
  <c r="BL6" i="30"/>
  <c r="BK6" i="30"/>
  <c r="BJ6" i="30"/>
  <c r="BI6" i="30"/>
  <c r="AW6" i="30"/>
  <c r="AV6" i="30"/>
  <c r="AU6" i="30"/>
  <c r="AT6" i="30"/>
  <c r="Z6" i="30"/>
  <c r="Y6" i="30"/>
  <c r="X6" i="30"/>
  <c r="W6" i="30"/>
  <c r="BX5" i="30"/>
  <c r="BT5" i="30"/>
  <c r="BP5" i="30"/>
  <c r="BL5" i="30"/>
  <c r="BK5" i="30"/>
  <c r="BJ5" i="30"/>
  <c r="BI5" i="30"/>
  <c r="AW5" i="30"/>
  <c r="AV5" i="30"/>
  <c r="AU5" i="30"/>
  <c r="AT5" i="30"/>
  <c r="AG5" i="30"/>
  <c r="AF5" i="30"/>
  <c r="AE5" i="30"/>
  <c r="AD5" i="30"/>
  <c r="S5" i="30"/>
  <c r="R5" i="30"/>
  <c r="Q5" i="30"/>
  <c r="L5" i="30"/>
  <c r="H5" i="30"/>
  <c r="BX4" i="30"/>
  <c r="BT4" i="30"/>
  <c r="BP4" i="30"/>
  <c r="BL4" i="30"/>
  <c r="BK4" i="30"/>
  <c r="BJ4" i="30"/>
  <c r="BI4" i="30"/>
  <c r="AP4" i="30"/>
  <c r="AO4" i="30"/>
  <c r="AN4" i="30"/>
  <c r="AM4" i="30"/>
  <c r="AL4" i="30"/>
  <c r="AD4" i="30"/>
  <c r="Z4" i="30"/>
  <c r="Y4" i="30"/>
  <c r="X4" i="30"/>
  <c r="W4" i="30"/>
  <c r="E4" i="30"/>
  <c r="AP18" i="30" s="1"/>
  <c r="AP20" i="30" s="1"/>
  <c r="BL3" i="30"/>
  <c r="BK3" i="30"/>
  <c r="BJ3" i="30"/>
  <c r="BI3" i="30"/>
  <c r="BC3" i="30"/>
  <c r="BC4" i="30" s="1"/>
  <c r="BB3" i="30"/>
  <c r="BB4" i="30" s="1"/>
  <c r="BA3" i="30"/>
  <c r="BA4" i="30" s="1"/>
  <c r="AW3" i="30"/>
  <c r="AV3" i="30"/>
  <c r="AU3" i="30"/>
  <c r="AT3" i="30"/>
  <c r="AG3" i="30"/>
  <c r="AF3" i="30"/>
  <c r="S3" i="30"/>
  <c r="R3" i="30"/>
  <c r="Q3" i="30"/>
  <c r="P3" i="30"/>
  <c r="C3" i="30"/>
  <c r="BL2" i="30"/>
  <c r="BK2" i="30"/>
  <c r="BJ2" i="30"/>
  <c r="BI2" i="30"/>
  <c r="AV2" i="30"/>
  <c r="S2" i="30"/>
  <c r="S4" i="30" s="1"/>
  <c r="R2" i="30"/>
  <c r="Q2" i="30"/>
  <c r="P2" i="30"/>
  <c r="B63" i="29"/>
  <c r="A63" i="29"/>
  <c r="Z60" i="29"/>
  <c r="Y60" i="29"/>
  <c r="X60" i="29"/>
  <c r="W60" i="29"/>
  <c r="B62" i="29"/>
  <c r="A49" i="29" s="1"/>
  <c r="C61" i="29"/>
  <c r="F58" i="29"/>
  <c r="Z57" i="29"/>
  <c r="Y57" i="29"/>
  <c r="X57" i="29"/>
  <c r="C57" i="29"/>
  <c r="Z54" i="29"/>
  <c r="Y54" i="29"/>
  <c r="X54" i="29"/>
  <c r="W54" i="29"/>
  <c r="Z53" i="29"/>
  <c r="Y53" i="29"/>
  <c r="X53" i="29"/>
  <c r="W53" i="29"/>
  <c r="X52" i="29"/>
  <c r="W52" i="29"/>
  <c r="AU51" i="29"/>
  <c r="AT51" i="29"/>
  <c r="AS51" i="29"/>
  <c r="AR51" i="29"/>
  <c r="Z51" i="29"/>
  <c r="Y51" i="29"/>
  <c r="X51" i="29"/>
  <c r="W51" i="29"/>
  <c r="BK50" i="29"/>
  <c r="Z50" i="29"/>
  <c r="Y50" i="29"/>
  <c r="X50" i="29"/>
  <c r="W50" i="29"/>
  <c r="Y49" i="29"/>
  <c r="F49" i="29"/>
  <c r="BK48" i="29"/>
  <c r="AU48" i="29"/>
  <c r="AT48" i="29"/>
  <c r="AS48" i="29"/>
  <c r="AR48" i="29"/>
  <c r="AN48" i="29"/>
  <c r="AM48" i="29"/>
  <c r="AL48" i="29"/>
  <c r="AK48" i="29"/>
  <c r="Q49" i="29"/>
  <c r="N49" i="29"/>
  <c r="F48" i="29"/>
  <c r="AU47" i="29"/>
  <c r="AT47" i="29"/>
  <c r="AS47" i="29"/>
  <c r="AR47" i="29"/>
  <c r="Q48" i="29"/>
  <c r="N48" i="29"/>
  <c r="B49" i="29"/>
  <c r="BK46" i="29"/>
  <c r="AY46" i="29"/>
  <c r="AU46" i="29"/>
  <c r="AT46" i="29"/>
  <c r="AS46" i="29"/>
  <c r="AR46" i="29"/>
  <c r="F46" i="29"/>
  <c r="BK45" i="29"/>
  <c r="BC45" i="29"/>
  <c r="AU45" i="29"/>
  <c r="AT45" i="29"/>
  <c r="AS45" i="29"/>
  <c r="AR45" i="29"/>
  <c r="AN45" i="29"/>
  <c r="AN46" i="29" s="1"/>
  <c r="AM45" i="29"/>
  <c r="AM46" i="29" s="1"/>
  <c r="AL45" i="29"/>
  <c r="AL46" i="29" s="1"/>
  <c r="AK45" i="29"/>
  <c r="B47" i="29"/>
  <c r="BK44" i="29"/>
  <c r="AU44" i="29"/>
  <c r="AT44" i="29"/>
  <c r="AS44" i="29"/>
  <c r="AR44" i="29"/>
  <c r="W44" i="29"/>
  <c r="B46" i="29"/>
  <c r="AY43" i="29"/>
  <c r="AU43" i="29"/>
  <c r="AT43" i="29"/>
  <c r="AS43" i="29"/>
  <c r="AR43" i="29"/>
  <c r="AG43" i="29"/>
  <c r="AF43" i="29"/>
  <c r="AE43" i="29"/>
  <c r="AD43" i="29"/>
  <c r="D43" i="29"/>
  <c r="BC42" i="29"/>
  <c r="AY42" i="29"/>
  <c r="I29" i="29"/>
  <c r="BC41" i="29"/>
  <c r="AY41" i="29"/>
  <c r="AR41" i="29"/>
  <c r="A43" i="29"/>
  <c r="BK40" i="29"/>
  <c r="BG40" i="29"/>
  <c r="AU40" i="29"/>
  <c r="AT40" i="29"/>
  <c r="AS40" i="29"/>
  <c r="AR40" i="29"/>
  <c r="Z40" i="29"/>
  <c r="Y40" i="29"/>
  <c r="X40" i="29"/>
  <c r="W40" i="29"/>
  <c r="S41" i="29"/>
  <c r="R41" i="29"/>
  <c r="Q41" i="29"/>
  <c r="P41" i="29"/>
  <c r="B42" i="29"/>
  <c r="BC39" i="29"/>
  <c r="AY39" i="29"/>
  <c r="AN39" i="29"/>
  <c r="AM39" i="29"/>
  <c r="AL39" i="29"/>
  <c r="AK39" i="29"/>
  <c r="B41" i="29"/>
  <c r="AR39" i="29" s="1"/>
  <c r="BK38" i="29"/>
  <c r="BG38" i="29"/>
  <c r="BC38" i="29"/>
  <c r="AY38" i="29"/>
  <c r="C40" i="29"/>
  <c r="B40" i="29" s="1"/>
  <c r="BG37" i="29"/>
  <c r="BC37" i="29"/>
  <c r="AY37" i="29"/>
  <c r="Z37" i="29"/>
  <c r="Y37" i="29"/>
  <c r="X37" i="29"/>
  <c r="W37" i="29"/>
  <c r="I41" i="29"/>
  <c r="E37" i="29"/>
  <c r="BK36" i="29"/>
  <c r="BG36" i="29"/>
  <c r="AN36" i="29"/>
  <c r="AN38" i="29" s="1"/>
  <c r="AM36" i="29"/>
  <c r="AM38" i="29" s="1"/>
  <c r="AL36" i="29"/>
  <c r="AL38" i="29" s="1"/>
  <c r="AK36" i="29"/>
  <c r="Z36" i="29"/>
  <c r="Y36" i="29"/>
  <c r="X36" i="29"/>
  <c r="W36" i="29"/>
  <c r="F36" i="29"/>
  <c r="A38" i="29"/>
  <c r="BK35" i="29"/>
  <c r="BC35" i="29"/>
  <c r="AY35" i="29" s="1"/>
  <c r="AG35" i="29"/>
  <c r="AF35" i="29"/>
  <c r="AE35" i="29"/>
  <c r="AD35" i="29"/>
  <c r="Z35" i="29"/>
  <c r="Y35" i="29"/>
  <c r="X35" i="29"/>
  <c r="W35" i="29"/>
  <c r="BK34" i="29"/>
  <c r="Z34" i="29"/>
  <c r="Y34" i="29"/>
  <c r="X34" i="29"/>
  <c r="W34" i="29"/>
  <c r="I37" i="29"/>
  <c r="B35" i="29"/>
  <c r="BG32" i="29"/>
  <c r="AU32" i="29"/>
  <c r="AT32" i="29"/>
  <c r="AS32" i="29"/>
  <c r="AR32" i="29"/>
  <c r="AG32" i="29"/>
  <c r="AF32" i="29"/>
  <c r="AE32" i="29"/>
  <c r="AD32" i="29"/>
  <c r="S33" i="29"/>
  <c r="R33" i="29"/>
  <c r="Q33" i="29"/>
  <c r="P33" i="29"/>
  <c r="I36" i="29"/>
  <c r="E32" i="29"/>
  <c r="AG31" i="29"/>
  <c r="AF31" i="29"/>
  <c r="AE31" i="29"/>
  <c r="AD31" i="29"/>
  <c r="I35" i="29"/>
  <c r="C33" i="29"/>
  <c r="B33" i="29" s="1"/>
  <c r="BK30" i="29"/>
  <c r="BG30" i="29"/>
  <c r="AG30" i="29"/>
  <c r="AF30" i="29"/>
  <c r="AE30" i="29"/>
  <c r="AD30" i="29"/>
  <c r="I34" i="29"/>
  <c r="BG29" i="29"/>
  <c r="AU29" i="29"/>
  <c r="AT29" i="29"/>
  <c r="AS29" i="29"/>
  <c r="AR29" i="29"/>
  <c r="AN29" i="29"/>
  <c r="AM29" i="29"/>
  <c r="AL29" i="29"/>
  <c r="AK29" i="29"/>
  <c r="AG29" i="29"/>
  <c r="AF29" i="29"/>
  <c r="AE29" i="29"/>
  <c r="AD29" i="29"/>
  <c r="S29" i="29"/>
  <c r="S30" i="29" s="1"/>
  <c r="R29" i="29"/>
  <c r="R30" i="29" s="1"/>
  <c r="Q29" i="29"/>
  <c r="Q31" i="29" s="1"/>
  <c r="P29" i="29"/>
  <c r="P31" i="29" s="1"/>
  <c r="BK28" i="29"/>
  <c r="BG28" i="29"/>
  <c r="AY28" i="29"/>
  <c r="AU28" i="29"/>
  <c r="AT28" i="29"/>
  <c r="AS28" i="29"/>
  <c r="AR28" i="29"/>
  <c r="AN28" i="29"/>
  <c r="AM28" i="29"/>
  <c r="AL28" i="29"/>
  <c r="AK28" i="29"/>
  <c r="AG28" i="29"/>
  <c r="AF28" i="29"/>
  <c r="AE28" i="29"/>
  <c r="AD28" i="29"/>
  <c r="BC27" i="29"/>
  <c r="AU27" i="29"/>
  <c r="AT27" i="29"/>
  <c r="AS27" i="29"/>
  <c r="AR27" i="29"/>
  <c r="AG27" i="29"/>
  <c r="AF27" i="29"/>
  <c r="AE27" i="29"/>
  <c r="AD27" i="29"/>
  <c r="BK26" i="29"/>
  <c r="AU26" i="29"/>
  <c r="AT26" i="29"/>
  <c r="AS26" i="29"/>
  <c r="AR26" i="29"/>
  <c r="AN26" i="29"/>
  <c r="AM26" i="29"/>
  <c r="AL26" i="29"/>
  <c r="AK26" i="29"/>
  <c r="Z26" i="29"/>
  <c r="Y26" i="29"/>
  <c r="X26" i="29"/>
  <c r="W26" i="29"/>
  <c r="BK25" i="29"/>
  <c r="AY25" i="29"/>
  <c r="AU25" i="29"/>
  <c r="AT25" i="29"/>
  <c r="AS25" i="29"/>
  <c r="AR25" i="29"/>
  <c r="AE25" i="29"/>
  <c r="Z25" i="29"/>
  <c r="Y25" i="29"/>
  <c r="X25" i="29"/>
  <c r="W25" i="29"/>
  <c r="I26" i="29"/>
  <c r="BK24" i="29"/>
  <c r="BG24" i="29"/>
  <c r="BC24" i="29"/>
  <c r="AY24" i="29"/>
  <c r="AU24" i="29"/>
  <c r="AT24" i="29"/>
  <c r="AS24" i="29"/>
  <c r="AR24" i="29"/>
  <c r="AN24" i="29"/>
  <c r="AM24" i="29"/>
  <c r="AL24" i="29"/>
  <c r="AK24" i="29"/>
  <c r="AF24" i="29"/>
  <c r="AD24" i="29"/>
  <c r="S24" i="29"/>
  <c r="R24" i="29"/>
  <c r="Q24" i="29"/>
  <c r="P24" i="29"/>
  <c r="I25" i="29"/>
  <c r="F24" i="29"/>
  <c r="E24" i="29"/>
  <c r="BC23" i="29"/>
  <c r="AU23" i="29"/>
  <c r="AT23" i="29"/>
  <c r="AS23" i="29"/>
  <c r="AR23" i="29"/>
  <c r="Z23" i="29"/>
  <c r="Y23" i="29"/>
  <c r="X23" i="29"/>
  <c r="W23" i="29"/>
  <c r="S23" i="29"/>
  <c r="R23" i="29"/>
  <c r="Q23" i="29"/>
  <c r="P23" i="29"/>
  <c r="D23" i="29"/>
  <c r="BG22" i="29"/>
  <c r="BC22" i="29"/>
  <c r="AY22" i="29"/>
  <c r="AU22" i="29"/>
  <c r="AT22" i="29"/>
  <c r="AS22" i="29"/>
  <c r="AR22" i="29"/>
  <c r="S22" i="29"/>
  <c r="Z32" i="29" s="1"/>
  <c r="R22" i="29"/>
  <c r="Q22" i="29"/>
  <c r="P22" i="29"/>
  <c r="W32" i="29" s="1"/>
  <c r="E22" i="29"/>
  <c r="BG21" i="29"/>
  <c r="BC21" i="29"/>
  <c r="AU21" i="29"/>
  <c r="AT21" i="29"/>
  <c r="AS21" i="29"/>
  <c r="AR21" i="29"/>
  <c r="BK20" i="29"/>
  <c r="BG20" i="29"/>
  <c r="BC20" i="29"/>
  <c r="AY20" i="29"/>
  <c r="Z20" i="29"/>
  <c r="Y20" i="29"/>
  <c r="X20" i="29"/>
  <c r="W20" i="29"/>
  <c r="Q20" i="29"/>
  <c r="E20" i="29"/>
  <c r="BC19" i="29"/>
  <c r="AY19" i="29"/>
  <c r="Z19" i="29"/>
  <c r="Y19" i="29"/>
  <c r="X19" i="29"/>
  <c r="W19" i="29"/>
  <c r="S19" i="29"/>
  <c r="R19" i="29"/>
  <c r="Q19" i="29"/>
  <c r="P19" i="29"/>
  <c r="BK18" i="29"/>
  <c r="BC18" i="29"/>
  <c r="AG18" i="29"/>
  <c r="AF18" i="29"/>
  <c r="AE18" i="29"/>
  <c r="AD18" i="29"/>
  <c r="Z18" i="29"/>
  <c r="Y18" i="29"/>
  <c r="X18" i="29"/>
  <c r="W18" i="29"/>
  <c r="S18" i="29"/>
  <c r="R18" i="29"/>
  <c r="Q18" i="29"/>
  <c r="P18" i="29"/>
  <c r="AN17" i="29"/>
  <c r="AM17" i="29"/>
  <c r="AL17" i="29"/>
  <c r="AK17" i="29"/>
  <c r="S17" i="29"/>
  <c r="R17" i="29"/>
  <c r="Q17" i="29"/>
  <c r="P17" i="29"/>
  <c r="BK16" i="29"/>
  <c r="BG16" i="29"/>
  <c r="W16" i="29"/>
  <c r="S16" i="29"/>
  <c r="R16" i="29"/>
  <c r="Q16" i="29"/>
  <c r="P16" i="29"/>
  <c r="B16" i="29"/>
  <c r="X49" i="29" s="1"/>
  <c r="BK15" i="29"/>
  <c r="W15" i="29"/>
  <c r="I16" i="29"/>
  <c r="BK14" i="29"/>
  <c r="BG14" i="29"/>
  <c r="AU14" i="29"/>
  <c r="AT14" i="29"/>
  <c r="AS14" i="29"/>
  <c r="AR14" i="29"/>
  <c r="AN14" i="29"/>
  <c r="AN15" i="29" s="1"/>
  <c r="AM14" i="29"/>
  <c r="AM15" i="29" s="1"/>
  <c r="AL14" i="29"/>
  <c r="AL15" i="29" s="1"/>
  <c r="AK14" i="29"/>
  <c r="AK15" i="29" s="1"/>
  <c r="P14" i="29"/>
  <c r="BG13" i="29"/>
  <c r="BC13" i="29"/>
  <c r="AG13" i="29"/>
  <c r="AF13" i="29"/>
  <c r="AE13" i="29"/>
  <c r="AD13" i="29"/>
  <c r="X13" i="29"/>
  <c r="P13" i="29"/>
  <c r="B13" i="29"/>
  <c r="BO12" i="29"/>
  <c r="BG12" i="29"/>
  <c r="AN12" i="29"/>
  <c r="AM12" i="29"/>
  <c r="AL12" i="29"/>
  <c r="AK12" i="29"/>
  <c r="AG12" i="29"/>
  <c r="AF12" i="29"/>
  <c r="AE12" i="29"/>
  <c r="AD12" i="29"/>
  <c r="X12" i="29"/>
  <c r="L12" i="29"/>
  <c r="K12" i="29"/>
  <c r="J12" i="29"/>
  <c r="I12" i="29"/>
  <c r="B12" i="29"/>
  <c r="AG24" i="29" s="1"/>
  <c r="BO11" i="29"/>
  <c r="AY11" i="29"/>
  <c r="AU11" i="29"/>
  <c r="AT11" i="29"/>
  <c r="AS11" i="29"/>
  <c r="AR11" i="29"/>
  <c r="Q11" i="29"/>
  <c r="L11" i="29"/>
  <c r="K11" i="29"/>
  <c r="J11" i="29"/>
  <c r="I11" i="29"/>
  <c r="BO10" i="29"/>
  <c r="BK10" i="29"/>
  <c r="BC10" i="29"/>
  <c r="AY10" i="29"/>
  <c r="AU10" i="29"/>
  <c r="AT10" i="29"/>
  <c r="AS10" i="29"/>
  <c r="AR10" i="29"/>
  <c r="AG10" i="29"/>
  <c r="AF10" i="29"/>
  <c r="AE10" i="29"/>
  <c r="AD10" i="29"/>
  <c r="Z10" i="29"/>
  <c r="Y10" i="29"/>
  <c r="X10" i="29"/>
  <c r="W10" i="29"/>
  <c r="Q10" i="29"/>
  <c r="L10" i="29"/>
  <c r="K10" i="29"/>
  <c r="J10" i="29"/>
  <c r="I10" i="29"/>
  <c r="B10" i="29"/>
  <c r="BO9" i="29"/>
  <c r="BC9" i="29"/>
  <c r="AY9" i="29"/>
  <c r="AU9" i="29"/>
  <c r="AT9" i="29"/>
  <c r="AS9" i="29"/>
  <c r="AR9" i="29"/>
  <c r="AE9" i="29"/>
  <c r="AD9" i="29"/>
  <c r="Z9" i="29"/>
  <c r="Y9" i="29"/>
  <c r="X9" i="29"/>
  <c r="W9" i="29"/>
  <c r="L9" i="29"/>
  <c r="BO8" i="29"/>
  <c r="BK8" i="29"/>
  <c r="BG8" i="29"/>
  <c r="BC8" i="29"/>
  <c r="AY8" i="29"/>
  <c r="AU8" i="29"/>
  <c r="AT8" i="29"/>
  <c r="AS8" i="29"/>
  <c r="AR8" i="29"/>
  <c r="S8" i="29"/>
  <c r="P8" i="29"/>
  <c r="L8" i="29"/>
  <c r="K8" i="29"/>
  <c r="J8" i="29"/>
  <c r="I8" i="29"/>
  <c r="E8" i="29"/>
  <c r="BO7" i="29"/>
  <c r="BC7" i="29"/>
  <c r="AY7" i="29"/>
  <c r="AU7" i="29"/>
  <c r="AT7" i="29"/>
  <c r="AS7" i="29"/>
  <c r="AR7" i="29"/>
  <c r="BO6" i="29"/>
  <c r="BK6" i="29"/>
  <c r="BG6" i="29"/>
  <c r="BC6" i="29"/>
  <c r="AU6" i="29"/>
  <c r="AT6" i="29"/>
  <c r="AS6" i="29"/>
  <c r="AR6" i="29"/>
  <c r="AD6" i="29"/>
  <c r="W6" i="29"/>
  <c r="P6" i="29"/>
  <c r="BO5" i="29"/>
  <c r="BK5" i="29"/>
  <c r="BG5" i="29"/>
  <c r="BC5" i="29"/>
  <c r="AY5" i="29"/>
  <c r="AU5" i="29"/>
  <c r="AT5" i="29"/>
  <c r="AS5" i="29"/>
  <c r="AR5" i="29"/>
  <c r="AG5" i="29"/>
  <c r="AF5" i="29"/>
  <c r="AE5" i="29"/>
  <c r="AD5" i="29"/>
  <c r="Z5" i="29"/>
  <c r="Y5" i="29"/>
  <c r="X5" i="29" s="1"/>
  <c r="S5" i="29"/>
  <c r="R5" i="29"/>
  <c r="Q5" i="29"/>
  <c r="L5" i="29"/>
  <c r="E5" i="29"/>
  <c r="BO4" i="29"/>
  <c r="BK4" i="29"/>
  <c r="BG4" i="29"/>
  <c r="BC4" i="29"/>
  <c r="AY4" i="29"/>
  <c r="AU4" i="29"/>
  <c r="AT4" i="29"/>
  <c r="AS4" i="29"/>
  <c r="AR4" i="29"/>
  <c r="AU3" i="29"/>
  <c r="AT3" i="29"/>
  <c r="AS3" i="29"/>
  <c r="AR3" i="29"/>
  <c r="AN3" i="29"/>
  <c r="AM3" i="29"/>
  <c r="AL3" i="29"/>
  <c r="AK3" i="29"/>
  <c r="AG3" i="29"/>
  <c r="AF3" i="29"/>
  <c r="AE3" i="29"/>
  <c r="AD3" i="29"/>
  <c r="Z3" i="29"/>
  <c r="Y3" i="29"/>
  <c r="X3" i="29"/>
  <c r="W3" i="29"/>
  <c r="S3" i="29"/>
  <c r="R3" i="29"/>
  <c r="Q3" i="29"/>
  <c r="P3" i="29"/>
  <c r="C3" i="29"/>
  <c r="AN2" i="29"/>
  <c r="AM2" i="29"/>
  <c r="AL2" i="29"/>
  <c r="AK2" i="29"/>
  <c r="AG2" i="29"/>
  <c r="AF2" i="29"/>
  <c r="AE2" i="29"/>
  <c r="AD2" i="29"/>
  <c r="Z2" i="29"/>
  <c r="Y2" i="29"/>
  <c r="X2" i="29"/>
  <c r="W2" i="29"/>
  <c r="S2" i="29"/>
  <c r="R2" i="29"/>
  <c r="Q2" i="29"/>
  <c r="P2" i="29"/>
  <c r="BG39" i="42" l="1"/>
  <c r="BK41" i="42"/>
  <c r="BG41" i="42" s="1"/>
  <c r="BG39" i="48"/>
  <c r="BK41" i="48"/>
  <c r="Y11" i="30"/>
  <c r="Y25" i="30"/>
  <c r="Q5" i="36"/>
  <c r="X5" i="36"/>
  <c r="AE3" i="37"/>
  <c r="BT27" i="37"/>
  <c r="B45" i="37"/>
  <c r="AL4" i="38"/>
  <c r="AO4" i="38"/>
  <c r="F14" i="38"/>
  <c r="AE34" i="39"/>
  <c r="O3" i="40"/>
  <c r="BK9" i="48"/>
  <c r="BG9" i="48" s="1"/>
  <c r="S9" i="42"/>
  <c r="R9" i="42" s="1"/>
  <c r="Q9" i="42" s="1"/>
  <c r="AF34" i="39"/>
  <c r="X11" i="30"/>
  <c r="X25" i="30"/>
  <c r="S5" i="36"/>
  <c r="Z5" i="36"/>
  <c r="F14" i="40"/>
  <c r="Q20" i="55"/>
  <c r="R27" i="55"/>
  <c r="R28" i="55" s="1"/>
  <c r="R33" i="55" s="1"/>
  <c r="I29" i="50"/>
  <c r="I31" i="50" s="1"/>
  <c r="L13" i="36"/>
  <c r="I29" i="44"/>
  <c r="I31" i="44" s="1"/>
  <c r="L13" i="29"/>
  <c r="AG11" i="51"/>
  <c r="AG13" i="51" s="1"/>
  <c r="B3" i="38"/>
  <c r="C33" i="38" s="1"/>
  <c r="B3" i="39"/>
  <c r="C33" i="39" s="1"/>
  <c r="B21" i="50"/>
  <c r="AF41" i="51"/>
  <c r="BT43" i="49"/>
  <c r="BT45" i="49" s="1"/>
  <c r="BP45" i="49" s="1"/>
  <c r="BP47" i="49" s="1"/>
  <c r="BP49" i="49" s="1"/>
  <c r="BK11" i="48"/>
  <c r="S9" i="48"/>
  <c r="R9" i="48" s="1"/>
  <c r="Q9" i="48" s="1"/>
  <c r="Z8" i="48"/>
  <c r="Y8" i="48" s="1"/>
  <c r="X8" i="48" s="1"/>
  <c r="AN7" i="48"/>
  <c r="S4" i="29"/>
  <c r="AG4" i="29"/>
  <c r="BG7" i="29"/>
  <c r="AL21" i="37"/>
  <c r="X25" i="37"/>
  <c r="Z25" i="37"/>
  <c r="O28" i="40"/>
  <c r="S8" i="49"/>
  <c r="S8" i="43"/>
  <c r="S21" i="42"/>
  <c r="R21" i="42" s="1"/>
  <c r="Q21" i="42" s="1"/>
  <c r="BK9" i="42"/>
  <c r="Z8" i="42"/>
  <c r="Y8" i="42" s="1"/>
  <c r="X8" i="42" s="1"/>
  <c r="AN7" i="42"/>
  <c r="AD38" i="49"/>
  <c r="AH36" i="49"/>
  <c r="AH37" i="49" s="1"/>
  <c r="AH39" i="49" s="1"/>
  <c r="BL27" i="49"/>
  <c r="BL28" i="49" s="1"/>
  <c r="BL30" i="49" s="1"/>
  <c r="BK27" i="49"/>
  <c r="BK28" i="49" s="1"/>
  <c r="BJ27" i="49"/>
  <c r="BJ28" i="49" s="1"/>
  <c r="BI27" i="49"/>
  <c r="BI28" i="49" s="1"/>
  <c r="AW27" i="49"/>
  <c r="AV27" i="49"/>
  <c r="AU27" i="49"/>
  <c r="AT27" i="49"/>
  <c r="BP26" i="49"/>
  <c r="S24" i="49"/>
  <c r="S25" i="49" s="1"/>
  <c r="R24" i="49"/>
  <c r="R25" i="49" s="1"/>
  <c r="R28" i="49" s="1"/>
  <c r="R33" i="49" s="1"/>
  <c r="Q24" i="49"/>
  <c r="Q25" i="49" s="1"/>
  <c r="P24" i="49"/>
  <c r="P25" i="49" s="1"/>
  <c r="AG21" i="49"/>
  <c r="AF21" i="49"/>
  <c r="AE21" i="49"/>
  <c r="AD21" i="49"/>
  <c r="BL10" i="49"/>
  <c r="BL11" i="49" s="1"/>
  <c r="BK10" i="49"/>
  <c r="BK11" i="49" s="1"/>
  <c r="BJ10" i="49"/>
  <c r="BJ11" i="49" s="1"/>
  <c r="BI10" i="49"/>
  <c r="BI11" i="49" s="1"/>
  <c r="AW8" i="49"/>
  <c r="AV8" i="49"/>
  <c r="AU8" i="49"/>
  <c r="AT8" i="49"/>
  <c r="AD38" i="43"/>
  <c r="AH36" i="43"/>
  <c r="AH37" i="43" s="1"/>
  <c r="AH39" i="43" s="1"/>
  <c r="BL27" i="43"/>
  <c r="BL28" i="43" s="1"/>
  <c r="BL30" i="43" s="1"/>
  <c r="BK27" i="43"/>
  <c r="BK28" i="43" s="1"/>
  <c r="BJ27" i="43"/>
  <c r="BJ28" i="43" s="1"/>
  <c r="BI27" i="43"/>
  <c r="BI28" i="43" s="1"/>
  <c r="AW27" i="43"/>
  <c r="AV27" i="43"/>
  <c r="AU27" i="43"/>
  <c r="AT27" i="43"/>
  <c r="BP26" i="43"/>
  <c r="S24" i="43"/>
  <c r="S25" i="43" s="1"/>
  <c r="R24" i="43"/>
  <c r="R25" i="43" s="1"/>
  <c r="R28" i="43" s="1"/>
  <c r="R33" i="43" s="1"/>
  <c r="Q24" i="43"/>
  <c r="Q25" i="43" s="1"/>
  <c r="P24" i="43"/>
  <c r="P25" i="43" s="1"/>
  <c r="AG21" i="43"/>
  <c r="AF21" i="43"/>
  <c r="AE21" i="43"/>
  <c r="AD21" i="43"/>
  <c r="BL10" i="43"/>
  <c r="BL11" i="43" s="1"/>
  <c r="BK10" i="43"/>
  <c r="BK11" i="43" s="1"/>
  <c r="BJ10" i="43"/>
  <c r="BJ11" i="43" s="1"/>
  <c r="BI10" i="43"/>
  <c r="BI11" i="43" s="1"/>
  <c r="AW8" i="43"/>
  <c r="AV8" i="43"/>
  <c r="AU8" i="43"/>
  <c r="AT8" i="43"/>
  <c r="BX14" i="30"/>
  <c r="BX14" i="37"/>
  <c r="AP18" i="37"/>
  <c r="AP20" i="37" s="1"/>
  <c r="BP27" i="49"/>
  <c r="BP29" i="49" s="1"/>
  <c r="BP27" i="43"/>
  <c r="BP29" i="43" s="1"/>
  <c r="BL13" i="49"/>
  <c r="BK13" i="49" s="1"/>
  <c r="BJ13" i="49" s="1"/>
  <c r="BI13" i="49" s="1"/>
  <c r="BI15" i="49" s="1"/>
  <c r="BL13" i="43"/>
  <c r="Z55" i="48"/>
  <c r="Y55" i="48"/>
  <c r="Y56" i="48" s="1"/>
  <c r="X55" i="48"/>
  <c r="W55" i="48"/>
  <c r="AU49" i="48"/>
  <c r="AU50" i="48" s="1"/>
  <c r="AU52" i="48" s="1"/>
  <c r="AT49" i="48"/>
  <c r="AT50" i="48" s="1"/>
  <c r="AS49" i="48"/>
  <c r="AS50" i="48" s="1"/>
  <c r="AR49" i="48"/>
  <c r="AY44" i="48"/>
  <c r="BC43" i="48"/>
  <c r="Z38" i="48"/>
  <c r="Y38" i="48"/>
  <c r="X38" i="48"/>
  <c r="W38" i="48"/>
  <c r="AG33" i="48"/>
  <c r="AG34" i="48" s="1"/>
  <c r="AG36" i="48" s="1"/>
  <c r="AF33" i="48"/>
  <c r="AE33" i="48"/>
  <c r="AD33" i="48"/>
  <c r="AU30" i="48"/>
  <c r="AU31" i="48" s="1"/>
  <c r="AT30" i="48"/>
  <c r="AT31" i="48" s="1"/>
  <c r="AS30" i="48"/>
  <c r="AS31" i="48" s="1"/>
  <c r="AR30" i="48"/>
  <c r="AR31" i="48" s="1"/>
  <c r="AY26" i="48"/>
  <c r="AY27" i="48" s="1"/>
  <c r="AY29" i="48" s="1"/>
  <c r="BC25" i="48"/>
  <c r="BC26" i="48" s="1"/>
  <c r="BC28" i="48" s="1"/>
  <c r="S25" i="48"/>
  <c r="S26" i="48" s="1"/>
  <c r="R25" i="48"/>
  <c r="R26" i="48" s="1"/>
  <c r="Q25" i="48"/>
  <c r="Q26" i="48" s="1"/>
  <c r="P25" i="48"/>
  <c r="P26" i="48" s="1"/>
  <c r="Z21" i="48"/>
  <c r="Y21" i="48"/>
  <c r="X21" i="48"/>
  <c r="W21" i="48"/>
  <c r="AG14" i="48"/>
  <c r="AG15" i="48" s="1"/>
  <c r="AF14" i="48"/>
  <c r="AF15" i="48" s="1"/>
  <c r="AE14" i="48"/>
  <c r="AE15" i="48" s="1"/>
  <c r="AD14" i="48"/>
  <c r="AD15" i="48" s="1"/>
  <c r="AY12" i="48"/>
  <c r="AU12" i="48"/>
  <c r="AU13" i="48" s="1"/>
  <c r="AT12" i="48"/>
  <c r="AT13" i="48" s="1"/>
  <c r="AS12" i="48"/>
  <c r="AS13" i="48" s="1"/>
  <c r="AR12" i="48"/>
  <c r="AR13" i="48" s="1"/>
  <c r="BC11" i="48"/>
  <c r="BC12" i="48" s="1"/>
  <c r="BC14" i="48" s="1"/>
  <c r="Z55" i="42"/>
  <c r="Y55" i="42"/>
  <c r="Y56" i="42" s="1"/>
  <c r="X55" i="42"/>
  <c r="W55" i="42"/>
  <c r="AU49" i="42"/>
  <c r="AU50" i="42" s="1"/>
  <c r="AU52" i="42" s="1"/>
  <c r="AT49" i="42"/>
  <c r="AT50" i="42" s="1"/>
  <c r="AS49" i="42"/>
  <c r="AS50" i="42" s="1"/>
  <c r="AR49" i="42"/>
  <c r="AY44" i="42"/>
  <c r="BC43" i="42"/>
  <c r="Z38" i="42"/>
  <c r="Y38" i="42"/>
  <c r="X38" i="42"/>
  <c r="W38" i="42"/>
  <c r="AG33" i="42"/>
  <c r="AG34" i="42" s="1"/>
  <c r="AG36" i="42" s="1"/>
  <c r="AF33" i="42"/>
  <c r="AE33" i="42"/>
  <c r="AD33" i="42"/>
  <c r="AU30" i="42"/>
  <c r="AU31" i="42" s="1"/>
  <c r="AT30" i="42"/>
  <c r="AT31" i="42" s="1"/>
  <c r="AS30" i="42"/>
  <c r="AS31" i="42" s="1"/>
  <c r="AR30" i="42"/>
  <c r="AR31" i="42" s="1"/>
  <c r="AY26" i="42"/>
  <c r="BC25" i="42"/>
  <c r="BC26" i="42" s="1"/>
  <c r="BC28" i="42" s="1"/>
  <c r="S25" i="42"/>
  <c r="S26" i="42" s="1"/>
  <c r="R25" i="42"/>
  <c r="R26" i="42" s="1"/>
  <c r="Q25" i="42"/>
  <c r="Q26" i="42" s="1"/>
  <c r="P25" i="42"/>
  <c r="P26" i="42" s="1"/>
  <c r="Z21" i="42"/>
  <c r="Y21" i="42"/>
  <c r="X21" i="42"/>
  <c r="W21" i="42"/>
  <c r="AG14" i="42"/>
  <c r="AG15" i="42" s="1"/>
  <c r="AF14" i="42"/>
  <c r="AF15" i="42" s="1"/>
  <c r="AE14" i="42"/>
  <c r="AE15" i="42" s="1"/>
  <c r="AD14" i="42"/>
  <c r="AD15" i="42" s="1"/>
  <c r="AY12" i="42"/>
  <c r="AU12" i="42"/>
  <c r="AU13" i="42" s="1"/>
  <c r="AT12" i="42"/>
  <c r="AT13" i="42" s="1"/>
  <c r="AS12" i="42"/>
  <c r="AS13" i="42" s="1"/>
  <c r="AR12" i="42"/>
  <c r="AR13" i="42" s="1"/>
  <c r="BC11" i="42"/>
  <c r="BC12" i="42" s="1"/>
  <c r="BC14" i="42" s="1"/>
  <c r="BO14" i="29"/>
  <c r="BO14" i="36"/>
  <c r="AY13" i="48"/>
  <c r="AY15" i="48" s="1"/>
  <c r="AY27" i="42"/>
  <c r="AY29" i="42" s="1"/>
  <c r="AY13" i="42"/>
  <c r="AY15" i="42" s="1"/>
  <c r="X32" i="29"/>
  <c r="Y32" i="29"/>
  <c r="R4" i="29"/>
  <c r="Q4" i="29" s="1"/>
  <c r="P4" i="29" s="1"/>
  <c r="AF4" i="29"/>
  <c r="AE4" i="29" s="1"/>
  <c r="Q30" i="29"/>
  <c r="P30" i="29" s="1"/>
  <c r="R4" i="30"/>
  <c r="Q4" i="30" s="1"/>
  <c r="P4" i="30" s="1"/>
  <c r="AL20" i="30"/>
  <c r="AL20" i="37"/>
  <c r="I15" i="38"/>
  <c r="I15" i="39"/>
  <c r="AD4" i="29"/>
  <c r="Z4" i="29" s="1"/>
  <c r="Y4" i="29" s="1"/>
  <c r="X4" i="29" s="1"/>
  <c r="W4" i="29" s="1"/>
  <c r="AE7" i="29"/>
  <c r="W49" i="29"/>
  <c r="P40" i="39"/>
  <c r="P15" i="39"/>
  <c r="AF35" i="39"/>
  <c r="B28" i="40"/>
  <c r="O33" i="40"/>
  <c r="O30" i="40"/>
  <c r="AP3" i="37"/>
  <c r="AN4" i="29"/>
  <c r="AN5" i="29"/>
  <c r="AY6" i="29"/>
  <c r="BK7" i="29"/>
  <c r="BK9" i="29" s="1"/>
  <c r="BG9" i="29" s="1"/>
  <c r="S9" i="29"/>
  <c r="S21" i="29" s="1"/>
  <c r="BG15" i="29"/>
  <c r="AN16" i="29"/>
  <c r="AM16" i="29" s="1"/>
  <c r="AL16" i="29" s="1"/>
  <c r="AK16" i="29" s="1"/>
  <c r="AY21" i="29"/>
  <c r="AY23" i="29" s="1"/>
  <c r="BG23" i="29"/>
  <c r="BG25" i="29" s="1"/>
  <c r="Z24" i="29"/>
  <c r="Y24" i="29" s="1"/>
  <c r="X24" i="29" s="1"/>
  <c r="W24" i="29" s="1"/>
  <c r="AE24" i="29"/>
  <c r="AG26" i="29"/>
  <c r="AN27" i="29"/>
  <c r="AM27" i="29" s="1"/>
  <c r="AL27" i="29" s="1"/>
  <c r="AK27" i="29" s="1"/>
  <c r="BG31" i="29"/>
  <c r="AN37" i="29"/>
  <c r="AM37" i="29" s="1"/>
  <c r="AL37" i="29" s="1"/>
  <c r="AK37" i="29" s="1"/>
  <c r="BK37" i="29"/>
  <c r="BK39" i="29" s="1"/>
  <c r="AK38" i="29"/>
  <c r="AS39" i="29"/>
  <c r="BC40" i="29"/>
  <c r="AY40" i="29" s="1"/>
  <c r="AK46" i="29"/>
  <c r="Q47" i="29" s="1"/>
  <c r="AN47" i="29"/>
  <c r="AM47" i="29" s="1"/>
  <c r="AL47" i="29" s="1"/>
  <c r="AK47" i="29" s="1"/>
  <c r="BK47" i="29"/>
  <c r="BK49" i="29" s="1"/>
  <c r="BK51" i="29" s="1"/>
  <c r="BC5" i="30"/>
  <c r="BB5" i="30" s="1"/>
  <c r="BA5" i="30" s="1"/>
  <c r="AG6" i="30"/>
  <c r="AF6" i="30" s="1"/>
  <c r="AE6" i="30" s="1"/>
  <c r="BP6" i="30"/>
  <c r="BP13" i="30" s="1"/>
  <c r="BP15" i="30" s="1"/>
  <c r="S8" i="30"/>
  <c r="R8" i="30" s="1"/>
  <c r="Q8" i="30" s="1"/>
  <c r="BT12" i="30"/>
  <c r="BT14" i="30" s="1"/>
  <c r="BC14" i="30"/>
  <c r="BB14" i="30" s="1"/>
  <c r="BA14" i="30" s="1"/>
  <c r="L16" i="30"/>
  <c r="AP19" i="30"/>
  <c r="BP19" i="30"/>
  <c r="BP21" i="30" s="1"/>
  <c r="BP23" i="30" s="1"/>
  <c r="S20" i="30"/>
  <c r="R20" i="30" s="1"/>
  <c r="Q20" i="30" s="1"/>
  <c r="AL23" i="30"/>
  <c r="AP17" i="30" s="1"/>
  <c r="AP22" i="30" s="1"/>
  <c r="AL30" i="30" s="1"/>
  <c r="BT26" i="30"/>
  <c r="BT28" i="30" s="1"/>
  <c r="AP29" i="30"/>
  <c r="AD33" i="30"/>
  <c r="I36" i="30"/>
  <c r="BA36" i="30"/>
  <c r="BA38" i="30" s="1"/>
  <c r="W39" i="30"/>
  <c r="X39" i="30"/>
  <c r="Y39" i="30"/>
  <c r="Z39" i="30"/>
  <c r="BT40" i="30"/>
  <c r="BP40" i="30" s="1"/>
  <c r="I46" i="30"/>
  <c r="W53" i="30"/>
  <c r="X53" i="30"/>
  <c r="Z53" i="30"/>
  <c r="R7" i="50"/>
  <c r="P7" i="50"/>
  <c r="Q43" i="50"/>
  <c r="W12" i="50"/>
  <c r="P9" i="50"/>
  <c r="Q5" i="50"/>
  <c r="X3" i="50"/>
  <c r="Q45" i="50"/>
  <c r="N45" i="50"/>
  <c r="AD44" i="50" s="1"/>
  <c r="Q44" i="50"/>
  <c r="N44" i="50"/>
  <c r="AD43" i="50"/>
  <c r="B27" i="50"/>
  <c r="B15" i="50"/>
  <c r="AS14" i="50" s="1"/>
  <c r="B12" i="50"/>
  <c r="AD41" i="50"/>
  <c r="AD40" i="50"/>
  <c r="AO37" i="50"/>
  <c r="AN37" i="50"/>
  <c r="AM37" i="50"/>
  <c r="AL37" i="50"/>
  <c r="AD37" i="50" s="1"/>
  <c r="AO36" i="50"/>
  <c r="AN36" i="50"/>
  <c r="AM36" i="50"/>
  <c r="AL36" i="50"/>
  <c r="Z28" i="50"/>
  <c r="Y28" i="50"/>
  <c r="X28" i="50"/>
  <c r="W28" i="50"/>
  <c r="AO21" i="50"/>
  <c r="AN21" i="50"/>
  <c r="AM21" i="50"/>
  <c r="AL21" i="50"/>
  <c r="AO20" i="50"/>
  <c r="AN20" i="50"/>
  <c r="AM20" i="50"/>
  <c r="AL20" i="50"/>
  <c r="AH20" i="50"/>
  <c r="AD20" i="50"/>
  <c r="AH19" i="50"/>
  <c r="AO7" i="50"/>
  <c r="AN7" i="50"/>
  <c r="AM7" i="50"/>
  <c r="AL7" i="50"/>
  <c r="AD7" i="50"/>
  <c r="AO6" i="50"/>
  <c r="AN6" i="50"/>
  <c r="AM6" i="50"/>
  <c r="AL6" i="50"/>
  <c r="AH6" i="50"/>
  <c r="AD6" i="50" s="1"/>
  <c r="AH5" i="50"/>
  <c r="Z5" i="50"/>
  <c r="Y5" i="50"/>
  <c r="X5" i="50"/>
  <c r="W5" i="50"/>
  <c r="S3" i="50"/>
  <c r="R3" i="50"/>
  <c r="Q3" i="50"/>
  <c r="P3" i="50"/>
  <c r="S2" i="50"/>
  <c r="S4" i="50" s="1"/>
  <c r="R2" i="50"/>
  <c r="Q2" i="50"/>
  <c r="P2" i="50"/>
  <c r="AO39" i="50"/>
  <c r="AN39" i="50"/>
  <c r="AM39" i="50"/>
  <c r="AL39" i="50"/>
  <c r="AD39" i="50" s="1"/>
  <c r="S32" i="50"/>
  <c r="R32" i="50"/>
  <c r="Q32" i="50"/>
  <c r="P32" i="50"/>
  <c r="Z30" i="50"/>
  <c r="Y30" i="50"/>
  <c r="X30" i="50"/>
  <c r="W30" i="50"/>
  <c r="AD25" i="50"/>
  <c r="AH24" i="50"/>
  <c r="AO23" i="50"/>
  <c r="AN23" i="50"/>
  <c r="AM23" i="50"/>
  <c r="AL23" i="50"/>
  <c r="AD11" i="50"/>
  <c r="AH10" i="50"/>
  <c r="AO9" i="50"/>
  <c r="AO11" i="50" s="1"/>
  <c r="AO13" i="50" s="1"/>
  <c r="AN9" i="50"/>
  <c r="AM9" i="50"/>
  <c r="AL9" i="50"/>
  <c r="AN5" i="50"/>
  <c r="AD39" i="49"/>
  <c r="AP26" i="49"/>
  <c r="AP17" i="49"/>
  <c r="AP22" i="49" s="1"/>
  <c r="AL30" i="49" s="1"/>
  <c r="W49" i="48"/>
  <c r="W56" i="48" s="1"/>
  <c r="X56" i="48"/>
  <c r="AY40" i="48"/>
  <c r="AY45" i="48" s="1"/>
  <c r="BC44" i="48"/>
  <c r="AG42" i="48"/>
  <c r="AE26" i="48"/>
  <c r="AD26" i="48" s="1"/>
  <c r="AD34" i="48" s="1"/>
  <c r="AF34" i="48"/>
  <c r="AD35" i="51"/>
  <c r="AE41" i="51"/>
  <c r="S11" i="57"/>
  <c r="R11" i="57" s="1"/>
  <c r="Q11" i="57" s="1"/>
  <c r="W21" i="57"/>
  <c r="AD41" i="57"/>
  <c r="Z10" i="55"/>
  <c r="Z7" i="55"/>
  <c r="AV4" i="55"/>
  <c r="AW9" i="55"/>
  <c r="Z24" i="55"/>
  <c r="Z21" i="55"/>
  <c r="AV20" i="55"/>
  <c r="AW28" i="55"/>
  <c r="AW30" i="55" s="1"/>
  <c r="Z38" i="55"/>
  <c r="Z35" i="55"/>
  <c r="S39" i="55"/>
  <c r="S41" i="55" s="1"/>
  <c r="Z52" i="55"/>
  <c r="Z49" i="55"/>
  <c r="AN3" i="55"/>
  <c r="AN5" i="55" s="1"/>
  <c r="P4" i="56"/>
  <c r="Q8" i="56"/>
  <c r="J13" i="52"/>
  <c r="O15" i="52"/>
  <c r="AE5" i="51"/>
  <c r="AF11" i="51"/>
  <c r="AF13" i="51" s="1"/>
  <c r="R4" i="51"/>
  <c r="S30" i="51"/>
  <c r="S5" i="51"/>
  <c r="S8" i="51" s="1"/>
  <c r="X30" i="51"/>
  <c r="U30" i="51"/>
  <c r="X29" i="51"/>
  <c r="U29" i="51"/>
  <c r="AD36" i="54"/>
  <c r="AE42" i="54"/>
  <c r="AM7" i="48"/>
  <c r="AN44" i="48"/>
  <c r="AN49" i="48" s="1"/>
  <c r="AN35" i="48"/>
  <c r="AN40" i="48" s="1"/>
  <c r="AN23" i="48"/>
  <c r="AN25" i="48" s="1"/>
  <c r="AN11" i="48"/>
  <c r="Q36" i="45"/>
  <c r="Q12" i="45"/>
  <c r="P39" i="45"/>
  <c r="P14" i="45"/>
  <c r="P31" i="45"/>
  <c r="B30" i="45"/>
  <c r="Q30" i="45"/>
  <c r="Q5" i="45"/>
  <c r="P38" i="45"/>
  <c r="B27" i="45"/>
  <c r="P13" i="45"/>
  <c r="P6" i="45" s="1"/>
  <c r="B21" i="45"/>
  <c r="W41" i="45" s="1"/>
  <c r="B15" i="45"/>
  <c r="AK14" i="45" s="1"/>
  <c r="B12" i="45"/>
  <c r="W47" i="45"/>
  <c r="W45" i="45"/>
  <c r="W44" i="45"/>
  <c r="S43" i="45"/>
  <c r="R43" i="45"/>
  <c r="Q43" i="45"/>
  <c r="P43" i="45"/>
  <c r="AG37" i="45"/>
  <c r="AF37" i="45"/>
  <c r="AE37" i="45"/>
  <c r="AD37" i="45"/>
  <c r="AG36" i="45"/>
  <c r="AF36" i="45"/>
  <c r="AE36" i="45"/>
  <c r="AD36" i="45"/>
  <c r="S32" i="45"/>
  <c r="R32" i="45"/>
  <c r="Q32" i="45"/>
  <c r="P32" i="45"/>
  <c r="AG21" i="45"/>
  <c r="AF21" i="45"/>
  <c r="AE21" i="45"/>
  <c r="AD21" i="45"/>
  <c r="AG20" i="45"/>
  <c r="AF20" i="45"/>
  <c r="AE20" i="45"/>
  <c r="AD20" i="45"/>
  <c r="AG7" i="45"/>
  <c r="AF7" i="45"/>
  <c r="AE7" i="45"/>
  <c r="AD7" i="45"/>
  <c r="AG6" i="45"/>
  <c r="AF6" i="45"/>
  <c r="AE6" i="45"/>
  <c r="AD6" i="45"/>
  <c r="S3" i="45"/>
  <c r="R3" i="45"/>
  <c r="Q3" i="45"/>
  <c r="P3" i="45"/>
  <c r="S2" i="45"/>
  <c r="S4" i="45" s="1"/>
  <c r="R2" i="45"/>
  <c r="Q2" i="45"/>
  <c r="P2" i="45"/>
  <c r="S45" i="45"/>
  <c r="R45" i="45"/>
  <c r="Q45" i="45"/>
  <c r="P45" i="45"/>
  <c r="AG39" i="45"/>
  <c r="AF39" i="45"/>
  <c r="AE39" i="45"/>
  <c r="AD39" i="45"/>
  <c r="AG23" i="45"/>
  <c r="AF23" i="45"/>
  <c r="AE23" i="45"/>
  <c r="AD23" i="45"/>
  <c r="S20" i="45"/>
  <c r="R20" i="45"/>
  <c r="Q20" i="45"/>
  <c r="P20" i="45"/>
  <c r="AG9" i="45"/>
  <c r="AF9" i="45"/>
  <c r="AE9" i="45"/>
  <c r="AD9" i="45"/>
  <c r="AF5" i="45"/>
  <c r="R7" i="44"/>
  <c r="P7" i="44"/>
  <c r="Q43" i="44"/>
  <c r="W12" i="44"/>
  <c r="P9" i="44"/>
  <c r="B30" i="44"/>
  <c r="Q5" i="44"/>
  <c r="X3" i="44"/>
  <c r="Q45" i="44"/>
  <c r="N45" i="44"/>
  <c r="AD44" i="44" s="1"/>
  <c r="Q44" i="44"/>
  <c r="N44" i="44"/>
  <c r="AD43" i="44"/>
  <c r="B27" i="44"/>
  <c r="B21" i="44"/>
  <c r="AD37" i="44" s="1"/>
  <c r="B15" i="44"/>
  <c r="AS14" i="44" s="1"/>
  <c r="B12" i="44"/>
  <c r="AD41" i="44"/>
  <c r="AD40" i="44"/>
  <c r="AO37" i="44"/>
  <c r="AN37" i="44"/>
  <c r="AM37" i="44"/>
  <c r="AL37" i="44"/>
  <c r="AO36" i="44"/>
  <c r="AN36" i="44"/>
  <c r="AM36" i="44"/>
  <c r="AL36" i="44"/>
  <c r="Z28" i="44"/>
  <c r="Y28" i="44"/>
  <c r="X28" i="44"/>
  <c r="W28" i="44"/>
  <c r="AO21" i="44"/>
  <c r="AN21" i="44"/>
  <c r="AM21" i="44"/>
  <c r="AL21" i="44"/>
  <c r="AO20" i="44"/>
  <c r="AN20" i="44"/>
  <c r="AM20" i="44"/>
  <c r="AL20" i="44"/>
  <c r="AH20" i="44"/>
  <c r="AD20" i="44"/>
  <c r="AH19" i="44"/>
  <c r="AO7" i="44"/>
  <c r="AN7" i="44"/>
  <c r="AM7" i="44"/>
  <c r="AL7" i="44"/>
  <c r="AD7" i="44"/>
  <c r="AO6" i="44"/>
  <c r="AN6" i="44"/>
  <c r="AM6" i="44"/>
  <c r="AL6" i="44"/>
  <c r="AH6" i="44"/>
  <c r="AD6" i="44" s="1"/>
  <c r="AH5" i="44"/>
  <c r="Z5" i="44"/>
  <c r="Y5" i="44"/>
  <c r="X5" i="44"/>
  <c r="W5" i="44"/>
  <c r="S3" i="44"/>
  <c r="R3" i="44"/>
  <c r="Q3" i="44"/>
  <c r="P3" i="44"/>
  <c r="S2" i="44"/>
  <c r="R2" i="44"/>
  <c r="Q2" i="44"/>
  <c r="P2" i="44"/>
  <c r="AO39" i="44"/>
  <c r="AN39" i="44"/>
  <c r="AM39" i="44"/>
  <c r="AL39" i="44"/>
  <c r="AD39" i="44" s="1"/>
  <c r="S32" i="44"/>
  <c r="R32" i="44"/>
  <c r="Q32" i="44"/>
  <c r="P32" i="44"/>
  <c r="Z30" i="44"/>
  <c r="Y30" i="44"/>
  <c r="X30" i="44"/>
  <c r="W30" i="44"/>
  <c r="AD25" i="44"/>
  <c r="AH24" i="44"/>
  <c r="AO23" i="44"/>
  <c r="AN23" i="44"/>
  <c r="AM23" i="44"/>
  <c r="AL23" i="44"/>
  <c r="AD11" i="44"/>
  <c r="AH10" i="44"/>
  <c r="AO9" i="44"/>
  <c r="AN9" i="44"/>
  <c r="AM9" i="44"/>
  <c r="AL9" i="44"/>
  <c r="AD39" i="43"/>
  <c r="AP26" i="43"/>
  <c r="AP17" i="43"/>
  <c r="AP22" i="43" s="1"/>
  <c r="AL30" i="43" s="1"/>
  <c r="W49" i="42"/>
  <c r="W56" i="42" s="1"/>
  <c r="X56" i="42"/>
  <c r="AY40" i="42"/>
  <c r="AY45" i="42" s="1"/>
  <c r="BC44" i="42"/>
  <c r="AG42" i="42"/>
  <c r="AE26" i="42"/>
  <c r="AD26" i="42" s="1"/>
  <c r="AD34" i="42" s="1"/>
  <c r="AF34" i="42"/>
  <c r="AE34" i="42" s="1"/>
  <c r="AM7" i="42"/>
  <c r="AN44" i="42"/>
  <c r="AN49" i="42" s="1"/>
  <c r="AN35" i="42"/>
  <c r="AN40" i="42" s="1"/>
  <c r="AN23" i="42"/>
  <c r="AN25" i="42" s="1"/>
  <c r="AN11" i="42"/>
  <c r="Y8" i="56"/>
  <c r="X8" i="56" s="1"/>
  <c r="Z32" i="56"/>
  <c r="O52" i="46"/>
  <c r="O54" i="46" s="1"/>
  <c r="O47" i="46"/>
  <c r="O49" i="46" s="1"/>
  <c r="O42" i="46"/>
  <c r="O44" i="46" s="1"/>
  <c r="A44" i="46" s="1"/>
  <c r="O37" i="46"/>
  <c r="AE35" i="45"/>
  <c r="AF41" i="45"/>
  <c r="AN4" i="36"/>
  <c r="AM4" i="36" s="1"/>
  <c r="AL4" i="36" s="1"/>
  <c r="AK4" i="36" s="1"/>
  <c r="AG4" i="36" s="1"/>
  <c r="AF4" i="36" s="1"/>
  <c r="AE4" i="36" s="1"/>
  <c r="AD4" i="36" s="1"/>
  <c r="Z4" i="36" s="1"/>
  <c r="Y4" i="36" s="1"/>
  <c r="X4" i="36" s="1"/>
  <c r="W4" i="36" s="1"/>
  <c r="S4" i="36" s="1"/>
  <c r="R4" i="36" s="1"/>
  <c r="Q4" i="36" s="1"/>
  <c r="P4" i="36" s="1"/>
  <c r="AN5" i="36"/>
  <c r="AM5" i="36" s="1"/>
  <c r="AL5" i="36" s="1"/>
  <c r="AY6" i="36"/>
  <c r="BK7" i="36"/>
  <c r="BG7" i="36" s="1"/>
  <c r="S9" i="36"/>
  <c r="R9" i="36" s="1"/>
  <c r="Q9" i="36" s="1"/>
  <c r="BG15" i="36"/>
  <c r="AN16" i="36"/>
  <c r="AM16" i="36" s="1"/>
  <c r="AL16" i="36" s="1"/>
  <c r="AK16" i="36" s="1"/>
  <c r="AY21" i="36"/>
  <c r="AY23" i="36" s="1"/>
  <c r="BG23" i="36"/>
  <c r="BG25" i="36" s="1"/>
  <c r="Z24" i="36"/>
  <c r="Y24" i="36" s="1"/>
  <c r="X24" i="36" s="1"/>
  <c r="W24" i="36" s="1"/>
  <c r="AE24" i="36"/>
  <c r="AG26" i="36"/>
  <c r="AF26" i="36" s="1"/>
  <c r="AN27" i="36"/>
  <c r="AM27" i="36" s="1"/>
  <c r="AL27" i="36" s="1"/>
  <c r="AK27" i="36" s="1"/>
  <c r="AK37" i="36"/>
  <c r="BK37" i="36"/>
  <c r="BK39" i="36" s="1"/>
  <c r="AN38" i="36"/>
  <c r="AM38" i="36" s="1"/>
  <c r="AL38" i="36" s="1"/>
  <c r="AK38" i="36" s="1"/>
  <c r="BC40" i="36"/>
  <c r="AK46" i="36"/>
  <c r="Q47" i="36" s="1"/>
  <c r="AN47" i="36"/>
  <c r="AM47" i="36" s="1"/>
  <c r="AL47" i="36" s="1"/>
  <c r="AK47" i="36" s="1"/>
  <c r="BK47" i="36"/>
  <c r="X49" i="36"/>
  <c r="BK49" i="36"/>
  <c r="BK51" i="36" s="1"/>
  <c r="S4" i="37"/>
  <c r="R4" i="37" s="1"/>
  <c r="Q4" i="37" s="1"/>
  <c r="P4" i="37" s="1"/>
  <c r="AP5" i="37"/>
  <c r="BC5" i="37"/>
  <c r="BB5" i="37" s="1"/>
  <c r="BA5" i="37" s="1"/>
  <c r="AG6" i="37"/>
  <c r="AF6" i="37" s="1"/>
  <c r="AE6" i="37" s="1"/>
  <c r="BP6" i="37"/>
  <c r="BP13" i="37" s="1"/>
  <c r="BP15" i="37" s="1"/>
  <c r="BT12" i="37"/>
  <c r="BT14" i="37" s="1"/>
  <c r="BC14" i="37"/>
  <c r="BB14" i="37" s="1"/>
  <c r="BA14" i="37" s="1"/>
  <c r="L16" i="37"/>
  <c r="AP19" i="37"/>
  <c r="BP19" i="37"/>
  <c r="BP21" i="37" s="1"/>
  <c r="BP23" i="37" s="1"/>
  <c r="AL23" i="37"/>
  <c r="BT26" i="37"/>
  <c r="BT28" i="37" s="1"/>
  <c r="AP29" i="37"/>
  <c r="AD33" i="37"/>
  <c r="I36" i="37"/>
  <c r="BA36" i="37"/>
  <c r="BA38" i="37" s="1"/>
  <c r="W39" i="37"/>
  <c r="X39" i="37"/>
  <c r="Y39" i="37"/>
  <c r="Z39" i="37"/>
  <c r="BT40" i="37"/>
  <c r="BP40" i="37" s="1"/>
  <c r="I46" i="37"/>
  <c r="W53" i="37"/>
  <c r="X53" i="37"/>
  <c r="Z53" i="37"/>
  <c r="C4" i="38"/>
  <c r="B5" i="38"/>
  <c r="C5" i="38"/>
  <c r="AO5" i="38"/>
  <c r="C7" i="38"/>
  <c r="B8" i="38"/>
  <c r="C10" i="38"/>
  <c r="C11" i="38"/>
  <c r="C14" i="38"/>
  <c r="C15" i="38"/>
  <c r="C16" i="38"/>
  <c r="C17" i="38"/>
  <c r="C21" i="38"/>
  <c r="C22" i="38"/>
  <c r="I23" i="38"/>
  <c r="B24" i="38"/>
  <c r="C24" i="38"/>
  <c r="C27" i="38"/>
  <c r="C28" i="38"/>
  <c r="A29" i="38"/>
  <c r="C29" i="38"/>
  <c r="C30" i="38"/>
  <c r="B30" i="38" s="1"/>
  <c r="B31" i="38"/>
  <c r="C31" i="38"/>
  <c r="C32" i="38"/>
  <c r="AL48" i="38"/>
  <c r="W48" i="38" s="1"/>
  <c r="C4" i="39"/>
  <c r="B5" i="39"/>
  <c r="C5" i="39"/>
  <c r="AG5" i="39"/>
  <c r="C7" i="39"/>
  <c r="B8" i="39"/>
  <c r="C10" i="39"/>
  <c r="C11" i="39"/>
  <c r="C14" i="39"/>
  <c r="C15" i="39"/>
  <c r="C16" i="39"/>
  <c r="C17" i="39"/>
  <c r="C21" i="39"/>
  <c r="C22" i="39"/>
  <c r="C24" i="39"/>
  <c r="C27" i="39"/>
  <c r="C28" i="39"/>
  <c r="A29" i="39"/>
  <c r="C29" i="39"/>
  <c r="C30" i="39"/>
  <c r="B31" i="39"/>
  <c r="C31" i="39"/>
  <c r="C32" i="39"/>
  <c r="C34" i="39"/>
  <c r="S23" i="40"/>
  <c r="S25" i="40" s="1"/>
  <c r="J21" i="40"/>
  <c r="B38" i="40"/>
  <c r="S38" i="40"/>
  <c r="X31" i="51"/>
  <c r="AD43" i="57"/>
  <c r="W43" i="57" s="1"/>
  <c r="W46" i="57" s="1"/>
  <c r="W49" i="57" s="1"/>
  <c r="B13" i="50"/>
  <c r="AM18" i="54"/>
  <c r="AL18" i="54" s="1"/>
  <c r="AD25" i="51"/>
  <c r="AE25" i="51"/>
  <c r="AF25" i="51"/>
  <c r="AG25" i="51"/>
  <c r="AG27" i="51" s="1"/>
  <c r="P37" i="51"/>
  <c r="AD13" i="57"/>
  <c r="X28" i="45"/>
  <c r="B13" i="45"/>
  <c r="R30" i="56"/>
  <c r="B13" i="51"/>
  <c r="Q33" i="51"/>
  <c r="B59" i="24"/>
  <c r="A59" i="24"/>
  <c r="F56" i="24"/>
  <c r="B58" i="24"/>
  <c r="A45" i="24" s="1"/>
  <c r="C57" i="24"/>
  <c r="F54" i="24"/>
  <c r="F53" i="24"/>
  <c r="I52" i="24"/>
  <c r="F51" i="24"/>
  <c r="C53" i="24"/>
  <c r="Z48" i="24"/>
  <c r="Y48" i="24"/>
  <c r="X48" i="24"/>
  <c r="W48" i="24"/>
  <c r="AF47" i="24"/>
  <c r="AB47" i="24"/>
  <c r="BP46" i="24"/>
  <c r="AF46" i="24"/>
  <c r="AB46" i="24"/>
  <c r="Z46" i="24"/>
  <c r="Y46" i="24"/>
  <c r="X46" i="24"/>
  <c r="W46" i="24"/>
  <c r="E46" i="24"/>
  <c r="AF45" i="24"/>
  <c r="AB45" i="24"/>
  <c r="I45" i="24"/>
  <c r="F45" i="24"/>
  <c r="BT44" i="24"/>
  <c r="BP44" i="24"/>
  <c r="AF44" i="24"/>
  <c r="I44" i="24"/>
  <c r="BP43" i="24"/>
  <c r="I43" i="24"/>
  <c r="B45" i="24" s="1"/>
  <c r="BT42" i="24"/>
  <c r="BP42" i="24"/>
  <c r="I42" i="24"/>
  <c r="BT41" i="24"/>
  <c r="BP41" i="24"/>
  <c r="E41" i="24"/>
  <c r="B43" i="24"/>
  <c r="B42" i="24"/>
  <c r="BT39" i="24"/>
  <c r="BP39" i="24"/>
  <c r="S40" i="24"/>
  <c r="R40" i="24"/>
  <c r="Q40" i="24"/>
  <c r="P40" i="24"/>
  <c r="Z53" i="24" s="1"/>
  <c r="BT38" i="24"/>
  <c r="BP38" i="24"/>
  <c r="AH38" i="24"/>
  <c r="BA37" i="24"/>
  <c r="AW37" i="24"/>
  <c r="AV37" i="24"/>
  <c r="AU37" i="24"/>
  <c r="AT37" i="24"/>
  <c r="AD37" i="24"/>
  <c r="F37" i="24"/>
  <c r="C39" i="24"/>
  <c r="B39" i="24"/>
  <c r="BT36" i="24"/>
  <c r="BP36" i="24"/>
  <c r="AD36" i="24"/>
  <c r="F36" i="24"/>
  <c r="C38" i="24"/>
  <c r="B38" i="24" s="1"/>
  <c r="BT35" i="24" s="1"/>
  <c r="BP35" i="24"/>
  <c r="BA35" i="24"/>
  <c r="AH35" i="24"/>
  <c r="AD35" i="24"/>
  <c r="I35" i="24"/>
  <c r="B37" i="24"/>
  <c r="BA34" i="24"/>
  <c r="AH34" i="24"/>
  <c r="AD34" i="24"/>
  <c r="Z34" i="24"/>
  <c r="Y34" i="24"/>
  <c r="X34" i="24"/>
  <c r="W34" i="24"/>
  <c r="I34" i="24"/>
  <c r="C36" i="24"/>
  <c r="A36" i="24"/>
  <c r="BA33" i="24"/>
  <c r="AH33" i="24"/>
  <c r="F33" i="24"/>
  <c r="B35" i="24"/>
  <c r="BG39" i="36" l="1"/>
  <c r="BK41" i="36"/>
  <c r="S33" i="44"/>
  <c r="P33" i="44"/>
  <c r="X31" i="44"/>
  <c r="AD26" i="44"/>
  <c r="AD12" i="44"/>
  <c r="R33" i="44"/>
  <c r="Z31" i="44"/>
  <c r="W31" i="44"/>
  <c r="AH25" i="44"/>
  <c r="Q33" i="44"/>
  <c r="Y31" i="44"/>
  <c r="AH11" i="44"/>
  <c r="Q33" i="50"/>
  <c r="Y31" i="50"/>
  <c r="AH11" i="50"/>
  <c r="S33" i="50"/>
  <c r="P33" i="50"/>
  <c r="X31" i="50"/>
  <c r="AD26" i="50"/>
  <c r="AD12" i="50"/>
  <c r="R33" i="50"/>
  <c r="Z31" i="50"/>
  <c r="W31" i="50"/>
  <c r="AH25" i="50"/>
  <c r="Z8" i="29"/>
  <c r="Y8" i="29" s="1"/>
  <c r="X8" i="29" s="1"/>
  <c r="AU15" i="48"/>
  <c r="AT15" i="48" s="1"/>
  <c r="AS15" i="48" s="1"/>
  <c r="AR15" i="48" s="1"/>
  <c r="AR17" i="48" s="1"/>
  <c r="BT43" i="37"/>
  <c r="BT45" i="37" s="1"/>
  <c r="BP45" i="37" s="1"/>
  <c r="BP47" i="37" s="1"/>
  <c r="BP49" i="37" s="1"/>
  <c r="S4" i="44"/>
  <c r="AG11" i="45"/>
  <c r="AG13" i="45" s="1"/>
  <c r="AU15" i="42"/>
  <c r="AT15" i="42" s="1"/>
  <c r="AS15" i="42" s="1"/>
  <c r="AR15" i="42" s="1"/>
  <c r="AR17" i="42" s="1"/>
  <c r="BK13" i="43"/>
  <c r="BJ13" i="43" s="1"/>
  <c r="BI13" i="43" s="1"/>
  <c r="BI15" i="43" s="1"/>
  <c r="BG41" i="48"/>
  <c r="Q27" i="55"/>
  <c r="Q28" i="55" s="1"/>
  <c r="Q33" i="55" s="1"/>
  <c r="AP26" i="30"/>
  <c r="S27" i="30" s="1"/>
  <c r="I29" i="38"/>
  <c r="I31" i="38" s="1"/>
  <c r="B21" i="38"/>
  <c r="AE34" i="48"/>
  <c r="BG39" i="29"/>
  <c r="BK41" i="29"/>
  <c r="BG41" i="29" s="1"/>
  <c r="S21" i="48"/>
  <c r="R21" i="48" s="1"/>
  <c r="Q21" i="48" s="1"/>
  <c r="AF27" i="51"/>
  <c r="AE27" i="51" s="1"/>
  <c r="AD27" i="51" s="1"/>
  <c r="I27" i="42"/>
  <c r="I27" i="48"/>
  <c r="BG9" i="42"/>
  <c r="BK11" i="42"/>
  <c r="R8" i="43"/>
  <c r="Q8" i="43" s="1"/>
  <c r="S20" i="43"/>
  <c r="R8" i="49"/>
  <c r="Q8" i="49" s="1"/>
  <c r="S20" i="49"/>
  <c r="S8" i="37"/>
  <c r="S21" i="36"/>
  <c r="R21" i="36" s="1"/>
  <c r="Q21" i="36" s="1"/>
  <c r="BK9" i="36"/>
  <c r="Z8" i="36"/>
  <c r="Y8" i="36" s="1"/>
  <c r="X8" i="36" s="1"/>
  <c r="AN7" i="36"/>
  <c r="BT43" i="30"/>
  <c r="BT45" i="30" s="1"/>
  <c r="BP45" i="30" s="1"/>
  <c r="BP47" i="30" s="1"/>
  <c r="BP49" i="30" s="1"/>
  <c r="BK11" i="29"/>
  <c r="R9" i="29"/>
  <c r="Q9" i="29" s="1"/>
  <c r="AD7" i="29"/>
  <c r="AD38" i="37"/>
  <c r="AH36" i="37"/>
  <c r="AH37" i="37" s="1"/>
  <c r="AH39" i="37" s="1"/>
  <c r="BL27" i="37"/>
  <c r="BL28" i="37" s="1"/>
  <c r="BL30" i="37" s="1"/>
  <c r="BK27" i="37"/>
  <c r="BK28" i="37" s="1"/>
  <c r="BJ27" i="37"/>
  <c r="BJ28" i="37" s="1"/>
  <c r="BI27" i="37"/>
  <c r="BI28" i="37" s="1"/>
  <c r="AW27" i="37"/>
  <c r="AV27" i="37"/>
  <c r="AU27" i="37"/>
  <c r="AT27" i="37"/>
  <c r="BP26" i="37"/>
  <c r="S24" i="37"/>
  <c r="S25" i="37" s="1"/>
  <c r="R24" i="37"/>
  <c r="R25" i="37" s="1"/>
  <c r="Q24" i="37"/>
  <c r="Q25" i="37" s="1"/>
  <c r="P24" i="37"/>
  <c r="P25" i="37" s="1"/>
  <c r="AG21" i="37"/>
  <c r="AF21" i="37"/>
  <c r="AE21" i="37"/>
  <c r="AD21" i="37"/>
  <c r="BL10" i="37"/>
  <c r="BL11" i="37" s="1"/>
  <c r="BK10" i="37"/>
  <c r="BK11" i="37" s="1"/>
  <c r="BJ10" i="37"/>
  <c r="BJ11" i="37" s="1"/>
  <c r="BI10" i="37"/>
  <c r="BI11" i="37" s="1"/>
  <c r="AW8" i="37"/>
  <c r="AV8" i="37"/>
  <c r="AU8" i="37"/>
  <c r="AT8" i="37"/>
  <c r="AD38" i="30"/>
  <c r="AH36" i="30"/>
  <c r="AH37" i="30" s="1"/>
  <c r="AH39" i="30" s="1"/>
  <c r="AD39" i="30" s="1"/>
  <c r="BL27" i="30"/>
  <c r="BL28" i="30" s="1"/>
  <c r="BK27" i="30"/>
  <c r="BJ27" i="30"/>
  <c r="BI27" i="30"/>
  <c r="AW27" i="30"/>
  <c r="AV27" i="30"/>
  <c r="AU27" i="30"/>
  <c r="AT27" i="30"/>
  <c r="BP26" i="30"/>
  <c r="BP27" i="30" s="1"/>
  <c r="BP29" i="30" s="1"/>
  <c r="S24" i="30"/>
  <c r="S25" i="30" s="1"/>
  <c r="R24" i="30"/>
  <c r="Q24" i="30"/>
  <c r="P24" i="30"/>
  <c r="AG21" i="30"/>
  <c r="AF21" i="30"/>
  <c r="AE21" i="30"/>
  <c r="AD21" i="30"/>
  <c r="BL10" i="30"/>
  <c r="BL11" i="30" s="1"/>
  <c r="BK10" i="30"/>
  <c r="BJ10" i="30"/>
  <c r="BI10" i="30"/>
  <c r="AW8" i="30"/>
  <c r="AV8" i="30"/>
  <c r="AU8" i="30"/>
  <c r="AT8" i="30"/>
  <c r="BP27" i="37"/>
  <c r="BP29" i="37" s="1"/>
  <c r="BL13" i="37"/>
  <c r="BL13" i="30"/>
  <c r="BK30" i="43"/>
  <c r="BJ30" i="43" s="1"/>
  <c r="BI30" i="43" s="1"/>
  <c r="BI32" i="43" s="1"/>
  <c r="BK30" i="49"/>
  <c r="BJ30" i="49" s="1"/>
  <c r="BI30" i="49" s="1"/>
  <c r="BI32" i="49" s="1"/>
  <c r="Z55" i="36"/>
  <c r="Y55" i="36"/>
  <c r="Y56" i="36" s="1"/>
  <c r="X55" i="36"/>
  <c r="W55" i="36"/>
  <c r="AU49" i="36"/>
  <c r="AU50" i="36" s="1"/>
  <c r="AU52" i="36" s="1"/>
  <c r="AT49" i="36"/>
  <c r="AT50" i="36" s="1"/>
  <c r="AS49" i="36"/>
  <c r="AS50" i="36" s="1"/>
  <c r="AR49" i="36"/>
  <c r="AY44" i="36"/>
  <c r="BC43" i="36"/>
  <c r="Z38" i="36"/>
  <c r="Y38" i="36"/>
  <c r="X38" i="36"/>
  <c r="W38" i="36"/>
  <c r="AG33" i="36"/>
  <c r="AG34" i="36" s="1"/>
  <c r="AG36" i="36" s="1"/>
  <c r="AF33" i="36"/>
  <c r="AE33" i="36"/>
  <c r="AD33" i="36"/>
  <c r="AU30" i="36"/>
  <c r="AU31" i="36" s="1"/>
  <c r="AT30" i="36"/>
  <c r="AT31" i="36" s="1"/>
  <c r="AS30" i="36"/>
  <c r="AS31" i="36" s="1"/>
  <c r="AR30" i="36"/>
  <c r="AR31" i="36" s="1"/>
  <c r="AY26" i="36"/>
  <c r="BC25" i="36"/>
  <c r="BC26" i="36" s="1"/>
  <c r="BC28" i="36" s="1"/>
  <c r="S25" i="36"/>
  <c r="S26" i="36" s="1"/>
  <c r="R25" i="36"/>
  <c r="R26" i="36" s="1"/>
  <c r="Q25" i="36"/>
  <c r="Q26" i="36" s="1"/>
  <c r="P25" i="36"/>
  <c r="P26" i="36" s="1"/>
  <c r="Z21" i="36"/>
  <c r="Y21" i="36"/>
  <c r="X21" i="36"/>
  <c r="W21" i="36"/>
  <c r="AG14" i="36"/>
  <c r="AG15" i="36" s="1"/>
  <c r="AF14" i="36"/>
  <c r="AF15" i="36" s="1"/>
  <c r="AE14" i="36"/>
  <c r="AE15" i="36" s="1"/>
  <c r="AD14" i="36"/>
  <c r="AD15" i="36" s="1"/>
  <c r="AY12" i="36"/>
  <c r="AU12" i="36"/>
  <c r="AU13" i="36" s="1"/>
  <c r="AT12" i="36"/>
  <c r="AT13" i="36" s="1"/>
  <c r="AS12" i="36"/>
  <c r="AS13" i="36" s="1"/>
  <c r="AR12" i="36"/>
  <c r="AR13" i="36" s="1"/>
  <c r="BC11" i="36"/>
  <c r="BC12" i="36" s="1"/>
  <c r="BC14" i="36" s="1"/>
  <c r="Z55" i="29"/>
  <c r="Y55" i="29"/>
  <c r="X55" i="29"/>
  <c r="X56" i="29" s="1"/>
  <c r="W55" i="29"/>
  <c r="AU49" i="29"/>
  <c r="AT49" i="29"/>
  <c r="AS49" i="29"/>
  <c r="AR49" i="29"/>
  <c r="AY44" i="29"/>
  <c r="AY45" i="29" s="1"/>
  <c r="BC43" i="29"/>
  <c r="BC44" i="29" s="1"/>
  <c r="Z38" i="29"/>
  <c r="Y38" i="29"/>
  <c r="X38" i="29"/>
  <c r="W38" i="29"/>
  <c r="AG33" i="29"/>
  <c r="AF33" i="29"/>
  <c r="AE33" i="29"/>
  <c r="AD33" i="29"/>
  <c r="AU30" i="29"/>
  <c r="AT30" i="29"/>
  <c r="AS30" i="29"/>
  <c r="AS31" i="29" s="1"/>
  <c r="AR30" i="29"/>
  <c r="AR31" i="29" s="1"/>
  <c r="AY26" i="29"/>
  <c r="AY27" i="29" s="1"/>
  <c r="AY29" i="29" s="1"/>
  <c r="BC25" i="29"/>
  <c r="BC26" i="29" s="1"/>
  <c r="BC28" i="29" s="1"/>
  <c r="S25" i="29"/>
  <c r="S26" i="29" s="1"/>
  <c r="R25" i="29"/>
  <c r="R26" i="29" s="1"/>
  <c r="Q25" i="29"/>
  <c r="Q26" i="29" s="1"/>
  <c r="P25" i="29"/>
  <c r="P26" i="29" s="1"/>
  <c r="Z21" i="29"/>
  <c r="Y21" i="29"/>
  <c r="X21" i="29"/>
  <c r="W21" i="29"/>
  <c r="AG14" i="29"/>
  <c r="AG15" i="29" s="1"/>
  <c r="AF14" i="29"/>
  <c r="AF15" i="29" s="1"/>
  <c r="AE14" i="29"/>
  <c r="AE15" i="29" s="1"/>
  <c r="AD14" i="29"/>
  <c r="AY12" i="29"/>
  <c r="AY13" i="29" s="1"/>
  <c r="AU12" i="29"/>
  <c r="AU13" i="29" s="1"/>
  <c r="AT12" i="29"/>
  <c r="AT13" i="29" s="1"/>
  <c r="AS12" i="29"/>
  <c r="AS13" i="29" s="1"/>
  <c r="AR12" i="29"/>
  <c r="BC11" i="29"/>
  <c r="BC12" i="29" s="1"/>
  <c r="BC14" i="29" s="1"/>
  <c r="AY14" i="29" s="1"/>
  <c r="AY27" i="36"/>
  <c r="AY29" i="36" s="1"/>
  <c r="AY13" i="36"/>
  <c r="AY15" i="36" s="1"/>
  <c r="AU15" i="36" s="1"/>
  <c r="AT15" i="36" s="1"/>
  <c r="AS15" i="36" s="1"/>
  <c r="AR15" i="36" s="1"/>
  <c r="AR17" i="36" s="1"/>
  <c r="AU31" i="29"/>
  <c r="AT31" i="29" s="1"/>
  <c r="AR50" i="42"/>
  <c r="AT52" i="42"/>
  <c r="AS52" i="42" s="1"/>
  <c r="AR50" i="48"/>
  <c r="AT52" i="48"/>
  <c r="AS52" i="48" s="1"/>
  <c r="R30" i="51"/>
  <c r="R5" i="51"/>
  <c r="R30" i="45"/>
  <c r="R5" i="45"/>
  <c r="R5" i="50"/>
  <c r="Y3" i="50"/>
  <c r="Y31" i="51"/>
  <c r="X33" i="51"/>
  <c r="Q36" i="39"/>
  <c r="Q12" i="39"/>
  <c r="P39" i="39"/>
  <c r="P14" i="39"/>
  <c r="P31" i="39"/>
  <c r="B30" i="39"/>
  <c r="Q30" i="39"/>
  <c r="Q5" i="39"/>
  <c r="P38" i="39"/>
  <c r="B27" i="39"/>
  <c r="P13" i="39"/>
  <c r="P6" i="39" s="1"/>
  <c r="B21" i="39"/>
  <c r="W41" i="39" s="1"/>
  <c r="B15" i="39"/>
  <c r="AK14" i="39" s="1"/>
  <c r="B12" i="39"/>
  <c r="W47" i="39"/>
  <c r="W45" i="39"/>
  <c r="W44" i="39"/>
  <c r="S43" i="39"/>
  <c r="R43" i="39"/>
  <c r="Q43" i="39"/>
  <c r="P43" i="39"/>
  <c r="AG37" i="39"/>
  <c r="AF37" i="39"/>
  <c r="AE37" i="39"/>
  <c r="AD37" i="39"/>
  <c r="AG36" i="39"/>
  <c r="AF36" i="39"/>
  <c r="AE36" i="39"/>
  <c r="AD36" i="39"/>
  <c r="S32" i="39"/>
  <c r="R32" i="39"/>
  <c r="Q32" i="39"/>
  <c r="P32" i="39"/>
  <c r="AG21" i="39"/>
  <c r="AF21" i="39"/>
  <c r="AE21" i="39"/>
  <c r="AD21" i="39"/>
  <c r="AG20" i="39"/>
  <c r="AF20" i="39"/>
  <c r="AE20" i="39"/>
  <c r="AD20" i="39"/>
  <c r="AG7" i="39"/>
  <c r="AF7" i="39"/>
  <c r="AE7" i="39"/>
  <c r="AD7" i="39"/>
  <c r="AG6" i="39"/>
  <c r="AF6" i="39"/>
  <c r="AE6" i="39"/>
  <c r="AD6" i="39"/>
  <c r="S3" i="39"/>
  <c r="R3" i="39"/>
  <c r="Q3" i="39"/>
  <c r="P3" i="39"/>
  <c r="S2" i="39"/>
  <c r="R2" i="39"/>
  <c r="Q2" i="39"/>
  <c r="P2" i="39"/>
  <c r="S45" i="39"/>
  <c r="R45" i="39"/>
  <c r="Q45" i="39"/>
  <c r="P45" i="39"/>
  <c r="AG39" i="39"/>
  <c r="AF39" i="39"/>
  <c r="AE39" i="39"/>
  <c r="AD39" i="39"/>
  <c r="AG23" i="39"/>
  <c r="AF23" i="39"/>
  <c r="AE23" i="39"/>
  <c r="AD23" i="39"/>
  <c r="S20" i="39"/>
  <c r="R20" i="39"/>
  <c r="Q20" i="39"/>
  <c r="P20" i="39"/>
  <c r="AG9" i="39"/>
  <c r="AF9" i="39"/>
  <c r="AE9" i="39"/>
  <c r="AD9" i="39"/>
  <c r="AF5" i="39"/>
  <c r="R7" i="38"/>
  <c r="P7" i="38"/>
  <c r="Q43" i="38"/>
  <c r="W12" i="38"/>
  <c r="P9" i="38"/>
  <c r="Q5" i="38"/>
  <c r="X3" i="38"/>
  <c r="Q45" i="38"/>
  <c r="N45" i="38"/>
  <c r="AD44" i="38" s="1"/>
  <c r="Q44" i="38"/>
  <c r="N44" i="38"/>
  <c r="AD43" i="38"/>
  <c r="B27" i="38"/>
  <c r="B15" i="38"/>
  <c r="AS14" i="38" s="1"/>
  <c r="B12" i="38"/>
  <c r="AD41" i="38"/>
  <c r="AD40" i="38"/>
  <c r="AO37" i="38"/>
  <c r="AN37" i="38"/>
  <c r="AM37" i="38"/>
  <c r="AL37" i="38"/>
  <c r="AD37" i="38" s="1"/>
  <c r="AO36" i="38"/>
  <c r="AN36" i="38"/>
  <c r="AM36" i="38"/>
  <c r="AL36" i="38"/>
  <c r="Z28" i="38"/>
  <c r="Y28" i="38"/>
  <c r="X28" i="38"/>
  <c r="W28" i="38"/>
  <c r="AO21" i="38"/>
  <c r="AN21" i="38"/>
  <c r="AM21" i="38"/>
  <c r="AL21" i="38"/>
  <c r="AO20" i="38"/>
  <c r="AN20" i="38"/>
  <c r="AM20" i="38"/>
  <c r="AL20" i="38"/>
  <c r="AH20" i="38"/>
  <c r="AD20" i="38"/>
  <c r="AH19" i="38"/>
  <c r="AO7" i="38"/>
  <c r="AN7" i="38"/>
  <c r="AM7" i="38"/>
  <c r="AL7" i="38"/>
  <c r="AD7" i="38"/>
  <c r="AO6" i="38"/>
  <c r="AN6" i="38"/>
  <c r="AM6" i="38"/>
  <c r="AL6" i="38"/>
  <c r="AH6" i="38"/>
  <c r="AD6" i="38" s="1"/>
  <c r="AH5" i="38"/>
  <c r="Z5" i="38"/>
  <c r="Y5" i="38"/>
  <c r="X5" i="38"/>
  <c r="W5" i="38"/>
  <c r="S3" i="38"/>
  <c r="R3" i="38"/>
  <c r="Q3" i="38"/>
  <c r="P3" i="38"/>
  <c r="S2" i="38"/>
  <c r="R2" i="38"/>
  <c r="Q2" i="38"/>
  <c r="P2" i="38"/>
  <c r="AO39" i="38"/>
  <c r="AN39" i="38"/>
  <c r="AM39" i="38"/>
  <c r="AL39" i="38"/>
  <c r="AD39" i="38" s="1"/>
  <c r="S32" i="38"/>
  <c r="R32" i="38"/>
  <c r="Q32" i="38"/>
  <c r="P32" i="38"/>
  <c r="Z30" i="38"/>
  <c r="Y30" i="38"/>
  <c r="X30" i="38"/>
  <c r="W30" i="38"/>
  <c r="AD25" i="38"/>
  <c r="AH24" i="38"/>
  <c r="AO23" i="38"/>
  <c r="AN23" i="38"/>
  <c r="AM23" i="38"/>
  <c r="AL23" i="38"/>
  <c r="AD11" i="38"/>
  <c r="AH10" i="38"/>
  <c r="AO9" i="38"/>
  <c r="AN9" i="38"/>
  <c r="AM9" i="38"/>
  <c r="AL9" i="38"/>
  <c r="AN5" i="38"/>
  <c r="AD39" i="37"/>
  <c r="AP26" i="37"/>
  <c r="AP17" i="37"/>
  <c r="AP22" i="37" s="1"/>
  <c r="AL30" i="37" s="1"/>
  <c r="W49" i="36"/>
  <c r="W56" i="36" s="1"/>
  <c r="X56" i="36"/>
  <c r="AY40" i="36"/>
  <c r="AY45" i="36" s="1"/>
  <c r="BC44" i="36"/>
  <c r="AG42" i="36"/>
  <c r="AE26" i="36"/>
  <c r="AD26" i="36" s="1"/>
  <c r="AD34" i="36" s="1"/>
  <c r="AF34" i="36"/>
  <c r="AM7" i="36"/>
  <c r="AN44" i="36"/>
  <c r="AN49" i="36" s="1"/>
  <c r="AN35" i="36"/>
  <c r="AN40" i="36" s="1"/>
  <c r="AN23" i="36"/>
  <c r="AN25" i="36" s="1"/>
  <c r="AN11" i="36"/>
  <c r="AD35" i="45"/>
  <c r="AE41" i="45"/>
  <c r="C37" i="46"/>
  <c r="O7" i="46" s="1"/>
  <c r="O13" i="46" s="1"/>
  <c r="O39" i="46"/>
  <c r="Y32" i="56"/>
  <c r="Z34" i="56"/>
  <c r="X32" i="56"/>
  <c r="X34" i="56" s="1"/>
  <c r="AN13" i="42"/>
  <c r="AN18" i="42"/>
  <c r="AL7" i="42"/>
  <c r="AM44" i="42"/>
  <c r="AM49" i="42" s="1"/>
  <c r="AM35" i="42"/>
  <c r="AM23" i="42"/>
  <c r="AM25" i="42" s="1"/>
  <c r="AM11" i="42"/>
  <c r="R4" i="44"/>
  <c r="AD13" i="44"/>
  <c r="AD15" i="44" s="1"/>
  <c r="S5" i="44"/>
  <c r="S8" i="44" s="1"/>
  <c r="S21" i="44" s="1"/>
  <c r="Z3" i="44"/>
  <c r="Z6" i="44" s="1"/>
  <c r="AE5" i="45"/>
  <c r="AF11" i="45"/>
  <c r="AF13" i="45" s="1"/>
  <c r="R4" i="45"/>
  <c r="S30" i="45"/>
  <c r="S5" i="45"/>
  <c r="S8" i="45" s="1"/>
  <c r="X30" i="45"/>
  <c r="X31" i="45" s="1"/>
  <c r="U30" i="45"/>
  <c r="X29" i="45"/>
  <c r="U29" i="45"/>
  <c r="AN13" i="48"/>
  <c r="AN18" i="48" s="1"/>
  <c r="AL7" i="48"/>
  <c r="AM44" i="48"/>
  <c r="AM35" i="48"/>
  <c r="AM23" i="48"/>
  <c r="AM11" i="48"/>
  <c r="AD42" i="54"/>
  <c r="Q4" i="51"/>
  <c r="P4" i="51" s="1"/>
  <c r="R8" i="51"/>
  <c r="AD5" i="51"/>
  <c r="AE11" i="51"/>
  <c r="AE13" i="51" s="1"/>
  <c r="W14" i="52"/>
  <c r="J5" i="52"/>
  <c r="J24" i="52" s="1"/>
  <c r="Q21" i="56"/>
  <c r="X44" i="55"/>
  <c r="X47" i="55" s="1"/>
  <c r="X30" i="55"/>
  <c r="X33" i="55" s="1"/>
  <c r="AU18" i="55"/>
  <c r="X16" i="55"/>
  <c r="X19" i="55" s="1"/>
  <c r="BB11" i="55"/>
  <c r="AM3" i="55"/>
  <c r="AM5" i="55" s="1"/>
  <c r="BB2" i="55"/>
  <c r="BB6" i="55" s="1"/>
  <c r="AU2" i="55"/>
  <c r="AU4" i="55" s="1"/>
  <c r="X2" i="55"/>
  <c r="X5" i="55" s="1"/>
  <c r="S34" i="55"/>
  <c r="AW36" i="55"/>
  <c r="AW38" i="55" s="1"/>
  <c r="AU20" i="55"/>
  <c r="AT20" i="55" s="1"/>
  <c r="AT28" i="55" s="1"/>
  <c r="AP28" i="55" s="1"/>
  <c r="AV28" i="55"/>
  <c r="AV9" i="55"/>
  <c r="AW11" i="55"/>
  <c r="AD41" i="51"/>
  <c r="AD43" i="51" s="1"/>
  <c r="W43" i="51" s="1"/>
  <c r="W46" i="51" s="1"/>
  <c r="W49" i="51" s="1"/>
  <c r="AM5" i="50"/>
  <c r="AN11" i="50"/>
  <c r="AN13" i="50" s="1"/>
  <c r="R4" i="50"/>
  <c r="AD13" i="50"/>
  <c r="AD15" i="50" s="1"/>
  <c r="S5" i="50"/>
  <c r="S8" i="50" s="1"/>
  <c r="S21" i="50" s="1"/>
  <c r="Z3" i="50"/>
  <c r="Z6" i="50" s="1"/>
  <c r="AP3" i="30"/>
  <c r="AP5" i="30" s="1"/>
  <c r="AF26" i="29"/>
  <c r="AE26" i="29" s="1"/>
  <c r="AD26" i="29" s="1"/>
  <c r="AG34" i="29"/>
  <c r="AM5" i="29"/>
  <c r="AL5" i="29" s="1"/>
  <c r="AM4" i="29"/>
  <c r="AN7" i="29"/>
  <c r="O52" i="40"/>
  <c r="O54" i="40" s="1"/>
  <c r="O47" i="40"/>
  <c r="O49" i="40" s="1"/>
  <c r="O42" i="40"/>
  <c r="O44" i="40" s="1"/>
  <c r="A44" i="40" s="1"/>
  <c r="O37" i="40"/>
  <c r="AE35" i="39"/>
  <c r="AF41" i="39"/>
  <c r="I36" i="24"/>
  <c r="W39" i="24"/>
  <c r="X39" i="24"/>
  <c r="Y39" i="24"/>
  <c r="Z39" i="24"/>
  <c r="BT40" i="24"/>
  <c r="BP40" i="24" s="1"/>
  <c r="I46" i="24"/>
  <c r="X53" i="24"/>
  <c r="W53" i="24" s="1"/>
  <c r="Y53" i="24"/>
  <c r="AM30" i="54"/>
  <c r="AL30" i="54" s="1"/>
  <c r="X28" i="39"/>
  <c r="B13" i="39"/>
  <c r="B13" i="38"/>
  <c r="AM40" i="42"/>
  <c r="AF36" i="42"/>
  <c r="AH12" i="44"/>
  <c r="AH14" i="44" s="1"/>
  <c r="AO11" i="44"/>
  <c r="AH26" i="44"/>
  <c r="AH28" i="44" s="1"/>
  <c r="AO25" i="44"/>
  <c r="AD21" i="44"/>
  <c r="AD23" i="44" s="1"/>
  <c r="AD27" i="44" s="1"/>
  <c r="AD29" i="44" s="1"/>
  <c r="AD42" i="44"/>
  <c r="B13" i="44"/>
  <c r="AD25" i="45"/>
  <c r="AE25" i="45"/>
  <c r="AF25" i="45"/>
  <c r="AG25" i="45"/>
  <c r="AG27" i="45" s="1"/>
  <c r="P37" i="45"/>
  <c r="Q33" i="45"/>
  <c r="AM25" i="48"/>
  <c r="AM40" i="48"/>
  <c r="AM49" i="48"/>
  <c r="BB15" i="55"/>
  <c r="AF36" i="48"/>
  <c r="AH12" i="50"/>
  <c r="AH26" i="50"/>
  <c r="AH28" i="50" s="1"/>
  <c r="AL25" i="50"/>
  <c r="AM25" i="50"/>
  <c r="AN25" i="50"/>
  <c r="AO25" i="50"/>
  <c r="AO27" i="50" s="1"/>
  <c r="AD21" i="50"/>
  <c r="AD23" i="50" s="1"/>
  <c r="AD27" i="50" s="1"/>
  <c r="AD29" i="50" s="1"/>
  <c r="AD42" i="50"/>
  <c r="AH14" i="50"/>
  <c r="X6" i="50"/>
  <c r="Q46" i="50"/>
  <c r="BA32" i="24"/>
  <c r="AH32" i="24"/>
  <c r="AD32" i="24"/>
  <c r="Z32" i="24"/>
  <c r="Y32" i="24"/>
  <c r="X32" i="24"/>
  <c r="W32" i="24"/>
  <c r="BA31" i="24"/>
  <c r="AH31" i="24"/>
  <c r="AD31" i="24"/>
  <c r="S32" i="24"/>
  <c r="R32" i="24"/>
  <c r="Q32" i="24"/>
  <c r="P32" i="24"/>
  <c r="I31" i="24"/>
  <c r="C33" i="24"/>
  <c r="B33" i="24" s="1"/>
  <c r="BA30" i="24"/>
  <c r="AP30" i="24"/>
  <c r="F30" i="24"/>
  <c r="E30" i="24"/>
  <c r="BL29" i="24"/>
  <c r="BK29" i="24"/>
  <c r="BJ29" i="24"/>
  <c r="BI29" i="24"/>
  <c r="BA29" i="24"/>
  <c r="AW29" i="24"/>
  <c r="AV29" i="24"/>
  <c r="AU29" i="24"/>
  <c r="AT29" i="24"/>
  <c r="I29" i="24"/>
  <c r="D29" i="24"/>
  <c r="I28" i="24"/>
  <c r="E28" i="24"/>
  <c r="BT27" i="24"/>
  <c r="AP27" i="24"/>
  <c r="I27" i="24"/>
  <c r="BL26" i="24"/>
  <c r="BK26" i="24"/>
  <c r="BJ26" i="24"/>
  <c r="BI26" i="24"/>
  <c r="AW26" i="24"/>
  <c r="AV26" i="24"/>
  <c r="AU26" i="24"/>
  <c r="AT26" i="24"/>
  <c r="I26" i="24"/>
  <c r="E26" i="24"/>
  <c r="BT25" i="24"/>
  <c r="BP25" i="24"/>
  <c r="BL25" i="24"/>
  <c r="BK25" i="24"/>
  <c r="BJ25" i="24"/>
  <c r="BI25" i="24"/>
  <c r="AW25" i="24"/>
  <c r="AV25" i="24"/>
  <c r="AU25" i="24"/>
  <c r="AT25" i="24"/>
  <c r="Z25" i="24"/>
  <c r="Y25" i="24"/>
  <c r="X25" i="24"/>
  <c r="W25" i="24"/>
  <c r="BT24" i="24"/>
  <c r="BP24" i="24"/>
  <c r="BL24" i="24"/>
  <c r="BK24" i="24"/>
  <c r="BJ24" i="24"/>
  <c r="BI24" i="24"/>
  <c r="AW24" i="24"/>
  <c r="AV24" i="24"/>
  <c r="AU24" i="24"/>
  <c r="AT24" i="24"/>
  <c r="AG24" i="24"/>
  <c r="AF24" i="24"/>
  <c r="AE24" i="24"/>
  <c r="AD24" i="24"/>
  <c r="F24" i="24"/>
  <c r="BT23" i="24"/>
  <c r="BL23" i="24"/>
  <c r="BK23" i="24"/>
  <c r="BJ23" i="24"/>
  <c r="BI23" i="24"/>
  <c r="AW23" i="24"/>
  <c r="AV23" i="24"/>
  <c r="AU23" i="24"/>
  <c r="AT23" i="24"/>
  <c r="AG23" i="24"/>
  <c r="AF23" i="24"/>
  <c r="AE23" i="24"/>
  <c r="AD23" i="24"/>
  <c r="S23" i="24"/>
  <c r="R23" i="24"/>
  <c r="Q23" i="24"/>
  <c r="P23" i="24"/>
  <c r="BT22" i="24"/>
  <c r="BP22" i="24"/>
  <c r="BL22" i="24"/>
  <c r="BK22" i="24"/>
  <c r="BJ22" i="24"/>
  <c r="BI22" i="24"/>
  <c r="AW22" i="24"/>
  <c r="AV22" i="24"/>
  <c r="AU22" i="24"/>
  <c r="AT22" i="24"/>
  <c r="AL22" i="24"/>
  <c r="S22" i="24"/>
  <c r="R22" i="24"/>
  <c r="Q22" i="24"/>
  <c r="P22" i="24"/>
  <c r="BT21" i="24"/>
  <c r="BL21" i="24"/>
  <c r="BK21" i="24"/>
  <c r="BJ21" i="24"/>
  <c r="BI21" i="24"/>
  <c r="AW21" i="24"/>
  <c r="AV21" i="24"/>
  <c r="AU21" i="24"/>
  <c r="AT21" i="24"/>
  <c r="AP21" i="24"/>
  <c r="AL21" i="24"/>
  <c r="S21" i="24"/>
  <c r="R21" i="24"/>
  <c r="Q21" i="24"/>
  <c r="P21" i="24"/>
  <c r="L21" i="24"/>
  <c r="K21" i="24"/>
  <c r="J21" i="24"/>
  <c r="I21" i="24"/>
  <c r="BT20" i="24"/>
  <c r="BP20" i="24"/>
  <c r="BL20" i="24"/>
  <c r="BK20" i="24"/>
  <c r="BJ20" i="24"/>
  <c r="BI20" i="24"/>
  <c r="BA20" i="24"/>
  <c r="BA22" i="24" s="1"/>
  <c r="BE23" i="24" s="1"/>
  <c r="AG20" i="24"/>
  <c r="AF20" i="24"/>
  <c r="AE20" i="24"/>
  <c r="AD20" i="24"/>
  <c r="Z20" i="24"/>
  <c r="Y20" i="24"/>
  <c r="X20" i="24"/>
  <c r="W20" i="24"/>
  <c r="L20" i="24"/>
  <c r="K20" i="24"/>
  <c r="J20" i="24"/>
  <c r="I20" i="24"/>
  <c r="BT19" i="24"/>
  <c r="BL19" i="24"/>
  <c r="BK19" i="24"/>
  <c r="BJ19" i="24"/>
  <c r="BI19" i="24"/>
  <c r="AU19" i="24"/>
  <c r="AL19" i="24"/>
  <c r="AG19" i="24"/>
  <c r="AF19" i="24"/>
  <c r="AE19" i="24"/>
  <c r="AD19" i="24"/>
  <c r="Q19" i="24"/>
  <c r="BT18" i="24"/>
  <c r="AT18" i="24"/>
  <c r="AL18" i="24"/>
  <c r="AG18" i="24"/>
  <c r="AF18" i="24"/>
  <c r="AE18" i="24"/>
  <c r="AD18" i="24"/>
  <c r="Z18" i="24"/>
  <c r="Y18" i="24"/>
  <c r="X18" i="24"/>
  <c r="W18" i="24"/>
  <c r="S18" i="24"/>
  <c r="R18" i="24"/>
  <c r="Q18" i="24"/>
  <c r="P18" i="24"/>
  <c r="S17" i="24"/>
  <c r="R17" i="24"/>
  <c r="Q17" i="24"/>
  <c r="P17" i="24"/>
  <c r="BC16" i="24"/>
  <c r="BB16" i="24"/>
  <c r="BA16" i="24"/>
  <c r="AD16" i="24"/>
  <c r="R16" i="24"/>
  <c r="B16" i="24"/>
  <c r="AD15" i="24"/>
  <c r="E15" i="24"/>
  <c r="BP14" i="24"/>
  <c r="P14" i="24"/>
  <c r="L14" i="24"/>
  <c r="K14" i="24"/>
  <c r="J14" i="24"/>
  <c r="I14" i="24"/>
  <c r="BT13" i="24"/>
  <c r="AV18" i="24" l="1"/>
  <c r="AO11" i="38"/>
  <c r="AO13" i="38" s="1"/>
  <c r="S4" i="38"/>
  <c r="S4" i="39"/>
  <c r="AE34" i="36"/>
  <c r="S33" i="38"/>
  <c r="P33" i="38"/>
  <c r="X31" i="38"/>
  <c r="AD26" i="38"/>
  <c r="AD12" i="38"/>
  <c r="R33" i="38"/>
  <c r="Z31" i="38"/>
  <c r="W31" i="38"/>
  <c r="AH25" i="38"/>
  <c r="Q33" i="38"/>
  <c r="Y31" i="38"/>
  <c r="AH11" i="38"/>
  <c r="AG11" i="39"/>
  <c r="AG13" i="39" s="1"/>
  <c r="BG41" i="36"/>
  <c r="S35" i="52"/>
  <c r="O27" i="52"/>
  <c r="S22" i="52"/>
  <c r="O12" i="52"/>
  <c r="R27" i="30"/>
  <c r="S28" i="30"/>
  <c r="S33" i="30" s="1"/>
  <c r="Y44" i="55"/>
  <c r="Y47" i="55" s="1"/>
  <c r="Y30" i="55"/>
  <c r="Y33" i="55" s="1"/>
  <c r="BC11" i="55"/>
  <c r="BC15" i="55" s="1"/>
  <c r="BC2" i="55"/>
  <c r="BC6" i="55" s="1"/>
  <c r="R39" i="55"/>
  <c r="R41" i="55" s="1"/>
  <c r="Y16" i="55"/>
  <c r="Y19" i="55" s="1"/>
  <c r="Y2" i="55"/>
  <c r="Y5" i="55" s="1"/>
  <c r="AY15" i="29"/>
  <c r="AU15" i="29" s="1"/>
  <c r="AT15" i="29" s="1"/>
  <c r="AS15" i="29" s="1"/>
  <c r="AR52" i="48"/>
  <c r="AR52" i="42"/>
  <c r="AN27" i="50"/>
  <c r="AM27" i="50" s="1"/>
  <c r="AL27" i="50" s="1"/>
  <c r="AF27" i="45"/>
  <c r="AE27" i="45" s="1"/>
  <c r="AD27" i="45" s="1"/>
  <c r="Q8" i="51"/>
  <c r="R20" i="49"/>
  <c r="R20" i="43"/>
  <c r="I27" i="29"/>
  <c r="I27" i="36"/>
  <c r="BA36" i="24"/>
  <c r="BA38" i="24" s="1"/>
  <c r="AD33" i="24"/>
  <c r="BT43" i="24"/>
  <c r="BT45" i="24" s="1"/>
  <c r="BP45" i="24" s="1"/>
  <c r="BP47" i="24" s="1"/>
  <c r="BP49" i="24" s="1"/>
  <c r="AV11" i="55"/>
  <c r="AU28" i="55"/>
  <c r="Y34" i="56"/>
  <c r="R21" i="29"/>
  <c r="Q21" i="29" s="1"/>
  <c r="S27" i="43"/>
  <c r="S28" i="43" s="1"/>
  <c r="S33" i="43" s="1"/>
  <c r="BG9" i="36"/>
  <c r="BK11" i="36"/>
  <c r="R8" i="37"/>
  <c r="Q8" i="37" s="1"/>
  <c r="S20" i="37"/>
  <c r="S27" i="37" s="1"/>
  <c r="S28" i="37" s="1"/>
  <c r="S33" i="37" s="1"/>
  <c r="BK13" i="37"/>
  <c r="BJ13" i="37" s="1"/>
  <c r="BI13" i="37" s="1"/>
  <c r="BI15" i="37" s="1"/>
  <c r="S27" i="49"/>
  <c r="S28" i="49" s="1"/>
  <c r="S33" i="49" s="1"/>
  <c r="R25" i="30"/>
  <c r="R28" i="30" s="1"/>
  <c r="R33" i="30" s="1"/>
  <c r="BK28" i="30"/>
  <c r="BJ28" i="30" s="1"/>
  <c r="BI28" i="30" s="1"/>
  <c r="BL30" i="30"/>
  <c r="BK11" i="30"/>
  <c r="BJ11" i="30" s="1"/>
  <c r="BI11" i="30" s="1"/>
  <c r="BK30" i="37"/>
  <c r="BJ30" i="37" s="1"/>
  <c r="BI30" i="37" s="1"/>
  <c r="BI32" i="37" s="1"/>
  <c r="AR13" i="29"/>
  <c r="AR15" i="29" s="1"/>
  <c r="AR17" i="29" s="1"/>
  <c r="AD15" i="29"/>
  <c r="W56" i="29"/>
  <c r="AR50" i="36"/>
  <c r="AT52" i="36"/>
  <c r="AS52" i="36" s="1"/>
  <c r="AL20" i="24"/>
  <c r="Y6" i="50"/>
  <c r="Z8" i="50"/>
  <c r="S30" i="50"/>
  <c r="X10" i="55"/>
  <c r="X7" i="55"/>
  <c r="X24" i="55"/>
  <c r="X21" i="55"/>
  <c r="X38" i="55"/>
  <c r="X35" i="55"/>
  <c r="X52" i="55"/>
  <c r="X49" i="55"/>
  <c r="Z8" i="44"/>
  <c r="S30" i="44"/>
  <c r="R46" i="50"/>
  <c r="Q48" i="50"/>
  <c r="AD45" i="50"/>
  <c r="AD47" i="50" s="1"/>
  <c r="AE36" i="48"/>
  <c r="AF42" i="48"/>
  <c r="R5" i="44"/>
  <c r="R8" i="44" s="1"/>
  <c r="R21" i="44" s="1"/>
  <c r="Y3" i="44"/>
  <c r="Y6" i="44" s="1"/>
  <c r="X6" i="44" s="1"/>
  <c r="AD45" i="44"/>
  <c r="AD47" i="44" s="1"/>
  <c r="AN25" i="44"/>
  <c r="AM25" i="44" s="1"/>
  <c r="AL25" i="44" s="1"/>
  <c r="AO27" i="44"/>
  <c r="AN27" i="44" s="1"/>
  <c r="AM27" i="44" s="1"/>
  <c r="AN11" i="44"/>
  <c r="AM11" i="44" s="1"/>
  <c r="AL11" i="44" s="1"/>
  <c r="AO13" i="44"/>
  <c r="AE36" i="42"/>
  <c r="AF42" i="42"/>
  <c r="R5" i="38"/>
  <c r="Y3" i="38"/>
  <c r="R30" i="39"/>
  <c r="R5" i="39"/>
  <c r="Y31" i="45"/>
  <c r="X33" i="45"/>
  <c r="AD35" i="39"/>
  <c r="AE41" i="39"/>
  <c r="C37" i="40"/>
  <c r="O7" i="40" s="1"/>
  <c r="O13" i="40" s="1"/>
  <c r="O39" i="40"/>
  <c r="AN44" i="29"/>
  <c r="AN49" i="29" s="1"/>
  <c r="AN35" i="29"/>
  <c r="AN40" i="29" s="1"/>
  <c r="AN23" i="29"/>
  <c r="AN25" i="29" s="1"/>
  <c r="AN11" i="29"/>
  <c r="AN13" i="29" s="1"/>
  <c r="AL4" i="29"/>
  <c r="AK4" i="29" s="1"/>
  <c r="AM7" i="29"/>
  <c r="AF34" i="29"/>
  <c r="AE34" i="29" s="1"/>
  <c r="AD34" i="29" s="1"/>
  <c r="AG36" i="29"/>
  <c r="AV4" i="30"/>
  <c r="AN3" i="30"/>
  <c r="AN5" i="30" s="1"/>
  <c r="Q4" i="50"/>
  <c r="P4" i="50" s="1"/>
  <c r="R8" i="50"/>
  <c r="AL5" i="50"/>
  <c r="AL11" i="50" s="1"/>
  <c r="AM11" i="50"/>
  <c r="AM13" i="50" s="1"/>
  <c r="AL13" i="50" s="1"/>
  <c r="Z44" i="49"/>
  <c r="Z47" i="49" s="1"/>
  <c r="Z30" i="49"/>
  <c r="Z33" i="49" s="1"/>
  <c r="AW18" i="49"/>
  <c r="AW20" i="49" s="1"/>
  <c r="Z16" i="49"/>
  <c r="Z19" i="49" s="1"/>
  <c r="AO3" i="49"/>
  <c r="AO5" i="49" s="1"/>
  <c r="AW2" i="49"/>
  <c r="AW4" i="49" s="1"/>
  <c r="Z2" i="49"/>
  <c r="Z5" i="49" s="1"/>
  <c r="AW31" i="55"/>
  <c r="R34" i="55"/>
  <c r="S35" i="55"/>
  <c r="Q39" i="55"/>
  <c r="Q41" i="55" s="1"/>
  <c r="Q30" i="56"/>
  <c r="AD11" i="51"/>
  <c r="W11" i="51" s="1"/>
  <c r="AL44" i="48"/>
  <c r="AL35" i="48"/>
  <c r="AL40" i="48" s="1"/>
  <c r="AL23" i="48"/>
  <c r="AL11" i="48"/>
  <c r="AN30" i="48"/>
  <c r="Q4" i="45"/>
  <c r="P4" i="45" s="1"/>
  <c r="R8" i="45"/>
  <c r="AD5" i="45"/>
  <c r="AE11" i="45"/>
  <c r="AE13" i="45" s="1"/>
  <c r="Q4" i="44"/>
  <c r="Z44" i="43"/>
  <c r="Z47" i="43" s="1"/>
  <c r="Z30" i="43"/>
  <c r="Z33" i="43" s="1"/>
  <c r="Z16" i="43"/>
  <c r="Z19" i="43" s="1"/>
  <c r="AW2" i="43"/>
  <c r="AW4" i="43" s="1"/>
  <c r="AL44" i="42"/>
  <c r="AL35" i="42"/>
  <c r="AL40" i="42" s="1"/>
  <c r="AL23" i="42"/>
  <c r="AL11" i="42"/>
  <c r="AN30" i="42"/>
  <c r="J13" i="46"/>
  <c r="O15" i="46"/>
  <c r="AD41" i="45"/>
  <c r="AD43" i="45" s="1"/>
  <c r="W43" i="45" s="1"/>
  <c r="W46" i="45" s="1"/>
  <c r="W49" i="45" s="1"/>
  <c r="AN13" i="36"/>
  <c r="AN18" i="36" s="1"/>
  <c r="AL7" i="36"/>
  <c r="AM44" i="36"/>
  <c r="AM49" i="36" s="1"/>
  <c r="AM35" i="36"/>
  <c r="AM40" i="36" s="1"/>
  <c r="AM23" i="36"/>
  <c r="AM11" i="36"/>
  <c r="AM5" i="38"/>
  <c r="AN11" i="38"/>
  <c r="AN13" i="38" s="1"/>
  <c r="R4" i="38"/>
  <c r="AD13" i="38"/>
  <c r="AD15" i="38" s="1"/>
  <c r="S5" i="38"/>
  <c r="S8" i="38" s="1"/>
  <c r="S21" i="38" s="1"/>
  <c r="Z3" i="38"/>
  <c r="Z6" i="38" s="1"/>
  <c r="AE5" i="39"/>
  <c r="AF11" i="39"/>
  <c r="AF13" i="39" s="1"/>
  <c r="R4" i="39"/>
  <c r="S30" i="39"/>
  <c r="S5" i="39"/>
  <c r="S8" i="39" s="1"/>
  <c r="X30" i="39"/>
  <c r="X31" i="39" s="1"/>
  <c r="U30" i="39"/>
  <c r="X29" i="39"/>
  <c r="U29" i="39"/>
  <c r="BP19" i="24"/>
  <c r="BP21" i="24" s="1"/>
  <c r="BP23" i="24" s="1"/>
  <c r="AL23" i="24"/>
  <c r="AP17" i="24" s="1"/>
  <c r="BT26" i="24"/>
  <c r="BT28" i="24" s="1"/>
  <c r="BP28" i="24" s="1"/>
  <c r="AL49" i="48"/>
  <c r="AL25" i="48"/>
  <c r="AL49" i="42"/>
  <c r="AL25" i="42"/>
  <c r="AU9" i="55"/>
  <c r="AU11" i="55" s="1"/>
  <c r="AV30" i="55"/>
  <c r="AM13" i="48"/>
  <c r="AL13" i="48" s="1"/>
  <c r="AM13" i="42"/>
  <c r="AM25" i="36"/>
  <c r="AF36" i="36"/>
  <c r="AH12" i="38"/>
  <c r="AH14" i="38" s="1"/>
  <c r="AH26" i="38"/>
  <c r="AH28" i="38" s="1"/>
  <c r="AL25" i="38"/>
  <c r="AM25" i="38"/>
  <c r="AN25" i="38"/>
  <c r="AO25" i="38"/>
  <c r="AO27" i="38" s="1"/>
  <c r="AD21" i="38"/>
  <c r="AD23" i="38" s="1"/>
  <c r="AD27" i="38" s="1"/>
  <c r="AD29" i="38" s="1"/>
  <c r="AD42" i="38"/>
  <c r="X6" i="38"/>
  <c r="Q46" i="38"/>
  <c r="AD25" i="39"/>
  <c r="AE25" i="39"/>
  <c r="AF25" i="39"/>
  <c r="AG25" i="39"/>
  <c r="AG27" i="39" s="1"/>
  <c r="P37" i="39"/>
  <c r="Q33" i="39"/>
  <c r="P13" i="24"/>
  <c r="B13" i="24"/>
  <c r="BX12" i="24"/>
  <c r="BP12" i="24"/>
  <c r="BL12" i="24"/>
  <c r="BK12" i="24"/>
  <c r="BJ12" i="24"/>
  <c r="BI12" i="24"/>
  <c r="BC12" i="24"/>
  <c r="BC13" i="24" s="1"/>
  <c r="BB12" i="24"/>
  <c r="BB13" i="24" s="1"/>
  <c r="BA12" i="24"/>
  <c r="BA13" i="24" s="1"/>
  <c r="L12" i="24"/>
  <c r="K12" i="24"/>
  <c r="J12" i="24"/>
  <c r="I12" i="24"/>
  <c r="B12" i="24"/>
  <c r="BX11" i="24"/>
  <c r="BT11" i="24"/>
  <c r="BP11" i="24"/>
  <c r="AE11" i="24"/>
  <c r="Z11" i="24"/>
  <c r="Y11" i="24"/>
  <c r="X11" i="24"/>
  <c r="W11" i="24"/>
  <c r="BX10" i="24"/>
  <c r="BT10" i="24"/>
  <c r="BP10" i="24"/>
  <c r="AW10" i="24"/>
  <c r="AV10" i="24"/>
  <c r="AU10" i="24"/>
  <c r="AT10" i="24"/>
  <c r="AL10" i="24"/>
  <c r="AE10" i="24"/>
  <c r="Q10" i="24"/>
  <c r="L10" i="24"/>
  <c r="K10" i="24"/>
  <c r="J10" i="24"/>
  <c r="I10" i="24"/>
  <c r="B10" i="24"/>
  <c r="BX9" i="24"/>
  <c r="BT9" i="24"/>
  <c r="BP9" i="24"/>
  <c r="BL9" i="24"/>
  <c r="BK9" i="24"/>
  <c r="BJ9" i="24"/>
  <c r="BI9" i="24"/>
  <c r="Q9" i="24"/>
  <c r="BX8" i="24"/>
  <c r="BT8" i="24"/>
  <c r="BP8" i="24"/>
  <c r="BL8" i="24"/>
  <c r="BK8" i="24"/>
  <c r="BJ8" i="24"/>
  <c r="BI8" i="24"/>
  <c r="AG8" i="24"/>
  <c r="AF8" i="24"/>
  <c r="AE8" i="24"/>
  <c r="AD8" i="24"/>
  <c r="L8" i="24"/>
  <c r="K8" i="24"/>
  <c r="J8" i="24"/>
  <c r="I8" i="24"/>
  <c r="BX7" i="24"/>
  <c r="BT7" i="24"/>
  <c r="BP7" i="24"/>
  <c r="BL7" i="24"/>
  <c r="BK7" i="24"/>
  <c r="BJ7" i="24"/>
  <c r="BI7" i="24"/>
  <c r="BC7" i="24"/>
  <c r="BB7" i="24"/>
  <c r="BA7" i="24"/>
  <c r="AW7" i="24"/>
  <c r="AV7" i="24"/>
  <c r="AU7" i="24"/>
  <c r="AT7" i="24"/>
  <c r="AG7" i="24"/>
  <c r="AF7" i="24"/>
  <c r="AE7" i="24"/>
  <c r="AD7" i="24"/>
  <c r="S7" i="24"/>
  <c r="P7" i="24"/>
  <c r="BX6" i="24"/>
  <c r="BT6" i="24"/>
  <c r="BL6" i="24"/>
  <c r="BK6" i="24"/>
  <c r="BJ6" i="24"/>
  <c r="BI6" i="24"/>
  <c r="AW6" i="24"/>
  <c r="AV6" i="24"/>
  <c r="AU6" i="24"/>
  <c r="AT6" i="24"/>
  <c r="Z6" i="24"/>
  <c r="Y6" i="24"/>
  <c r="X6" i="24"/>
  <c r="W6" i="24"/>
  <c r="BX5" i="24"/>
  <c r="BT5" i="24"/>
  <c r="BP5" i="24"/>
  <c r="BL5" i="24"/>
  <c r="BK5" i="24"/>
  <c r="BJ5" i="24"/>
  <c r="BI5" i="24"/>
  <c r="AW5" i="24"/>
  <c r="AV5" i="24"/>
  <c r="AU5" i="24"/>
  <c r="AT5" i="24"/>
  <c r="AG5" i="24"/>
  <c r="AF5" i="24"/>
  <c r="AE5" i="24"/>
  <c r="AD5" i="24"/>
  <c r="S5" i="24"/>
  <c r="R5" i="24"/>
  <c r="Q5" i="24"/>
  <c r="L5" i="24"/>
  <c r="H5" i="24"/>
  <c r="BX4" i="24"/>
  <c r="BT4" i="24"/>
  <c r="BP4" i="24"/>
  <c r="BL4" i="24"/>
  <c r="BK4" i="24"/>
  <c r="BJ4" i="24"/>
  <c r="BI4" i="24"/>
  <c r="BX14" i="24" l="1"/>
  <c r="AN13" i="44"/>
  <c r="Q27" i="30"/>
  <c r="Y10" i="55"/>
  <c r="Y7" i="55"/>
  <c r="Y52" i="55"/>
  <c r="Y49" i="55"/>
  <c r="Y24" i="55"/>
  <c r="Y21" i="55"/>
  <c r="Y38" i="55"/>
  <c r="Y35" i="55"/>
  <c r="AL13" i="42"/>
  <c r="AN18" i="29"/>
  <c r="AE43" i="39"/>
  <c r="AN27" i="38"/>
  <c r="AM27" i="38" s="1"/>
  <c r="AL27" i="38" s="1"/>
  <c r="AP26" i="24"/>
  <c r="Z2" i="43"/>
  <c r="Z5" i="43" s="1"/>
  <c r="AO3" i="43"/>
  <c r="AO5" i="43" s="1"/>
  <c r="AW18" i="43"/>
  <c r="AW20" i="43" s="1"/>
  <c r="BK30" i="30"/>
  <c r="BJ30" i="30" s="1"/>
  <c r="BI30" i="30" s="1"/>
  <c r="BI32" i="30" s="1"/>
  <c r="Q20" i="43"/>
  <c r="R27" i="43"/>
  <c r="Q20" i="49"/>
  <c r="R27" i="49"/>
  <c r="AF27" i="39"/>
  <c r="AE27" i="39" s="1"/>
  <c r="AD27" i="39" s="1"/>
  <c r="Q8" i="45"/>
  <c r="Q8" i="50"/>
  <c r="AM13" i="44"/>
  <c r="AL13" i="44" s="1"/>
  <c r="AL27" i="44"/>
  <c r="AR52" i="36"/>
  <c r="R20" i="37"/>
  <c r="AD38" i="24"/>
  <c r="AD39" i="24" s="1"/>
  <c r="AH36" i="24"/>
  <c r="AH37" i="24" s="1"/>
  <c r="AH39" i="24" s="1"/>
  <c r="BL27" i="24"/>
  <c r="BK27" i="24"/>
  <c r="BJ27" i="24"/>
  <c r="BI27" i="24"/>
  <c r="AW27" i="24"/>
  <c r="AV27" i="24"/>
  <c r="AU27" i="24"/>
  <c r="AT27" i="24"/>
  <c r="BP26" i="24"/>
  <c r="BP27" i="24" s="1"/>
  <c r="BP29" i="24" s="1"/>
  <c r="S24" i="24"/>
  <c r="S25" i="24" s="1"/>
  <c r="R24" i="24"/>
  <c r="Q24" i="24"/>
  <c r="P24" i="24"/>
  <c r="AG21" i="24"/>
  <c r="AF21" i="24"/>
  <c r="AE21" i="24"/>
  <c r="AD21" i="24"/>
  <c r="BL10" i="24"/>
  <c r="BK10" i="24"/>
  <c r="BJ10" i="24"/>
  <c r="BI10" i="24"/>
  <c r="AW8" i="24"/>
  <c r="AV8" i="24"/>
  <c r="AU8" i="24"/>
  <c r="AT8" i="24"/>
  <c r="Z44" i="30"/>
  <c r="Z47" i="30" s="1"/>
  <c r="Z30" i="30"/>
  <c r="Z33" i="30" s="1"/>
  <c r="AW18" i="30"/>
  <c r="AW20" i="30" s="1"/>
  <c r="Z16" i="30"/>
  <c r="Z19" i="30" s="1"/>
  <c r="AO3" i="30"/>
  <c r="AO5" i="30" s="1"/>
  <c r="AW2" i="30"/>
  <c r="AW4" i="30" s="1"/>
  <c r="AW9" i="30" s="1"/>
  <c r="Z2" i="30"/>
  <c r="Z5" i="30" s="1"/>
  <c r="Q25" i="30"/>
  <c r="BL28" i="24"/>
  <c r="BK13" i="30"/>
  <c r="BJ13" i="30" s="1"/>
  <c r="BI13" i="30" s="1"/>
  <c r="BI15" i="30" s="1"/>
  <c r="Y6" i="38"/>
  <c r="Z8" i="38"/>
  <c r="S30" i="38"/>
  <c r="R46" i="38"/>
  <c r="Q48" i="38"/>
  <c r="AD45" i="38"/>
  <c r="AD47" i="38" s="1"/>
  <c r="AE36" i="36"/>
  <c r="AF42" i="36"/>
  <c r="AU30" i="55"/>
  <c r="AV36" i="55"/>
  <c r="AV38" i="55" s="1"/>
  <c r="AN30" i="29"/>
  <c r="Y31" i="39"/>
  <c r="X33" i="39"/>
  <c r="Q4" i="39"/>
  <c r="P4" i="39" s="1"/>
  <c r="R8" i="39"/>
  <c r="AD5" i="39"/>
  <c r="AE11" i="39"/>
  <c r="AE13" i="39" s="1"/>
  <c r="Q4" i="38"/>
  <c r="P4" i="38" s="1"/>
  <c r="R8" i="38"/>
  <c r="AL5" i="38"/>
  <c r="AL11" i="38" s="1"/>
  <c r="AM11" i="38"/>
  <c r="Z44" i="37"/>
  <c r="Z47" i="37" s="1"/>
  <c r="Z30" i="37"/>
  <c r="Z33" i="37" s="1"/>
  <c r="AW18" i="37"/>
  <c r="AW20" i="37" s="1"/>
  <c r="Z16" i="37"/>
  <c r="Z19" i="37" s="1"/>
  <c r="AO3" i="37"/>
  <c r="AO5" i="37" s="1"/>
  <c r="AW2" i="37"/>
  <c r="AW4" i="37" s="1"/>
  <c r="Z2" i="37"/>
  <c r="Z5" i="37" s="1"/>
  <c r="AL44" i="36"/>
  <c r="AL35" i="36"/>
  <c r="AL23" i="36"/>
  <c r="AL11" i="36"/>
  <c r="AN30" i="36"/>
  <c r="W14" i="46"/>
  <c r="J5" i="46"/>
  <c r="J24" i="46" s="1"/>
  <c r="Z10" i="43"/>
  <c r="Z7" i="43"/>
  <c r="AV4" i="43"/>
  <c r="AW9" i="43"/>
  <c r="Z24" i="43"/>
  <c r="Z21" i="43"/>
  <c r="AV20" i="43"/>
  <c r="AW28" i="43"/>
  <c r="AW30" i="43" s="1"/>
  <c r="Z38" i="43"/>
  <c r="Z35" i="43"/>
  <c r="S39" i="43"/>
  <c r="S41" i="43" s="1"/>
  <c r="Z52" i="43"/>
  <c r="Z49" i="43"/>
  <c r="P4" i="44"/>
  <c r="Q8" i="44"/>
  <c r="AD11" i="45"/>
  <c r="W11" i="45" s="1"/>
  <c r="S11" i="51"/>
  <c r="R11" i="51" s="1"/>
  <c r="Q11" i="51" s="1"/>
  <c r="W21" i="51"/>
  <c r="Q34" i="55"/>
  <c r="R35" i="55"/>
  <c r="K5" i="55" s="1"/>
  <c r="AV31" i="55"/>
  <c r="AW32" i="55"/>
  <c r="Z10" i="49"/>
  <c r="Z7" i="49"/>
  <c r="AV4" i="49"/>
  <c r="AW9" i="49"/>
  <c r="Z24" i="49"/>
  <c r="Z21" i="49"/>
  <c r="AV20" i="49"/>
  <c r="AW28" i="49"/>
  <c r="AW30" i="49" s="1"/>
  <c r="Z38" i="49"/>
  <c r="Z35" i="49"/>
  <c r="S39" i="49"/>
  <c r="S41" i="49" s="1"/>
  <c r="Z52" i="49"/>
  <c r="Z49" i="49"/>
  <c r="AF36" i="29"/>
  <c r="AG42" i="29"/>
  <c r="AL7" i="29"/>
  <c r="AM44" i="29"/>
  <c r="AM35" i="29"/>
  <c r="AM23" i="29"/>
  <c r="AM11" i="29"/>
  <c r="J13" i="40"/>
  <c r="O15" i="40"/>
  <c r="AD41" i="39"/>
  <c r="AD36" i="42"/>
  <c r="AE42" i="42"/>
  <c r="AD36" i="48"/>
  <c r="AE42" i="48"/>
  <c r="W11" i="50"/>
  <c r="W10" i="50" s="1"/>
  <c r="P10" i="50" s="1"/>
  <c r="P11" i="50"/>
  <c r="Y8" i="44"/>
  <c r="X8" i="44" s="1"/>
  <c r="Z32" i="44"/>
  <c r="Y8" i="50"/>
  <c r="X8" i="50" s="1"/>
  <c r="Z32" i="50"/>
  <c r="BP6" i="24"/>
  <c r="BP13" i="24" s="1"/>
  <c r="BT12" i="24"/>
  <c r="BT14" i="24" s="1"/>
  <c r="AD43" i="39"/>
  <c r="W43" i="39" s="1"/>
  <c r="W46" i="39" s="1"/>
  <c r="W49" i="39" s="1"/>
  <c r="AL49" i="36"/>
  <c r="AL40" i="36"/>
  <c r="AL25" i="36"/>
  <c r="AM13" i="38"/>
  <c r="AL13" i="38" s="1"/>
  <c r="L16" i="24"/>
  <c r="BC14" i="24"/>
  <c r="BB14" i="24" s="1"/>
  <c r="BA14" i="24" s="1"/>
  <c r="AM13" i="36"/>
  <c r="AL13" i="36" s="1"/>
  <c r="AM18" i="42"/>
  <c r="AL18" i="42" s="1"/>
  <c r="AM18" i="48"/>
  <c r="AL18" i="48" s="1"/>
  <c r="AM13" i="29"/>
  <c r="AM25" i="29"/>
  <c r="AM40" i="29"/>
  <c r="AM49" i="29"/>
  <c r="AD13" i="51"/>
  <c r="R30" i="44"/>
  <c r="R21" i="50"/>
  <c r="R30" i="50" s="1"/>
  <c r="AP4" i="24"/>
  <c r="AO4" i="24"/>
  <c r="AN4" i="24"/>
  <c r="AM4" i="24"/>
  <c r="AL4" i="24"/>
  <c r="AD4" i="24"/>
  <c r="Z4" i="24"/>
  <c r="Y4" i="24"/>
  <c r="X4" i="24"/>
  <c r="W4" i="24"/>
  <c r="E4" i="24"/>
  <c r="BL3" i="24"/>
  <c r="BK3" i="24"/>
  <c r="BJ3" i="24"/>
  <c r="BI3" i="24"/>
  <c r="BC3" i="24"/>
  <c r="BC4" i="24" s="1"/>
  <c r="BB3" i="24"/>
  <c r="BB4" i="24" s="1"/>
  <c r="BA3" i="24"/>
  <c r="BA4" i="24" s="1"/>
  <c r="AW3" i="24"/>
  <c r="AV3" i="24"/>
  <c r="AU3" i="24"/>
  <c r="AT3" i="24"/>
  <c r="AP3" i="24"/>
  <c r="AP5" i="24" s="1"/>
  <c r="AG3" i="24"/>
  <c r="AG6" i="24" s="1"/>
  <c r="AF3" i="24"/>
  <c r="AE3" i="24"/>
  <c r="S3" i="24"/>
  <c r="R3" i="24"/>
  <c r="Q3" i="24"/>
  <c r="P3" i="24"/>
  <c r="C3" i="24"/>
  <c r="BL2" i="24"/>
  <c r="BL11" i="24" s="1"/>
  <c r="BK2" i="24"/>
  <c r="BJ2" i="24"/>
  <c r="BI2" i="24"/>
  <c r="AV2" i="24"/>
  <c r="S2" i="24"/>
  <c r="R2" i="24"/>
  <c r="Q2" i="24"/>
  <c r="P2" i="24"/>
  <c r="B63" i="23"/>
  <c r="A63" i="23"/>
  <c r="Z60" i="23"/>
  <c r="Y60" i="23"/>
  <c r="X60" i="23"/>
  <c r="W60" i="23"/>
  <c r="B62" i="23"/>
  <c r="C61" i="23"/>
  <c r="F58" i="23"/>
  <c r="Z57" i="23"/>
  <c r="Y57" i="23"/>
  <c r="X57" i="23"/>
  <c r="C57" i="23"/>
  <c r="Z54" i="23"/>
  <c r="Y54" i="23"/>
  <c r="X54" i="23"/>
  <c r="W54" i="23"/>
  <c r="Z53" i="23"/>
  <c r="Y53" i="23"/>
  <c r="X53" i="23"/>
  <c r="W53" i="23"/>
  <c r="X52" i="23"/>
  <c r="W52" i="23"/>
  <c r="AU51" i="23"/>
  <c r="AT51" i="23"/>
  <c r="AS51" i="23"/>
  <c r="AR51" i="23"/>
  <c r="Z51" i="23"/>
  <c r="Y51" i="23"/>
  <c r="X51" i="23"/>
  <c r="W51" i="23"/>
  <c r="BK50" i="23"/>
  <c r="S35" i="46" l="1"/>
  <c r="O12" i="46"/>
  <c r="O27" i="46"/>
  <c r="S22" i="46"/>
  <c r="Q8" i="38"/>
  <c r="Q28" i="30"/>
  <c r="Q33" i="30" s="1"/>
  <c r="Q8" i="39"/>
  <c r="Q27" i="49"/>
  <c r="Q28" i="49" s="1"/>
  <c r="Q33" i="49" s="1"/>
  <c r="Q27" i="43"/>
  <c r="Q28" i="43" s="1"/>
  <c r="Q33" i="43" s="1"/>
  <c r="Q20" i="37"/>
  <c r="R27" i="37"/>
  <c r="R28" i="37" s="1"/>
  <c r="R33" i="37" s="1"/>
  <c r="BK28" i="24"/>
  <c r="BJ28" i="24" s="1"/>
  <c r="BI28" i="24" s="1"/>
  <c r="BL30" i="24"/>
  <c r="Y44" i="30"/>
  <c r="Y47" i="30" s="1"/>
  <c r="Y30" i="30"/>
  <c r="Y33" i="30" s="1"/>
  <c r="Y16" i="30"/>
  <c r="Y19" i="30" s="1"/>
  <c r="BC11" i="30"/>
  <c r="BC15" i="30" s="1"/>
  <c r="BC2" i="30"/>
  <c r="BC6" i="30" s="1"/>
  <c r="Y2" i="30"/>
  <c r="Y5" i="30" s="1"/>
  <c r="P25" i="30"/>
  <c r="Z10" i="30"/>
  <c r="Z7" i="30"/>
  <c r="AV9" i="30"/>
  <c r="AW11" i="30"/>
  <c r="Z24" i="30"/>
  <c r="Z21" i="30"/>
  <c r="AV20" i="30"/>
  <c r="AV28" i="30" s="1"/>
  <c r="AV30" i="30" s="1"/>
  <c r="AW28" i="30"/>
  <c r="AW30" i="30" s="1"/>
  <c r="AW36" i="30" s="1"/>
  <c r="AW38" i="30" s="1"/>
  <c r="Z38" i="30"/>
  <c r="Z35" i="30"/>
  <c r="Z52" i="30"/>
  <c r="Z49" i="30"/>
  <c r="R25" i="24"/>
  <c r="AP18" i="24"/>
  <c r="AP29" i="24"/>
  <c r="BK11" i="24"/>
  <c r="BJ11" i="24" s="1"/>
  <c r="BI11" i="24" s="1"/>
  <c r="AF6" i="24"/>
  <c r="AE6" i="24" s="1"/>
  <c r="AM18" i="29"/>
  <c r="BL13" i="24"/>
  <c r="BK13" i="24" s="1"/>
  <c r="BP15" i="24"/>
  <c r="Y32" i="50"/>
  <c r="Z34" i="50"/>
  <c r="Y32" i="44"/>
  <c r="Z34" i="44"/>
  <c r="X32" i="44"/>
  <c r="X34" i="44" s="1"/>
  <c r="AW31" i="30"/>
  <c r="AV36" i="30"/>
  <c r="AV38" i="30" s="1"/>
  <c r="AD42" i="48"/>
  <c r="AD42" i="42"/>
  <c r="W14" i="40"/>
  <c r="J5" i="40"/>
  <c r="J24" i="40" s="1"/>
  <c r="AL44" i="29"/>
  <c r="AL35" i="29"/>
  <c r="AL40" i="29" s="1"/>
  <c r="AL23" i="29"/>
  <c r="AL11" i="29"/>
  <c r="AL13" i="29" s="1"/>
  <c r="AE36" i="29"/>
  <c r="AF42" i="29"/>
  <c r="X44" i="49"/>
  <c r="X47" i="49" s="1"/>
  <c r="X30" i="49"/>
  <c r="X33" i="49" s="1"/>
  <c r="AU18" i="49"/>
  <c r="AU20" i="49" s="1"/>
  <c r="AT20" i="49" s="1"/>
  <c r="AT28" i="49" s="1"/>
  <c r="AP28" i="49" s="1"/>
  <c r="X16" i="49"/>
  <c r="X19" i="49" s="1"/>
  <c r="BB11" i="49"/>
  <c r="BB15" i="49" s="1"/>
  <c r="AM3" i="49"/>
  <c r="BB2" i="49"/>
  <c r="BB6" i="49" s="1"/>
  <c r="AU2" i="49"/>
  <c r="X2" i="49"/>
  <c r="X5" i="49" s="1"/>
  <c r="S34" i="49"/>
  <c r="AW36" i="49"/>
  <c r="AW38" i="49" s="1"/>
  <c r="AV28" i="49"/>
  <c r="AV9" i="49"/>
  <c r="AW11" i="49"/>
  <c r="K16" i="55"/>
  <c r="Q35" i="55"/>
  <c r="J5" i="55" s="1"/>
  <c r="S11" i="45"/>
  <c r="R11" i="45" s="1"/>
  <c r="Q11" i="45" s="1"/>
  <c r="W21" i="45"/>
  <c r="Q21" i="44"/>
  <c r="X44" i="43"/>
  <c r="X47" i="43" s="1"/>
  <c r="X30" i="43"/>
  <c r="X33" i="43" s="1"/>
  <c r="AU18" i="43"/>
  <c r="AU20" i="43" s="1"/>
  <c r="AT20" i="43" s="1"/>
  <c r="AT28" i="43" s="1"/>
  <c r="AP28" i="43" s="1"/>
  <c r="X16" i="43"/>
  <c r="X19" i="43" s="1"/>
  <c r="BB11" i="43"/>
  <c r="BB15" i="43" s="1"/>
  <c r="AM3" i="43"/>
  <c r="BB2" i="43"/>
  <c r="BB6" i="43" s="1"/>
  <c r="AU2" i="43"/>
  <c r="X2" i="43"/>
  <c r="X5" i="43" s="1"/>
  <c r="S34" i="43"/>
  <c r="AW36" i="43"/>
  <c r="AW38" i="43" s="1"/>
  <c r="AV28" i="43"/>
  <c r="AV9" i="43"/>
  <c r="AW11" i="43"/>
  <c r="Z10" i="37"/>
  <c r="Z7" i="37"/>
  <c r="AV4" i="37"/>
  <c r="AW9" i="37"/>
  <c r="Z24" i="37"/>
  <c r="Z21" i="37"/>
  <c r="AV20" i="37"/>
  <c r="AW28" i="37"/>
  <c r="AW30" i="37" s="1"/>
  <c r="Z38" i="37"/>
  <c r="Z35" i="37"/>
  <c r="S39" i="37"/>
  <c r="S41" i="37" s="1"/>
  <c r="Z52" i="37"/>
  <c r="Z49" i="37"/>
  <c r="AD11" i="39"/>
  <c r="W11" i="39" s="1"/>
  <c r="AT30" i="55"/>
  <c r="AU36" i="55"/>
  <c r="AD36" i="36"/>
  <c r="AE42" i="36"/>
  <c r="W11" i="38"/>
  <c r="W10" i="38" s="1"/>
  <c r="P10" i="38" s="1"/>
  <c r="P11" i="38"/>
  <c r="S39" i="30"/>
  <c r="S41" i="30" s="1"/>
  <c r="Y8" i="38"/>
  <c r="X8" i="38" s="1"/>
  <c r="Z32" i="38"/>
  <c r="S4" i="24"/>
  <c r="AL49" i="29"/>
  <c r="AL25" i="29"/>
  <c r="AM30" i="48"/>
  <c r="AL30" i="48" s="1"/>
  <c r="AM30" i="42"/>
  <c r="AL30" i="42" s="1"/>
  <c r="BC5" i="24"/>
  <c r="BB5" i="24" s="1"/>
  <c r="BA5" i="24" s="1"/>
  <c r="AM5" i="49"/>
  <c r="AU4" i="49"/>
  <c r="AM5" i="43"/>
  <c r="AU4" i="43"/>
  <c r="AM18" i="36"/>
  <c r="AL18" i="36" s="1"/>
  <c r="AM30" i="29"/>
  <c r="AV32" i="55"/>
  <c r="AU38" i="55"/>
  <c r="AD13" i="45"/>
  <c r="R21" i="38"/>
  <c r="R30" i="38" s="1"/>
  <c r="Z50" i="23"/>
  <c r="Y50" i="23"/>
  <c r="X50" i="23"/>
  <c r="W50" i="23"/>
  <c r="Y49" i="23"/>
  <c r="F49" i="23"/>
  <c r="BK48" i="23"/>
  <c r="AU48" i="23"/>
  <c r="AT48" i="23"/>
  <c r="AS48" i="23"/>
  <c r="AR48" i="23"/>
  <c r="AN48" i="23"/>
  <c r="AM48" i="23"/>
  <c r="AL48" i="23"/>
  <c r="AK48" i="23"/>
  <c r="Q49" i="23"/>
  <c r="N49" i="23"/>
  <c r="F48" i="23"/>
  <c r="AU47" i="23"/>
  <c r="AT47" i="23"/>
  <c r="AS47" i="23"/>
  <c r="AR47" i="23"/>
  <c r="Q48" i="23"/>
  <c r="N48" i="23"/>
  <c r="B49" i="23"/>
  <c r="A49" i="23"/>
  <c r="BK46" i="23"/>
  <c r="AY46" i="23"/>
  <c r="AU46" i="23"/>
  <c r="AT46" i="23"/>
  <c r="AS46" i="23"/>
  <c r="AR46" i="23"/>
  <c r="F46" i="23"/>
  <c r="BK45" i="23"/>
  <c r="BC45" i="23"/>
  <c r="AU45" i="23"/>
  <c r="AT45" i="23"/>
  <c r="AS45" i="23"/>
  <c r="AR45" i="23"/>
  <c r="AN45" i="23"/>
  <c r="AN46" i="23" s="1"/>
  <c r="AM45" i="23"/>
  <c r="AM46" i="23" s="1"/>
  <c r="AL45" i="23"/>
  <c r="AL46" i="23" s="1"/>
  <c r="AK45" i="23"/>
  <c r="B47" i="23"/>
  <c r="BK44" i="23"/>
  <c r="AU44" i="23"/>
  <c r="AT44" i="23"/>
  <c r="AS44" i="23"/>
  <c r="AR44" i="23"/>
  <c r="W44" i="23"/>
  <c r="B46" i="23"/>
  <c r="AY43" i="23"/>
  <c r="AU43" i="23"/>
  <c r="AT43" i="23"/>
  <c r="AS43" i="23"/>
  <c r="AR43" i="23"/>
  <c r="AG43" i="23"/>
  <c r="AF43" i="23"/>
  <c r="AE43" i="23"/>
  <c r="AD43" i="23"/>
  <c r="D43" i="23"/>
  <c r="BC42" i="23"/>
  <c r="AY42" i="23"/>
  <c r="I29" i="23"/>
  <c r="BC41" i="23"/>
  <c r="AY41" i="23"/>
  <c r="AR41" i="23"/>
  <c r="A43" i="23"/>
  <c r="BK40" i="23"/>
  <c r="BG40" i="23"/>
  <c r="AU40" i="23"/>
  <c r="AT40" i="23"/>
  <c r="AS40" i="23"/>
  <c r="AR40" i="23"/>
  <c r="Z40" i="23"/>
  <c r="Y40" i="23"/>
  <c r="X40" i="23"/>
  <c r="W40" i="23"/>
  <c r="S41" i="23"/>
  <c r="R41" i="23"/>
  <c r="Q41" i="23"/>
  <c r="P41" i="23"/>
  <c r="B42" i="23"/>
  <c r="BC39" i="23"/>
  <c r="AY39" i="23"/>
  <c r="AN39" i="23"/>
  <c r="AM39" i="23"/>
  <c r="AL39" i="23"/>
  <c r="AK39" i="23"/>
  <c r="B41" i="23"/>
  <c r="AR39" i="23" s="1"/>
  <c r="BK38" i="23"/>
  <c r="BG38" i="23"/>
  <c r="BC38" i="23"/>
  <c r="AY38" i="23"/>
  <c r="C40" i="23"/>
  <c r="B40" i="23" s="1"/>
  <c r="BG37" i="23"/>
  <c r="BC37" i="23"/>
  <c r="AY37" i="23"/>
  <c r="Z37" i="23"/>
  <c r="Y37" i="23"/>
  <c r="X37" i="23"/>
  <c r="W37" i="23"/>
  <c r="I41" i="23"/>
  <c r="E37" i="23"/>
  <c r="BK36" i="23"/>
  <c r="BG36" i="23"/>
  <c r="AN36" i="23"/>
  <c r="AN38" i="23" s="1"/>
  <c r="AM36" i="23"/>
  <c r="AM38" i="23" s="1"/>
  <c r="AL36" i="23"/>
  <c r="AL38" i="23" s="1"/>
  <c r="AK36" i="23"/>
  <c r="Z36" i="23"/>
  <c r="Y36" i="23"/>
  <c r="X36" i="23"/>
  <c r="W36" i="23"/>
  <c r="F36" i="23"/>
  <c r="A38" i="23"/>
  <c r="BK35" i="23"/>
  <c r="BC35" i="23"/>
  <c r="AY35" i="23" s="1"/>
  <c r="AG35" i="23"/>
  <c r="AF35" i="23"/>
  <c r="AE35" i="23"/>
  <c r="AD35" i="23"/>
  <c r="Z35" i="23"/>
  <c r="Y35" i="23"/>
  <c r="X35" i="23"/>
  <c r="W35" i="23"/>
  <c r="BK34" i="23"/>
  <c r="Z34" i="23"/>
  <c r="Y34" i="23"/>
  <c r="X34" i="23"/>
  <c r="W34" i="23"/>
  <c r="I37" i="23"/>
  <c r="B35" i="23"/>
  <c r="BG32" i="23"/>
  <c r="AU32" i="23"/>
  <c r="AT32" i="23"/>
  <c r="AS32" i="23"/>
  <c r="AR32" i="23"/>
  <c r="AG32" i="23"/>
  <c r="AF32" i="23"/>
  <c r="AE32" i="23"/>
  <c r="AD32" i="23"/>
  <c r="S33" i="23"/>
  <c r="S34" i="23" s="1"/>
  <c r="R33" i="23"/>
  <c r="R34" i="23" s="1"/>
  <c r="Q33" i="23"/>
  <c r="Q34" i="23" s="1"/>
  <c r="P33" i="23"/>
  <c r="P34" i="23" s="1"/>
  <c r="I36" i="23"/>
  <c r="E32" i="23"/>
  <c r="AG31" i="23"/>
  <c r="AF31" i="23"/>
  <c r="AE31" i="23"/>
  <c r="AD31" i="23"/>
  <c r="I35" i="23"/>
  <c r="C33" i="23"/>
  <c r="B33" i="23" s="1"/>
  <c r="BK30" i="23"/>
  <c r="BG30" i="23"/>
  <c r="AG30" i="23"/>
  <c r="AF30" i="23"/>
  <c r="AE30" i="23"/>
  <c r="AD30" i="23"/>
  <c r="I34" i="23"/>
  <c r="BG29" i="23"/>
  <c r="AU29" i="23"/>
  <c r="AT29" i="23"/>
  <c r="AS29" i="23"/>
  <c r="AR29" i="23"/>
  <c r="AN29" i="23"/>
  <c r="AM29" i="23"/>
  <c r="AL29" i="23"/>
  <c r="AK29" i="23"/>
  <c r="AG29" i="23"/>
  <c r="AF29" i="23"/>
  <c r="AE29" i="23"/>
  <c r="AD29" i="23"/>
  <c r="S29" i="23"/>
  <c r="S30" i="23" s="1"/>
  <c r="R29" i="23"/>
  <c r="R31" i="23" s="1"/>
  <c r="Q29" i="23"/>
  <c r="Q31" i="23" s="1"/>
  <c r="P29" i="23"/>
  <c r="P30" i="23" s="1"/>
  <c r="BK28" i="23"/>
  <c r="BG28" i="23"/>
  <c r="AY28" i="23"/>
  <c r="AU28" i="23"/>
  <c r="AT28" i="23"/>
  <c r="AS28" i="23"/>
  <c r="AR28" i="23"/>
  <c r="AN28" i="23"/>
  <c r="AM28" i="23"/>
  <c r="AL28" i="23"/>
  <c r="AK28" i="23"/>
  <c r="AG28" i="23"/>
  <c r="AF28" i="23"/>
  <c r="AE28" i="23"/>
  <c r="AD28" i="23"/>
  <c r="BC27" i="23"/>
  <c r="AU27" i="23"/>
  <c r="AT27" i="23"/>
  <c r="AS27" i="23"/>
  <c r="AR27" i="23"/>
  <c r="AG27" i="23"/>
  <c r="AF27" i="23"/>
  <c r="AE27" i="23"/>
  <c r="AD27" i="23"/>
  <c r="BK26" i="23"/>
  <c r="AU26" i="23"/>
  <c r="AT26" i="23"/>
  <c r="AS26" i="23"/>
  <c r="AR26" i="23"/>
  <c r="AN26" i="23"/>
  <c r="AM26" i="23"/>
  <c r="AL26" i="23"/>
  <c r="AK26" i="23"/>
  <c r="Z26" i="23"/>
  <c r="Y26" i="23"/>
  <c r="X26" i="23"/>
  <c r="W26" i="23"/>
  <c r="BK25" i="23"/>
  <c r="AY25" i="23"/>
  <c r="AU25" i="23"/>
  <c r="AT25" i="23"/>
  <c r="AS25" i="23"/>
  <c r="AR25" i="23"/>
  <c r="AE25" i="23"/>
  <c r="Z25" i="23"/>
  <c r="Y25" i="23"/>
  <c r="X25" i="23"/>
  <c r="W25" i="23"/>
  <c r="I26" i="23"/>
  <c r="BK24" i="23"/>
  <c r="BG24" i="23"/>
  <c r="BC24" i="23"/>
  <c r="AY24" i="23"/>
  <c r="AU24" i="23"/>
  <c r="AT24" i="23"/>
  <c r="AS24" i="23"/>
  <c r="AR24" i="23"/>
  <c r="AN24" i="23"/>
  <c r="AM24" i="23"/>
  <c r="AL24" i="23"/>
  <c r="AK24" i="23"/>
  <c r="AF24" i="23"/>
  <c r="AD24" i="23"/>
  <c r="S24" i="23"/>
  <c r="R24" i="23"/>
  <c r="Q24" i="23"/>
  <c r="P24" i="23"/>
  <c r="I25" i="23"/>
  <c r="F24" i="23"/>
  <c r="E24" i="23"/>
  <c r="BC23" i="23"/>
  <c r="AU23" i="23"/>
  <c r="AT23" i="23"/>
  <c r="AS23" i="23"/>
  <c r="AR23" i="23"/>
  <c r="Z23" i="23"/>
  <c r="Y23" i="23"/>
  <c r="X23" i="23"/>
  <c r="W23" i="23"/>
  <c r="S23" i="23"/>
  <c r="R23" i="23"/>
  <c r="Q23" i="23"/>
  <c r="P23" i="23"/>
  <c r="D23" i="23"/>
  <c r="BG22" i="23"/>
  <c r="BC22" i="23"/>
  <c r="AY22" i="23"/>
  <c r="AU22" i="23"/>
  <c r="AT22" i="23"/>
  <c r="AS22" i="23"/>
  <c r="AR22" i="23"/>
  <c r="S22" i="23"/>
  <c r="R22" i="23"/>
  <c r="Q22" i="23"/>
  <c r="P22" i="23"/>
  <c r="E22" i="23"/>
  <c r="BG21" i="23"/>
  <c r="BC21" i="23"/>
  <c r="AU21" i="23"/>
  <c r="AT21" i="23"/>
  <c r="AS21" i="23"/>
  <c r="AR21" i="23"/>
  <c r="BK20" i="23"/>
  <c r="BG20" i="23"/>
  <c r="BC20" i="23"/>
  <c r="AY20" i="23"/>
  <c r="Z20" i="23"/>
  <c r="Y20" i="23"/>
  <c r="X20" i="23"/>
  <c r="W20" i="23"/>
  <c r="Q20" i="23"/>
  <c r="E20" i="23"/>
  <c r="BC19" i="23"/>
  <c r="AY19" i="23"/>
  <c r="Z19" i="23"/>
  <c r="Y19" i="23"/>
  <c r="X19" i="23"/>
  <c r="W19" i="23"/>
  <c r="S19" i="23"/>
  <c r="R19" i="23"/>
  <c r="Q19" i="23"/>
  <c r="P19" i="23"/>
  <c r="BK18" i="23"/>
  <c r="BC18" i="23"/>
  <c r="AG18" i="23"/>
  <c r="AF18" i="23"/>
  <c r="AE18" i="23"/>
  <c r="AD18" i="23"/>
  <c r="Z18" i="23"/>
  <c r="Y18" i="23"/>
  <c r="X18" i="23"/>
  <c r="W18" i="23"/>
  <c r="S18" i="23"/>
  <c r="R18" i="23"/>
  <c r="Q18" i="23"/>
  <c r="P18" i="23"/>
  <c r="AN17" i="23"/>
  <c r="AM17" i="23"/>
  <c r="AL17" i="23"/>
  <c r="AK17" i="23"/>
  <c r="S17" i="23"/>
  <c r="R17" i="23"/>
  <c r="Q17" i="23"/>
  <c r="P17" i="23"/>
  <c r="BK16" i="23"/>
  <c r="BG16" i="23"/>
  <c r="W16" i="23"/>
  <c r="S16" i="23"/>
  <c r="R16" i="23"/>
  <c r="Q16" i="23"/>
  <c r="P16" i="23"/>
  <c r="B16" i="23"/>
  <c r="X49" i="23" s="1"/>
  <c r="W49" i="23" s="1"/>
  <c r="BK15" i="23"/>
  <c r="W15" i="23"/>
  <c r="I16" i="23"/>
  <c r="BK14" i="23"/>
  <c r="BG14" i="23"/>
  <c r="AY14" i="23"/>
  <c r="AU14" i="23"/>
  <c r="AT14" i="23"/>
  <c r="AS14" i="23"/>
  <c r="AR14" i="23"/>
  <c r="AN14" i="23"/>
  <c r="AN15" i="23" s="1"/>
  <c r="AM14" i="23"/>
  <c r="AM15" i="23" s="1"/>
  <c r="AL14" i="23"/>
  <c r="AL15" i="23" s="1"/>
  <c r="AK14" i="23"/>
  <c r="AK16" i="23" s="1"/>
  <c r="P14" i="23"/>
  <c r="BG13" i="23"/>
  <c r="BC13" i="23"/>
  <c r="AG13" i="23"/>
  <c r="AF13" i="23"/>
  <c r="AE13" i="23"/>
  <c r="AD13" i="23"/>
  <c r="X13" i="23"/>
  <c r="P13" i="23"/>
  <c r="B13" i="23"/>
  <c r="BO12" i="23"/>
  <c r="BG12" i="23"/>
  <c r="AN12" i="23"/>
  <c r="AM12" i="23"/>
  <c r="AL12" i="23"/>
  <c r="AK12" i="23"/>
  <c r="AG12" i="23"/>
  <c r="AF12" i="23"/>
  <c r="AE12" i="23"/>
  <c r="AD12" i="23"/>
  <c r="X12" i="23"/>
  <c r="L12" i="23"/>
  <c r="K12" i="23"/>
  <c r="J12" i="23"/>
  <c r="I12" i="23"/>
  <c r="B12" i="23"/>
  <c r="AG24" i="23" s="1"/>
  <c r="BO11" i="23"/>
  <c r="AY11" i="23"/>
  <c r="AU11" i="23"/>
  <c r="AT11" i="23"/>
  <c r="AS11" i="23"/>
  <c r="AR11" i="23"/>
  <c r="Q11" i="23"/>
  <c r="L11" i="23"/>
  <c r="K11" i="23"/>
  <c r="J11" i="23"/>
  <c r="I11" i="23"/>
  <c r="BO10" i="23"/>
  <c r="BK10" i="23"/>
  <c r="BC10" i="23"/>
  <c r="AY10" i="23"/>
  <c r="AU10" i="23"/>
  <c r="AT10" i="23"/>
  <c r="AS10" i="23"/>
  <c r="AR10" i="23"/>
  <c r="AG10" i="23"/>
  <c r="AF10" i="23"/>
  <c r="AE10" i="23"/>
  <c r="AD10" i="23"/>
  <c r="Z10" i="23"/>
  <c r="Y10" i="23"/>
  <c r="X10" i="23"/>
  <c r="W10" i="23"/>
  <c r="Q10" i="23"/>
  <c r="L10" i="23"/>
  <c r="K10" i="23"/>
  <c r="J10" i="23"/>
  <c r="I10" i="23"/>
  <c r="B10" i="23"/>
  <c r="BO9" i="23"/>
  <c r="BC9" i="23"/>
  <c r="AY9" i="23"/>
  <c r="AU9" i="23"/>
  <c r="AT9" i="23"/>
  <c r="AS9" i="23"/>
  <c r="AR9" i="23"/>
  <c r="AE9" i="23"/>
  <c r="AD9" i="23"/>
  <c r="Z9" i="23"/>
  <c r="Y9" i="23"/>
  <c r="X9" i="23"/>
  <c r="W9" i="23"/>
  <c r="L9" i="23"/>
  <c r="BO8" i="23"/>
  <c r="BK8" i="23"/>
  <c r="BG8" i="23"/>
  <c r="BC8" i="23"/>
  <c r="AY8" i="23"/>
  <c r="AU8" i="23"/>
  <c r="AT8" i="23"/>
  <c r="AS8" i="23"/>
  <c r="AR8" i="23"/>
  <c r="S8" i="23"/>
  <c r="P8" i="23"/>
  <c r="L8" i="23"/>
  <c r="K8" i="23"/>
  <c r="J8" i="23"/>
  <c r="I8" i="23"/>
  <c r="E8" i="23"/>
  <c r="BO7" i="23"/>
  <c r="BC7" i="23"/>
  <c r="AY7" i="23"/>
  <c r="AU7" i="23"/>
  <c r="AT7" i="23"/>
  <c r="AS7" i="23"/>
  <c r="AR7" i="23"/>
  <c r="BO6" i="23"/>
  <c r="BK6" i="23"/>
  <c r="BG6" i="23"/>
  <c r="BC6" i="23"/>
  <c r="AU6" i="23"/>
  <c r="AT6" i="23"/>
  <c r="AS6" i="23"/>
  <c r="AR6" i="23"/>
  <c r="AD6" i="23"/>
  <c r="W6" i="23"/>
  <c r="P6" i="23"/>
  <c r="BO5" i="23"/>
  <c r="BK5" i="23"/>
  <c r="BG5" i="23"/>
  <c r="BC5" i="23"/>
  <c r="AY5" i="23"/>
  <c r="AU5" i="23"/>
  <c r="AT5" i="23"/>
  <c r="AS5" i="23"/>
  <c r="AR5" i="23"/>
  <c r="AG5" i="23"/>
  <c r="AF5" i="23"/>
  <c r="AE5" i="23"/>
  <c r="AD5" i="23"/>
  <c r="Z5" i="23"/>
  <c r="Y5" i="23"/>
  <c r="X5" i="23"/>
  <c r="S5" i="23"/>
  <c r="R5" i="23"/>
  <c r="L5" i="23"/>
  <c r="E5" i="23"/>
  <c r="BO4" i="23"/>
  <c r="BK4" i="23"/>
  <c r="BG4" i="23"/>
  <c r="BC4" i="23"/>
  <c r="AY4" i="23"/>
  <c r="AU4" i="23"/>
  <c r="AT4" i="23"/>
  <c r="AS4" i="23"/>
  <c r="AR4" i="23"/>
  <c r="AU3" i="23"/>
  <c r="AT3" i="23"/>
  <c r="AS3" i="23"/>
  <c r="AR3" i="23"/>
  <c r="AN3" i="23"/>
  <c r="AM3" i="23"/>
  <c r="AL3" i="23"/>
  <c r="AK3" i="23"/>
  <c r="AG3" i="23"/>
  <c r="AF3" i="23"/>
  <c r="AE3" i="23"/>
  <c r="AD3" i="23"/>
  <c r="Z3" i="23"/>
  <c r="Y3" i="23"/>
  <c r="X3" i="23"/>
  <c r="W3" i="23"/>
  <c r="S3" i="23"/>
  <c r="R3" i="23"/>
  <c r="Q3" i="23"/>
  <c r="P3" i="23"/>
  <c r="C3" i="23"/>
  <c r="AN2" i="23"/>
  <c r="AM2" i="23"/>
  <c r="AL2" i="23"/>
  <c r="AK2" i="23"/>
  <c r="AG2" i="23"/>
  <c r="AF2" i="23"/>
  <c r="AE2" i="23"/>
  <c r="AD2" i="23"/>
  <c r="Z2" i="23"/>
  <c r="Y2" i="23"/>
  <c r="X2" i="23"/>
  <c r="W2" i="23"/>
  <c r="S2" i="23"/>
  <c r="R2" i="23"/>
  <c r="Q2" i="23"/>
  <c r="P2" i="23"/>
  <c r="Q25" i="24" l="1"/>
  <c r="P25" i="24" s="1"/>
  <c r="O27" i="40"/>
  <c r="S35" i="40"/>
  <c r="S22" i="40"/>
  <c r="O12" i="40"/>
  <c r="L13" i="23"/>
  <c r="AV11" i="49"/>
  <c r="AU28" i="49"/>
  <c r="Q5" i="23"/>
  <c r="AV11" i="43"/>
  <c r="AU28" i="43"/>
  <c r="Y34" i="50"/>
  <c r="R39" i="43"/>
  <c r="R41" i="43" s="1"/>
  <c r="Y16" i="43"/>
  <c r="Y19" i="43" s="1"/>
  <c r="AN3" i="43"/>
  <c r="AN5" i="43" s="1"/>
  <c r="Y2" i="43"/>
  <c r="Y5" i="43" s="1"/>
  <c r="Y44" i="43"/>
  <c r="Y47" i="43" s="1"/>
  <c r="Y30" i="43"/>
  <c r="Y33" i="43" s="1"/>
  <c r="BC11" i="43"/>
  <c r="BC15" i="43" s="1"/>
  <c r="BC2" i="43"/>
  <c r="BC6" i="43" s="1"/>
  <c r="Y44" i="49"/>
  <c r="Y47" i="49" s="1"/>
  <c r="Y30" i="49"/>
  <c r="Y33" i="49" s="1"/>
  <c r="BC11" i="49"/>
  <c r="BC15" i="49" s="1"/>
  <c r="BC2" i="49"/>
  <c r="BC6" i="49" s="1"/>
  <c r="R39" i="49"/>
  <c r="R41" i="49" s="1"/>
  <c r="Y16" i="49"/>
  <c r="Y19" i="49" s="1"/>
  <c r="AN3" i="49"/>
  <c r="AN5" i="49" s="1"/>
  <c r="Y2" i="49"/>
  <c r="Y5" i="49" s="1"/>
  <c r="BJ13" i="24"/>
  <c r="BI13" i="24" s="1"/>
  <c r="BI15" i="24" s="1"/>
  <c r="Y34" i="44"/>
  <c r="Q27" i="37"/>
  <c r="Q28" i="37" s="1"/>
  <c r="Q33" i="37" s="1"/>
  <c r="W4" i="23"/>
  <c r="AK4" i="23"/>
  <c r="AV11" i="30"/>
  <c r="BK30" i="24"/>
  <c r="BJ30" i="24" s="1"/>
  <c r="BI30" i="24" s="1"/>
  <c r="BI32" i="24" s="1"/>
  <c r="X44" i="30"/>
  <c r="X47" i="30" s="1"/>
  <c r="X30" i="30"/>
  <c r="X33" i="30" s="1"/>
  <c r="AU18" i="30"/>
  <c r="AU20" i="30" s="1"/>
  <c r="X16" i="30"/>
  <c r="X19" i="30" s="1"/>
  <c r="BB11" i="30"/>
  <c r="BB15" i="30" s="1"/>
  <c r="AM3" i="30"/>
  <c r="AM5" i="30" s="1"/>
  <c r="BB2" i="30"/>
  <c r="BB6" i="30" s="1"/>
  <c r="AU2" i="30"/>
  <c r="AU4" i="30" s="1"/>
  <c r="AU9" i="30" s="1"/>
  <c r="AU11" i="30" s="1"/>
  <c r="X2" i="30"/>
  <c r="X5" i="30" s="1"/>
  <c r="Y10" i="30"/>
  <c r="Y7" i="30"/>
  <c r="Y24" i="30"/>
  <c r="Y21" i="30"/>
  <c r="Y38" i="30"/>
  <c r="Y35" i="30"/>
  <c r="Y52" i="30"/>
  <c r="Y49" i="30"/>
  <c r="BO14" i="23"/>
  <c r="AP20" i="24"/>
  <c r="AP22" i="24" s="1"/>
  <c r="AL30" i="24" s="1"/>
  <c r="AP19" i="24"/>
  <c r="W32" i="23"/>
  <c r="X32" i="23"/>
  <c r="Y32" i="23"/>
  <c r="Z32" i="23"/>
  <c r="AG4" i="23"/>
  <c r="AF4" i="23" s="1"/>
  <c r="AF7" i="23" s="1"/>
  <c r="AK15" i="23"/>
  <c r="P31" i="23"/>
  <c r="R30" i="23"/>
  <c r="Q30" i="23" s="1"/>
  <c r="AL18" i="29"/>
  <c r="S4" i="23"/>
  <c r="R4" i="23" s="1"/>
  <c r="Q4" i="23" s="1"/>
  <c r="P4" i="23" s="1"/>
  <c r="AE4" i="23"/>
  <c r="AD4" i="23" s="1"/>
  <c r="Z4" i="23" s="1"/>
  <c r="Y4" i="23" s="1"/>
  <c r="X4" i="23" s="1"/>
  <c r="X10" i="43"/>
  <c r="X7" i="43"/>
  <c r="X24" i="43"/>
  <c r="X21" i="43"/>
  <c r="X38" i="43"/>
  <c r="X35" i="43"/>
  <c r="X52" i="43"/>
  <c r="X49" i="43"/>
  <c r="X10" i="49"/>
  <c r="X7" i="49"/>
  <c r="X24" i="49"/>
  <c r="X21" i="49"/>
  <c r="X38" i="49"/>
  <c r="X35" i="49"/>
  <c r="X52" i="49"/>
  <c r="X49" i="49"/>
  <c r="R4" i="24"/>
  <c r="Q4" i="24" s="1"/>
  <c r="P4" i="24" s="1"/>
  <c r="S8" i="24"/>
  <c r="Y32" i="38"/>
  <c r="Z34" i="38"/>
  <c r="R39" i="30"/>
  <c r="R41" i="30" s="1"/>
  <c r="Q39" i="30"/>
  <c r="S34" i="30"/>
  <c r="AD42" i="36"/>
  <c r="AT36" i="55"/>
  <c r="S11" i="39"/>
  <c r="R11" i="39" s="1"/>
  <c r="Q11" i="39" s="1"/>
  <c r="W21" i="39"/>
  <c r="X44" i="37"/>
  <c r="X47" i="37" s="1"/>
  <c r="X30" i="37"/>
  <c r="X33" i="37" s="1"/>
  <c r="AU18" i="37"/>
  <c r="AU20" i="37" s="1"/>
  <c r="AT20" i="37" s="1"/>
  <c r="AT28" i="37" s="1"/>
  <c r="AP28" i="37" s="1"/>
  <c r="X16" i="37"/>
  <c r="X19" i="37" s="1"/>
  <c r="BB11" i="37"/>
  <c r="AM3" i="37"/>
  <c r="BB2" i="37"/>
  <c r="AU2" i="37"/>
  <c r="X2" i="37"/>
  <c r="X5" i="37" s="1"/>
  <c r="S34" i="37"/>
  <c r="AW36" i="37"/>
  <c r="AW38" i="37" s="1"/>
  <c r="AV28" i="37"/>
  <c r="AV9" i="37"/>
  <c r="AW11" i="37"/>
  <c r="AW31" i="43"/>
  <c r="R34" i="43"/>
  <c r="S35" i="43"/>
  <c r="Q39" i="43"/>
  <c r="Q41" i="43" s="1"/>
  <c r="Q30" i="44"/>
  <c r="AW31" i="49"/>
  <c r="R34" i="49"/>
  <c r="S35" i="49"/>
  <c r="Q39" i="49"/>
  <c r="AD36" i="29"/>
  <c r="AD42" i="29" s="1"/>
  <c r="AE42" i="29"/>
  <c r="AV31" i="30"/>
  <c r="AW32" i="30"/>
  <c r="AN4" i="23"/>
  <c r="AN5" i="23"/>
  <c r="AY6" i="23"/>
  <c r="BK7" i="23"/>
  <c r="BG7" i="23" s="1"/>
  <c r="S9" i="23"/>
  <c r="R9" i="23" s="1"/>
  <c r="Q9" i="23" s="1"/>
  <c r="BG15" i="23"/>
  <c r="AN16" i="23"/>
  <c r="AM16" i="23" s="1"/>
  <c r="AL16" i="23" s="1"/>
  <c r="AY21" i="23"/>
  <c r="AY23" i="23" s="1"/>
  <c r="BG23" i="23"/>
  <c r="BG25" i="23" s="1"/>
  <c r="Z24" i="23"/>
  <c r="Y24" i="23" s="1"/>
  <c r="X24" i="23" s="1"/>
  <c r="W24" i="23" s="1"/>
  <c r="AE24" i="23"/>
  <c r="AG26" i="23"/>
  <c r="AN27" i="23"/>
  <c r="AM27" i="23" s="1"/>
  <c r="AL27" i="23" s="1"/>
  <c r="AK27" i="23" s="1"/>
  <c r="AN37" i="23"/>
  <c r="AM37" i="23" s="1"/>
  <c r="AL37" i="23" s="1"/>
  <c r="AK37" i="23" s="1"/>
  <c r="BK37" i="23"/>
  <c r="BK39" i="23" s="1"/>
  <c r="AK38" i="23"/>
  <c r="AS39" i="23"/>
  <c r="BC40" i="23"/>
  <c r="AY40" i="23" s="1"/>
  <c r="AK46" i="23"/>
  <c r="Q47" i="23" s="1"/>
  <c r="AN47" i="23"/>
  <c r="AM47" i="23" s="1"/>
  <c r="AL47" i="23" s="1"/>
  <c r="AK47" i="23" s="1"/>
  <c r="BK47" i="23"/>
  <c r="BK49" i="23" s="1"/>
  <c r="BK51" i="23" s="1"/>
  <c r="AT38" i="55"/>
  <c r="AL30" i="29"/>
  <c r="AM30" i="36"/>
  <c r="AL30" i="36" s="1"/>
  <c r="AU31" i="55"/>
  <c r="BB6" i="37"/>
  <c r="AM5" i="37"/>
  <c r="BB15" i="37"/>
  <c r="AU4" i="37"/>
  <c r="AU9" i="43"/>
  <c r="AU11" i="43" s="1"/>
  <c r="AV30" i="43"/>
  <c r="J16" i="55"/>
  <c r="AU9" i="49"/>
  <c r="AU11" i="49" s="1"/>
  <c r="AV30" i="49"/>
  <c r="Q41" i="49"/>
  <c r="AD13" i="39"/>
  <c r="Z8" i="23" l="1"/>
  <c r="Y8" i="23" s="1"/>
  <c r="X8" i="23" s="1"/>
  <c r="BG39" i="23"/>
  <c r="BK41" i="23"/>
  <c r="Y52" i="49"/>
  <c r="Y49" i="49"/>
  <c r="Y52" i="43"/>
  <c r="Y49" i="43"/>
  <c r="AV32" i="30"/>
  <c r="Q41" i="30"/>
  <c r="Y10" i="49"/>
  <c r="Y7" i="49"/>
  <c r="Y24" i="49"/>
  <c r="Y21" i="49"/>
  <c r="Y38" i="49"/>
  <c r="Y35" i="49"/>
  <c r="Y38" i="43"/>
  <c r="Y35" i="43"/>
  <c r="Y10" i="43"/>
  <c r="Y7" i="43"/>
  <c r="Y24" i="43"/>
  <c r="Y21" i="43"/>
  <c r="AE7" i="23"/>
  <c r="AD7" i="23" s="1"/>
  <c r="Y44" i="37"/>
  <c r="Y47" i="37" s="1"/>
  <c r="Y30" i="37"/>
  <c r="Y33" i="37" s="1"/>
  <c r="BC11" i="37"/>
  <c r="BC15" i="37" s="1"/>
  <c r="BC2" i="37"/>
  <c r="BC6" i="37" s="1"/>
  <c r="R39" i="37"/>
  <c r="R41" i="37" s="1"/>
  <c r="Y16" i="37"/>
  <c r="Y19" i="37" s="1"/>
  <c r="AN3" i="37"/>
  <c r="AN5" i="37" s="1"/>
  <c r="Y2" i="37"/>
  <c r="Y5" i="37" s="1"/>
  <c r="S21" i="23"/>
  <c r="R21" i="23" s="1"/>
  <c r="Q21" i="23" s="1"/>
  <c r="BK9" i="23"/>
  <c r="AV11" i="37"/>
  <c r="AU28" i="37"/>
  <c r="Y34" i="38"/>
  <c r="X10" i="30"/>
  <c r="X7" i="30"/>
  <c r="X24" i="30"/>
  <c r="X21" i="30"/>
  <c r="AT20" i="30"/>
  <c r="AU28" i="30"/>
  <c r="X38" i="30"/>
  <c r="X35" i="30"/>
  <c r="X52" i="30"/>
  <c r="X49" i="30"/>
  <c r="Z55" i="23"/>
  <c r="Y55" i="23"/>
  <c r="X55" i="23"/>
  <c r="W55" i="23"/>
  <c r="W56" i="23" s="1"/>
  <c r="AU49" i="23"/>
  <c r="AT49" i="23"/>
  <c r="AS49" i="23"/>
  <c r="AR49" i="23"/>
  <c r="AR50" i="23" s="1"/>
  <c r="AY44" i="23"/>
  <c r="AY45" i="23" s="1"/>
  <c r="BC43" i="23"/>
  <c r="BC44" i="23" s="1"/>
  <c r="Z38" i="23"/>
  <c r="Y38" i="23"/>
  <c r="X38" i="23"/>
  <c r="W38" i="23"/>
  <c r="AG33" i="23"/>
  <c r="AF33" i="23"/>
  <c r="AE33" i="23"/>
  <c r="AD33" i="23"/>
  <c r="AU30" i="23"/>
  <c r="AU31" i="23" s="1"/>
  <c r="AT30" i="23"/>
  <c r="AT31" i="23" s="1"/>
  <c r="AS30" i="23"/>
  <c r="AS31" i="23" s="1"/>
  <c r="AR30" i="23"/>
  <c r="AR31" i="23" s="1"/>
  <c r="AY26" i="23"/>
  <c r="AY27" i="23" s="1"/>
  <c r="AY29" i="23" s="1"/>
  <c r="BC25" i="23"/>
  <c r="BC26" i="23" s="1"/>
  <c r="BC28" i="23" s="1"/>
  <c r="S25" i="23"/>
  <c r="S26" i="23" s="1"/>
  <c r="R25" i="23"/>
  <c r="R26" i="23" s="1"/>
  <c r="Q25" i="23"/>
  <c r="Q26" i="23" s="1"/>
  <c r="P25" i="23"/>
  <c r="P26" i="23" s="1"/>
  <c r="I27" i="23" s="1"/>
  <c r="Z21" i="23"/>
  <c r="Y21" i="23"/>
  <c r="X21" i="23"/>
  <c r="W21" i="23"/>
  <c r="AG14" i="23"/>
  <c r="AF14" i="23"/>
  <c r="AE14" i="23"/>
  <c r="AE15" i="23" s="1"/>
  <c r="AD14" i="23"/>
  <c r="AD15" i="23" s="1"/>
  <c r="AY12" i="23"/>
  <c r="AY13" i="23" s="1"/>
  <c r="AU12" i="23"/>
  <c r="AT12" i="23"/>
  <c r="AS12" i="23"/>
  <c r="AS13" i="23" s="1"/>
  <c r="AR12" i="23"/>
  <c r="AR13" i="23" s="1"/>
  <c r="BC11" i="23"/>
  <c r="BC12" i="23" s="1"/>
  <c r="BC14" i="23" s="1"/>
  <c r="AY15" i="23"/>
  <c r="AG15" i="23"/>
  <c r="X10" i="37"/>
  <c r="X7" i="37"/>
  <c r="X24" i="37"/>
  <c r="X21" i="37"/>
  <c r="X38" i="37"/>
  <c r="X35" i="37"/>
  <c r="X52" i="37"/>
  <c r="X49" i="37"/>
  <c r="AU30" i="49"/>
  <c r="AV36" i="49"/>
  <c r="AV38" i="49" s="1"/>
  <c r="AU30" i="43"/>
  <c r="AV36" i="43"/>
  <c r="AV38" i="43" s="1"/>
  <c r="AT31" i="55"/>
  <c r="AU32" i="55"/>
  <c r="AF26" i="23"/>
  <c r="AE26" i="23" s="1"/>
  <c r="AD26" i="23" s="1"/>
  <c r="AD34" i="23" s="1"/>
  <c r="AG34" i="23"/>
  <c r="AM5" i="23"/>
  <c r="AM4" i="23"/>
  <c r="AL4" i="23" s="1"/>
  <c r="AN7" i="23"/>
  <c r="Q34" i="49"/>
  <c r="R35" i="49"/>
  <c r="K5" i="49" s="1"/>
  <c r="AV31" i="49"/>
  <c r="AW32" i="49"/>
  <c r="Q34" i="43"/>
  <c r="R35" i="43"/>
  <c r="K5" i="43" s="1"/>
  <c r="AV31" i="43"/>
  <c r="AW32" i="43"/>
  <c r="AW31" i="37"/>
  <c r="R34" i="37"/>
  <c r="S35" i="37"/>
  <c r="Q39" i="37"/>
  <c r="Q41" i="37" s="1"/>
  <c r="R34" i="30"/>
  <c r="S35" i="30"/>
  <c r="R8" i="24"/>
  <c r="Q8" i="24" s="1"/>
  <c r="S20" i="24"/>
  <c r="AU9" i="37"/>
  <c r="AU11" i="37" s="1"/>
  <c r="AV30" i="37"/>
  <c r="B59" i="18"/>
  <c r="A59" i="18"/>
  <c r="F56" i="18"/>
  <c r="B58" i="18"/>
  <c r="C57" i="18"/>
  <c r="BG41" i="23" l="1"/>
  <c r="AF15" i="23"/>
  <c r="Y49" i="37"/>
  <c r="Y52" i="37"/>
  <c r="BG9" i="23"/>
  <c r="BK11" i="23"/>
  <c r="Y7" i="37"/>
  <c r="Y10" i="37"/>
  <c r="Y21" i="37"/>
  <c r="Y24" i="37"/>
  <c r="Y35" i="37"/>
  <c r="Y38" i="37"/>
  <c r="AT28" i="30"/>
  <c r="AU30" i="30"/>
  <c r="AU36" i="30" s="1"/>
  <c r="AU38" i="30" s="1"/>
  <c r="AU13" i="23"/>
  <c r="AT13" i="23" s="1"/>
  <c r="AU30" i="37"/>
  <c r="AV36" i="37"/>
  <c r="AV38" i="37" s="1"/>
  <c r="AV31" i="37" s="1"/>
  <c r="R20" i="24"/>
  <c r="Q20" i="24" s="1"/>
  <c r="S27" i="24"/>
  <c r="S28" i="24" s="1"/>
  <c r="S33" i="24" s="1"/>
  <c r="Q34" i="30"/>
  <c r="R35" i="30"/>
  <c r="Q34" i="37"/>
  <c r="R35" i="37"/>
  <c r="K5" i="37" s="1"/>
  <c r="AW32" i="37"/>
  <c r="K16" i="43"/>
  <c r="Q35" i="43"/>
  <c r="J5" i="43" s="1"/>
  <c r="K16" i="49"/>
  <c r="Q35" i="49"/>
  <c r="J5" i="49" s="1"/>
  <c r="AM7" i="23"/>
  <c r="AN44" i="23"/>
  <c r="AN49" i="23" s="1"/>
  <c r="AN35" i="23"/>
  <c r="AN40" i="23" s="1"/>
  <c r="AN23" i="23"/>
  <c r="AN25" i="23" s="1"/>
  <c r="AN11" i="23"/>
  <c r="AN13" i="23" s="1"/>
  <c r="AL5" i="23"/>
  <c r="AF34" i="23"/>
  <c r="AE34" i="23" s="1"/>
  <c r="AG36" i="23"/>
  <c r="AP31" i="55"/>
  <c r="AL29" i="55" s="1"/>
  <c r="AL31" i="55" s="1"/>
  <c r="I25" i="55" s="1"/>
  <c r="AT32" i="55"/>
  <c r="AT30" i="43"/>
  <c r="AU36" i="43"/>
  <c r="AT30" i="49"/>
  <c r="AU36" i="49"/>
  <c r="AL7" i="23"/>
  <c r="AN18" i="23"/>
  <c r="AN30" i="23" s="1"/>
  <c r="AV32" i="43"/>
  <c r="AU38" i="43"/>
  <c r="AV32" i="49"/>
  <c r="AU38" i="49"/>
  <c r="F54" i="18"/>
  <c r="F53" i="18"/>
  <c r="I52" i="18"/>
  <c r="F51" i="18"/>
  <c r="C53" i="18"/>
  <c r="Z48" i="18"/>
  <c r="Y48" i="18"/>
  <c r="X48" i="18"/>
  <c r="W48" i="18"/>
  <c r="AF47" i="18"/>
  <c r="AB47" i="18"/>
  <c r="BP46" i="18"/>
  <c r="AF46" i="18"/>
  <c r="AB46" i="18"/>
  <c r="Z46" i="18"/>
  <c r="Y46" i="18"/>
  <c r="X46" i="18"/>
  <c r="W46" i="18"/>
  <c r="E46" i="18"/>
  <c r="AF45" i="18"/>
  <c r="AB45" i="18"/>
  <c r="I45" i="18"/>
  <c r="F45" i="18"/>
  <c r="BT44" i="18"/>
  <c r="BP44" i="18"/>
  <c r="AF44" i="18" s="1"/>
  <c r="I44" i="18"/>
  <c r="BP43" i="18"/>
  <c r="I43" i="18"/>
  <c r="B45" i="18"/>
  <c r="A45" i="18"/>
  <c r="BT42" i="18"/>
  <c r="BP42" i="18"/>
  <c r="I42" i="18"/>
  <c r="BT41" i="18"/>
  <c r="BP41" i="18"/>
  <c r="E41" i="18"/>
  <c r="B43" i="18"/>
  <c r="B42" i="18"/>
  <c r="BT39" i="18"/>
  <c r="BP39" i="18"/>
  <c r="S40" i="18"/>
  <c r="R40" i="18"/>
  <c r="Q40" i="18"/>
  <c r="P40" i="18"/>
  <c r="Z53" i="18" s="1"/>
  <c r="Y53" i="18" s="1"/>
  <c r="BT38" i="18"/>
  <c r="BP38" i="18"/>
  <c r="AH38" i="18"/>
  <c r="BA37" i="18"/>
  <c r="AW37" i="18"/>
  <c r="AV37" i="18"/>
  <c r="AU37" i="18"/>
  <c r="AT37" i="18"/>
  <c r="AD37" i="18"/>
  <c r="F37" i="18"/>
  <c r="C39" i="18"/>
  <c r="B39" i="18"/>
  <c r="BT36" i="18"/>
  <c r="BP36" i="18"/>
  <c r="AD36" i="18"/>
  <c r="F36" i="18"/>
  <c r="C38" i="18"/>
  <c r="B38" i="18" s="1"/>
  <c r="BT35" i="18"/>
  <c r="BP35" i="18" s="1"/>
  <c r="BA35" i="18"/>
  <c r="AH35" i="18"/>
  <c r="AD35" i="18"/>
  <c r="I35" i="18"/>
  <c r="B37" i="18"/>
  <c r="BA34" i="18"/>
  <c r="AH34" i="18"/>
  <c r="AD34" i="18"/>
  <c r="Z34" i="18"/>
  <c r="Y34" i="18"/>
  <c r="X34" i="18"/>
  <c r="W34" i="18"/>
  <c r="I34" i="18"/>
  <c r="I36" i="18" s="1"/>
  <c r="C36" i="18"/>
  <c r="A36" i="18"/>
  <c r="BA33" i="18"/>
  <c r="AH33" i="18"/>
  <c r="F33" i="18"/>
  <c r="B35" i="18"/>
  <c r="BA32" i="18"/>
  <c r="AH32" i="18"/>
  <c r="AD32" i="18"/>
  <c r="Z32" i="18"/>
  <c r="Y32" i="18"/>
  <c r="X32" i="18"/>
  <c r="W32" i="18"/>
  <c r="BA31" i="18"/>
  <c r="AH31" i="18"/>
  <c r="AD31" i="18"/>
  <c r="S32" i="18"/>
  <c r="R32" i="18"/>
  <c r="Q32" i="18"/>
  <c r="I31" i="18"/>
  <c r="C33" i="18"/>
  <c r="B33" i="18" s="1"/>
  <c r="BA30" i="18"/>
  <c r="AP30" i="18"/>
  <c r="F30" i="18"/>
  <c r="E30" i="18"/>
  <c r="BL29" i="18"/>
  <c r="BK29" i="18"/>
  <c r="BJ29" i="18"/>
  <c r="BI29" i="18"/>
  <c r="BA29" i="18"/>
  <c r="AW29" i="18"/>
  <c r="AV29" i="18"/>
  <c r="AU29" i="18"/>
  <c r="AT29" i="18"/>
  <c r="BA36" i="18" l="1"/>
  <c r="AU31" i="30"/>
  <c r="AP28" i="30"/>
  <c r="AT30" i="30"/>
  <c r="AT36" i="30" s="1"/>
  <c r="AT38" i="30" s="1"/>
  <c r="AU15" i="23"/>
  <c r="AT15" i="23" s="1"/>
  <c r="AS15" i="23" s="1"/>
  <c r="AR15" i="23" s="1"/>
  <c r="AR17" i="23" s="1"/>
  <c r="AL44" i="23"/>
  <c r="AL35" i="23"/>
  <c r="AL40" i="23" s="1"/>
  <c r="AL23" i="23"/>
  <c r="AL11" i="23"/>
  <c r="AT36" i="49"/>
  <c r="AT36" i="43"/>
  <c r="AT38" i="43" s="1"/>
  <c r="AF36" i="23"/>
  <c r="AG42" i="23"/>
  <c r="AM44" i="23"/>
  <c r="AM49" i="23" s="1"/>
  <c r="AL49" i="23" s="1"/>
  <c r="AM35" i="23"/>
  <c r="AM23" i="23"/>
  <c r="AM11" i="23"/>
  <c r="AM13" i="23" s="1"/>
  <c r="AL13" i="23" s="1"/>
  <c r="K16" i="37"/>
  <c r="Q35" i="37"/>
  <c r="J5" i="37" s="1"/>
  <c r="Q35" i="30"/>
  <c r="K5" i="30"/>
  <c r="R27" i="24"/>
  <c r="R28" i="24" s="1"/>
  <c r="R33" i="24" s="1"/>
  <c r="AT30" i="37"/>
  <c r="AU36" i="37"/>
  <c r="AU38" i="37" s="1"/>
  <c r="AD33" i="18"/>
  <c r="BA38" i="18"/>
  <c r="W39" i="18"/>
  <c r="X39" i="18"/>
  <c r="Y39" i="18"/>
  <c r="Z39" i="18"/>
  <c r="BT40" i="18"/>
  <c r="BP40" i="18" s="1"/>
  <c r="BT43" i="18"/>
  <c r="BT45" i="18" s="1"/>
  <c r="BP45" i="18" s="1"/>
  <c r="BP47" i="18" s="1"/>
  <c r="BP49" i="18" s="1"/>
  <c r="I46" i="18"/>
  <c r="W53" i="18"/>
  <c r="X53" i="18"/>
  <c r="AT38" i="49"/>
  <c r="AU31" i="49"/>
  <c r="AU31" i="43"/>
  <c r="AM25" i="23"/>
  <c r="AL25" i="23" s="1"/>
  <c r="AM40" i="23"/>
  <c r="J16" i="49"/>
  <c r="J16" i="43"/>
  <c r="AV32" i="37"/>
  <c r="I29" i="18"/>
  <c r="D29" i="18"/>
  <c r="BP28" i="18"/>
  <c r="S30" i="18"/>
  <c r="R30" i="18"/>
  <c r="P30" i="18"/>
  <c r="I28" i="18"/>
  <c r="E28" i="18"/>
  <c r="BT27" i="18"/>
  <c r="AP27" i="18"/>
  <c r="I27" i="18"/>
  <c r="BL26" i="18"/>
  <c r="BK26" i="18"/>
  <c r="BJ26" i="18"/>
  <c r="BI26" i="18"/>
  <c r="AW26" i="18"/>
  <c r="AV26" i="18"/>
  <c r="AU26" i="18"/>
  <c r="AT26" i="18"/>
  <c r="I26" i="18"/>
  <c r="BT25" i="18"/>
  <c r="BP25" i="18"/>
  <c r="BL25" i="18"/>
  <c r="BK25" i="18"/>
  <c r="BJ25" i="18"/>
  <c r="BI25" i="18"/>
  <c r="AW25" i="18"/>
  <c r="AV25" i="18"/>
  <c r="AU25" i="18"/>
  <c r="AT25" i="18"/>
  <c r="Z25" i="18"/>
  <c r="Y25" i="18"/>
  <c r="X25" i="18"/>
  <c r="W25" i="18"/>
  <c r="BT24" i="18"/>
  <c r="BP24" i="18"/>
  <c r="BL24" i="18"/>
  <c r="BK24" i="18"/>
  <c r="BJ24" i="18"/>
  <c r="BI24" i="18"/>
  <c r="AW24" i="18"/>
  <c r="AV24" i="18"/>
  <c r="AU24" i="18"/>
  <c r="AT24" i="18"/>
  <c r="AG24" i="18"/>
  <c r="AF24" i="18"/>
  <c r="AE24" i="18"/>
  <c r="AD24" i="18"/>
  <c r="F24" i="18"/>
  <c r="BT23" i="18"/>
  <c r="BL23" i="18"/>
  <c r="BK23" i="18"/>
  <c r="BJ23" i="18"/>
  <c r="BI23" i="18"/>
  <c r="AW23" i="18"/>
  <c r="AV23" i="18"/>
  <c r="AU23" i="18"/>
  <c r="AT23" i="18"/>
  <c r="AG23" i="18"/>
  <c r="AF23" i="18"/>
  <c r="AE23" i="18"/>
  <c r="AD23" i="18"/>
  <c r="S23" i="18"/>
  <c r="R23" i="18"/>
  <c r="Q23" i="18"/>
  <c r="P23" i="18"/>
  <c r="BT22" i="18"/>
  <c r="BP22" i="18"/>
  <c r="BL22" i="18"/>
  <c r="BK22" i="18"/>
  <c r="BJ22" i="18"/>
  <c r="BI22" i="18"/>
  <c r="AW22" i="18"/>
  <c r="AV22" i="18"/>
  <c r="AU22" i="18"/>
  <c r="AT22" i="18"/>
  <c r="AL22" i="18"/>
  <c r="S22" i="18"/>
  <c r="R22" i="18"/>
  <c r="Q22" i="18"/>
  <c r="P22" i="18"/>
  <c r="BT21" i="18"/>
  <c r="BL21" i="18"/>
  <c r="BK21" i="18"/>
  <c r="BJ21" i="18"/>
  <c r="BI21" i="18"/>
  <c r="AW21" i="18"/>
  <c r="AV21" i="18"/>
  <c r="AU21" i="18"/>
  <c r="AT21" i="18"/>
  <c r="AP21" i="18"/>
  <c r="AL21" i="18"/>
  <c r="S21" i="18"/>
  <c r="R21" i="18"/>
  <c r="Q21" i="18"/>
  <c r="P21" i="18"/>
  <c r="L21" i="18"/>
  <c r="K21" i="18"/>
  <c r="J21" i="18"/>
  <c r="I21" i="18"/>
  <c r="BT20" i="18"/>
  <c r="BP20" i="18"/>
  <c r="BL20" i="18"/>
  <c r="BK20" i="18"/>
  <c r="BJ20" i="18"/>
  <c r="BI20" i="18"/>
  <c r="BA20" i="18"/>
  <c r="AG20" i="18"/>
  <c r="AF20" i="18"/>
  <c r="AE20" i="18"/>
  <c r="AD20" i="18"/>
  <c r="Z20" i="18"/>
  <c r="Y20" i="18"/>
  <c r="X20" i="18"/>
  <c r="W20" i="18"/>
  <c r="L20" i="18"/>
  <c r="K20" i="18"/>
  <c r="J20" i="18"/>
  <c r="I20" i="18"/>
  <c r="BT19" i="18"/>
  <c r="BL19" i="18"/>
  <c r="BK19" i="18"/>
  <c r="BJ19" i="18"/>
  <c r="BI19" i="18"/>
  <c r="AU19" i="18"/>
  <c r="AL19" i="18"/>
  <c r="AG19" i="18"/>
  <c r="AF19" i="18"/>
  <c r="AE19" i="18"/>
  <c r="AD19" i="18"/>
  <c r="Q19" i="18"/>
  <c r="BT18" i="18"/>
  <c r="AV18" i="18"/>
  <c r="AT18" i="18"/>
  <c r="AL18" i="18"/>
  <c r="AG18" i="18"/>
  <c r="AF18" i="18"/>
  <c r="AE18" i="18"/>
  <c r="AD18" i="18"/>
  <c r="Z18" i="18"/>
  <c r="Y18" i="18"/>
  <c r="X18" i="18"/>
  <c r="W18" i="18"/>
  <c r="S18" i="18"/>
  <c r="R18" i="18"/>
  <c r="Q18" i="18"/>
  <c r="P18" i="18"/>
  <c r="Q27" i="24" l="1"/>
  <c r="Q28" i="24" s="1"/>
  <c r="Q33" i="24" s="1"/>
  <c r="AT31" i="30"/>
  <c r="AP31" i="30" s="1"/>
  <c r="AL29" i="30" s="1"/>
  <c r="AL31" i="30" s="1"/>
  <c r="I25" i="30" s="1"/>
  <c r="AU32" i="30"/>
  <c r="AL20" i="18"/>
  <c r="Q30" i="18"/>
  <c r="AT31" i="43"/>
  <c r="AU32" i="43"/>
  <c r="AT31" i="49"/>
  <c r="AU32" i="49"/>
  <c r="AT36" i="37"/>
  <c r="Z44" i="24"/>
  <c r="Z47" i="24" s="1"/>
  <c r="Z30" i="24"/>
  <c r="Z33" i="24" s="1"/>
  <c r="AW18" i="24"/>
  <c r="AW20" i="24" s="1"/>
  <c r="Z16" i="24"/>
  <c r="Z19" i="24" s="1"/>
  <c r="AO3" i="24"/>
  <c r="AO5" i="24" s="1"/>
  <c r="AW2" i="24"/>
  <c r="AW4" i="24" s="1"/>
  <c r="Z2" i="24"/>
  <c r="Z5" i="24" s="1"/>
  <c r="J5" i="30"/>
  <c r="K16" i="30"/>
  <c r="AE36" i="23"/>
  <c r="AF42" i="23"/>
  <c r="AL23" i="18"/>
  <c r="AP26" i="18" s="1"/>
  <c r="BT26" i="18"/>
  <c r="BT28" i="18" s="1"/>
  <c r="AT38" i="37"/>
  <c r="AU31" i="37"/>
  <c r="J16" i="37"/>
  <c r="AM18" i="23"/>
  <c r="AP17" i="18"/>
  <c r="S17" i="18"/>
  <c r="R17" i="18"/>
  <c r="Q17" i="18"/>
  <c r="P17" i="18"/>
  <c r="BC16" i="18"/>
  <c r="BB16" i="18"/>
  <c r="BA16" i="18"/>
  <c r="AD16" i="18"/>
  <c r="B16" i="18"/>
  <c r="AD15" i="18"/>
  <c r="E15" i="18"/>
  <c r="BP14" i="18"/>
  <c r="P14" i="18"/>
  <c r="L14" i="18"/>
  <c r="BT13" i="18"/>
  <c r="P13" i="18"/>
  <c r="B13" i="18"/>
  <c r="R16" i="18" s="1"/>
  <c r="BX12" i="18"/>
  <c r="BP12" i="18"/>
  <c r="BL12" i="18"/>
  <c r="BK12" i="18"/>
  <c r="BJ12" i="18"/>
  <c r="BI12" i="18"/>
  <c r="BC12" i="18"/>
  <c r="BC14" i="18" s="1"/>
  <c r="BB12" i="18"/>
  <c r="BB13" i="18" s="1"/>
  <c r="BA12" i="18"/>
  <c r="BA13" i="18" s="1"/>
  <c r="L12" i="18"/>
  <c r="B12" i="18"/>
  <c r="BX11" i="18"/>
  <c r="BT11" i="18"/>
  <c r="BP11" i="18"/>
  <c r="AE11" i="18"/>
  <c r="Z11" i="18"/>
  <c r="Y11" i="18"/>
  <c r="X11" i="18"/>
  <c r="W11" i="18"/>
  <c r="BX10" i="18"/>
  <c r="BT10" i="18"/>
  <c r="BP10" i="18"/>
  <c r="AW10" i="18"/>
  <c r="AV10" i="18"/>
  <c r="AU10" i="18"/>
  <c r="AT10" i="18"/>
  <c r="AL10" i="18"/>
  <c r="AE10" i="18"/>
  <c r="Q10" i="18"/>
  <c r="L10" i="18"/>
  <c r="B10" i="18"/>
  <c r="BX9" i="18"/>
  <c r="BT9" i="18"/>
  <c r="BP9" i="18"/>
  <c r="BL9" i="18"/>
  <c r="BK9" i="18"/>
  <c r="BJ9" i="18"/>
  <c r="BI9" i="18"/>
  <c r="Q9" i="18"/>
  <c r="BX8" i="18"/>
  <c r="BT8" i="18"/>
  <c r="BP8" i="18"/>
  <c r="BL8" i="18"/>
  <c r="BK8" i="18"/>
  <c r="BJ8" i="18"/>
  <c r="BI8" i="18"/>
  <c r="AG8" i="18"/>
  <c r="AF8" i="18"/>
  <c r="AE8" i="18"/>
  <c r="AD8" i="18"/>
  <c r="BX7" i="18"/>
  <c r="BT7" i="18"/>
  <c r="BP7" i="18"/>
  <c r="BL7" i="18"/>
  <c r="BK7" i="18"/>
  <c r="BJ7" i="18"/>
  <c r="BI7" i="18"/>
  <c r="BC7" i="18"/>
  <c r="BB7" i="18"/>
  <c r="BA7" i="18"/>
  <c r="AW7" i="18"/>
  <c r="AV7" i="18"/>
  <c r="AU7" i="18"/>
  <c r="AT7" i="18"/>
  <c r="AG7" i="18"/>
  <c r="AF7" i="18"/>
  <c r="AE7" i="18"/>
  <c r="AD7" i="18"/>
  <c r="S7" i="18"/>
  <c r="P7" i="18"/>
  <c r="BX6" i="18"/>
  <c r="BT6" i="18"/>
  <c r="BL6" i="18"/>
  <c r="BK6" i="18"/>
  <c r="BJ6" i="18"/>
  <c r="BI6" i="18"/>
  <c r="AW6" i="18"/>
  <c r="AV6" i="18"/>
  <c r="AU6" i="18"/>
  <c r="AT6" i="18"/>
  <c r="Z6" i="18"/>
  <c r="Y6" i="18"/>
  <c r="X6" i="18"/>
  <c r="W6" i="18"/>
  <c r="BX5" i="18"/>
  <c r="BT5" i="18"/>
  <c r="BP5" i="18"/>
  <c r="BL5" i="18"/>
  <c r="BK5" i="18"/>
  <c r="BJ5" i="18"/>
  <c r="BI5" i="18"/>
  <c r="AW5" i="18"/>
  <c r="AV5" i="18"/>
  <c r="AU5" i="18"/>
  <c r="AT5" i="18"/>
  <c r="AG5" i="18"/>
  <c r="AF5" i="18"/>
  <c r="AE5" i="18"/>
  <c r="AD5" i="18"/>
  <c r="S5" i="18"/>
  <c r="R5" i="18"/>
  <c r="AF3" i="18" s="1"/>
  <c r="Q5" i="18"/>
  <c r="H5" i="18"/>
  <c r="BX4" i="18"/>
  <c r="BT4" i="18"/>
  <c r="BP4" i="18"/>
  <c r="BL4" i="18"/>
  <c r="BK4" i="18"/>
  <c r="BJ4" i="18"/>
  <c r="BI4" i="18"/>
  <c r="AP4" i="18"/>
  <c r="AO4" i="18"/>
  <c r="AN4" i="18"/>
  <c r="AM4" i="18"/>
  <c r="AL4" i="18"/>
  <c r="AD4" i="18"/>
  <c r="Z4" i="18"/>
  <c r="Y4" i="18"/>
  <c r="X4" i="18"/>
  <c r="W4" i="18"/>
  <c r="E4" i="18"/>
  <c r="AP18" i="18" s="1"/>
  <c r="AP20" i="18" s="1"/>
  <c r="BL3" i="18"/>
  <c r="BK3" i="18"/>
  <c r="BJ3" i="18"/>
  <c r="BI3" i="18"/>
  <c r="BC3" i="18"/>
  <c r="BC4" i="18" s="1"/>
  <c r="BB3" i="18"/>
  <c r="BB4" i="18" s="1"/>
  <c r="BA3" i="18"/>
  <c r="BA4" i="18" s="1"/>
  <c r="AW3" i="18"/>
  <c r="AV3" i="18"/>
  <c r="AU3" i="18"/>
  <c r="AT3" i="18"/>
  <c r="AP5" i="18"/>
  <c r="AG3" i="18"/>
  <c r="AE3" i="18"/>
  <c r="S3" i="18"/>
  <c r="R3" i="18"/>
  <c r="Q3" i="18"/>
  <c r="P3" i="18"/>
  <c r="C3" i="18"/>
  <c r="BL2" i="18"/>
  <c r="BK2" i="18"/>
  <c r="BJ2" i="18"/>
  <c r="BI2" i="18"/>
  <c r="AV2" i="18"/>
  <c r="S2" i="18"/>
  <c r="R2" i="18"/>
  <c r="R4" i="18" s="1"/>
  <c r="Q2" i="18"/>
  <c r="Q4" i="18" s="1"/>
  <c r="P2" i="18"/>
  <c r="S4" i="18" l="1"/>
  <c r="AT32" i="30"/>
  <c r="J16" i="30"/>
  <c r="BX14" i="18"/>
  <c r="AP22" i="18"/>
  <c r="AL30" i="18" s="1"/>
  <c r="AP19" i="18"/>
  <c r="AP29" i="18"/>
  <c r="P4" i="18"/>
  <c r="BB14" i="18"/>
  <c r="BA14" i="18" s="1"/>
  <c r="BP19" i="18"/>
  <c r="BP21" i="18" s="1"/>
  <c r="BP23" i="18" s="1"/>
  <c r="AL18" i="23"/>
  <c r="AM30" i="23"/>
  <c r="AT31" i="37"/>
  <c r="AU32" i="37"/>
  <c r="AD36" i="23"/>
  <c r="AE42" i="23"/>
  <c r="Z10" i="24"/>
  <c r="Z7" i="24"/>
  <c r="AV4" i="24"/>
  <c r="AW9" i="24"/>
  <c r="Z24" i="24"/>
  <c r="Z21" i="24"/>
  <c r="AV20" i="24"/>
  <c r="AW28" i="24"/>
  <c r="Z38" i="24"/>
  <c r="Z35" i="24"/>
  <c r="S39" i="24"/>
  <c r="S41" i="24" s="1"/>
  <c r="Z52" i="24"/>
  <c r="Z49" i="24"/>
  <c r="Y44" i="24"/>
  <c r="Y47" i="24" s="1"/>
  <c r="Y30" i="24"/>
  <c r="Y33" i="24" s="1"/>
  <c r="Y16" i="24"/>
  <c r="Y19" i="24" s="1"/>
  <c r="BC11" i="24"/>
  <c r="BC15" i="24" s="1"/>
  <c r="AN3" i="24"/>
  <c r="AN5" i="24" s="1"/>
  <c r="BC2" i="24"/>
  <c r="BC6" i="24" s="1"/>
  <c r="Y2" i="24"/>
  <c r="Y5" i="24" s="1"/>
  <c r="AP31" i="49"/>
  <c r="AL29" i="49" s="1"/>
  <c r="AL31" i="49" s="1"/>
  <c r="I25" i="49" s="1"/>
  <c r="AT32" i="49"/>
  <c r="AP31" i="43"/>
  <c r="AL29" i="43" s="1"/>
  <c r="AL31" i="43" s="1"/>
  <c r="I25" i="43" s="1"/>
  <c r="AT32" i="43"/>
  <c r="BC5" i="18"/>
  <c r="BB5" i="18" s="1"/>
  <c r="BA5" i="18" s="1"/>
  <c r="AG6" i="18"/>
  <c r="AF6" i="18" s="1"/>
  <c r="AE6" i="18" s="1"/>
  <c r="BP6" i="18"/>
  <c r="BP13" i="18" s="1"/>
  <c r="S8" i="18"/>
  <c r="BT12" i="18"/>
  <c r="BT14" i="18" s="1"/>
  <c r="AL30" i="23" l="1"/>
  <c r="AD38" i="18"/>
  <c r="AH36" i="18"/>
  <c r="AH37" i="18" s="1"/>
  <c r="AH39" i="18" s="1"/>
  <c r="BL27" i="18"/>
  <c r="BL28" i="18" s="1"/>
  <c r="BL30" i="18" s="1"/>
  <c r="BK27" i="18"/>
  <c r="BK28" i="18" s="1"/>
  <c r="BJ27" i="18"/>
  <c r="BI27" i="18"/>
  <c r="AW27" i="18"/>
  <c r="AV27" i="18"/>
  <c r="AU27" i="18"/>
  <c r="AT27" i="18"/>
  <c r="BP26" i="18"/>
  <c r="S24" i="18"/>
  <c r="S25" i="18" s="1"/>
  <c r="R24" i="18"/>
  <c r="Q24" i="18"/>
  <c r="P24" i="18"/>
  <c r="AG21" i="18"/>
  <c r="AF21" i="18"/>
  <c r="AE21" i="18"/>
  <c r="AD21" i="18"/>
  <c r="BL10" i="18"/>
  <c r="BL11" i="18" s="1"/>
  <c r="BK10" i="18"/>
  <c r="BJ10" i="18"/>
  <c r="BI10" i="18"/>
  <c r="AW8" i="18"/>
  <c r="AV8" i="18"/>
  <c r="AU8" i="18"/>
  <c r="AT8" i="18"/>
  <c r="BL13" i="18"/>
  <c r="BP27" i="18"/>
  <c r="BP29" i="18" s="1"/>
  <c r="Y10" i="24"/>
  <c r="Y7" i="24"/>
  <c r="Y24" i="24"/>
  <c r="Y21" i="24"/>
  <c r="Y38" i="24"/>
  <c r="Y35" i="24"/>
  <c r="Y52" i="24"/>
  <c r="Y49" i="24"/>
  <c r="R8" i="18"/>
  <c r="S20" i="18"/>
  <c r="R39" i="24"/>
  <c r="R41" i="24" s="1"/>
  <c r="X44" i="24"/>
  <c r="X47" i="24" s="1"/>
  <c r="Q39" i="24"/>
  <c r="X30" i="24"/>
  <c r="X33" i="24" s="1"/>
  <c r="AU18" i="24"/>
  <c r="X16" i="24"/>
  <c r="X19" i="24" s="1"/>
  <c r="BB11" i="24"/>
  <c r="BB15" i="24" s="1"/>
  <c r="AM3" i="24"/>
  <c r="BB2" i="24"/>
  <c r="BB6" i="24" s="1"/>
  <c r="AU2" i="24"/>
  <c r="X2" i="24"/>
  <c r="X5" i="24" s="1"/>
  <c r="S34" i="24"/>
  <c r="AV28" i="24"/>
  <c r="AW30" i="24"/>
  <c r="AV9" i="24"/>
  <c r="AW11" i="24"/>
  <c r="AD42" i="23"/>
  <c r="AP31" i="37"/>
  <c r="AL29" i="37" s="1"/>
  <c r="AL31" i="37" s="1"/>
  <c r="I25" i="37" s="1"/>
  <c r="AT32" i="37"/>
  <c r="AM5" i="24"/>
  <c r="AU20" i="24"/>
  <c r="AT20" i="24" s="1"/>
  <c r="AU4" i="24"/>
  <c r="BP15" i="18"/>
  <c r="O38" i="16"/>
  <c r="N38" i="16"/>
  <c r="I36" i="16"/>
  <c r="AD39" i="18" l="1"/>
  <c r="Q8" i="18"/>
  <c r="R20" i="18"/>
  <c r="AV11" i="24"/>
  <c r="Q41" i="24"/>
  <c r="M38" i="16"/>
  <c r="L38" i="16" s="1"/>
  <c r="BK11" i="18"/>
  <c r="BJ11" i="18" s="1"/>
  <c r="BI11" i="18" s="1"/>
  <c r="R25" i="18"/>
  <c r="BJ28" i="18"/>
  <c r="BI28" i="18" s="1"/>
  <c r="BK30" i="18"/>
  <c r="X10" i="24"/>
  <c r="X7" i="24"/>
  <c r="X24" i="24"/>
  <c r="X21" i="24"/>
  <c r="X38" i="24"/>
  <c r="X35" i="24"/>
  <c r="X52" i="24"/>
  <c r="X49" i="24"/>
  <c r="AV30" i="24"/>
  <c r="AW36" i="24"/>
  <c r="AW38" i="24" s="1"/>
  <c r="R34" i="24"/>
  <c r="S35" i="24"/>
  <c r="Q20" i="18"/>
  <c r="S27" i="18"/>
  <c r="S28" i="18" s="1"/>
  <c r="S33" i="18" s="1"/>
  <c r="AU9" i="24"/>
  <c r="AU11" i="24" s="1"/>
  <c r="AU28" i="24"/>
  <c r="AT28" i="24" s="1"/>
  <c r="AP28" i="24" s="1"/>
  <c r="AE33" i="16"/>
  <c r="AD33" i="16"/>
  <c r="AC33" i="16"/>
  <c r="AB33" i="16"/>
  <c r="AA33" i="16"/>
  <c r="W33" i="16"/>
  <c r="V33" i="16"/>
  <c r="U33" i="16"/>
  <c r="T33" i="16"/>
  <c r="S33" i="16"/>
  <c r="O29" i="16"/>
  <c r="N29" i="16"/>
  <c r="I27" i="16"/>
  <c r="Q25" i="18" l="1"/>
  <c r="BJ30" i="18"/>
  <c r="BI30" i="18" s="1"/>
  <c r="BI32" i="18" s="1"/>
  <c r="M29" i="16"/>
  <c r="L29" i="16" s="1"/>
  <c r="BK13" i="18"/>
  <c r="BJ13" i="18" s="1"/>
  <c r="BI13" i="18" s="1"/>
  <c r="R27" i="18"/>
  <c r="Q27" i="18" s="1"/>
  <c r="Q34" i="24"/>
  <c r="R35" i="24"/>
  <c r="AW31" i="24"/>
  <c r="AU30" i="24"/>
  <c r="AV36" i="24"/>
  <c r="AV38" i="24" s="1"/>
  <c r="R28" i="18" l="1"/>
  <c r="R33" i="18" s="1"/>
  <c r="P25" i="18"/>
  <c r="Q28" i="18"/>
  <c r="Q33" i="18" s="1"/>
  <c r="BC13" i="18"/>
  <c r="BI15" i="18"/>
  <c r="AT30" i="24"/>
  <c r="AT36" i="24" s="1"/>
  <c r="AU36" i="24"/>
  <c r="AU38" i="24" s="1"/>
  <c r="AV31" i="24"/>
  <c r="AW32" i="24"/>
  <c r="Q35" i="24"/>
  <c r="K5" i="24"/>
  <c r="Z30" i="18"/>
  <c r="Z33" i="18" s="1"/>
  <c r="Z44" i="18"/>
  <c r="Z47" i="18" s="1"/>
  <c r="AW18" i="18"/>
  <c r="AW20" i="18" s="1"/>
  <c r="Z16" i="18"/>
  <c r="Z19" i="18" s="1"/>
  <c r="AO3" i="18"/>
  <c r="AO5" i="18" s="1"/>
  <c r="AW2" i="18"/>
  <c r="AW4" i="18" s="1"/>
  <c r="Z2" i="18"/>
  <c r="Z5" i="18" s="1"/>
  <c r="O20" i="16"/>
  <c r="AE21" i="16"/>
  <c r="AD21" i="16"/>
  <c r="AC21" i="16"/>
  <c r="AB21" i="16"/>
  <c r="AA21" i="16"/>
  <c r="W21" i="16"/>
  <c r="V21" i="16"/>
  <c r="U21" i="16"/>
  <c r="T21" i="16"/>
  <c r="S21" i="16"/>
  <c r="I18" i="16"/>
  <c r="AV32" i="24" l="1"/>
  <c r="AT38" i="24"/>
  <c r="AQ71" i="16"/>
  <c r="AI71" i="16"/>
  <c r="AU59" i="16"/>
  <c r="AT59" i="16"/>
  <c r="AS59" i="16"/>
  <c r="AR59" i="16"/>
  <c r="AQ59" i="16"/>
  <c r="AM59" i="16"/>
  <c r="AL59" i="16"/>
  <c r="AK59" i="16"/>
  <c r="AJ59" i="16"/>
  <c r="AI59" i="16"/>
  <c r="AU57" i="16"/>
  <c r="AU58" i="16" s="1"/>
  <c r="AT57" i="16"/>
  <c r="AT58" i="16" s="1"/>
  <c r="AT60" i="16" s="1"/>
  <c r="AS57" i="16"/>
  <c r="AS58" i="16" s="1"/>
  <c r="AS60" i="16" s="1"/>
  <c r="AR57" i="16"/>
  <c r="AR58" i="16" s="1"/>
  <c r="AQ57" i="16"/>
  <c r="AQ58" i="16" s="1"/>
  <c r="AQ60" i="16" s="1"/>
  <c r="AM57" i="16"/>
  <c r="AM58" i="16" s="1"/>
  <c r="AM60" i="16" s="1"/>
  <c r="AL57" i="16"/>
  <c r="AL58" i="16" s="1"/>
  <c r="AK57" i="16"/>
  <c r="AK58" i="16" s="1"/>
  <c r="AK60" i="16" s="1"/>
  <c r="AJ57" i="16"/>
  <c r="AJ58" i="16" s="1"/>
  <c r="AJ60" i="16" s="1"/>
  <c r="AI57" i="16"/>
  <c r="AI58" i="16" s="1"/>
  <c r="AQ26" i="16"/>
  <c r="AI26" i="16"/>
  <c r="AU15" i="16"/>
  <c r="AT15" i="16"/>
  <c r="AS15" i="16"/>
  <c r="AR15" i="16"/>
  <c r="AQ15" i="16"/>
  <c r="AM15" i="16"/>
  <c r="AL15" i="16"/>
  <c r="AK15" i="16"/>
  <c r="AJ15" i="16"/>
  <c r="AI15" i="16"/>
  <c r="AU13" i="16"/>
  <c r="AU14" i="16" s="1"/>
  <c r="AU16" i="16" s="1"/>
  <c r="AT13" i="16"/>
  <c r="AT14" i="16" s="1"/>
  <c r="AT16" i="16" s="1"/>
  <c r="AS13" i="16"/>
  <c r="AS14" i="16" s="1"/>
  <c r="AR13" i="16"/>
  <c r="AR14" i="16" s="1"/>
  <c r="AR16" i="16" s="1"/>
  <c r="AQ13" i="16"/>
  <c r="AQ14" i="16" s="1"/>
  <c r="AQ16" i="16" s="1"/>
  <c r="AM13" i="16"/>
  <c r="AM14" i="16" s="1"/>
  <c r="AL13" i="16"/>
  <c r="AL14" i="16" s="1"/>
  <c r="AL16" i="16" s="1"/>
  <c r="AK13" i="16"/>
  <c r="AK14" i="16" s="1"/>
  <c r="AK16" i="16" s="1"/>
  <c r="AJ13" i="16"/>
  <c r="AJ14" i="16" s="1"/>
  <c r="AI13" i="16"/>
  <c r="AI14" i="16" s="1"/>
  <c r="AI16" i="16" s="1"/>
  <c r="Z10" i="18"/>
  <c r="Z7" i="18"/>
  <c r="L8" i="18" s="1"/>
  <c r="AV4" i="18"/>
  <c r="AW9" i="18"/>
  <c r="Z24" i="18"/>
  <c r="Z21" i="18"/>
  <c r="AV20" i="18"/>
  <c r="AW28" i="18"/>
  <c r="Z52" i="18"/>
  <c r="Z49" i="18"/>
  <c r="Z38" i="18"/>
  <c r="Z35" i="18"/>
  <c r="S39" i="18"/>
  <c r="S41" i="18" s="1"/>
  <c r="Y44" i="18"/>
  <c r="Y47" i="18" s="1"/>
  <c r="R39" i="18"/>
  <c r="Y30" i="18"/>
  <c r="Y33" i="18" s="1"/>
  <c r="Y16" i="18"/>
  <c r="Y19" i="18" s="1"/>
  <c r="BC11" i="18"/>
  <c r="BC15" i="18" s="1"/>
  <c r="BC2" i="18"/>
  <c r="BC6" i="18" s="1"/>
  <c r="Y2" i="18"/>
  <c r="Y5" i="18" s="1"/>
  <c r="J5" i="24"/>
  <c r="K16" i="24"/>
  <c r="AU31" i="24"/>
  <c r="AN3" i="18"/>
  <c r="AT31" i="24" l="1"/>
  <c r="AP31" i="24" s="1"/>
  <c r="AL29" i="24" s="1"/>
  <c r="AL31" i="24" s="1"/>
  <c r="I25" i="24" s="1"/>
  <c r="AJ16" i="16"/>
  <c r="AM16" i="16"/>
  <c r="AM19" i="16" s="1"/>
  <c r="AM20" i="16" s="1"/>
  <c r="AM22" i="16" s="1"/>
  <c r="AS16" i="16"/>
  <c r="AS17" i="16" s="1"/>
  <c r="AI60" i="16"/>
  <c r="AL60" i="16"/>
  <c r="AL63" i="16" s="1"/>
  <c r="AL64" i="16" s="1"/>
  <c r="AL67" i="16" s="1"/>
  <c r="AR60" i="16"/>
  <c r="AU60" i="16"/>
  <c r="AI17" i="16"/>
  <c r="AI18" i="16" s="1"/>
  <c r="AJ17" i="16"/>
  <c r="AJ18" i="16" s="1"/>
  <c r="AJ19" i="16"/>
  <c r="AJ20" i="16" s="1"/>
  <c r="AJ22" i="16" s="1"/>
  <c r="AK17" i="16"/>
  <c r="AK18" i="16" s="1"/>
  <c r="AL19" i="16"/>
  <c r="AL20" i="16" s="1"/>
  <c r="AL22" i="16" s="1"/>
  <c r="AL17" i="16"/>
  <c r="AL18" i="16" s="1"/>
  <c r="AM17" i="16"/>
  <c r="AM18" i="16" s="1"/>
  <c r="AQ17" i="16"/>
  <c r="AQ18" i="16" s="1"/>
  <c r="AR17" i="16"/>
  <c r="AR18" i="16" s="1"/>
  <c r="AT19" i="16"/>
  <c r="AT20" i="16" s="1"/>
  <c r="AT22" i="16" s="1"/>
  <c r="AT17" i="16"/>
  <c r="AT18" i="16" s="1"/>
  <c r="AU19" i="16"/>
  <c r="AU20" i="16" s="1"/>
  <c r="AU22" i="16" s="1"/>
  <c r="AU17" i="16"/>
  <c r="AU18" i="16" s="1"/>
  <c r="AI61" i="16"/>
  <c r="AI62" i="16" s="1"/>
  <c r="AI63" i="16"/>
  <c r="AI64" i="16" s="1"/>
  <c r="AI67" i="16" s="1"/>
  <c r="AJ61" i="16"/>
  <c r="AJ62" i="16" s="1"/>
  <c r="AK61" i="16"/>
  <c r="AK62" i="16" s="1"/>
  <c r="AL61" i="16"/>
  <c r="AL62" i="16" s="1"/>
  <c r="AM63" i="16"/>
  <c r="AM64" i="16" s="1"/>
  <c r="AM67" i="16" s="1"/>
  <c r="AM61" i="16"/>
  <c r="AM62" i="16" s="1"/>
  <c r="AQ61" i="16"/>
  <c r="AQ62" i="16" s="1"/>
  <c r="AR61" i="16"/>
  <c r="AR62" i="16" s="1"/>
  <c r="AR63" i="16"/>
  <c r="AR64" i="16" s="1"/>
  <c r="AR67" i="16" s="1"/>
  <c r="AS61" i="16"/>
  <c r="AS62" i="16" s="1"/>
  <c r="AT63" i="16"/>
  <c r="AT64" i="16" s="1"/>
  <c r="AT67" i="16" s="1"/>
  <c r="AT61" i="16"/>
  <c r="AT62" i="16" s="1"/>
  <c r="AU63" i="16"/>
  <c r="AU64" i="16" s="1"/>
  <c r="AU67" i="16" s="1"/>
  <c r="AU61" i="16"/>
  <c r="AU62" i="16" s="1"/>
  <c r="AN5" i="18"/>
  <c r="J16" i="24"/>
  <c r="Y10" i="18"/>
  <c r="Y7" i="18"/>
  <c r="K8" i="18" s="1"/>
  <c r="Y24" i="18"/>
  <c r="Y21" i="18"/>
  <c r="K10" i="18" s="1"/>
  <c r="Y38" i="18"/>
  <c r="Y35" i="18"/>
  <c r="K12" i="18" s="1"/>
  <c r="Y52" i="18"/>
  <c r="Y49" i="18"/>
  <c r="K14" i="18" s="1"/>
  <c r="X44" i="18"/>
  <c r="X47" i="18" s="1"/>
  <c r="Q39" i="18"/>
  <c r="X30" i="18"/>
  <c r="X33" i="18" s="1"/>
  <c r="AU18" i="18"/>
  <c r="AU20" i="18" s="1"/>
  <c r="AT20" i="18" s="1"/>
  <c r="X16" i="18"/>
  <c r="X19" i="18" s="1"/>
  <c r="BB11" i="18"/>
  <c r="AM3" i="18"/>
  <c r="BB2" i="18"/>
  <c r="BB6" i="18" s="1"/>
  <c r="AU2" i="18"/>
  <c r="X2" i="18"/>
  <c r="X5" i="18" s="1"/>
  <c r="R41" i="18"/>
  <c r="S34" i="18"/>
  <c r="AV28" i="18"/>
  <c r="AW30" i="18"/>
  <c r="AV9" i="18"/>
  <c r="AW11" i="18"/>
  <c r="AU32" i="24"/>
  <c r="AT32" i="24" s="1"/>
  <c r="AM5" i="18"/>
  <c r="BB15" i="18"/>
  <c r="AU4" i="18"/>
  <c r="AS18" i="16" l="1"/>
  <c r="AS19" i="16"/>
  <c r="AS20" i="16" s="1"/>
  <c r="AS22" i="16" s="1"/>
  <c r="AQ63" i="16"/>
  <c r="AQ64" i="16" s="1"/>
  <c r="AQ67" i="16" s="1"/>
  <c r="AK63" i="16"/>
  <c r="AK64" i="16" s="1"/>
  <c r="AK67" i="16" s="1"/>
  <c r="AR19" i="16"/>
  <c r="AR20" i="16" s="1"/>
  <c r="AR22" i="16" s="1"/>
  <c r="AI19" i="16"/>
  <c r="AI20" i="16" s="1"/>
  <c r="AI22" i="16" s="1"/>
  <c r="AS63" i="16"/>
  <c r="AS64" i="16" s="1"/>
  <c r="AS67" i="16" s="1"/>
  <c r="AJ63" i="16"/>
  <c r="AJ64" i="16" s="1"/>
  <c r="AJ67" i="16" s="1"/>
  <c r="AI70" i="16" s="1"/>
  <c r="AI72" i="16" s="1"/>
  <c r="AI75" i="16" s="1"/>
  <c r="N14" i="16" s="1"/>
  <c r="AQ19" i="16"/>
  <c r="AQ20" i="16" s="1"/>
  <c r="AQ22" i="16" s="1"/>
  <c r="AK19" i="16"/>
  <c r="AK20" i="16" s="1"/>
  <c r="AK22" i="16" s="1"/>
  <c r="AQ70" i="16"/>
  <c r="AQ72" i="16" s="1"/>
  <c r="AQ75" i="16" s="1"/>
  <c r="AQ25" i="16"/>
  <c r="AQ27" i="16" s="1"/>
  <c r="AQ30" i="16" s="1"/>
  <c r="AI25" i="16"/>
  <c r="AI27" i="16" s="1"/>
  <c r="AI30" i="16" s="1"/>
  <c r="AV11" i="18"/>
  <c r="Q41" i="18"/>
  <c r="X10" i="18"/>
  <c r="X7" i="18"/>
  <c r="J8" i="18" s="1"/>
  <c r="X24" i="18"/>
  <c r="X21" i="18"/>
  <c r="J10" i="18" s="1"/>
  <c r="X38" i="18"/>
  <c r="X35" i="18"/>
  <c r="J12" i="18" s="1"/>
  <c r="X52" i="18"/>
  <c r="X49" i="18"/>
  <c r="J14" i="18" s="1"/>
  <c r="AV30" i="18"/>
  <c r="AW36" i="18"/>
  <c r="AW38" i="18" s="1"/>
  <c r="R34" i="18"/>
  <c r="Q34" i="18" s="1"/>
  <c r="S35" i="18"/>
  <c r="AU9" i="18"/>
  <c r="AU11" i="18" s="1"/>
  <c r="AU28" i="18"/>
  <c r="AT28" i="18" s="1"/>
  <c r="AP28" i="18" s="1"/>
  <c r="W12" i="16"/>
  <c r="V12" i="16"/>
  <c r="U12" i="16"/>
  <c r="T12" i="16"/>
  <c r="S12" i="16"/>
  <c r="O11" i="16"/>
  <c r="AM34" i="16" l="1"/>
  <c r="AM35" i="16" s="1"/>
  <c r="AL34" i="16"/>
  <c r="AL35" i="16" s="1"/>
  <c r="AK34" i="16"/>
  <c r="AK35" i="16" s="1"/>
  <c r="AJ34" i="16"/>
  <c r="AJ35" i="16" s="1"/>
  <c r="AI34" i="16"/>
  <c r="AI35" i="16" s="1"/>
  <c r="AR34" i="16"/>
  <c r="AR35" i="16" s="1"/>
  <c r="AS34" i="16"/>
  <c r="AS35" i="16" s="1"/>
  <c r="AT34" i="16"/>
  <c r="AT35" i="16" s="1"/>
  <c r="AU34" i="16"/>
  <c r="AU35" i="16" s="1"/>
  <c r="AQ34" i="16"/>
  <c r="AQ35" i="16" s="1"/>
  <c r="AM79" i="16"/>
  <c r="AM80" i="16" s="1"/>
  <c r="AL79" i="16"/>
  <c r="AL80" i="16" s="1"/>
  <c r="AK79" i="16"/>
  <c r="AK80" i="16" s="1"/>
  <c r="AJ79" i="16"/>
  <c r="AJ80" i="16" s="1"/>
  <c r="N16" i="16" s="1"/>
  <c r="AI79" i="16"/>
  <c r="AI80" i="16" s="1"/>
  <c r="AU79" i="16"/>
  <c r="AU80" i="16" s="1"/>
  <c r="AT79" i="16"/>
  <c r="AT80" i="16" s="1"/>
  <c r="AS79" i="16"/>
  <c r="AS80" i="16" s="1"/>
  <c r="AR79" i="16"/>
  <c r="AR80" i="16" s="1"/>
  <c r="AQ79" i="16"/>
  <c r="AQ80" i="16" s="1"/>
  <c r="N15" i="16"/>
  <c r="N19" i="16"/>
  <c r="N18" i="16"/>
  <c r="N17" i="16"/>
  <c r="O14" i="16"/>
  <c r="M14" i="16"/>
  <c r="R35" i="18"/>
  <c r="L5" i="18"/>
  <c r="L16" i="18" s="1"/>
  <c r="Q35" i="18"/>
  <c r="K5" i="18"/>
  <c r="AW31" i="18"/>
  <c r="AU30" i="18"/>
  <c r="AV36" i="18"/>
  <c r="AV38" i="18" s="1"/>
  <c r="I9" i="16"/>
  <c r="N20" i="16" l="1"/>
  <c r="AD57" i="16"/>
  <c r="AD58" i="16" s="1"/>
  <c r="AD60" i="16" s="1"/>
  <c r="AB57" i="16"/>
  <c r="AB13" i="16"/>
  <c r="AD13" i="16"/>
  <c r="AA13" i="16"/>
  <c r="AE57" i="16"/>
  <c r="AC57" i="16"/>
  <c r="AA57" i="16"/>
  <c r="AC13" i="16"/>
  <c r="AE13" i="16"/>
  <c r="AA71" i="16"/>
  <c r="S71" i="16"/>
  <c r="AE59" i="16"/>
  <c r="AD59" i="16"/>
  <c r="AC59" i="16"/>
  <c r="AB59" i="16"/>
  <c r="AA59" i="16"/>
  <c r="W59" i="16"/>
  <c r="V59" i="16"/>
  <c r="U59" i="16"/>
  <c r="T59" i="16"/>
  <c r="S59" i="16"/>
  <c r="AE58" i="16"/>
  <c r="AC58" i="16"/>
  <c r="AC60" i="16" s="1"/>
  <c r="AB58" i="16"/>
  <c r="AA58" i="16"/>
  <c r="AA60" i="16" s="1"/>
  <c r="W57" i="16"/>
  <c r="W58" i="16" s="1"/>
  <c r="W60" i="16" s="1"/>
  <c r="W63" i="16" s="1"/>
  <c r="V57" i="16"/>
  <c r="V58" i="16" s="1"/>
  <c r="U57" i="16"/>
  <c r="U58" i="16" s="1"/>
  <c r="U60" i="16" s="1"/>
  <c r="T57" i="16"/>
  <c r="T58" i="16" s="1"/>
  <c r="T60" i="16" s="1"/>
  <c r="S57" i="16"/>
  <c r="S58" i="16" s="1"/>
  <c r="AA26" i="16"/>
  <c r="S26" i="16"/>
  <c r="AE15" i="16"/>
  <c r="AD15" i="16"/>
  <c r="AC15" i="16"/>
  <c r="AB15" i="16"/>
  <c r="AA15" i="16"/>
  <c r="W15" i="16"/>
  <c r="V15" i="16"/>
  <c r="U15" i="16"/>
  <c r="T15" i="16"/>
  <c r="S15" i="16"/>
  <c r="W13" i="16"/>
  <c r="V13" i="16"/>
  <c r="U13" i="16"/>
  <c r="T13" i="16"/>
  <c r="S13" i="16"/>
  <c r="AT30" i="18"/>
  <c r="AT36" i="18" s="1"/>
  <c r="AU36" i="18"/>
  <c r="AU38" i="18" s="1"/>
  <c r="AV31" i="18"/>
  <c r="AW32" i="18"/>
  <c r="J5" i="18"/>
  <c r="K16" i="18"/>
  <c r="AE8" i="16"/>
  <c r="AD8" i="16"/>
  <c r="AC8" i="16"/>
  <c r="AB8" i="16"/>
  <c r="AA8" i="16"/>
  <c r="W8" i="16"/>
  <c r="V8" i="16"/>
  <c r="U8" i="16"/>
  <c r="T8" i="16"/>
  <c r="AE5" i="16"/>
  <c r="AD5" i="16"/>
  <c r="AC5" i="16"/>
  <c r="AB5" i="16"/>
  <c r="AA5" i="16"/>
  <c r="W5" i="16"/>
  <c r="V5" i="16"/>
  <c r="U5" i="16"/>
  <c r="T5" i="16"/>
  <c r="S5" i="16"/>
  <c r="AE3" i="16"/>
  <c r="AE9" i="16" s="1"/>
  <c r="AD3" i="16"/>
  <c r="AD9" i="16" s="1"/>
  <c r="AC3" i="16"/>
  <c r="AB3" i="16"/>
  <c r="AA3" i="16"/>
  <c r="W3" i="16"/>
  <c r="V3" i="16"/>
  <c r="V9" i="16" s="1"/>
  <c r="L14" i="16" s="1"/>
  <c r="U3" i="16"/>
  <c r="U9" i="16" s="1"/>
  <c r="T3" i="16"/>
  <c r="S3" i="16"/>
  <c r="S9" i="16" s="1"/>
  <c r="C3" i="16"/>
  <c r="T9" i="16" l="1"/>
  <c r="W9" i="16"/>
  <c r="AC9" i="16"/>
  <c r="S60" i="16"/>
  <c r="V60" i="16"/>
  <c r="V63" i="16" s="1"/>
  <c r="AB60" i="16"/>
  <c r="AE60" i="16"/>
  <c r="J16" i="18"/>
  <c r="AV32" i="18"/>
  <c r="AT38" i="18"/>
  <c r="S61" i="16"/>
  <c r="S62" i="16" s="1"/>
  <c r="T61" i="16"/>
  <c r="T62" i="16" s="1"/>
  <c r="U61" i="16"/>
  <c r="U62" i="16" s="1"/>
  <c r="V64" i="16"/>
  <c r="V67" i="16" s="1"/>
  <c r="V61" i="16"/>
  <c r="V62" i="16" s="1"/>
  <c r="W64" i="16"/>
  <c r="W67" i="16" s="1"/>
  <c r="W61" i="16"/>
  <c r="W62" i="16" s="1"/>
  <c r="AA61" i="16"/>
  <c r="AA62" i="16" s="1"/>
  <c r="AB61" i="16"/>
  <c r="AB62" i="16" s="1"/>
  <c r="AC61" i="16"/>
  <c r="AC62" i="16" s="1"/>
  <c r="AD63" i="16"/>
  <c r="AD64" i="16" s="1"/>
  <c r="AD67" i="16" s="1"/>
  <c r="AD61" i="16"/>
  <c r="AD62" i="16" s="1"/>
  <c r="AE63" i="16"/>
  <c r="AE64" i="16" s="1"/>
  <c r="AE67" i="16" s="1"/>
  <c r="AE61" i="16"/>
  <c r="AE62" i="16" s="1"/>
  <c r="AE14" i="16"/>
  <c r="AB9" i="16"/>
  <c r="AA9" i="16" s="1"/>
  <c r="AU31" i="18"/>
  <c r="AT31" i="18" s="1"/>
  <c r="AP31" i="18" s="1"/>
  <c r="AL29" i="18" s="1"/>
  <c r="AL31" i="18" s="1"/>
  <c r="I25" i="18" s="1"/>
  <c r="B59" i="11"/>
  <c r="A59" i="11"/>
  <c r="F56" i="11"/>
  <c r="B58" i="11"/>
  <c r="C57" i="11"/>
  <c r="F54" i="11"/>
  <c r="F53" i="11"/>
  <c r="I52" i="11"/>
  <c r="F51" i="11"/>
  <c r="C53" i="11"/>
  <c r="Z48" i="11"/>
  <c r="Y48" i="11"/>
  <c r="X48" i="11"/>
  <c r="W48" i="11"/>
  <c r="AF47" i="11"/>
  <c r="AB47" i="11"/>
  <c r="BP46" i="11"/>
  <c r="AF46" i="11"/>
  <c r="AB46" i="11"/>
  <c r="Z46" i="11"/>
  <c r="Y46" i="11"/>
  <c r="X46" i="11"/>
  <c r="W46" i="11"/>
  <c r="E46" i="11"/>
  <c r="AF45" i="11"/>
  <c r="AB45" i="11"/>
  <c r="AB48" i="11" s="1"/>
  <c r="AC48" i="11" s="1"/>
  <c r="I45" i="11"/>
  <c r="F45" i="11"/>
  <c r="BT44" i="11"/>
  <c r="BP44" i="11"/>
  <c r="I44" i="11"/>
  <c r="BP43" i="11"/>
  <c r="I43" i="11"/>
  <c r="B45" i="11" s="1"/>
  <c r="A45" i="11"/>
  <c r="BT42" i="11"/>
  <c r="BP42" i="11"/>
  <c r="I42" i="11"/>
  <c r="BT41" i="11"/>
  <c r="BP41" i="11"/>
  <c r="E41" i="11"/>
  <c r="B43" i="11"/>
  <c r="B42" i="11"/>
  <c r="BT39" i="11"/>
  <c r="BP39" i="11"/>
  <c r="S40" i="11"/>
  <c r="R40" i="11"/>
  <c r="Q40" i="11"/>
  <c r="P40" i="11"/>
  <c r="Z53" i="11" s="1"/>
  <c r="BT38" i="11"/>
  <c r="BP38" i="11"/>
  <c r="AH38" i="11"/>
  <c r="BA37" i="11"/>
  <c r="AW37" i="11"/>
  <c r="AV37" i="11"/>
  <c r="AU37" i="11"/>
  <c r="AT37" i="11"/>
  <c r="AD37" i="11"/>
  <c r="F37" i="11"/>
  <c r="AF44" i="11" l="1"/>
  <c r="I46" i="11"/>
  <c r="AC63" i="16"/>
  <c r="AB63" i="16"/>
  <c r="AA63" i="16"/>
  <c r="U63" i="16"/>
  <c r="T63" i="16"/>
  <c r="S63" i="16"/>
  <c r="AC64" i="16"/>
  <c r="AC67" i="16" s="1"/>
  <c r="AB64" i="16"/>
  <c r="AB67" i="16" s="1"/>
  <c r="AA64" i="16"/>
  <c r="AA67" i="16" s="1"/>
  <c r="U64" i="16"/>
  <c r="U67" i="16" s="1"/>
  <c r="T64" i="16"/>
  <c r="T67" i="16" s="1"/>
  <c r="S64" i="16"/>
  <c r="AD14" i="16"/>
  <c r="AC14" i="16" s="1"/>
  <c r="AB14" i="16" s="1"/>
  <c r="AA14" i="16" s="1"/>
  <c r="W14" i="16" s="1"/>
  <c r="AE16" i="16"/>
  <c r="W39" i="11"/>
  <c r="X39" i="11"/>
  <c r="Y39" i="11"/>
  <c r="Z39" i="11"/>
  <c r="W53" i="11"/>
  <c r="X53" i="11"/>
  <c r="Y53" i="11"/>
  <c r="AU32" i="18"/>
  <c r="AT32" i="18" s="1"/>
  <c r="C39" i="11"/>
  <c r="B39" i="11"/>
  <c r="BT36" i="11"/>
  <c r="BP36" i="11"/>
  <c r="AD36" i="11"/>
  <c r="F36" i="11"/>
  <c r="C38" i="11"/>
  <c r="B38" i="11" s="1"/>
  <c r="BT35" i="11"/>
  <c r="BP35" i="11"/>
  <c r="BA35" i="11"/>
  <c r="AH35" i="11"/>
  <c r="AD35" i="11"/>
  <c r="I35" i="11"/>
  <c r="B37" i="11"/>
  <c r="BA34" i="11"/>
  <c r="AH34" i="11"/>
  <c r="AD34" i="11"/>
  <c r="Z34" i="11"/>
  <c r="Y34" i="11"/>
  <c r="X34" i="11"/>
  <c r="W34" i="11"/>
  <c r="I34" i="11"/>
  <c r="C36" i="11"/>
  <c r="A36" i="11"/>
  <c r="BA33" i="11"/>
  <c r="AH33" i="11"/>
  <c r="F33" i="11"/>
  <c r="B35" i="11"/>
  <c r="BA32" i="11"/>
  <c r="AH32" i="11"/>
  <c r="AD32" i="11"/>
  <c r="Z32" i="11"/>
  <c r="Y32" i="11"/>
  <c r="X32" i="11"/>
  <c r="W32" i="11"/>
  <c r="BA31" i="11"/>
  <c r="AH31" i="11"/>
  <c r="AD31" i="11"/>
  <c r="S32" i="11"/>
  <c r="S33" i="11" s="1"/>
  <c r="R32" i="11"/>
  <c r="R33" i="11" s="1"/>
  <c r="Q32" i="11"/>
  <c r="Q33" i="11" s="1"/>
  <c r="P32" i="11"/>
  <c r="P33" i="11" s="1"/>
  <c r="I31" i="11"/>
  <c r="C33" i="11"/>
  <c r="B33" i="11" s="1"/>
  <c r="BA30" i="11"/>
  <c r="AP30" i="11"/>
  <c r="F30" i="11"/>
  <c r="E30" i="11"/>
  <c r="BL29" i="11"/>
  <c r="BK29" i="11"/>
  <c r="BJ29" i="11"/>
  <c r="BI29" i="11"/>
  <c r="BA29" i="11"/>
  <c r="AW29" i="11"/>
  <c r="AV29" i="11"/>
  <c r="AU29" i="11"/>
  <c r="AT29" i="11"/>
  <c r="I29" i="11"/>
  <c r="D29" i="11"/>
  <c r="BP28" i="11"/>
  <c r="I28" i="11"/>
  <c r="E28" i="11"/>
  <c r="BT27" i="11"/>
  <c r="AP27" i="11"/>
  <c r="I27" i="11"/>
  <c r="BL26" i="11"/>
  <c r="BK26" i="11"/>
  <c r="BJ26" i="11"/>
  <c r="BI26" i="11"/>
  <c r="AW26" i="11"/>
  <c r="AV26" i="11"/>
  <c r="AU26" i="11"/>
  <c r="AT26" i="11"/>
  <c r="I26" i="11"/>
  <c r="E26" i="11"/>
  <c r="BT25" i="11"/>
  <c r="BP25" i="11"/>
  <c r="BL25" i="11"/>
  <c r="BK25" i="11"/>
  <c r="BJ25" i="11"/>
  <c r="BI25" i="11"/>
  <c r="AW25" i="11"/>
  <c r="AV25" i="11"/>
  <c r="AU25" i="11"/>
  <c r="AT25" i="11"/>
  <c r="Z25" i="11"/>
  <c r="Y25" i="11"/>
  <c r="X25" i="11"/>
  <c r="W25" i="11"/>
  <c r="BT24" i="11"/>
  <c r="BP24" i="11"/>
  <c r="BL24" i="11"/>
  <c r="BK24" i="11"/>
  <c r="BJ24" i="11"/>
  <c r="BI24" i="11"/>
  <c r="AW24" i="11"/>
  <c r="AV24" i="11"/>
  <c r="AU24" i="11"/>
  <c r="AT24" i="11"/>
  <c r="AG24" i="11"/>
  <c r="AF24" i="11"/>
  <c r="AE24" i="11"/>
  <c r="AD24" i="11"/>
  <c r="F24" i="11"/>
  <c r="BT23" i="11"/>
  <c r="BL23" i="11"/>
  <c r="BK23" i="11"/>
  <c r="BJ23" i="11"/>
  <c r="BI23" i="11"/>
  <c r="AW23" i="11"/>
  <c r="AV23" i="11"/>
  <c r="AU23" i="11"/>
  <c r="AT23" i="11"/>
  <c r="AG23" i="11"/>
  <c r="AF23" i="11"/>
  <c r="AE23" i="11"/>
  <c r="AD23" i="11"/>
  <c r="S23" i="11"/>
  <c r="R23" i="11"/>
  <c r="Q23" i="11"/>
  <c r="P23" i="11"/>
  <c r="BT22" i="11"/>
  <c r="BP22" i="11"/>
  <c r="BL22" i="11"/>
  <c r="BK22" i="11"/>
  <c r="BJ22" i="11"/>
  <c r="BI22" i="11"/>
  <c r="S67" i="16" l="1"/>
  <c r="S70" i="16" s="1"/>
  <c r="S72" i="16" s="1"/>
  <c r="S75" i="16" s="1"/>
  <c r="BA36" i="11"/>
  <c r="BA38" i="11" s="1"/>
  <c r="AD33" i="11"/>
  <c r="I36" i="11"/>
  <c r="BT40" i="11"/>
  <c r="BT43" i="11" s="1"/>
  <c r="BT45" i="11" s="1"/>
  <c r="AA70" i="16"/>
  <c r="AA72" i="16" s="1"/>
  <c r="AD16" i="16"/>
  <c r="AE19" i="16"/>
  <c r="AE20" i="16" s="1"/>
  <c r="AE22" i="16" s="1"/>
  <c r="AE17" i="16"/>
  <c r="V14" i="16"/>
  <c r="W16" i="16"/>
  <c r="BP40" i="11"/>
  <c r="AW22" i="11"/>
  <c r="AV22" i="11"/>
  <c r="AU22" i="11"/>
  <c r="AT22" i="11"/>
  <c r="AL22" i="11"/>
  <c r="S22" i="11"/>
  <c r="R22" i="11"/>
  <c r="Q22" i="11"/>
  <c r="P22" i="11"/>
  <c r="BT21" i="11"/>
  <c r="BL21" i="11"/>
  <c r="BK21" i="11"/>
  <c r="BJ21" i="11"/>
  <c r="BI21" i="11"/>
  <c r="AW21" i="11"/>
  <c r="AV21" i="11"/>
  <c r="AU21" i="11"/>
  <c r="AT21" i="11"/>
  <c r="AP21" i="11"/>
  <c r="AL21" i="11"/>
  <c r="S21" i="11"/>
  <c r="R21" i="11"/>
  <c r="Q21" i="11"/>
  <c r="P21" i="11"/>
  <c r="L21" i="11"/>
  <c r="K21" i="11"/>
  <c r="J21" i="11"/>
  <c r="I21" i="11"/>
  <c r="BT20" i="11"/>
  <c r="BP20" i="11"/>
  <c r="BL20" i="11"/>
  <c r="BK20" i="11"/>
  <c r="BJ20" i="11"/>
  <c r="BI20" i="11"/>
  <c r="AG20" i="11"/>
  <c r="AF20" i="11"/>
  <c r="AE20" i="11"/>
  <c r="AD20" i="11"/>
  <c r="Z20" i="11"/>
  <c r="Y20" i="11"/>
  <c r="X20" i="11"/>
  <c r="W20" i="11"/>
  <c r="L20" i="11"/>
  <c r="K20" i="11"/>
  <c r="J20" i="11"/>
  <c r="I20" i="11"/>
  <c r="BT19" i="11"/>
  <c r="BL19" i="11"/>
  <c r="BK19" i="11"/>
  <c r="BJ19" i="11"/>
  <c r="BI19" i="11"/>
  <c r="AU19" i="11"/>
  <c r="AL19" i="11"/>
  <c r="AG19" i="11"/>
  <c r="AF19" i="11"/>
  <c r="AE19" i="11"/>
  <c r="AD19" i="11"/>
  <c r="Q19" i="11"/>
  <c r="BT18" i="11"/>
  <c r="BT26" i="11" s="1"/>
  <c r="BT28" i="11" s="1"/>
  <c r="AV18" i="11"/>
  <c r="AV20" i="11" s="1"/>
  <c r="AT18" i="11"/>
  <c r="AL18" i="11"/>
  <c r="AG18" i="11"/>
  <c r="AF18" i="11"/>
  <c r="AE18" i="11"/>
  <c r="AD18" i="11"/>
  <c r="Z18" i="11"/>
  <c r="Y18" i="11"/>
  <c r="X18" i="11"/>
  <c r="W18" i="11"/>
  <c r="S18" i="11"/>
  <c r="R18" i="11"/>
  <c r="Q18" i="11"/>
  <c r="P18" i="11"/>
  <c r="AA75" i="16" l="1"/>
  <c r="AE79" i="16" s="1"/>
  <c r="N5" i="16"/>
  <c r="T79" i="16"/>
  <c r="U79" i="16"/>
  <c r="V79" i="16"/>
  <c r="W79" i="16"/>
  <c r="S79" i="16"/>
  <c r="AL20" i="11"/>
  <c r="AL23" i="11" s="1"/>
  <c r="AP26" i="11" s="1"/>
  <c r="BP45" i="11"/>
  <c r="BP47" i="11" s="1"/>
  <c r="BP49" i="11" s="1"/>
  <c r="AB79" i="16"/>
  <c r="AA79" i="16"/>
  <c r="W19" i="16"/>
  <c r="W17" i="16"/>
  <c r="U14" i="16"/>
  <c r="V16" i="16"/>
  <c r="AC16" i="16"/>
  <c r="AD19" i="16"/>
  <c r="AD20" i="16" s="1"/>
  <c r="AD22" i="16" s="1"/>
  <c r="AD17" i="16"/>
  <c r="AP17" i="11"/>
  <c r="S17" i="11"/>
  <c r="R17" i="11"/>
  <c r="Q17" i="11"/>
  <c r="P17" i="11"/>
  <c r="BC16" i="11"/>
  <c r="BB16" i="11"/>
  <c r="BA16" i="11"/>
  <c r="AD16" i="11"/>
  <c r="R16" i="11"/>
  <c r="B16" i="11"/>
  <c r="AD79" i="16" l="1"/>
  <c r="O5" i="16"/>
  <c r="AC79" i="16"/>
  <c r="AB16" i="16"/>
  <c r="AC17" i="16"/>
  <c r="V19" i="16"/>
  <c r="V17" i="16"/>
  <c r="T14" i="16"/>
  <c r="S14" i="16" s="1"/>
  <c r="S16" i="16" s="1"/>
  <c r="U16" i="16"/>
  <c r="BP19" i="11"/>
  <c r="BP21" i="11" s="1"/>
  <c r="BP23" i="11" s="1"/>
  <c r="AD15" i="11"/>
  <c r="E15" i="11"/>
  <c r="P14" i="11"/>
  <c r="L14" i="11"/>
  <c r="K14" i="11" s="1"/>
  <c r="J14" i="11" s="1"/>
  <c r="I14" i="11" s="1"/>
  <c r="BT13" i="11"/>
  <c r="P13" i="11"/>
  <c r="B13" i="11"/>
  <c r="BX12" i="11"/>
  <c r="BP12" i="11"/>
  <c r="BL12" i="11"/>
  <c r="BK12" i="11"/>
  <c r="BJ12" i="11"/>
  <c r="BI12" i="11"/>
  <c r="BC12" i="11"/>
  <c r="BC14" i="11" s="1"/>
  <c r="BB12" i="11"/>
  <c r="BB14" i="11" s="1"/>
  <c r="BA12" i="11"/>
  <c r="BA14" i="11" s="1"/>
  <c r="L12" i="11"/>
  <c r="K12" i="11" s="1"/>
  <c r="J12" i="11" s="1"/>
  <c r="I12" i="11" s="1"/>
  <c r="B12" i="11"/>
  <c r="BX11" i="11"/>
  <c r="BT11" i="11"/>
  <c r="BP11" i="11"/>
  <c r="AE11" i="11"/>
  <c r="Z11" i="11"/>
  <c r="Y11" i="11"/>
  <c r="X11" i="11"/>
  <c r="W11" i="11"/>
  <c r="BX10" i="11"/>
  <c r="BT10" i="11"/>
  <c r="BP10" i="11"/>
  <c r="AW10" i="11"/>
  <c r="AV10" i="11"/>
  <c r="AU10" i="11"/>
  <c r="AT10" i="11"/>
  <c r="AL10" i="11"/>
  <c r="AE10" i="11"/>
  <c r="Q10" i="11"/>
  <c r="L10" i="11"/>
  <c r="K10" i="11" s="1"/>
  <c r="J10" i="11" s="1"/>
  <c r="I10" i="11" s="1"/>
  <c r="B10" i="11"/>
  <c r="BX9" i="11"/>
  <c r="BT9" i="11"/>
  <c r="BP9" i="11"/>
  <c r="BL9" i="11"/>
  <c r="BK9" i="11"/>
  <c r="BJ9" i="11"/>
  <c r="BI9" i="11"/>
  <c r="Q9" i="11"/>
  <c r="BX8" i="11"/>
  <c r="BT8" i="11"/>
  <c r="BP8" i="11"/>
  <c r="BL8" i="11"/>
  <c r="BK8" i="11"/>
  <c r="BJ8" i="11"/>
  <c r="BI8" i="11"/>
  <c r="AG8" i="11"/>
  <c r="AF8" i="11"/>
  <c r="AE8" i="11"/>
  <c r="AD8" i="11"/>
  <c r="L8" i="11"/>
  <c r="K8" i="11" s="1"/>
  <c r="J8" i="11" s="1"/>
  <c r="I8" i="11" s="1"/>
  <c r="BX7" i="11"/>
  <c r="BT7" i="11"/>
  <c r="BP7" i="11"/>
  <c r="BL7" i="11"/>
  <c r="BK7" i="11"/>
  <c r="BJ7" i="11"/>
  <c r="BI7" i="11"/>
  <c r="BC7" i="11"/>
  <c r="BB7" i="11"/>
  <c r="BA7" i="11"/>
  <c r="AW7" i="11"/>
  <c r="AV7" i="11"/>
  <c r="AU7" i="11"/>
  <c r="AT7" i="11"/>
  <c r="AG7" i="11"/>
  <c r="AF7" i="11"/>
  <c r="AE7" i="11"/>
  <c r="AD7" i="11"/>
  <c r="S7" i="11"/>
  <c r="P7" i="11"/>
  <c r="BX6" i="11"/>
  <c r="BT6" i="11"/>
  <c r="BL6" i="11"/>
  <c r="BK6" i="11"/>
  <c r="BJ6" i="11"/>
  <c r="BI6" i="11"/>
  <c r="AW6" i="11"/>
  <c r="AV6" i="11"/>
  <c r="AU6" i="11"/>
  <c r="AT6" i="11"/>
  <c r="Z6" i="11"/>
  <c r="Y6" i="11"/>
  <c r="X6" i="11"/>
  <c r="W6" i="11"/>
  <c r="BX5" i="11"/>
  <c r="BT5" i="11"/>
  <c r="BP5" i="11"/>
  <c r="BL5" i="11"/>
  <c r="BK5" i="11"/>
  <c r="BJ5" i="11"/>
  <c r="BI5" i="11"/>
  <c r="AW5" i="11"/>
  <c r="AV5" i="11"/>
  <c r="AU5" i="11"/>
  <c r="AT5" i="11"/>
  <c r="AG5" i="11"/>
  <c r="AF5" i="11"/>
  <c r="AE5" i="11"/>
  <c r="AD5" i="11"/>
  <c r="R5" i="11"/>
  <c r="AF3" i="11" s="1"/>
  <c r="AF6" i="11" s="1"/>
  <c r="Q5" i="11"/>
  <c r="H5" i="11"/>
  <c r="BX4" i="11"/>
  <c r="BT4" i="11"/>
  <c r="BT12" i="11" s="1"/>
  <c r="BP4" i="11"/>
  <c r="BP6" i="11" s="1"/>
  <c r="BL4" i="11"/>
  <c r="BK4" i="11"/>
  <c r="BJ4" i="11"/>
  <c r="BI4" i="11"/>
  <c r="AP4" i="11"/>
  <c r="AO4" i="11"/>
  <c r="AN4" i="11"/>
  <c r="AM4" i="11"/>
  <c r="AL4" i="11"/>
  <c r="AD4" i="11"/>
  <c r="Z4" i="11"/>
  <c r="Y4" i="11"/>
  <c r="X4" i="11"/>
  <c r="W4" i="11"/>
  <c r="E4" i="11"/>
  <c r="BL3" i="11"/>
  <c r="BK3" i="11"/>
  <c r="BJ3" i="11"/>
  <c r="BI3" i="11"/>
  <c r="BC3" i="11"/>
  <c r="BC5" i="11" s="1"/>
  <c r="BB3" i="11"/>
  <c r="BB5" i="11" s="1"/>
  <c r="BA3" i="11"/>
  <c r="BA5" i="11" s="1"/>
  <c r="AW3" i="11"/>
  <c r="AV3" i="11"/>
  <c r="AU3" i="11"/>
  <c r="AT3" i="11"/>
  <c r="AP3" i="11"/>
  <c r="AG3" i="11"/>
  <c r="AG6" i="11" s="1"/>
  <c r="AE3" i="11"/>
  <c r="S3" i="11"/>
  <c r="R3" i="11"/>
  <c r="Q3" i="11"/>
  <c r="P3" i="11"/>
  <c r="C3" i="11"/>
  <c r="BL2" i="11"/>
  <c r="BK2" i="11"/>
  <c r="BJ2" i="11"/>
  <c r="BI2" i="11"/>
  <c r="AV2" i="11"/>
  <c r="AV4" i="11" s="1"/>
  <c r="S2" i="11"/>
  <c r="R2" i="11"/>
  <c r="R4" i="11" s="1"/>
  <c r="Q2" i="11"/>
  <c r="P2" i="11"/>
  <c r="B63" i="9"/>
  <c r="A63" i="9"/>
  <c r="Z60" i="9"/>
  <c r="Y60" i="9"/>
  <c r="X60" i="9"/>
  <c r="W60" i="9"/>
  <c r="B62" i="9"/>
  <c r="A49" i="9" s="1"/>
  <c r="C61" i="9"/>
  <c r="F58" i="9"/>
  <c r="Z57" i="9"/>
  <c r="Y57" i="9"/>
  <c r="X57" i="9"/>
  <c r="C57" i="9"/>
  <c r="Z54" i="9"/>
  <c r="Y54" i="9"/>
  <c r="X54" i="9"/>
  <c r="W54" i="9"/>
  <c r="Z53" i="9"/>
  <c r="Y53" i="9"/>
  <c r="X53" i="9"/>
  <c r="W53" i="9"/>
  <c r="X52" i="9"/>
  <c r="W52" i="9"/>
  <c r="AU51" i="9"/>
  <c r="AT51" i="9"/>
  <c r="AS51" i="9"/>
  <c r="AR51" i="9"/>
  <c r="Z51" i="9"/>
  <c r="Y51" i="9"/>
  <c r="X51" i="9"/>
  <c r="W51" i="9"/>
  <c r="BK50" i="9"/>
  <c r="Z50" i="9"/>
  <c r="Y50" i="9"/>
  <c r="X50" i="9"/>
  <c r="W50" i="9"/>
  <c r="Y49" i="9"/>
  <c r="F49" i="9"/>
  <c r="BK48" i="9"/>
  <c r="AU48" i="9"/>
  <c r="AT48" i="9"/>
  <c r="AS48" i="9"/>
  <c r="AR48" i="9"/>
  <c r="AN48" i="9"/>
  <c r="AM48" i="9"/>
  <c r="AL48" i="9"/>
  <c r="AK48" i="9"/>
  <c r="Q49" i="9"/>
  <c r="N49" i="9"/>
  <c r="F48" i="9"/>
  <c r="AU47" i="9"/>
  <c r="AT47" i="9"/>
  <c r="AS47" i="9"/>
  <c r="AR47" i="9"/>
  <c r="AN47" i="9" s="1"/>
  <c r="AM47" i="9" s="1"/>
  <c r="AL47" i="9" s="1"/>
  <c r="AK47" i="9" s="1"/>
  <c r="Q48" i="9"/>
  <c r="N48" i="9"/>
  <c r="BK46" i="9"/>
  <c r="AY46" i="9"/>
  <c r="AU46" i="9"/>
  <c r="AT46" i="9"/>
  <c r="AS46" i="9"/>
  <c r="AR46" i="9"/>
  <c r="F46" i="9"/>
  <c r="BK45" i="9"/>
  <c r="BC45" i="9"/>
  <c r="AU45" i="9"/>
  <c r="AT45" i="9"/>
  <c r="AS45" i="9"/>
  <c r="AR45" i="9"/>
  <c r="AN45" i="9"/>
  <c r="AN46" i="9" s="1"/>
  <c r="AM45" i="9"/>
  <c r="AM46" i="9" s="1"/>
  <c r="AL45" i="9"/>
  <c r="AL46" i="9" s="1"/>
  <c r="AK45" i="9"/>
  <c r="B47" i="9"/>
  <c r="BK44" i="9"/>
  <c r="AU44" i="9"/>
  <c r="AT44" i="9"/>
  <c r="AS44" i="9"/>
  <c r="AR44" i="9"/>
  <c r="B49" i="9" l="1"/>
  <c r="Q4" i="11"/>
  <c r="BX14" i="11"/>
  <c r="T16" i="16"/>
  <c r="U17" i="16"/>
  <c r="S17" i="16"/>
  <c r="AA16" i="16"/>
  <c r="AB17" i="16"/>
  <c r="AD38" i="11"/>
  <c r="AD39" i="11" s="1"/>
  <c r="AH36" i="11"/>
  <c r="AH37" i="11" s="1"/>
  <c r="AH39" i="11" s="1"/>
  <c r="BL27" i="11"/>
  <c r="BL28" i="11" s="1"/>
  <c r="BL30" i="11" s="1"/>
  <c r="BK27" i="11"/>
  <c r="BK28" i="11" s="1"/>
  <c r="BJ27" i="11"/>
  <c r="BI27" i="11"/>
  <c r="AW27" i="11"/>
  <c r="AV27" i="11"/>
  <c r="AU27" i="11"/>
  <c r="AT27" i="11" s="1"/>
  <c r="BP26" i="11"/>
  <c r="S24" i="11"/>
  <c r="S25" i="11" s="1"/>
  <c r="R24" i="11"/>
  <c r="R25" i="11" s="1"/>
  <c r="Q24" i="11"/>
  <c r="P24" i="11"/>
  <c r="P25" i="11" s="1"/>
  <c r="AG21" i="11"/>
  <c r="AF21" i="11"/>
  <c r="AE21" i="11"/>
  <c r="AD21" i="11"/>
  <c r="BL10" i="11"/>
  <c r="BK10" i="11"/>
  <c r="BJ10" i="11"/>
  <c r="BI10" i="11"/>
  <c r="AW8" i="11"/>
  <c r="AV8" i="11"/>
  <c r="AU8" i="11"/>
  <c r="AT8" i="11"/>
  <c r="BP27" i="11"/>
  <c r="BP29" i="11" s="1"/>
  <c r="AP29" i="11"/>
  <c r="AP18" i="11"/>
  <c r="AE6" i="11"/>
  <c r="AK46" i="9"/>
  <c r="BK47" i="9"/>
  <c r="BK49" i="9" s="1"/>
  <c r="BK51" i="9" s="1"/>
  <c r="P4" i="11"/>
  <c r="S4" i="11"/>
  <c r="BC4" i="11"/>
  <c r="BB4" i="11" s="1"/>
  <c r="BA4" i="11" s="1"/>
  <c r="AP5" i="11"/>
  <c r="BL11" i="11"/>
  <c r="BK11" i="11" s="1"/>
  <c r="BP13" i="11"/>
  <c r="BT14" i="11"/>
  <c r="BP14" i="11" s="1"/>
  <c r="W44" i="9"/>
  <c r="B46" i="9"/>
  <c r="AY43" i="9"/>
  <c r="AU43" i="9"/>
  <c r="AT43" i="9"/>
  <c r="AS43" i="9"/>
  <c r="AR43" i="9"/>
  <c r="AG43" i="9"/>
  <c r="AF43" i="9"/>
  <c r="AE43" i="9"/>
  <c r="AD43" i="9"/>
  <c r="D43" i="9"/>
  <c r="BC42" i="9"/>
  <c r="AY42" i="9"/>
  <c r="AR42" i="9"/>
  <c r="I29" i="9"/>
  <c r="BC41" i="9"/>
  <c r="AY41" i="9"/>
  <c r="AR41" i="9"/>
  <c r="A43" i="9"/>
  <c r="BK40" i="9"/>
  <c r="BG40" i="9"/>
  <c r="AU40" i="9"/>
  <c r="AT40" i="9"/>
  <c r="AS40" i="9"/>
  <c r="AR40" i="9"/>
  <c r="Z40" i="9"/>
  <c r="Y40" i="9"/>
  <c r="X40" i="9"/>
  <c r="W40" i="9"/>
  <c r="S41" i="9"/>
  <c r="R41" i="9"/>
  <c r="Q41" i="9"/>
  <c r="P41" i="9"/>
  <c r="B42" i="9"/>
  <c r="BJ11" i="11" l="1"/>
  <c r="BI11" i="11" s="1"/>
  <c r="AA17" i="16"/>
  <c r="T17" i="16"/>
  <c r="Q25" i="11"/>
  <c r="BJ28" i="11"/>
  <c r="BI28" i="11" s="1"/>
  <c r="BK30" i="11"/>
  <c r="AP20" i="11"/>
  <c r="AP22" i="11" s="1"/>
  <c r="AL30" i="11" s="1"/>
  <c r="AP19" i="11"/>
  <c r="BL13" i="11"/>
  <c r="BK13" i="11" s="1"/>
  <c r="BJ13" i="11" s="1"/>
  <c r="BI13" i="11" s="1"/>
  <c r="BP15" i="11"/>
  <c r="BC39" i="9"/>
  <c r="AY39" i="9"/>
  <c r="BJ30" i="11" l="1"/>
  <c r="BI30" i="11"/>
  <c r="BC13" i="11"/>
  <c r="BB13" i="11" s="1"/>
  <c r="BA13" i="11" s="1"/>
  <c r="BI15" i="11"/>
  <c r="S5" i="11"/>
  <c r="S8" i="11" s="1"/>
  <c r="AN39" i="9"/>
  <c r="AM39" i="9"/>
  <c r="AL39" i="9"/>
  <c r="AK39" i="9"/>
  <c r="BI32" i="11" l="1"/>
  <c r="R8" i="11"/>
  <c r="Q8" i="11" s="1"/>
  <c r="S20" i="11"/>
  <c r="BA20" i="11"/>
  <c r="R20" i="11" l="1"/>
  <c r="Q20" i="11" s="1"/>
  <c r="S27" i="11"/>
  <c r="BA22" i="11"/>
  <c r="BE23" i="11" s="1"/>
  <c r="B41" i="9"/>
  <c r="BK38" i="9"/>
  <c r="BG38" i="9"/>
  <c r="BC38" i="9"/>
  <c r="AY38" i="9"/>
  <c r="AN38" i="9" s="1"/>
  <c r="AM38" i="9" s="1"/>
  <c r="AL38" i="9" s="1"/>
  <c r="AK38" i="9" s="1"/>
  <c r="C40" i="9"/>
  <c r="B40" i="9" s="1"/>
  <c r="BG37" i="9"/>
  <c r="BC37" i="9"/>
  <c r="AY37" i="9"/>
  <c r="Z37" i="9"/>
  <c r="Y37" i="9"/>
  <c r="X37" i="9"/>
  <c r="W37" i="9"/>
  <c r="I41" i="9"/>
  <c r="E37" i="9"/>
  <c r="BK36" i="9"/>
  <c r="BG36" i="9"/>
  <c r="BG39" i="9" s="1"/>
  <c r="AN36" i="9"/>
  <c r="AN37" i="9" s="1"/>
  <c r="AM36" i="9"/>
  <c r="AM37" i="9" s="1"/>
  <c r="AL36" i="9"/>
  <c r="AL37" i="9" s="1"/>
  <c r="AK36" i="9"/>
  <c r="Z36" i="9"/>
  <c r="Y36" i="9"/>
  <c r="X36" i="9"/>
  <c r="W36" i="9"/>
  <c r="F36" i="9"/>
  <c r="A38" i="9"/>
  <c r="BK35" i="9"/>
  <c r="BC35" i="9"/>
  <c r="AY35" i="9"/>
  <c r="AG35" i="9"/>
  <c r="AF35" i="9"/>
  <c r="AE35" i="9"/>
  <c r="AD35" i="9"/>
  <c r="Z35" i="9"/>
  <c r="Y35" i="9"/>
  <c r="X35" i="9"/>
  <c r="W35" i="9"/>
  <c r="BK34" i="9"/>
  <c r="Z34" i="9"/>
  <c r="Y34" i="9"/>
  <c r="X34" i="9"/>
  <c r="W34" i="9"/>
  <c r="I37" i="9"/>
  <c r="B35" i="9"/>
  <c r="BG32" i="9"/>
  <c r="AU32" i="9"/>
  <c r="AT32" i="9"/>
  <c r="AS32" i="9"/>
  <c r="AR32" i="9"/>
  <c r="AG32" i="9"/>
  <c r="AF32" i="9"/>
  <c r="AE32" i="9"/>
  <c r="AD32" i="9"/>
  <c r="S33" i="9"/>
  <c r="S34" i="9" s="1"/>
  <c r="R33" i="9"/>
  <c r="R34" i="9" s="1"/>
  <c r="Q33" i="9"/>
  <c r="Q34" i="9" s="1"/>
  <c r="P33" i="9"/>
  <c r="P34" i="9" s="1"/>
  <c r="I36" i="9"/>
  <c r="E32" i="9"/>
  <c r="AG31" i="9"/>
  <c r="AF31" i="9"/>
  <c r="AE31" i="9"/>
  <c r="AD31" i="9"/>
  <c r="I35" i="9"/>
  <c r="C33" i="9"/>
  <c r="BK30" i="9"/>
  <c r="BG30" i="9"/>
  <c r="BC40" i="9" l="1"/>
  <c r="B33" i="9"/>
  <c r="AY40" i="9"/>
  <c r="W49" i="9"/>
  <c r="AR39" i="9"/>
  <c r="R27" i="11"/>
  <c r="Q27" i="11" s="1"/>
  <c r="AK37" i="9"/>
  <c r="BK37" i="9"/>
  <c r="BK39" i="9" s="1"/>
  <c r="BK41" i="9" s="1"/>
  <c r="BG41" i="9" s="1"/>
  <c r="AG30" i="9"/>
  <c r="AF30" i="9"/>
  <c r="AE30" i="9"/>
  <c r="AD30" i="9"/>
  <c r="I34" i="9"/>
  <c r="BG29" i="9"/>
  <c r="AU29" i="9"/>
  <c r="AT29" i="9"/>
  <c r="AS29" i="9"/>
  <c r="AR29" i="9"/>
  <c r="AN29" i="9"/>
  <c r="AM29" i="9"/>
  <c r="AL29" i="9"/>
  <c r="AK29" i="9"/>
  <c r="AG29" i="9"/>
  <c r="AF29" i="9"/>
  <c r="AE29" i="9"/>
  <c r="AD29" i="9"/>
  <c r="S29" i="9"/>
  <c r="S30" i="9" s="1"/>
  <c r="R29" i="9"/>
  <c r="R30" i="9" s="1"/>
  <c r="Q29" i="9"/>
  <c r="Q30" i="9" s="1"/>
  <c r="P29" i="9"/>
  <c r="P30" i="9" s="1"/>
  <c r="BK28" i="9"/>
  <c r="BG28" i="9"/>
  <c r="AY28" i="9"/>
  <c r="AU28" i="9"/>
  <c r="AT28" i="9"/>
  <c r="AS28" i="9"/>
  <c r="AR28" i="9"/>
  <c r="AN28" i="9"/>
  <c r="AM28" i="9"/>
  <c r="AL28" i="9"/>
  <c r="AK28" i="9"/>
  <c r="AG28" i="9"/>
  <c r="AF28" i="9"/>
  <c r="AE28" i="9"/>
  <c r="AD28" i="9"/>
  <c r="AU27" i="9"/>
  <c r="AT27" i="9"/>
  <c r="AS27" i="9"/>
  <c r="AR27" i="9"/>
  <c r="AG27" i="9"/>
  <c r="AF27" i="9"/>
  <c r="AE27" i="9"/>
  <c r="AD27" i="9"/>
  <c r="BK26" i="9"/>
  <c r="AU26" i="9"/>
  <c r="AT26" i="9"/>
  <c r="AS26" i="9"/>
  <c r="AR26" i="9"/>
  <c r="AN26" i="9"/>
  <c r="AM26" i="9"/>
  <c r="AL26" i="9"/>
  <c r="AK26" i="9"/>
  <c r="Z26" i="9"/>
  <c r="Y26" i="9"/>
  <c r="X26" i="9"/>
  <c r="W26" i="9"/>
  <c r="BK25" i="9"/>
  <c r="AY25" i="9"/>
  <c r="AU25" i="9"/>
  <c r="AT25" i="9"/>
  <c r="AS25" i="9"/>
  <c r="AR25" i="9"/>
  <c r="AE25" i="9"/>
  <c r="Z25" i="9"/>
  <c r="Y25" i="9"/>
  <c r="X25" i="9"/>
  <c r="W25" i="9"/>
  <c r="I26" i="9"/>
  <c r="BK24" i="9"/>
  <c r="BG24" i="9"/>
  <c r="BC24" i="9"/>
  <c r="AY24" i="9"/>
  <c r="AU24" i="9"/>
  <c r="AT24" i="9"/>
  <c r="AS24" i="9"/>
  <c r="AR24" i="9"/>
  <c r="AN24" i="9"/>
  <c r="AM24" i="9"/>
  <c r="AL24" i="9"/>
  <c r="AK24" i="9"/>
  <c r="AF24" i="9"/>
  <c r="AD24" i="9"/>
  <c r="S24" i="9"/>
  <c r="R24" i="9"/>
  <c r="Q24" i="9"/>
  <c r="P24" i="9"/>
  <c r="I25" i="9"/>
  <c r="F24" i="9"/>
  <c r="E24" i="9"/>
  <c r="BC23" i="9"/>
  <c r="AU23" i="9"/>
  <c r="AT23" i="9"/>
  <c r="AS23" i="9"/>
  <c r="AR23" i="9"/>
  <c r="Z23" i="9"/>
  <c r="Z24" i="9" s="1"/>
  <c r="Y23" i="9"/>
  <c r="Y24" i="9" s="1"/>
  <c r="X23" i="9"/>
  <c r="X24" i="9" s="1"/>
  <c r="W23" i="9"/>
  <c r="W24" i="9" s="1"/>
  <c r="S23" i="9"/>
  <c r="R23" i="9"/>
  <c r="Q23" i="9"/>
  <c r="P23" i="9"/>
  <c r="D23" i="9"/>
  <c r="BG22" i="9"/>
  <c r="BC22" i="9"/>
  <c r="AY22" i="9"/>
  <c r="AU22" i="9"/>
  <c r="AT22" i="9"/>
  <c r="AS22" i="9"/>
  <c r="AR22" i="9"/>
  <c r="S22" i="9"/>
  <c r="Z32" i="9" s="1"/>
  <c r="R22" i="9"/>
  <c r="Y32" i="9" s="1"/>
  <c r="Q22" i="9"/>
  <c r="X32" i="9" s="1"/>
  <c r="P22" i="9"/>
  <c r="W32" i="9" s="1"/>
  <c r="E22" i="9"/>
  <c r="BG21" i="9"/>
  <c r="BC21" i="9"/>
  <c r="AU21" i="9"/>
  <c r="AT21" i="9"/>
  <c r="AS21" i="9"/>
  <c r="AR21" i="9"/>
  <c r="BK20" i="9"/>
  <c r="BG20" i="9"/>
  <c r="BC20" i="9"/>
  <c r="AY20" i="9"/>
  <c r="Z20" i="9"/>
  <c r="Y20" i="9"/>
  <c r="X20" i="9"/>
  <c r="W20" i="9"/>
  <c r="Q20" i="9"/>
  <c r="I21" i="9" s="1"/>
  <c r="E20" i="9"/>
  <c r="BC19" i="9"/>
  <c r="AY19" i="9"/>
  <c r="Z19" i="9"/>
  <c r="Y19" i="9"/>
  <c r="X19" i="9"/>
  <c r="W19" i="9"/>
  <c r="S19" i="9"/>
  <c r="R19" i="9"/>
  <c r="Q19" i="9"/>
  <c r="P19" i="9"/>
  <c r="I20" i="9" s="1"/>
  <c r="BK18" i="9"/>
  <c r="BC18" i="9"/>
  <c r="AG18" i="9"/>
  <c r="AF18" i="9"/>
  <c r="AE18" i="9"/>
  <c r="AD18" i="9"/>
  <c r="Z18" i="9"/>
  <c r="Y18" i="9"/>
  <c r="X18" i="9"/>
  <c r="W18" i="9"/>
  <c r="S18" i="9"/>
  <c r="R18" i="9"/>
  <c r="Q18" i="9"/>
  <c r="P18" i="9"/>
  <c r="BG23" i="9" l="1"/>
  <c r="I27" i="9"/>
  <c r="BK27" i="9"/>
  <c r="BC27" i="9" s="1"/>
  <c r="BG31" i="9"/>
  <c r="BK29" i="9"/>
  <c r="BK31" i="9" s="1"/>
  <c r="I38" i="9"/>
  <c r="BG33" i="9" s="1"/>
  <c r="AN3" i="11"/>
  <c r="AN5" i="11" s="1"/>
  <c r="Z44" i="11"/>
  <c r="Z47" i="11" s="1"/>
  <c r="Z30" i="11"/>
  <c r="Z33" i="11" s="1"/>
  <c r="AW18" i="11"/>
  <c r="AW20" i="11" s="1"/>
  <c r="AW28" i="11" s="1"/>
  <c r="Z16" i="11"/>
  <c r="Z19" i="11" s="1"/>
  <c r="AO3" i="11"/>
  <c r="AO5" i="11" s="1"/>
  <c r="AW2" i="11"/>
  <c r="AW4" i="11" s="1"/>
  <c r="AW9" i="11" s="1"/>
  <c r="Z2" i="11"/>
  <c r="Z5" i="11" s="1"/>
  <c r="X44" i="11"/>
  <c r="X30" i="11"/>
  <c r="AU18" i="11"/>
  <c r="AU20" i="11" s="1"/>
  <c r="AT20" i="11" s="1"/>
  <c r="X16" i="11"/>
  <c r="BB11" i="11"/>
  <c r="AM3" i="11"/>
  <c r="AM5" i="11" s="1"/>
  <c r="BB2" i="11"/>
  <c r="BB6" i="11" s="1"/>
  <c r="AU2" i="11"/>
  <c r="AU4" i="11" s="1"/>
  <c r="X2" i="11"/>
  <c r="AY21" i="9"/>
  <c r="AY23" i="9" s="1"/>
  <c r="BG25" i="9"/>
  <c r="AF26" i="9"/>
  <c r="AK27" i="9"/>
  <c r="AN27" i="9"/>
  <c r="AM27" i="9" s="1"/>
  <c r="AL27" i="9" s="1"/>
  <c r="I19" i="9"/>
  <c r="AN17" i="9"/>
  <c r="AM17" i="9"/>
  <c r="AL17" i="9"/>
  <c r="AK17" i="9"/>
  <c r="S17" i="9"/>
  <c r="R17" i="9"/>
  <c r="Q17" i="9"/>
  <c r="P17" i="9"/>
  <c r="BK16" i="9"/>
  <c r="BG16" i="9"/>
  <c r="AN16" i="9" s="1"/>
  <c r="W16" i="9"/>
  <c r="S16" i="9"/>
  <c r="R16" i="9"/>
  <c r="Q16" i="9"/>
  <c r="P16" i="9"/>
  <c r="B16" i="9"/>
  <c r="BK15" i="9"/>
  <c r="W15" i="9"/>
  <c r="I16" i="9"/>
  <c r="BK14" i="9"/>
  <c r="BG14" i="9"/>
  <c r="AY14" i="9"/>
  <c r="AU14" i="9"/>
  <c r="AT14" i="9"/>
  <c r="AS14" i="9"/>
  <c r="AR14" i="9"/>
  <c r="AN14" i="9"/>
  <c r="AN15" i="9" s="1"/>
  <c r="AM14" i="9"/>
  <c r="AM15" i="9" s="1"/>
  <c r="AL14" i="9"/>
  <c r="AL15" i="9" s="1"/>
  <c r="AK14" i="9"/>
  <c r="AK15" i="9" s="1"/>
  <c r="BK17" i="9" l="1"/>
  <c r="BK19" i="9" s="1"/>
  <c r="BK21" i="9" s="1"/>
  <c r="X49" i="9"/>
  <c r="AS39" i="9"/>
  <c r="AM16" i="9"/>
  <c r="Z10" i="11"/>
  <c r="Z7" i="11"/>
  <c r="AV9" i="11"/>
  <c r="AU9" i="11" s="1"/>
  <c r="AW11" i="11"/>
  <c r="Z24" i="11"/>
  <c r="Z21" i="11"/>
  <c r="AV28" i="11"/>
  <c r="AU28" i="11" s="1"/>
  <c r="AT28" i="11" s="1"/>
  <c r="AP28" i="11" s="1"/>
  <c r="AW30" i="11"/>
  <c r="Z38" i="11"/>
  <c r="Z35" i="11"/>
  <c r="Z52" i="11"/>
  <c r="Z49" i="11"/>
  <c r="Y44" i="11"/>
  <c r="Y47" i="11" s="1"/>
  <c r="Y30" i="11"/>
  <c r="Y33" i="11" s="1"/>
  <c r="Y16" i="11"/>
  <c r="Y19" i="11" s="1"/>
  <c r="BC11" i="11"/>
  <c r="BC15" i="11" s="1"/>
  <c r="BC2" i="11"/>
  <c r="BC6" i="11" s="1"/>
  <c r="BC8" i="11" s="1"/>
  <c r="BB8" i="11" s="1"/>
  <c r="Y2" i="11"/>
  <c r="Y5" i="11" s="1"/>
  <c r="AE24" i="9"/>
  <c r="AE26" i="9" s="1"/>
  <c r="P14" i="9"/>
  <c r="BG13" i="9"/>
  <c r="BC13" i="9"/>
  <c r="AV11" i="11" l="1"/>
  <c r="AU11" i="11"/>
  <c r="X5" i="11"/>
  <c r="X10" i="11" s="1"/>
  <c r="Y7" i="11"/>
  <c r="X19" i="11"/>
  <c r="X24" i="11" s="1"/>
  <c r="Y24" i="11"/>
  <c r="X33" i="11"/>
  <c r="X38" i="11" s="1"/>
  <c r="Y38" i="11"/>
  <c r="Y35" i="11"/>
  <c r="X35" i="11" s="1"/>
  <c r="X47" i="11"/>
  <c r="X52" i="11" s="1"/>
  <c r="Y52" i="11"/>
  <c r="AD26" i="9"/>
  <c r="BB15" i="11"/>
  <c r="BC17" i="11"/>
  <c r="AV30" i="11"/>
  <c r="AW36" i="11"/>
  <c r="AW38" i="11" s="1"/>
  <c r="AL16" i="9"/>
  <c r="Y49" i="11"/>
  <c r="X49" i="11" s="1"/>
  <c r="Y21" i="11"/>
  <c r="Y10" i="11"/>
  <c r="X21" i="11" l="1"/>
  <c r="BB17" i="11"/>
  <c r="X7" i="11"/>
  <c r="AK16" i="9"/>
  <c r="AW31" i="11"/>
  <c r="AU30" i="11"/>
  <c r="AT30" i="11" s="1"/>
  <c r="AT36" i="11" s="1"/>
  <c r="AV36" i="11"/>
  <c r="AG13" i="9"/>
  <c r="AF13" i="9"/>
  <c r="AE13" i="9"/>
  <c r="AD13" i="9"/>
  <c r="X13" i="9"/>
  <c r="P13" i="9"/>
  <c r="Q47" i="9" s="1"/>
  <c r="Q50" i="9" s="1"/>
  <c r="B13" i="9"/>
  <c r="BO12" i="9"/>
  <c r="BG12" i="9"/>
  <c r="AN12" i="9"/>
  <c r="AM12" i="9"/>
  <c r="AL12" i="9"/>
  <c r="AK12" i="9"/>
  <c r="AG12" i="9"/>
  <c r="AF12" i="9"/>
  <c r="AE12" i="9"/>
  <c r="AD12" i="9"/>
  <c r="X12" i="9"/>
  <c r="L12" i="9"/>
  <c r="K12" i="9"/>
  <c r="J12" i="9"/>
  <c r="B12" i="9"/>
  <c r="BO11" i="9"/>
  <c r="AY11" i="9"/>
  <c r="AU11" i="9"/>
  <c r="AT11" i="9"/>
  <c r="AS11" i="9"/>
  <c r="AR11" i="9"/>
  <c r="Q11" i="9"/>
  <c r="L11" i="9"/>
  <c r="K11" i="9"/>
  <c r="J11" i="9"/>
  <c r="I11" i="9"/>
  <c r="BO10" i="9"/>
  <c r="BK10" i="9"/>
  <c r="BC10" i="9"/>
  <c r="AY10" i="9"/>
  <c r="AU10" i="9"/>
  <c r="AT10" i="9"/>
  <c r="AS10" i="9"/>
  <c r="AR10" i="9"/>
  <c r="AG10" i="9"/>
  <c r="AF10" i="9"/>
  <c r="AE10" i="9"/>
  <c r="AD10" i="9"/>
  <c r="Z10" i="9"/>
  <c r="Y10" i="9"/>
  <c r="X10" i="9"/>
  <c r="W10" i="9"/>
  <c r="Q10" i="9"/>
  <c r="L10" i="9"/>
  <c r="K10" i="9"/>
  <c r="J10" i="9"/>
  <c r="I10" i="9"/>
  <c r="B10" i="9"/>
  <c r="BO9" i="9"/>
  <c r="BC9" i="9"/>
  <c r="AY9" i="9"/>
  <c r="AU9" i="9"/>
  <c r="AT9" i="9"/>
  <c r="AS9" i="9"/>
  <c r="AR9" i="9"/>
  <c r="AE9" i="9"/>
  <c r="AD9" i="9"/>
  <c r="Z9" i="9"/>
  <c r="Y9" i="9"/>
  <c r="X9" i="9"/>
  <c r="W9" i="9"/>
  <c r="AU36" i="11" l="1"/>
  <c r="Z49" i="9"/>
  <c r="AG24" i="9"/>
  <c r="AG26" i="9" s="1"/>
  <c r="BG15" i="9"/>
  <c r="Q52" i="9"/>
  <c r="R50" i="9"/>
  <c r="AW32" i="11"/>
  <c r="AV38" i="11"/>
  <c r="AU38" i="11" s="1"/>
  <c r="AT38" i="11" s="1"/>
  <c r="L9" i="9"/>
  <c r="K9" i="9" s="1"/>
  <c r="J9" i="9" s="1"/>
  <c r="I9" i="9" s="1"/>
  <c r="BO8" i="9"/>
  <c r="BK8" i="9"/>
  <c r="BG8" i="9"/>
  <c r="BC8" i="9"/>
  <c r="AY8" i="9"/>
  <c r="AU8" i="9"/>
  <c r="AT8" i="9"/>
  <c r="AS8" i="9"/>
  <c r="AR8" i="9"/>
  <c r="AD8" i="9"/>
  <c r="S8" i="9"/>
  <c r="P8" i="9"/>
  <c r="L8" i="9"/>
  <c r="K8" i="9"/>
  <c r="K13" i="9" s="1"/>
  <c r="J8" i="9"/>
  <c r="J13" i="9" s="1"/>
  <c r="I8" i="9"/>
  <c r="E8" i="9"/>
  <c r="BO7" i="9"/>
  <c r="BC7" i="9"/>
  <c r="AY7" i="9"/>
  <c r="AU7" i="9"/>
  <c r="AT7" i="9"/>
  <c r="AS7" i="9"/>
  <c r="AR7" i="9"/>
  <c r="L13" i="9" l="1"/>
  <c r="BG17" i="9"/>
  <c r="AV31" i="11"/>
  <c r="AU31" i="11" s="1"/>
  <c r="AT31" i="11" s="1"/>
  <c r="AP31" i="11" s="1"/>
  <c r="AL29" i="11" s="1"/>
  <c r="BO6" i="9"/>
  <c r="BK6" i="9"/>
  <c r="BG6" i="9"/>
  <c r="BC6" i="9"/>
  <c r="AU6" i="9"/>
  <c r="AT6" i="9"/>
  <c r="AS6" i="9"/>
  <c r="AR6" i="9"/>
  <c r="AD6" i="9"/>
  <c r="W6" i="9"/>
  <c r="P6" i="9" s="1"/>
  <c r="BO5" i="9"/>
  <c r="BK5" i="9"/>
  <c r="BG5" i="9"/>
  <c r="BC5" i="9"/>
  <c r="AY5" i="9"/>
  <c r="AU5" i="9"/>
  <c r="AT5" i="9"/>
  <c r="AS5" i="9"/>
  <c r="AR5" i="9"/>
  <c r="AG5" i="9"/>
  <c r="AF5" i="9"/>
  <c r="AE5" i="9"/>
  <c r="AD5" i="9"/>
  <c r="Z5" i="9"/>
  <c r="Y5" i="9"/>
  <c r="X5" i="9"/>
  <c r="R5" i="9"/>
  <c r="Q5" i="9"/>
  <c r="E5" i="9"/>
  <c r="BO4" i="9"/>
  <c r="BO14" i="9" s="1"/>
  <c r="BK4" i="9"/>
  <c r="BG4" i="9"/>
  <c r="BC4" i="9"/>
  <c r="AY4" i="9"/>
  <c r="AU4" i="9"/>
  <c r="AT4" i="9"/>
  <c r="AS4" i="9"/>
  <c r="AR4" i="9"/>
  <c r="AU3" i="9"/>
  <c r="AT3" i="9"/>
  <c r="AS3" i="9"/>
  <c r="AR3" i="9"/>
  <c r="AN3" i="9"/>
  <c r="AM3" i="9"/>
  <c r="AL3" i="9"/>
  <c r="AK3" i="9"/>
  <c r="AG3" i="9"/>
  <c r="AF3" i="9"/>
  <c r="AE3" i="9"/>
  <c r="AD3" i="9"/>
  <c r="Z3" i="9"/>
  <c r="Y3" i="9"/>
  <c r="X3" i="9"/>
  <c r="W3" i="9"/>
  <c r="S3" i="9"/>
  <c r="R3" i="9"/>
  <c r="Q3" i="9"/>
  <c r="P3" i="9"/>
  <c r="C3" i="9"/>
  <c r="AN2" i="9"/>
  <c r="AM2" i="9"/>
  <c r="AL2" i="9"/>
  <c r="AK2" i="9"/>
  <c r="AG2" i="9"/>
  <c r="AF2" i="9"/>
  <c r="AF4" i="9" s="1"/>
  <c r="AE2" i="9"/>
  <c r="AD2" i="9"/>
  <c r="Z2" i="9"/>
  <c r="Y2" i="9"/>
  <c r="Y4" i="9" s="1"/>
  <c r="X2" i="9"/>
  <c r="W2" i="9"/>
  <c r="W4" i="9" s="1"/>
  <c r="S2" i="9"/>
  <c r="R2" i="9"/>
  <c r="Q2" i="9"/>
  <c r="P2" i="9"/>
  <c r="BA22" i="18"/>
  <c r="BE23" i="18" s="1"/>
  <c r="BC17" i="18"/>
  <c r="BB17" i="18"/>
  <c r="BC8" i="18"/>
  <c r="BB8" i="18"/>
  <c r="BC17" i="24"/>
  <c r="BB17" i="24"/>
  <c r="BC8" i="24"/>
  <c r="BB8" i="24"/>
  <c r="W58" i="38"/>
  <c r="BA22" i="37"/>
  <c r="BE23" i="37" s="1"/>
  <c r="BC17" i="37"/>
  <c r="BB17" i="37"/>
  <c r="BC8" i="37"/>
  <c r="BB8" i="37"/>
  <c r="BC17" i="30"/>
  <c r="BB17" i="30"/>
  <c r="BC8" i="30"/>
  <c r="BB8" i="30"/>
  <c r="AO35" i="38"/>
  <c r="AO41" i="38" s="1"/>
  <c r="AO43" i="38" s="1"/>
  <c r="AN35" i="38"/>
  <c r="AN41" i="38" s="1"/>
  <c r="AM35" i="38"/>
  <c r="AM41" i="38" s="1"/>
  <c r="AL35" i="38"/>
  <c r="AL41" i="38" s="1"/>
  <c r="S35" i="38"/>
  <c r="R35" i="38"/>
  <c r="BA22" i="49"/>
  <c r="BE23" i="49" s="1"/>
  <c r="BC17" i="49"/>
  <c r="BB17" i="49"/>
  <c r="BC8" i="49"/>
  <c r="BB8" i="49"/>
  <c r="Q35" i="44"/>
  <c r="W58" i="44"/>
  <c r="BA22" i="43"/>
  <c r="BE23" i="43" s="1"/>
  <c r="BC17" i="43"/>
  <c r="BB17" i="43"/>
  <c r="BC8" i="43"/>
  <c r="BB8" i="43"/>
  <c r="AO35" i="44"/>
  <c r="AO41" i="44" s="1"/>
  <c r="AN35" i="44"/>
  <c r="AM35" i="44"/>
  <c r="AL35" i="44"/>
  <c r="S35" i="44"/>
  <c r="R35" i="44"/>
  <c r="AO35" i="50"/>
  <c r="AO41" i="50" s="1"/>
  <c r="AO43" i="50" s="1"/>
  <c r="AN35" i="50"/>
  <c r="AN41" i="50" s="1"/>
  <c r="AM35" i="50"/>
  <c r="AM41" i="50" s="1"/>
  <c r="AL35" i="50"/>
  <c r="AL41" i="50" s="1"/>
  <c r="S35" i="50"/>
  <c r="R35" i="50"/>
  <c r="W58" i="50"/>
  <c r="BA22" i="55"/>
  <c r="BE23" i="55" s="1"/>
  <c r="BC17" i="55"/>
  <c r="BB17" i="55"/>
  <c r="BC8" i="55"/>
  <c r="BB8" i="55"/>
  <c r="Q35" i="56"/>
  <c r="W58" i="56"/>
  <c r="AO35" i="56"/>
  <c r="AO41" i="56" s="1"/>
  <c r="AO43" i="56" s="1"/>
  <c r="AN35" i="56"/>
  <c r="AN41" i="56" s="1"/>
  <c r="AM35" i="56"/>
  <c r="AM41" i="56" s="1"/>
  <c r="AL35" i="56"/>
  <c r="AL41" i="56" s="1"/>
  <c r="S35" i="56"/>
  <c r="R35" i="56"/>
  <c r="R4" i="9" l="1"/>
  <c r="AD4" i="9"/>
  <c r="BK7" i="9"/>
  <c r="BK9" i="9" s="1"/>
  <c r="S4" i="9"/>
  <c r="X4" i="9"/>
  <c r="X8" i="9" s="1"/>
  <c r="Z4" i="9"/>
  <c r="Z8" i="9" s="1"/>
  <c r="AE4" i="9"/>
  <c r="AE7" i="9" s="1"/>
  <c r="AG4" i="9"/>
  <c r="AY6" i="9"/>
  <c r="BG7" i="9"/>
  <c r="Z55" i="9"/>
  <c r="Y55" i="9"/>
  <c r="X55" i="9"/>
  <c r="X56" i="9" s="1"/>
  <c r="W55" i="9"/>
  <c r="AU49" i="9"/>
  <c r="AT49" i="9"/>
  <c r="AS49" i="9"/>
  <c r="AR49" i="9"/>
  <c r="AY44" i="9"/>
  <c r="AY45" i="9" s="1"/>
  <c r="BC43" i="9"/>
  <c r="BC44" i="9" s="1"/>
  <c r="Z38" i="9"/>
  <c r="Y38" i="9"/>
  <c r="X38" i="9"/>
  <c r="W38" i="9"/>
  <c r="AG33" i="9"/>
  <c r="AG34" i="9" s="1"/>
  <c r="AG36" i="9" s="1"/>
  <c r="AG42" i="9" s="1"/>
  <c r="AF33" i="9"/>
  <c r="AF34" i="9" s="1"/>
  <c r="AF36" i="9" s="1"/>
  <c r="AE33" i="9"/>
  <c r="AE34" i="9" s="1"/>
  <c r="AD33" i="9"/>
  <c r="AU30" i="9"/>
  <c r="AU31" i="9" s="1"/>
  <c r="AT30" i="9"/>
  <c r="AS30" i="9"/>
  <c r="AR30" i="9"/>
  <c r="AY26" i="9"/>
  <c r="AY27" i="9" s="1"/>
  <c r="AY29" i="9" s="1"/>
  <c r="BC25" i="9"/>
  <c r="BC26" i="9" s="1"/>
  <c r="BC28" i="9" s="1"/>
  <c r="S25" i="9"/>
  <c r="S26" i="9" s="1"/>
  <c r="R25" i="9"/>
  <c r="R26" i="9" s="1"/>
  <c r="Q25" i="9"/>
  <c r="Q26" i="9" s="1"/>
  <c r="P25" i="9"/>
  <c r="Z21" i="9"/>
  <c r="Y21" i="9"/>
  <c r="X21" i="9"/>
  <c r="W21" i="9"/>
  <c r="AG14" i="9"/>
  <c r="AG15" i="9" s="1"/>
  <c r="AF14" i="9"/>
  <c r="AF15" i="9" s="1"/>
  <c r="AE14" i="9"/>
  <c r="AD14" i="9" s="1"/>
  <c r="AY12" i="9"/>
  <c r="AU12" i="9"/>
  <c r="AU13" i="9" s="1"/>
  <c r="AT12" i="9"/>
  <c r="AS12" i="9"/>
  <c r="AR12" i="9"/>
  <c r="BC11" i="9"/>
  <c r="BC12" i="9" s="1"/>
  <c r="BC14" i="9" s="1"/>
  <c r="Q4" i="9"/>
  <c r="Q9" i="9" s="1"/>
  <c r="P4" i="9"/>
  <c r="R9" i="9"/>
  <c r="R21" i="9" s="1"/>
  <c r="Y8" i="9"/>
  <c r="AD7" i="9"/>
  <c r="AD11" i="9" s="1"/>
  <c r="Z11" i="9" s="1"/>
  <c r="AN41" i="44"/>
  <c r="AM41" i="44" s="1"/>
  <c r="AL41" i="44" s="1"/>
  <c r="AO43" i="44"/>
  <c r="BG9" i="9"/>
  <c r="BG46" i="9" s="1"/>
  <c r="BK11" i="9"/>
  <c r="BG47" i="9" s="1"/>
  <c r="L5" i="9"/>
  <c r="AL31" i="11"/>
  <c r="I25" i="11" s="1"/>
  <c r="AN43" i="56"/>
  <c r="AM43" i="56" s="1"/>
  <c r="AL43" i="56" s="1"/>
  <c r="AN43" i="50"/>
  <c r="AM43" i="50" s="1"/>
  <c r="AL43" i="50" s="1"/>
  <c r="AN43" i="38"/>
  <c r="AM43" i="38" s="1"/>
  <c r="AL43" i="38" s="1"/>
  <c r="AN4" i="9"/>
  <c r="AL5" i="9"/>
  <c r="AV32" i="11"/>
  <c r="AU32" i="11" s="1"/>
  <c r="AT32" i="11" s="1"/>
  <c r="AT13" i="9" l="1"/>
  <c r="AS13" i="9"/>
  <c r="AR13" i="9" s="1"/>
  <c r="Q21" i="9"/>
  <c r="AY13" i="9"/>
  <c r="AY15" i="9" s="1"/>
  <c r="AY47" i="9"/>
  <c r="AY50" i="9" s="1"/>
  <c r="AU50" i="9" s="1"/>
  <c r="AN43" i="44"/>
  <c r="AM43" i="44" s="1"/>
  <c r="AL43" i="44" s="1"/>
  <c r="AU15" i="9"/>
  <c r="AT15" i="9" s="1"/>
  <c r="AT31" i="9"/>
  <c r="AS31" i="9" s="1"/>
  <c r="AR31" i="9" s="1"/>
  <c r="AU33" i="9"/>
  <c r="AE15" i="9"/>
  <c r="AD15" i="9" s="1"/>
  <c r="P26" i="9"/>
  <c r="AD34" i="9"/>
  <c r="AD36" i="9" s="1"/>
  <c r="AD42" i="9" s="1"/>
  <c r="AE36" i="9"/>
  <c r="AE42" i="9" s="1"/>
  <c r="AF42" i="9"/>
  <c r="W56" i="9"/>
  <c r="AM5" i="9"/>
  <c r="AM4" i="9"/>
  <c r="BC46" i="9"/>
  <c r="BG48" i="9"/>
  <c r="Y11" i="9"/>
  <c r="X11" i="9" s="1"/>
  <c r="Z22" i="9"/>
  <c r="AS15" i="9" l="1"/>
  <c r="AR15" i="9" s="1"/>
  <c r="AR17" i="9" s="1"/>
  <c r="AT33" i="9"/>
  <c r="AS33" i="9" s="1"/>
  <c r="AR33" i="9" s="1"/>
  <c r="AR35" i="9" s="1"/>
  <c r="AT50" i="9"/>
  <c r="AS50" i="9" s="1"/>
  <c r="AR50" i="9" s="1"/>
  <c r="AU52" i="9"/>
  <c r="Y22" i="9"/>
  <c r="Z27" i="9"/>
  <c r="AL4" i="9"/>
  <c r="AM7" i="9"/>
  <c r="AT52" i="9" l="1"/>
  <c r="AS52" i="9" s="1"/>
  <c r="AR52" i="9"/>
  <c r="AM44" i="9"/>
  <c r="AM49" i="9" s="1"/>
  <c r="AM35" i="9"/>
  <c r="AM11" i="9"/>
  <c r="AM13" i="9" s="1"/>
  <c r="AK4" i="9"/>
  <c r="AL7" i="9"/>
  <c r="AM23" i="9"/>
  <c r="X22" i="9"/>
  <c r="Y27" i="9"/>
  <c r="AM40" i="9"/>
  <c r="AL23" i="9" l="1"/>
  <c r="X27" i="9"/>
  <c r="AL44" i="9"/>
  <c r="AL35" i="9"/>
  <c r="AL11" i="9"/>
  <c r="AL13" i="9" s="1"/>
  <c r="AL40" i="9"/>
  <c r="AL49" i="9"/>
  <c r="AM18" i="9"/>
  <c r="AL18" i="9" l="1"/>
  <c r="AG7" i="9"/>
  <c r="AF7" i="9" s="1"/>
  <c r="R27" i="9"/>
  <c r="Q27" i="9" s="1"/>
  <c r="AF11" i="9" l="1"/>
  <c r="AF44" i="9"/>
  <c r="AE44" i="9" s="1"/>
  <c r="AD44" i="9" s="1"/>
  <c r="AF37" i="9" l="1"/>
  <c r="AE37" i="9" s="1"/>
  <c r="AD37" i="9" s="1"/>
  <c r="AE11" i="9"/>
  <c r="AF16" i="9"/>
  <c r="Y31" i="9"/>
  <c r="Y33" i="9" s="1"/>
  <c r="AE16" i="9" l="1"/>
  <c r="AD16" i="9" s="1"/>
  <c r="X31" i="9"/>
  <c r="X33" i="9" s="1"/>
  <c r="Y39" i="9"/>
  <c r="AF17" i="9"/>
  <c r="AE17" i="9" l="1"/>
  <c r="AD17" i="9" s="1"/>
  <c r="X39" i="9"/>
  <c r="Y41" i="9"/>
  <c r="R31" i="9"/>
  <c r="Q31" i="9" s="1"/>
  <c r="P31" i="9" s="1"/>
  <c r="AF19" i="9"/>
  <c r="AE19" i="9" s="1"/>
  <c r="AD19" i="9" l="1"/>
  <c r="X41" i="9"/>
  <c r="R40" i="9" l="1"/>
  <c r="Q40" i="9" l="1"/>
  <c r="R42" i="9"/>
  <c r="Q42" i="9" s="1"/>
  <c r="E43" i="9"/>
  <c r="W57" i="9" s="1"/>
  <c r="Z56" i="9" s="1"/>
  <c r="Y56" i="9" l="1"/>
  <c r="Z59" i="9"/>
  <c r="R35" i="9"/>
  <c r="Q35" i="9" s="1"/>
  <c r="Y59" i="9" l="1"/>
  <c r="X59" i="9" s="1"/>
  <c r="W59" i="9" s="1"/>
  <c r="Z61" i="9"/>
  <c r="Y61" i="9" s="1"/>
  <c r="X61" i="9" s="1"/>
  <c r="P34" i="56"/>
  <c r="Q50" i="54"/>
  <c r="Q52" i="54" s="1"/>
  <c r="Q46" i="56"/>
  <c r="Q48" i="56" s="1"/>
  <c r="Q34" i="56"/>
  <c r="Q36" i="56" s="1"/>
  <c r="X40" i="56" s="1"/>
  <c r="X42" i="56" s="1"/>
  <c r="R34" i="56"/>
  <c r="R36" i="56" s="1"/>
  <c r="P34" i="50"/>
  <c r="Q50" i="48"/>
  <c r="Q52" i="48"/>
  <c r="P6" i="50"/>
  <c r="Q34" i="50"/>
  <c r="C34" i="50"/>
  <c r="Q13" i="50" s="1"/>
  <c r="Q21" i="50" s="1"/>
  <c r="Q30" i="50" s="1"/>
  <c r="Q35" i="50" s="1"/>
  <c r="Q36" i="50" s="1"/>
  <c r="R34" i="50"/>
  <c r="R36" i="50" s="1"/>
  <c r="P34" i="44"/>
  <c r="Q50" i="42"/>
  <c r="Q52" i="42" s="1"/>
  <c r="Q46" i="44"/>
  <c r="Q48" i="44" s="1"/>
  <c r="Q34" i="44"/>
  <c r="Q36" i="44" s="1"/>
  <c r="X40" i="44" s="1"/>
  <c r="X42" i="44" s="1"/>
  <c r="R34" i="44"/>
  <c r="R36" i="44" s="1"/>
  <c r="Q50" i="23"/>
  <c r="Q52" i="23" s="1"/>
  <c r="Q50" i="29"/>
  <c r="Q52" i="29" s="1"/>
  <c r="P34" i="38"/>
  <c r="Q50" i="36"/>
  <c r="Q52" i="36" s="1"/>
  <c r="P6" i="38"/>
  <c r="Q34" i="38"/>
  <c r="C34" i="38"/>
  <c r="Q13" i="38" s="1"/>
  <c r="Q21" i="38" s="1"/>
  <c r="Q30" i="38" s="1"/>
  <c r="Q35" i="38" s="1"/>
  <c r="Q36" i="38" s="1"/>
  <c r="R34" i="38"/>
  <c r="R36" i="38" s="1"/>
  <c r="AF48" i="55"/>
  <c r="AF50" i="55" s="1"/>
  <c r="I30" i="55"/>
  <c r="I38" i="55" s="1"/>
  <c r="I49" i="55"/>
  <c r="AF48" i="43"/>
  <c r="AF50" i="43" s="1"/>
  <c r="I49" i="43"/>
  <c r="AF48" i="49"/>
  <c r="AF50" i="49" s="1"/>
  <c r="I49" i="49"/>
  <c r="AF48" i="30"/>
  <c r="AF50" i="30"/>
  <c r="I30" i="30"/>
  <c r="I38" i="30" s="1"/>
  <c r="I49" i="30"/>
  <c r="AF48" i="37"/>
  <c r="AF50" i="37" s="1"/>
  <c r="I49" i="37"/>
  <c r="AF48" i="24"/>
  <c r="AF50" i="24"/>
  <c r="I30" i="24"/>
  <c r="I38" i="24"/>
  <c r="I49" i="24"/>
  <c r="AF48" i="18"/>
  <c r="AF50" i="18" s="1"/>
  <c r="I30" i="18"/>
  <c r="I38" i="18"/>
  <c r="I49" i="18"/>
  <c r="AF48" i="11"/>
  <c r="AF50" i="11" s="1"/>
  <c r="AG9" i="11"/>
  <c r="AG22" i="11" s="1"/>
  <c r="AG25" i="11" s="1"/>
  <c r="S39" i="11"/>
  <c r="S41" i="11" s="1"/>
  <c r="S34" i="11" s="1"/>
  <c r="S35" i="11" s="1"/>
  <c r="R39" i="11"/>
  <c r="R41" i="11" s="1"/>
  <c r="R34" i="11" s="1"/>
  <c r="R35" i="11" s="1"/>
  <c r="K5" i="11" s="1"/>
  <c r="K16" i="11" s="1"/>
  <c r="Q39" i="11"/>
  <c r="Q41" i="11" s="1"/>
  <c r="Q34" i="11" s="1"/>
  <c r="Q35" i="11" s="1"/>
  <c r="J5" i="11" s="1"/>
  <c r="J16" i="11" s="1"/>
  <c r="L5" i="11"/>
  <c r="L16" i="11" s="1"/>
  <c r="I49" i="11"/>
  <c r="AB50" i="11"/>
  <c r="AF9" i="11"/>
  <c r="AF22" i="11" s="1"/>
  <c r="AF25" i="11" s="1"/>
  <c r="AE9" i="11"/>
  <c r="AE22" i="11" s="1"/>
  <c r="AE25" i="11" s="1"/>
  <c r="AC18" i="16"/>
  <c r="AC19" i="16" s="1"/>
  <c r="AC20" i="16" s="1"/>
  <c r="AC22" i="16" s="1"/>
  <c r="AB18" i="16"/>
  <c r="AB19" i="16" s="1"/>
  <c r="AB20" i="16" s="1"/>
  <c r="AB22" i="16" s="1"/>
  <c r="AA18" i="16"/>
  <c r="AA19" i="16" s="1"/>
  <c r="AA20" i="16" s="1"/>
  <c r="AA22" i="16" s="1"/>
  <c r="W20" i="16"/>
  <c r="W22" i="16" s="1"/>
  <c r="V20" i="16"/>
  <c r="V22" i="16" s="1"/>
  <c r="U18" i="16"/>
  <c r="U19" i="16" s="1"/>
  <c r="U20" i="16" s="1"/>
  <c r="U22" i="16" s="1"/>
  <c r="T18" i="16"/>
  <c r="T19" i="16" s="1"/>
  <c r="T20" i="16" s="1"/>
  <c r="T22" i="16" s="1"/>
  <c r="S18" i="16"/>
  <c r="S19" i="16" s="1"/>
  <c r="S20" i="16" s="1"/>
  <c r="S22" i="16" s="1"/>
  <c r="AG9" i="18"/>
  <c r="AG22" i="18" s="1"/>
  <c r="AG25" i="18" s="1"/>
  <c r="W18" i="16"/>
  <c r="V18" i="16"/>
  <c r="AE18" i="16"/>
  <c r="AD18" i="16"/>
  <c r="AG9" i="24"/>
  <c r="AG48" i="18"/>
  <c r="AD44" i="23"/>
  <c r="AD37" i="23"/>
  <c r="AD38" i="23" s="1"/>
  <c r="AG7" i="23"/>
  <c r="AG11" i="23" s="1"/>
  <c r="AG16" i="23" s="1"/>
  <c r="AG17" i="23" s="1"/>
  <c r="AG19" i="23" s="1"/>
  <c r="AG44" i="23"/>
  <c r="AG37" i="23" s="1"/>
  <c r="AG38" i="23" s="1"/>
  <c r="AF9" i="18"/>
  <c r="AF22" i="18" s="1"/>
  <c r="AF25" i="18" s="1"/>
  <c r="AE9" i="18"/>
  <c r="AE22" i="18" s="1"/>
  <c r="AE25" i="18" s="1"/>
  <c r="AF44" i="23"/>
  <c r="AF37" i="23" s="1"/>
  <c r="AF38" i="23" s="1"/>
  <c r="AE44" i="23"/>
  <c r="AE37" i="23" s="1"/>
  <c r="AE38" i="23" s="1"/>
  <c r="AG9" i="37"/>
  <c r="P7" i="39"/>
  <c r="P22" i="39"/>
  <c r="Q22" i="39"/>
  <c r="Q18" i="39"/>
  <c r="Q23" i="39" s="1"/>
  <c r="R22" i="39"/>
  <c r="R18" i="39"/>
  <c r="R23" i="39" s="1"/>
  <c r="S18" i="39"/>
  <c r="S23" i="39" s="1"/>
  <c r="S22" i="39"/>
  <c r="BK17" i="23"/>
  <c r="BK19" i="23" s="1"/>
  <c r="BK21" i="23" s="1"/>
  <c r="BK27" i="23"/>
  <c r="BK29" i="23" s="1"/>
  <c r="BK31" i="23" s="1"/>
  <c r="AY47" i="23"/>
  <c r="AG9" i="43"/>
  <c r="AG9" i="49"/>
  <c r="AG48" i="24"/>
  <c r="S34" i="44"/>
  <c r="P7" i="45"/>
  <c r="P22" i="45"/>
  <c r="Q22" i="45"/>
  <c r="Q18" i="45"/>
  <c r="Q23" i="45" s="1"/>
  <c r="R22" i="45"/>
  <c r="R18" i="45"/>
  <c r="R23" i="45" s="1"/>
  <c r="S18" i="45"/>
  <c r="S23" i="45" s="1"/>
  <c r="S22" i="45"/>
  <c r="AG44" i="29"/>
  <c r="AG7" i="29"/>
  <c r="AG11" i="29" s="1"/>
  <c r="AG16" i="29" s="1"/>
  <c r="AG17" i="29" s="1"/>
  <c r="AG19" i="29" s="1"/>
  <c r="BG17" i="23"/>
  <c r="BG31" i="23"/>
  <c r="BG33" i="23" s="1"/>
  <c r="Q27" i="23"/>
  <c r="X31" i="23"/>
  <c r="X33" i="23" s="1"/>
  <c r="X39" i="23" s="1"/>
  <c r="X41" i="23" s="1"/>
  <c r="R27" i="23"/>
  <c r="Y31" i="23"/>
  <c r="Y33" i="23" s="1"/>
  <c r="Y39" i="23" s="1"/>
  <c r="Y41" i="23" s="1"/>
  <c r="E43" i="23"/>
  <c r="W57" i="23" s="1"/>
  <c r="W59" i="23" s="1"/>
  <c r="W61" i="23" s="1"/>
  <c r="S27" i="23"/>
  <c r="Z31" i="23"/>
  <c r="Z33" i="23" s="1"/>
  <c r="Z39" i="23" s="1"/>
  <c r="Z41" i="23" s="1"/>
  <c r="S31" i="23"/>
  <c r="S40" i="23"/>
  <c r="S42" i="23" s="1"/>
  <c r="S35" i="23" s="1"/>
  <c r="S36" i="23" s="1"/>
  <c r="R40" i="23"/>
  <c r="R42" i="23" s="1"/>
  <c r="R35" i="23" s="1"/>
  <c r="R36" i="23" s="1"/>
  <c r="Q40" i="23"/>
  <c r="Q42" i="23" s="1"/>
  <c r="Q35" i="23" s="1"/>
  <c r="Q36" i="23" s="1"/>
  <c r="J5" i="23" s="1"/>
  <c r="I38" i="23"/>
  <c r="AU33" i="23"/>
  <c r="AT33" i="23"/>
  <c r="AS33" i="23"/>
  <c r="AR33" i="23"/>
  <c r="Z11" i="23"/>
  <c r="Z22" i="23" s="1"/>
  <c r="Z27" i="23" s="1"/>
  <c r="Y11" i="23"/>
  <c r="Y22" i="23" s="1"/>
  <c r="Y27" i="23" s="1"/>
  <c r="I21" i="23"/>
  <c r="AF11" i="23"/>
  <c r="AF16" i="23" s="1"/>
  <c r="AF17" i="23" s="1"/>
  <c r="AF19" i="23" s="1"/>
  <c r="AE11" i="23"/>
  <c r="AE16" i="23" s="1"/>
  <c r="AE17" i="23" s="1"/>
  <c r="AE19" i="23" s="1"/>
  <c r="AD11" i="23"/>
  <c r="AD16" i="23" s="1"/>
  <c r="AD17" i="23" s="1"/>
  <c r="AD19" i="23" s="1"/>
  <c r="I20" i="23"/>
  <c r="I19" i="23"/>
  <c r="K9" i="23"/>
  <c r="K13" i="23" s="1"/>
  <c r="X11" i="23"/>
  <c r="X22" i="23" s="1"/>
  <c r="X27" i="23" s="1"/>
  <c r="J9" i="23"/>
  <c r="J13" i="23" s="1"/>
  <c r="I9" i="23"/>
  <c r="I13" i="23" s="1"/>
  <c r="K5" i="23"/>
  <c r="O8" i="44"/>
  <c r="AD44" i="36"/>
  <c r="AD37" i="36" s="1"/>
  <c r="AD38" i="36" s="1"/>
  <c r="X9" i="38"/>
  <c r="X32" i="38" s="1"/>
  <c r="X34" i="38" s="1"/>
  <c r="BC46" i="23"/>
  <c r="AU50" i="23"/>
  <c r="AU52" i="23" s="1"/>
  <c r="O8" i="38"/>
  <c r="P7" i="51"/>
  <c r="P22" i="51"/>
  <c r="Q22" i="51"/>
  <c r="Q18" i="51"/>
  <c r="Q23" i="51" s="1"/>
  <c r="R22" i="51"/>
  <c r="R18" i="51"/>
  <c r="R23" i="51" s="1"/>
  <c r="S18" i="51"/>
  <c r="S23" i="51" s="1"/>
  <c r="S22" i="51"/>
  <c r="S33" i="39"/>
  <c r="S35" i="39" s="1"/>
  <c r="S47" i="39" s="1"/>
  <c r="S49" i="39" s="1"/>
  <c r="R33" i="39"/>
  <c r="R35" i="39" s="1"/>
  <c r="R47" i="39" s="1"/>
  <c r="R49" i="39" s="1"/>
  <c r="Q35" i="39"/>
  <c r="Q47" i="39" s="1"/>
  <c r="Q49" i="39" s="1"/>
  <c r="AD48" i="39"/>
  <c r="AG44" i="36"/>
  <c r="AG7" i="36"/>
  <c r="AG11" i="36" s="1"/>
  <c r="AG16" i="36" s="1"/>
  <c r="AG17" i="36" s="1"/>
  <c r="AG19" i="36" s="1"/>
  <c r="Z49" i="23"/>
  <c r="Z56" i="23" s="1"/>
  <c r="Z59" i="23" s="1"/>
  <c r="Z61" i="23" s="1"/>
  <c r="Y56" i="23"/>
  <c r="Y59" i="23" s="1"/>
  <c r="Y61" i="23" s="1"/>
  <c r="X56" i="23"/>
  <c r="X59" i="23" s="1"/>
  <c r="X61" i="23" s="1"/>
  <c r="AT50" i="23"/>
  <c r="AT52" i="23" s="1"/>
  <c r="AS50" i="23"/>
  <c r="AS52" i="23" s="1"/>
  <c r="AR52" i="23"/>
  <c r="AE44" i="36"/>
  <c r="AE37" i="36" s="1"/>
  <c r="AE38" i="36" s="1"/>
  <c r="AD44" i="42"/>
  <c r="AD37" i="42" s="1"/>
  <c r="AD38" i="42" s="1"/>
  <c r="AD44" i="48"/>
  <c r="AD37" i="48" s="1"/>
  <c r="AD38" i="48" s="1"/>
  <c r="X9" i="50"/>
  <c r="X32" i="50" s="1"/>
  <c r="X34" i="50" s="1"/>
  <c r="AG9" i="30"/>
  <c r="R50" i="23"/>
  <c r="O8" i="50"/>
  <c r="AG44" i="48"/>
  <c r="S33" i="45"/>
  <c r="S35" i="45" s="1"/>
  <c r="S47" i="45" s="1"/>
  <c r="S49" i="45" s="1"/>
  <c r="R33" i="45"/>
  <c r="R35" i="45" s="1"/>
  <c r="R47" i="45" s="1"/>
  <c r="R49" i="45" s="1"/>
  <c r="Q35" i="45"/>
  <c r="Q47" i="45" s="1"/>
  <c r="Q49" i="45" s="1"/>
  <c r="AD48" i="45"/>
  <c r="AG44" i="42"/>
  <c r="AG37" i="42" s="1"/>
  <c r="AG38" i="42" s="1"/>
  <c r="AG7" i="48"/>
  <c r="AG11" i="48" s="1"/>
  <c r="AG16" i="48" s="1"/>
  <c r="AG17" i="48" s="1"/>
  <c r="AG19" i="48" s="1"/>
  <c r="AG7" i="42"/>
  <c r="AG11" i="42" s="1"/>
  <c r="AG16" i="42" s="1"/>
  <c r="AG17" i="42" s="1"/>
  <c r="AG19" i="42" s="1"/>
  <c r="O30" i="39"/>
  <c r="AE44" i="48"/>
  <c r="AE37" i="48" s="1"/>
  <c r="AE38" i="48" s="1"/>
  <c r="AE44" i="42"/>
  <c r="AE37" i="42" s="1"/>
  <c r="AE38" i="42" s="1"/>
  <c r="AG37" i="29"/>
  <c r="AG38" i="29" s="1"/>
  <c r="AF44" i="29"/>
  <c r="AF37" i="29" s="1"/>
  <c r="AF38" i="29" s="1"/>
  <c r="AE44" i="29"/>
  <c r="AE37" i="29" s="1"/>
  <c r="AE38" i="29" s="1"/>
  <c r="AD44" i="29"/>
  <c r="AD37" i="29" s="1"/>
  <c r="AD38" i="29" s="1"/>
  <c r="AF44" i="36"/>
  <c r="AF37" i="36" s="1"/>
  <c r="AF38" i="36" s="1"/>
  <c r="S34" i="38"/>
  <c r="S36" i="38" s="1"/>
  <c r="AG9" i="55"/>
  <c r="AG34" i="39"/>
  <c r="AG35" i="39" s="1"/>
  <c r="AG41" i="39" s="1"/>
  <c r="AG43" i="39" s="1"/>
  <c r="AF43" i="39" s="1"/>
  <c r="S34" i="56"/>
  <c r="S33" i="51"/>
  <c r="S35" i="51" s="1"/>
  <c r="S47" i="51" s="1"/>
  <c r="S49" i="51" s="1"/>
  <c r="R33" i="51"/>
  <c r="R35" i="51" s="1"/>
  <c r="R47" i="51" s="1"/>
  <c r="R49" i="51" s="1"/>
  <c r="Q35" i="51"/>
  <c r="Q47" i="51" s="1"/>
  <c r="Q49" i="51" s="1"/>
  <c r="AD48" i="51"/>
  <c r="O30" i="45"/>
  <c r="AG22" i="24"/>
  <c r="AG25" i="24" s="1"/>
  <c r="AF9" i="24"/>
  <c r="AF22" i="24" s="1"/>
  <c r="AF25" i="24" s="1"/>
  <c r="AE9" i="24"/>
  <c r="AE22" i="24" s="1"/>
  <c r="AE25" i="24" s="1"/>
  <c r="O8" i="56"/>
  <c r="AF44" i="42"/>
  <c r="AF37" i="42" s="1"/>
  <c r="AF38" i="42" s="1"/>
  <c r="S36" i="44"/>
  <c r="Z40" i="44" s="1"/>
  <c r="Z42" i="44" s="1"/>
  <c r="AF44" i="48"/>
  <c r="AF37" i="48" s="1"/>
  <c r="AF38" i="48" s="1"/>
  <c r="S34" i="50"/>
  <c r="S36" i="50" s="1"/>
  <c r="BG17" i="29"/>
  <c r="BG33" i="29"/>
  <c r="BK17" i="29"/>
  <c r="BK19" i="29" s="1"/>
  <c r="BK21" i="29" s="1"/>
  <c r="BK27" i="29"/>
  <c r="BK29" i="29" s="1"/>
  <c r="BK31" i="29" s="1"/>
  <c r="AY47" i="29"/>
  <c r="AF7" i="29"/>
  <c r="AF11" i="29" s="1"/>
  <c r="AF16" i="29" s="1"/>
  <c r="AF17" i="29" s="1"/>
  <c r="AF19" i="29" s="1"/>
  <c r="AE11" i="29"/>
  <c r="AD11" i="29"/>
  <c r="Z11" i="29"/>
  <c r="Z22" i="29" s="1"/>
  <c r="Z27" i="29" s="1"/>
  <c r="I19" i="29"/>
  <c r="I20" i="29"/>
  <c r="I21" i="29"/>
  <c r="P7" i="57"/>
  <c r="P22" i="57"/>
  <c r="Q22" i="57"/>
  <c r="Q18" i="57"/>
  <c r="Q23" i="57" s="1"/>
  <c r="R22" i="57"/>
  <c r="R18" i="57"/>
  <c r="R23" i="57" s="1"/>
  <c r="S18" i="57"/>
  <c r="S23" i="57" s="1"/>
  <c r="S22" i="57"/>
  <c r="AG34" i="45"/>
  <c r="AG35" i="45" s="1"/>
  <c r="AG41" i="45" s="1"/>
  <c r="AG43" i="45" s="1"/>
  <c r="AF43" i="45" s="1"/>
  <c r="AE43" i="45" s="1"/>
  <c r="AF7" i="36"/>
  <c r="AF11" i="36" s="1"/>
  <c r="AF16" i="36" s="1"/>
  <c r="AF17" i="36" s="1"/>
  <c r="AF19" i="36" s="1"/>
  <c r="AE7" i="36"/>
  <c r="AE11" i="36" s="1"/>
  <c r="AE16" i="36" s="1"/>
  <c r="AE17" i="36" s="1"/>
  <c r="AE19" i="36" s="1"/>
  <c r="AD7" i="36"/>
  <c r="AD11" i="36" s="1"/>
  <c r="AD16" i="36" s="1"/>
  <c r="AD17" i="36" s="1"/>
  <c r="AD19" i="36" s="1"/>
  <c r="Z11" i="36"/>
  <c r="AG37" i="36"/>
  <c r="AG38" i="36" s="1"/>
  <c r="BK17" i="36"/>
  <c r="BK19" i="36" s="1"/>
  <c r="BK21" i="36" s="1"/>
  <c r="BK27" i="36"/>
  <c r="BK29" i="36" s="1"/>
  <c r="BK31" i="36" s="1"/>
  <c r="AY47" i="36"/>
  <c r="S33" i="57"/>
  <c r="S35" i="57" s="1"/>
  <c r="S47" i="57" s="1"/>
  <c r="S49" i="57" s="1"/>
  <c r="R33" i="57"/>
  <c r="R35" i="57" s="1"/>
  <c r="R47" i="57" s="1"/>
  <c r="R49" i="57" s="1"/>
  <c r="Q35" i="57"/>
  <c r="Q47" i="57" s="1"/>
  <c r="Q49" i="57" s="1"/>
  <c r="AD48" i="57"/>
  <c r="O30" i="51"/>
  <c r="AD44" i="54"/>
  <c r="AD37" i="54" s="1"/>
  <c r="AD38" i="54" s="1"/>
  <c r="AF7" i="42"/>
  <c r="AF11" i="42" s="1"/>
  <c r="AF16" i="42" s="1"/>
  <c r="AF17" i="42" s="1"/>
  <c r="AF19" i="42" s="1"/>
  <c r="AE7" i="42"/>
  <c r="AE11" i="42" s="1"/>
  <c r="AE16" i="42" s="1"/>
  <c r="AE17" i="42" s="1"/>
  <c r="AE19" i="42" s="1"/>
  <c r="AD7" i="42"/>
  <c r="AD11" i="42" s="1"/>
  <c r="AD16" i="42" s="1"/>
  <c r="AD17" i="42" s="1"/>
  <c r="AD19" i="42" s="1"/>
  <c r="Z11" i="42"/>
  <c r="BK17" i="42"/>
  <c r="BK19" i="42" s="1"/>
  <c r="BK21" i="42" s="1"/>
  <c r="BK27" i="42"/>
  <c r="BK29" i="42" s="1"/>
  <c r="BK31" i="42" s="1"/>
  <c r="AY47" i="42"/>
  <c r="P10" i="44"/>
  <c r="AG34" i="51"/>
  <c r="AG35" i="51" s="1"/>
  <c r="AG41" i="51" s="1"/>
  <c r="AG43" i="51" s="1"/>
  <c r="AF43" i="51" s="1"/>
  <c r="AE43" i="51" s="1"/>
  <c r="AF7" i="48"/>
  <c r="AF11" i="48" s="1"/>
  <c r="AF16" i="48" s="1"/>
  <c r="AF17" i="48" s="1"/>
  <c r="AF19" i="48" s="1"/>
  <c r="AE7" i="48"/>
  <c r="AE11" i="48" s="1"/>
  <c r="AE16" i="48" s="1"/>
  <c r="AE17" i="48" s="1"/>
  <c r="AE19" i="48" s="1"/>
  <c r="AD7" i="48"/>
  <c r="AD11" i="48" s="1"/>
  <c r="AD16" i="48" s="1"/>
  <c r="AD17" i="48" s="1"/>
  <c r="AD19" i="48" s="1"/>
  <c r="Z11" i="48"/>
  <c r="AG37" i="48"/>
  <c r="BK17" i="48"/>
  <c r="BK19" i="48" s="1"/>
  <c r="BK21" i="48" s="1"/>
  <c r="BK27" i="48"/>
  <c r="BK29" i="48" s="1"/>
  <c r="BK31" i="48" s="1"/>
  <c r="AY47" i="48"/>
  <c r="AG44" i="54"/>
  <c r="AG7" i="54"/>
  <c r="AG11" i="54" s="1"/>
  <c r="AG16" i="54" s="1"/>
  <c r="AG17" i="54" s="1"/>
  <c r="AG19" i="54" s="1"/>
  <c r="W51" i="39"/>
  <c r="I18" i="39" s="1"/>
  <c r="AG22" i="37"/>
  <c r="AG25" i="37" s="1"/>
  <c r="AF9" i="37"/>
  <c r="AF22" i="37" s="1"/>
  <c r="AF25" i="37" s="1"/>
  <c r="AE9" i="37"/>
  <c r="AE22" i="37" s="1"/>
  <c r="AE25" i="37" s="1"/>
  <c r="Z49" i="36"/>
  <c r="Z56" i="36" s="1"/>
  <c r="Z59" i="36" s="1"/>
  <c r="Z61" i="36" s="1"/>
  <c r="Y59" i="36"/>
  <c r="Y61" i="36" s="1"/>
  <c r="X59" i="36"/>
  <c r="X61" i="36" s="1"/>
  <c r="E43" i="36"/>
  <c r="W57" i="36" s="1"/>
  <c r="W59" i="36" s="1"/>
  <c r="W61" i="36" s="1"/>
  <c r="BC46" i="36"/>
  <c r="BG17" i="36"/>
  <c r="BG31" i="36"/>
  <c r="BG33" i="36" s="1"/>
  <c r="Q27" i="36"/>
  <c r="Q28" i="36" s="1"/>
  <c r="R27" i="36"/>
  <c r="R28" i="36" s="1"/>
  <c r="S27" i="36"/>
  <c r="S31" i="36"/>
  <c r="R31" i="36"/>
  <c r="Q31" i="36"/>
  <c r="P31" i="36"/>
  <c r="I38" i="36"/>
  <c r="AU33" i="36"/>
  <c r="AT33" i="36"/>
  <c r="AS33" i="36"/>
  <c r="AR33" i="36"/>
  <c r="Z22" i="36"/>
  <c r="Z27" i="36" s="1"/>
  <c r="Y11" i="36"/>
  <c r="Y22" i="36" s="1"/>
  <c r="Y27" i="36" s="1"/>
  <c r="K9" i="36" s="1"/>
  <c r="K13" i="36" s="1"/>
  <c r="X11" i="36"/>
  <c r="X22" i="36" s="1"/>
  <c r="X27" i="36" s="1"/>
  <c r="J9" i="36" s="1"/>
  <c r="J13" i="36" s="1"/>
  <c r="AE44" i="54"/>
  <c r="AE37" i="54" s="1"/>
  <c r="AE38" i="54" s="1"/>
  <c r="AG38" i="48"/>
  <c r="AG22" i="30"/>
  <c r="AG25" i="30" s="1"/>
  <c r="AF9" i="30"/>
  <c r="AF22" i="30" s="1"/>
  <c r="AF25" i="30" s="1"/>
  <c r="AE9" i="30"/>
  <c r="AE22" i="30" s="1"/>
  <c r="AE25" i="30" s="1"/>
  <c r="AD3" i="30"/>
  <c r="AD6" i="30" s="1"/>
  <c r="AD9" i="30" s="1"/>
  <c r="AD12" i="30"/>
  <c r="AD13" i="30"/>
  <c r="Z49" i="29"/>
  <c r="Z56" i="29" s="1"/>
  <c r="Z59" i="29" s="1"/>
  <c r="Z61" i="29" s="1"/>
  <c r="Y56" i="29"/>
  <c r="Y59" i="29" s="1"/>
  <c r="Y61" i="29" s="1"/>
  <c r="X59" i="29"/>
  <c r="X61" i="29" s="1"/>
  <c r="E43" i="29"/>
  <c r="W57" i="29" s="1"/>
  <c r="W59" i="29" s="1"/>
  <c r="W61" i="29" s="1"/>
  <c r="AU50" i="29"/>
  <c r="AU52" i="29" s="1"/>
  <c r="AT50" i="29"/>
  <c r="AT52" i="29" s="1"/>
  <c r="AS50" i="29"/>
  <c r="AS52" i="29" s="1"/>
  <c r="AR50" i="29"/>
  <c r="AR52" i="29" s="1"/>
  <c r="BC46" i="29"/>
  <c r="Q27" i="29"/>
  <c r="R27" i="29"/>
  <c r="R28" i="29" s="1"/>
  <c r="S27" i="29"/>
  <c r="S31" i="29"/>
  <c r="R31" i="29"/>
  <c r="I38" i="29"/>
  <c r="AU33" i="29"/>
  <c r="AT33" i="29"/>
  <c r="AS33" i="29"/>
  <c r="AR33" i="29"/>
  <c r="Y11" i="29"/>
  <c r="Y22" i="29" s="1"/>
  <c r="Y27" i="29" s="1"/>
  <c r="X11" i="29"/>
  <c r="X22" i="29" s="1"/>
  <c r="X27" i="29" s="1"/>
  <c r="AE16" i="29"/>
  <c r="AE17" i="29" s="1"/>
  <c r="AE19" i="29" s="1"/>
  <c r="AD16" i="29"/>
  <c r="AD17" i="29" s="1"/>
  <c r="AD19" i="29" s="1"/>
  <c r="K9" i="29"/>
  <c r="K13" i="29" s="1"/>
  <c r="J9" i="29"/>
  <c r="J13" i="29" s="1"/>
  <c r="I9" i="29"/>
  <c r="I13" i="29" s="1"/>
  <c r="K5" i="29"/>
  <c r="R50" i="29"/>
  <c r="AG48" i="30"/>
  <c r="AC48" i="30"/>
  <c r="R50" i="36"/>
  <c r="AG48" i="37"/>
  <c r="N46" i="38"/>
  <c r="O46" i="38" s="1"/>
  <c r="U31" i="39"/>
  <c r="V31" i="39" s="1"/>
  <c r="AG22" i="49"/>
  <c r="AG25" i="49" s="1"/>
  <c r="AF9" i="49"/>
  <c r="AF22" i="49" s="1"/>
  <c r="AF25" i="49" s="1"/>
  <c r="AE9" i="49"/>
  <c r="AE22" i="49" s="1"/>
  <c r="AE25" i="49" s="1"/>
  <c r="Z49" i="48"/>
  <c r="Z56" i="48" s="1"/>
  <c r="Z59" i="48" s="1"/>
  <c r="Z61" i="48" s="1"/>
  <c r="Y59" i="48"/>
  <c r="Y61" i="48" s="1"/>
  <c r="X59" i="48"/>
  <c r="X61" i="48" s="1"/>
  <c r="E43" i="48"/>
  <c r="W57" i="48" s="1"/>
  <c r="W59" i="48" s="1"/>
  <c r="W61" i="48" s="1"/>
  <c r="BC46" i="48"/>
  <c r="AY50" i="48" s="1"/>
  <c r="I44" i="48" s="1"/>
  <c r="BG17" i="48"/>
  <c r="BG31" i="48"/>
  <c r="BG33" i="48" s="1"/>
  <c r="Q27" i="48"/>
  <c r="R27" i="48"/>
  <c r="S27" i="48"/>
  <c r="S31" i="48"/>
  <c r="R31" i="48"/>
  <c r="Q31" i="48"/>
  <c r="P31" i="48"/>
  <c r="I38" i="48"/>
  <c r="AU33" i="48"/>
  <c r="AT33" i="48"/>
  <c r="AS33" i="48"/>
  <c r="AR33" i="48"/>
  <c r="AR35" i="48" s="1"/>
  <c r="Z22" i="48"/>
  <c r="Z27" i="48" s="1"/>
  <c r="Y11" i="48"/>
  <c r="Y22" i="48" s="1"/>
  <c r="Y27" i="48" s="1"/>
  <c r="K9" i="48" s="1"/>
  <c r="K13" i="48" s="1"/>
  <c r="AF44" i="54"/>
  <c r="AF37" i="54" s="1"/>
  <c r="AF38" i="54" s="1"/>
  <c r="S36" i="56"/>
  <c r="Z40" i="56" s="1"/>
  <c r="Z42" i="56" s="1"/>
  <c r="X11" i="48"/>
  <c r="X22" i="48" s="1"/>
  <c r="X27" i="48" s="1"/>
  <c r="J9" i="48" s="1"/>
  <c r="J13" i="48" s="1"/>
  <c r="W51" i="45"/>
  <c r="I18" i="45" s="1"/>
  <c r="R46" i="44"/>
  <c r="AG22" i="43"/>
  <c r="AG25" i="43" s="1"/>
  <c r="AF9" i="43"/>
  <c r="AF22" i="43" s="1"/>
  <c r="AF25" i="43" s="1"/>
  <c r="AE9" i="43"/>
  <c r="AE22" i="43" s="1"/>
  <c r="AE25" i="43" s="1"/>
  <c r="Z49" i="42"/>
  <c r="Z56" i="42" s="1"/>
  <c r="Z59" i="42" s="1"/>
  <c r="Z61" i="42" s="1"/>
  <c r="Y59" i="42"/>
  <c r="Y61" i="42" s="1"/>
  <c r="X59" i="42"/>
  <c r="X61" i="42" s="1"/>
  <c r="E43" i="42"/>
  <c r="W57" i="42" s="1"/>
  <c r="W59" i="42" s="1"/>
  <c r="W61" i="42" s="1"/>
  <c r="BC46" i="42"/>
  <c r="AY50" i="42" s="1"/>
  <c r="I44" i="42" s="1"/>
  <c r="BG17" i="42"/>
  <c r="BG31" i="42"/>
  <c r="BG33" i="42" s="1"/>
  <c r="Q27" i="42"/>
  <c r="R27" i="42"/>
  <c r="S27" i="42"/>
  <c r="S31" i="42"/>
  <c r="R31" i="42"/>
  <c r="Q31" i="42"/>
  <c r="P31" i="42"/>
  <c r="I38" i="42"/>
  <c r="AU33" i="42"/>
  <c r="AT33" i="42"/>
  <c r="AS33" i="42"/>
  <c r="AR33" i="42"/>
  <c r="Z22" i="42"/>
  <c r="Z27" i="42" s="1"/>
  <c r="Y11" i="42"/>
  <c r="Y22" i="42" s="1"/>
  <c r="Y27" i="42" s="1"/>
  <c r="K9" i="42" s="1"/>
  <c r="K13" i="42" s="1"/>
  <c r="X11" i="42"/>
  <c r="X22" i="42" s="1"/>
  <c r="X27" i="42" s="1"/>
  <c r="J9" i="42" s="1"/>
  <c r="J13" i="42" s="1"/>
  <c r="R50" i="42"/>
  <c r="AG48" i="43"/>
  <c r="S38" i="44"/>
  <c r="N46" i="44"/>
  <c r="N48" i="44" s="1"/>
  <c r="U31" i="45"/>
  <c r="V31" i="45" s="1"/>
  <c r="R50" i="48"/>
  <c r="AG48" i="49"/>
  <c r="O30" i="57"/>
  <c r="W51" i="51"/>
  <c r="I18" i="51" s="1"/>
  <c r="N46" i="50"/>
  <c r="O46" i="50" s="1"/>
  <c r="U31" i="51"/>
  <c r="V31" i="51" s="1"/>
  <c r="AF7" i="54"/>
  <c r="AF11" i="54" s="1"/>
  <c r="AF16" i="54" s="1"/>
  <c r="AF17" i="54" s="1"/>
  <c r="AF19" i="54" s="1"/>
  <c r="AE7" i="54"/>
  <c r="AE11" i="54" s="1"/>
  <c r="AE16" i="54" s="1"/>
  <c r="AE17" i="54" s="1"/>
  <c r="AE19" i="54" s="1"/>
  <c r="AD7" i="54"/>
  <c r="AD11" i="54" s="1"/>
  <c r="AD16" i="54" s="1"/>
  <c r="AD17" i="54" s="1"/>
  <c r="AD19" i="54" s="1"/>
  <c r="Z11" i="54"/>
  <c r="Z22" i="54" s="1"/>
  <c r="Z27" i="54" s="1"/>
  <c r="I19" i="54"/>
  <c r="I20" i="54"/>
  <c r="I21" i="54"/>
  <c r="AG37" i="54"/>
  <c r="BK17" i="54"/>
  <c r="BK19" i="54" s="1"/>
  <c r="BK21" i="54" s="1"/>
  <c r="BK27" i="54"/>
  <c r="BK29" i="54" s="1"/>
  <c r="BK31" i="54" s="1"/>
  <c r="AY47" i="54"/>
  <c r="AG34" i="57"/>
  <c r="AG35" i="57" s="1"/>
  <c r="AG41" i="57" s="1"/>
  <c r="AG43" i="57" s="1"/>
  <c r="P10" i="56"/>
  <c r="AG38" i="54"/>
  <c r="AG22" i="55"/>
  <c r="AG25" i="55" s="1"/>
  <c r="AF9" i="55"/>
  <c r="AF22" i="55" s="1"/>
  <c r="AF25" i="55" s="1"/>
  <c r="AE9" i="55"/>
  <c r="AE22" i="55" s="1"/>
  <c r="AE25" i="55" s="1"/>
  <c r="Z49" i="54"/>
  <c r="Z56" i="54" s="1"/>
  <c r="Z59" i="54" s="1"/>
  <c r="Z61" i="54" s="1"/>
  <c r="Y59" i="54"/>
  <c r="Y61" i="54" s="1"/>
  <c r="X59" i="54"/>
  <c r="X61" i="54" s="1"/>
  <c r="E43" i="54"/>
  <c r="W57" i="54" s="1"/>
  <c r="W59" i="54" s="1"/>
  <c r="W61" i="54" s="1"/>
  <c r="BC46" i="54"/>
  <c r="BG17" i="54"/>
  <c r="BG31" i="54"/>
  <c r="BG33" i="54" s="1"/>
  <c r="Q27" i="54"/>
  <c r="R27" i="54"/>
  <c r="S27" i="54"/>
  <c r="S28" i="54" s="1"/>
  <c r="S31" i="54"/>
  <c r="R31" i="54"/>
  <c r="Q31" i="54"/>
  <c r="P31" i="54"/>
  <c r="I38" i="54"/>
  <c r="AU33" i="54"/>
  <c r="AT33" i="54"/>
  <c r="AS33" i="54"/>
  <c r="AR33" i="54"/>
  <c r="Y11" i="54"/>
  <c r="Y22" i="54" s="1"/>
  <c r="Y27" i="54" s="1"/>
  <c r="K9" i="54"/>
  <c r="K13" i="54" s="1"/>
  <c r="X11" i="54"/>
  <c r="X22" i="54" s="1"/>
  <c r="X27" i="54" s="1"/>
  <c r="J9" i="54" s="1"/>
  <c r="J13" i="54" s="1"/>
  <c r="K5" i="54"/>
  <c r="R50" i="54"/>
  <c r="AG48" i="55"/>
  <c r="W51" i="57"/>
  <c r="I18" i="57" s="1"/>
  <c r="R46" i="56"/>
  <c r="S38" i="56"/>
  <c r="N46" i="56"/>
  <c r="O46" i="56" s="1"/>
  <c r="I5" i="57"/>
  <c r="J5" i="57"/>
  <c r="K5" i="57"/>
  <c r="U31" i="57"/>
  <c r="V31" i="57" s="1"/>
  <c r="E24" i="66"/>
  <c r="E24" i="35"/>
  <c r="E24" i="67"/>
  <c r="O46" i="44" l="1"/>
  <c r="R34" i="36"/>
  <c r="E29" i="67"/>
  <c r="P5" i="11"/>
  <c r="AD14" i="11"/>
  <c r="P12" i="11"/>
  <c r="P5" i="24"/>
  <c r="P5" i="30"/>
  <c r="P8" i="30" s="1"/>
  <c r="AD14" i="30"/>
  <c r="P12" i="30"/>
  <c r="S34" i="54"/>
  <c r="R34" i="29"/>
  <c r="Q34" i="36"/>
  <c r="R28" i="54"/>
  <c r="R34" i="54" s="1"/>
  <c r="Q28" i="54"/>
  <c r="Q34" i="54" s="1"/>
  <c r="S28" i="42"/>
  <c r="S34" i="42" s="1"/>
  <c r="R28" i="42"/>
  <c r="R34" i="42" s="1"/>
  <c r="Q28" i="42"/>
  <c r="Q34" i="42" s="1"/>
  <c r="S28" i="48"/>
  <c r="S34" i="48" s="1"/>
  <c r="R28" i="48"/>
  <c r="R34" i="48" s="1"/>
  <c r="Q28" i="48"/>
  <c r="Q34" i="48" s="1"/>
  <c r="S28" i="29"/>
  <c r="S34" i="29" s="1"/>
  <c r="Q28" i="29"/>
  <c r="Q34" i="29" s="1"/>
  <c r="Q40" i="29" s="1"/>
  <c r="Q42" i="29" s="1"/>
  <c r="Q35" i="29" s="1"/>
  <c r="Q36" i="29" s="1"/>
  <c r="J5" i="29" s="1"/>
  <c r="S28" i="36"/>
  <c r="S34" i="36" s="1"/>
  <c r="E29" i="66"/>
  <c r="E29" i="35"/>
  <c r="W61" i="9"/>
  <c r="I12" i="9" s="1"/>
  <c r="I13" i="9" s="1"/>
  <c r="I21" i="57"/>
  <c r="I23" i="57" s="1"/>
  <c r="N48" i="56"/>
  <c r="U33" i="57"/>
  <c r="N48" i="38"/>
  <c r="BG47" i="36"/>
  <c r="N48" i="50"/>
  <c r="R38" i="44"/>
  <c r="W53" i="44" s="1"/>
  <c r="Y40" i="44"/>
  <c r="Y42" i="44" s="1"/>
  <c r="P11" i="44"/>
  <c r="P6" i="44" s="1"/>
  <c r="W11" i="44"/>
  <c r="W10" i="44" s="1"/>
  <c r="AR35" i="54"/>
  <c r="AY50" i="29"/>
  <c r="I44" i="29" s="1"/>
  <c r="AY50" i="23"/>
  <c r="I44" i="23" s="1"/>
  <c r="S24" i="39"/>
  <c r="AY50" i="36"/>
  <c r="I44" i="36" s="1"/>
  <c r="Z40" i="38"/>
  <c r="Z42" i="38" s="1"/>
  <c r="S38" i="38"/>
  <c r="P5" i="43"/>
  <c r="AD3" i="43"/>
  <c r="AD6" i="43" s="1"/>
  <c r="AD9" i="43" s="1"/>
  <c r="U33" i="51"/>
  <c r="AR35" i="42"/>
  <c r="AR35" i="36"/>
  <c r="BG46" i="36"/>
  <c r="BG48" i="36" s="1"/>
  <c r="BG46" i="29"/>
  <c r="AD3" i="24"/>
  <c r="AD6" i="24" s="1"/>
  <c r="AD9" i="24" s="1"/>
  <c r="AR35" i="23"/>
  <c r="AG48" i="11"/>
  <c r="P11" i="30"/>
  <c r="Z40" i="50"/>
  <c r="Z42" i="50" s="1"/>
  <c r="S38" i="50"/>
  <c r="P5" i="37"/>
  <c r="AD3" i="37"/>
  <c r="AD6" i="37" s="1"/>
  <c r="AD9" i="37" s="1"/>
  <c r="P5" i="49"/>
  <c r="AD3" i="49"/>
  <c r="AD6" i="49" s="1"/>
  <c r="AD9" i="49" s="1"/>
  <c r="R38" i="38"/>
  <c r="W53" i="38" s="1"/>
  <c r="Y40" i="38"/>
  <c r="Y42" i="38" s="1"/>
  <c r="S24" i="51"/>
  <c r="Z3" i="39"/>
  <c r="Z5" i="39" s="1"/>
  <c r="S26" i="39"/>
  <c r="P5" i="18"/>
  <c r="AD3" i="18"/>
  <c r="AD6" i="18" s="1"/>
  <c r="AD9" i="18" s="1"/>
  <c r="P5" i="55"/>
  <c r="P8" i="55" s="1"/>
  <c r="P20" i="55" s="1"/>
  <c r="P27" i="55" s="1"/>
  <c r="AD3" i="55"/>
  <c r="AD6" i="55" s="1"/>
  <c r="AD9" i="55" s="1"/>
  <c r="AD22" i="55" s="1"/>
  <c r="AD25" i="55" s="1"/>
  <c r="BG46" i="54"/>
  <c r="AY50" i="54"/>
  <c r="I44" i="54" s="1"/>
  <c r="U33" i="45"/>
  <c r="BG46" i="42"/>
  <c r="BG46" i="48"/>
  <c r="U33" i="39"/>
  <c r="AR35" i="29"/>
  <c r="R40" i="29"/>
  <c r="R42" i="29" s="1"/>
  <c r="R35" i="29" s="1"/>
  <c r="R36" i="29" s="1"/>
  <c r="Q40" i="36"/>
  <c r="Q42" i="36" s="1"/>
  <c r="Q35" i="36" s="1"/>
  <c r="Q36" i="36" s="1"/>
  <c r="J5" i="36" s="1"/>
  <c r="S24" i="57"/>
  <c r="S26" i="57" s="1"/>
  <c r="Q24" i="57"/>
  <c r="R24" i="51"/>
  <c r="Y3" i="51" s="1"/>
  <c r="Y5" i="51" s="1"/>
  <c r="Q24" i="51"/>
  <c r="I22" i="23"/>
  <c r="I31" i="23" s="1"/>
  <c r="BG46" i="23"/>
  <c r="S24" i="45"/>
  <c r="S26" i="45" s="1"/>
  <c r="Q24" i="45"/>
  <c r="R24" i="39"/>
  <c r="R26" i="39" s="1"/>
  <c r="Q24" i="39"/>
  <c r="AD3" i="11"/>
  <c r="AD6" i="11" s="1"/>
  <c r="AD9" i="11" s="1"/>
  <c r="P6" i="30"/>
  <c r="I22" i="54"/>
  <c r="R40" i="36"/>
  <c r="R42" i="36" s="1"/>
  <c r="R35" i="36" s="1"/>
  <c r="R36" i="36" s="1"/>
  <c r="K5" i="36" s="1"/>
  <c r="R24" i="57"/>
  <c r="Y3" i="57" s="1"/>
  <c r="Y5" i="57" s="1"/>
  <c r="I22" i="29"/>
  <c r="I31" i="29" s="1"/>
  <c r="R24" i="45"/>
  <c r="Y3" i="45" s="1"/>
  <c r="Y5" i="45" s="1"/>
  <c r="Z3" i="57"/>
  <c r="Z5" i="57" s="1"/>
  <c r="Q26" i="57"/>
  <c r="W15" i="57" s="1"/>
  <c r="X3" i="57"/>
  <c r="X5" i="57" s="1"/>
  <c r="Q26" i="51"/>
  <c r="X3" i="51"/>
  <c r="X5" i="51" s="1"/>
  <c r="Q26" i="45"/>
  <c r="X3" i="45"/>
  <c r="X5" i="45" s="1"/>
  <c r="X3" i="39"/>
  <c r="X5" i="39" s="1"/>
  <c r="Q26" i="39"/>
  <c r="R38" i="50"/>
  <c r="W53" i="50" s="1"/>
  <c r="Y40" i="50"/>
  <c r="Y42" i="50" s="1"/>
  <c r="R38" i="56"/>
  <c r="W53" i="56" s="1"/>
  <c r="Y40" i="56"/>
  <c r="Y42" i="56" s="1"/>
  <c r="P11" i="56"/>
  <c r="P6" i="56" s="1"/>
  <c r="W11" i="56"/>
  <c r="W10" i="56" s="1"/>
  <c r="BG47" i="54"/>
  <c r="BG47" i="48"/>
  <c r="BG48" i="48" s="1"/>
  <c r="BG47" i="42"/>
  <c r="BG48" i="42" s="1"/>
  <c r="BG47" i="29"/>
  <c r="BG48" i="29" s="1"/>
  <c r="BG47" i="23"/>
  <c r="BG48" i="23" s="1"/>
  <c r="R26" i="57"/>
  <c r="W16" i="57" s="1"/>
  <c r="S40" i="54"/>
  <c r="S42" i="54" s="1"/>
  <c r="S35" i="54" s="1"/>
  <c r="S36" i="54" s="1"/>
  <c r="Z31" i="54"/>
  <c r="Z33" i="54" s="1"/>
  <c r="Z39" i="54" s="1"/>
  <c r="Z41" i="54" s="1"/>
  <c r="R40" i="54"/>
  <c r="R42" i="54" s="1"/>
  <c r="R35" i="54" s="1"/>
  <c r="R36" i="54" s="1"/>
  <c r="Q40" i="54"/>
  <c r="Q42" i="54" s="1"/>
  <c r="Q35" i="54" s="1"/>
  <c r="Q36" i="54" s="1"/>
  <c r="J5" i="54" s="1"/>
  <c r="R40" i="42"/>
  <c r="R42" i="42" s="1"/>
  <c r="R35" i="42" s="1"/>
  <c r="R36" i="42" s="1"/>
  <c r="K5" i="42" s="1"/>
  <c r="Q40" i="42"/>
  <c r="Q42" i="42" s="1"/>
  <c r="Q35" i="42" s="1"/>
  <c r="Q36" i="42" s="1"/>
  <c r="J5" i="42" s="1"/>
  <c r="R40" i="48"/>
  <c r="R42" i="48" s="1"/>
  <c r="R35" i="48" s="1"/>
  <c r="R36" i="48" s="1"/>
  <c r="K5" i="48" s="1"/>
  <c r="Q40" i="48"/>
  <c r="Q42" i="48" s="1"/>
  <c r="Q35" i="48" s="1"/>
  <c r="Q36" i="48" s="1"/>
  <c r="J5" i="48" s="1"/>
  <c r="S40" i="29"/>
  <c r="S42" i="29" s="1"/>
  <c r="S35" i="29" s="1"/>
  <c r="S36" i="29" s="1"/>
  <c r="Y31" i="29"/>
  <c r="Y33" i="29" s="1"/>
  <c r="Y39" i="29" s="1"/>
  <c r="Y41" i="29" s="1"/>
  <c r="X31" i="29"/>
  <c r="X33" i="29" s="1"/>
  <c r="X39" i="29" s="1"/>
  <c r="X41" i="29" s="1"/>
  <c r="AD22" i="30"/>
  <c r="AD25" i="30" s="1"/>
  <c r="S40" i="36"/>
  <c r="S42" i="36" s="1"/>
  <c r="S35" i="36" s="1"/>
  <c r="S36" i="36" s="1"/>
  <c r="Y31" i="36"/>
  <c r="Y33" i="36" s="1"/>
  <c r="Y39" i="36" s="1"/>
  <c r="Y41" i="36" s="1"/>
  <c r="X31" i="36"/>
  <c r="X33" i="36" s="1"/>
  <c r="X39" i="36" s="1"/>
  <c r="X41" i="36" s="1"/>
  <c r="P6" i="11"/>
  <c r="S40" i="42"/>
  <c r="S42" i="42" s="1"/>
  <c r="S35" i="42" s="1"/>
  <c r="S36" i="42" s="1"/>
  <c r="S40" i="48"/>
  <c r="S42" i="48" s="1"/>
  <c r="S35" i="48" s="1"/>
  <c r="S36" i="48" s="1"/>
  <c r="AA25" i="16"/>
  <c r="AA27" i="16" s="1"/>
  <c r="S25" i="16"/>
  <c r="S27" i="16" s="1"/>
  <c r="S30" i="16" s="1"/>
  <c r="X40" i="50"/>
  <c r="X42" i="50" s="1"/>
  <c r="Q38" i="50"/>
  <c r="W52" i="50" s="1"/>
  <c r="X40" i="38"/>
  <c r="X42" i="38" s="1"/>
  <c r="Q38" i="38"/>
  <c r="W52" i="38" s="1"/>
  <c r="P8" i="11"/>
  <c r="Q38" i="44"/>
  <c r="W52" i="44" s="1"/>
  <c r="Q38" i="56"/>
  <c r="W52" i="56" s="1"/>
  <c r="L19" i="16"/>
  <c r="L18" i="16"/>
  <c r="L17" i="16"/>
  <c r="L16" i="16"/>
  <c r="L15" i="16"/>
  <c r="W80" i="16"/>
  <c r="N10" i="16" s="1"/>
  <c r="V80" i="16"/>
  <c r="N9" i="16" s="1"/>
  <c r="U80" i="16"/>
  <c r="N8" i="16" s="1"/>
  <c r="T80" i="16"/>
  <c r="N7" i="16" s="1"/>
  <c r="S80" i="16"/>
  <c r="N6" i="16" s="1"/>
  <c r="AE80" i="16"/>
  <c r="AD80" i="16"/>
  <c r="AC80" i="16"/>
  <c r="AB80" i="16"/>
  <c r="AA80" i="16"/>
  <c r="AD13" i="11"/>
  <c r="AD12" i="11"/>
  <c r="P11" i="11"/>
  <c r="E15" i="67"/>
  <c r="AA30" i="16" l="1"/>
  <c r="M5" i="16" s="1"/>
  <c r="E20" i="67"/>
  <c r="Z31" i="36"/>
  <c r="Z33" i="36" s="1"/>
  <c r="Z39" i="36" s="1"/>
  <c r="Z41" i="36" s="1"/>
  <c r="Z31" i="29"/>
  <c r="Z33" i="29" s="1"/>
  <c r="Z39" i="29" s="1"/>
  <c r="Z41" i="29" s="1"/>
  <c r="X31" i="48"/>
  <c r="X33" i="48" s="1"/>
  <c r="X39" i="48" s="1"/>
  <c r="X41" i="48" s="1"/>
  <c r="Y31" i="48"/>
  <c r="Y33" i="48" s="1"/>
  <c r="Y39" i="48" s="1"/>
  <c r="Y41" i="48" s="1"/>
  <c r="Z31" i="48"/>
  <c r="Z33" i="48" s="1"/>
  <c r="Z39" i="48" s="1"/>
  <c r="Z41" i="48" s="1"/>
  <c r="X31" i="42"/>
  <c r="X33" i="42" s="1"/>
  <c r="X39" i="42" s="1"/>
  <c r="X41" i="42" s="1"/>
  <c r="Y31" i="42"/>
  <c r="Y33" i="42" s="1"/>
  <c r="Y39" i="42" s="1"/>
  <c r="Y41" i="42" s="1"/>
  <c r="Z31" i="42"/>
  <c r="Z33" i="42" s="1"/>
  <c r="Z39" i="42" s="1"/>
  <c r="Z41" i="42" s="1"/>
  <c r="X31" i="54"/>
  <c r="X33" i="54" s="1"/>
  <c r="X39" i="54" s="1"/>
  <c r="X41" i="54" s="1"/>
  <c r="Y31" i="54"/>
  <c r="Y33" i="54" s="1"/>
  <c r="Y39" i="54" s="1"/>
  <c r="Y41" i="54" s="1"/>
  <c r="P28" i="55"/>
  <c r="P33" i="55" s="1"/>
  <c r="M16" i="16"/>
  <c r="M18" i="16"/>
  <c r="BA2" i="55"/>
  <c r="BA6" i="55" s="1"/>
  <c r="BA8" i="55" s="1"/>
  <c r="BE8" i="55" s="1"/>
  <c r="BE20" i="55" s="1"/>
  <c r="BE22" i="55" s="1"/>
  <c r="BE24" i="55" s="1"/>
  <c r="Z3" i="45"/>
  <c r="Z5" i="45" s="1"/>
  <c r="R26" i="45"/>
  <c r="Y3" i="39"/>
  <c r="Y5" i="39" s="1"/>
  <c r="R26" i="51"/>
  <c r="P20" i="11"/>
  <c r="P27" i="11" s="1"/>
  <c r="AD22" i="11"/>
  <c r="AD25" i="11" s="1"/>
  <c r="AB34" i="16"/>
  <c r="AB35" i="16" s="1"/>
  <c r="M7" i="16" s="1"/>
  <c r="M15" i="16"/>
  <c r="M17" i="16"/>
  <c r="M19" i="16"/>
  <c r="P20" i="30"/>
  <c r="P27" i="30" s="1"/>
  <c r="BG48" i="54"/>
  <c r="Z3" i="51"/>
  <c r="Z5" i="51" s="1"/>
  <c r="S26" i="51"/>
  <c r="L20" i="16"/>
  <c r="K5" i="45"/>
  <c r="W16" i="45"/>
  <c r="W15" i="45"/>
  <c r="J5" i="45"/>
  <c r="W15" i="51"/>
  <c r="J5" i="51"/>
  <c r="W16" i="51"/>
  <c r="K5" i="51"/>
  <c r="W15" i="39"/>
  <c r="J5" i="39"/>
  <c r="W16" i="39"/>
  <c r="K5" i="39"/>
  <c r="M20" i="16"/>
  <c r="AD34" i="16"/>
  <c r="AD35" i="16" s="1"/>
  <c r="M9" i="16" s="1"/>
  <c r="AC34" i="16"/>
  <c r="AC35" i="16" s="1"/>
  <c r="M8" i="16" s="1"/>
  <c r="AE34" i="16"/>
  <c r="AE35" i="16" s="1"/>
  <c r="M10" i="16" s="1"/>
  <c r="AA34" i="16"/>
  <c r="AA35" i="16" s="1"/>
  <c r="M6" i="16" s="1"/>
  <c r="T34" i="16"/>
  <c r="T35" i="16" s="1"/>
  <c r="L7" i="16" s="1"/>
  <c r="L5" i="16"/>
  <c r="U34" i="16"/>
  <c r="U35" i="16" s="1"/>
  <c r="L8" i="16" s="1"/>
  <c r="W34" i="16"/>
  <c r="W35" i="16" s="1"/>
  <c r="L10" i="16" s="1"/>
  <c r="S34" i="16"/>
  <c r="S35" i="16" s="1"/>
  <c r="L6" i="16" s="1"/>
  <c r="V34" i="16"/>
  <c r="V35" i="16" s="1"/>
  <c r="L9" i="16" s="1"/>
  <c r="N11" i="16"/>
  <c r="AT2" i="11"/>
  <c r="AT4" i="11" s="1"/>
  <c r="AT9" i="11" s="1"/>
  <c r="AT11" i="11" s="1"/>
  <c r="AT13" i="11" s="1"/>
  <c r="AL3" i="11"/>
  <c r="AL5" i="11" s="1"/>
  <c r="AL7" i="11" s="1"/>
  <c r="AL11" i="11" s="1"/>
  <c r="AL12" i="11" s="1"/>
  <c r="W2" i="11"/>
  <c r="W5" i="11" s="1"/>
  <c r="W2" i="55" l="1"/>
  <c r="W5" i="55" s="1"/>
  <c r="W7" i="55" s="1"/>
  <c r="W30" i="55"/>
  <c r="W33" i="55" s="1"/>
  <c r="AL3" i="55"/>
  <c r="AL5" i="55" s="1"/>
  <c r="AL7" i="55" s="1"/>
  <c r="AL11" i="55" s="1"/>
  <c r="AL12" i="55" s="1"/>
  <c r="AT2" i="55"/>
  <c r="AT4" i="55" s="1"/>
  <c r="AT9" i="55" s="1"/>
  <c r="AT11" i="55" s="1"/>
  <c r="AT13" i="55" s="1"/>
  <c r="W44" i="55"/>
  <c r="W47" i="55" s="1"/>
  <c r="W49" i="55" s="1"/>
  <c r="P28" i="30"/>
  <c r="W30" i="30" s="1"/>
  <c r="BA11" i="55"/>
  <c r="BA15" i="55" s="1"/>
  <c r="BA17" i="55" s="1"/>
  <c r="BE17" i="55" s="1"/>
  <c r="BE21" i="55" s="1"/>
  <c r="W16" i="55"/>
  <c r="W19" i="55" s="1"/>
  <c r="W30" i="11"/>
  <c r="W33" i="11" s="1"/>
  <c r="W35" i="11" s="1"/>
  <c r="BA2" i="11"/>
  <c r="BA6" i="11" s="1"/>
  <c r="BA8" i="11" s="1"/>
  <c r="BE8" i="11" s="1"/>
  <c r="BE20" i="11" s="1"/>
  <c r="W16" i="11"/>
  <c r="W19" i="11" s="1"/>
  <c r="W21" i="11" s="1"/>
  <c r="W44" i="11"/>
  <c r="W47" i="11" s="1"/>
  <c r="W52" i="11" s="1"/>
  <c r="BA11" i="11"/>
  <c r="BA15" i="11" s="1"/>
  <c r="BA17" i="11" s="1"/>
  <c r="BE17" i="11" s="1"/>
  <c r="BE21" i="11" s="1"/>
  <c r="M11" i="16"/>
  <c r="L11" i="16"/>
  <c r="BE22" i="11"/>
  <c r="BE24" i="11" s="1"/>
  <c r="I30" i="11" s="1"/>
  <c r="I38" i="11" s="1"/>
  <c r="W10" i="11"/>
  <c r="W7" i="11"/>
  <c r="W38" i="11"/>
  <c r="W49" i="11"/>
  <c r="P39" i="11"/>
  <c r="P41" i="11" s="1"/>
  <c r="P34" i="11" s="1"/>
  <c r="P35" i="11" s="1"/>
  <c r="I5" i="11" s="1"/>
  <c r="I16" i="11" s="1"/>
  <c r="W10" i="55" l="1"/>
  <c r="W38" i="55"/>
  <c r="W35" i="55"/>
  <c r="W52" i="55"/>
  <c r="BA2" i="30"/>
  <c r="BA6" i="30" s="1"/>
  <c r="BA8" i="30" s="1"/>
  <c r="BE8" i="30" s="1"/>
  <c r="BE20" i="30" s="1"/>
  <c r="BE22" i="30" s="1"/>
  <c r="BE24" i="30" s="1"/>
  <c r="BA11" i="30"/>
  <c r="BA15" i="30" s="1"/>
  <c r="BA17" i="30" s="1"/>
  <c r="BE17" i="30" s="1"/>
  <c r="BE21" i="30" s="1"/>
  <c r="AT2" i="30"/>
  <c r="AT4" i="30" s="1"/>
  <c r="AT9" i="30" s="1"/>
  <c r="AT11" i="30" s="1"/>
  <c r="AT13" i="30" s="1"/>
  <c r="W16" i="30"/>
  <c r="W19" i="30" s="1"/>
  <c r="W24" i="30" s="1"/>
  <c r="W44" i="30"/>
  <c r="W47" i="30" s="1"/>
  <c r="W52" i="30" s="1"/>
  <c r="W2" i="30"/>
  <c r="W5" i="30" s="1"/>
  <c r="W7" i="30" s="1"/>
  <c r="AL3" i="30"/>
  <c r="AL5" i="30" s="1"/>
  <c r="AL7" i="30" s="1"/>
  <c r="AL11" i="30" s="1"/>
  <c r="AL12" i="30" s="1"/>
  <c r="W33" i="30"/>
  <c r="W35" i="30" s="1"/>
  <c r="P33" i="30"/>
  <c r="P39" i="30" s="1"/>
  <c r="P41" i="30" s="1"/>
  <c r="P34" i="30" s="1"/>
  <c r="P35" i="30" s="1"/>
  <c r="I5" i="30" s="1"/>
  <c r="I16" i="30" s="1"/>
  <c r="I54" i="30" s="1"/>
  <c r="I56" i="30" s="1"/>
  <c r="P35" i="55"/>
  <c r="I5" i="55" s="1"/>
  <c r="I16" i="55" s="1"/>
  <c r="I54" i="55" s="1"/>
  <c r="I56" i="55" s="1"/>
  <c r="P39" i="55"/>
  <c r="P41" i="55" s="1"/>
  <c r="P34" i="55" s="1"/>
  <c r="W21" i="55"/>
  <c r="W24" i="55"/>
  <c r="I54" i="11"/>
  <c r="W24" i="11"/>
  <c r="W21" i="30"/>
  <c r="N50" i="54"/>
  <c r="N52" i="54" s="1"/>
  <c r="N50" i="48"/>
  <c r="N52" i="48" s="1"/>
  <c r="N50" i="42"/>
  <c r="N52" i="42" s="1"/>
  <c r="N50" i="36"/>
  <c r="N52" i="36" s="1"/>
  <c r="N50" i="29"/>
  <c r="N52" i="29" s="1"/>
  <c r="N50" i="23"/>
  <c r="N52" i="23" s="1"/>
  <c r="P40" i="23"/>
  <c r="P42" i="23" s="1"/>
  <c r="P35" i="23" s="1"/>
  <c r="P36" i="23" s="1"/>
  <c r="I5" i="23" s="1"/>
  <c r="I47" i="23" s="1"/>
  <c r="W31" i="23"/>
  <c r="W33" i="23" s="1"/>
  <c r="W39" i="23" s="1"/>
  <c r="Q36" i="9"/>
  <c r="J5" i="9" s="1"/>
  <c r="N50" i="9"/>
  <c r="N52" i="9" s="1"/>
  <c r="P40" i="9"/>
  <c r="P42" i="9" s="1"/>
  <c r="P35" i="9" s="1"/>
  <c r="P36" i="9" s="1"/>
  <c r="I5" i="9" s="1"/>
  <c r="I44" i="9"/>
  <c r="W31" i="9"/>
  <c r="W33" i="9" s="1"/>
  <c r="W39" i="9" s="1"/>
  <c r="S5" i="9"/>
  <c r="S9" i="9" s="1"/>
  <c r="S21" i="9" s="1"/>
  <c r="S27" i="9" s="1"/>
  <c r="S31" i="9"/>
  <c r="S40" i="9"/>
  <c r="S42" i="9" s="1"/>
  <c r="S35" i="9" s="1"/>
  <c r="S36" i="9" s="1"/>
  <c r="R36" i="9"/>
  <c r="K5" i="9" s="1"/>
  <c r="Z31" i="9"/>
  <c r="Z33" i="9" s="1"/>
  <c r="Z39" i="9" s="1"/>
  <c r="Z41" i="9" s="1"/>
  <c r="AG11" i="9"/>
  <c r="AG16" i="9" s="1"/>
  <c r="AG17" i="9" s="1"/>
  <c r="AG19" i="9" s="1"/>
  <c r="AG44" i="9"/>
  <c r="AG37" i="9" s="1"/>
  <c r="AG38" i="9" s="1"/>
  <c r="AF38" i="9"/>
  <c r="AE38" i="9"/>
  <c r="AD38" i="9"/>
  <c r="AL25" i="9"/>
  <c r="AL30" i="9" s="1"/>
  <c r="I22" i="9"/>
  <c r="I31" i="9" s="1"/>
  <c r="AM25" i="9"/>
  <c r="AM30" i="9" s="1"/>
  <c r="O50" i="23"/>
  <c r="O50" i="29"/>
  <c r="O50" i="36"/>
  <c r="O50" i="42"/>
  <c r="O50" i="54"/>
  <c r="AB48" i="24"/>
  <c r="AB50" i="24"/>
  <c r="P11" i="24" s="1"/>
  <c r="AB48" i="43"/>
  <c r="AB50" i="43" s="1"/>
  <c r="AB48" i="49"/>
  <c r="AB50" i="49"/>
  <c r="P11" i="49" s="1"/>
  <c r="P6" i="49"/>
  <c r="P8" i="49" s="1"/>
  <c r="AB48" i="37"/>
  <c r="AB50" i="37"/>
  <c r="P11" i="37" s="1"/>
  <c r="AB48" i="18"/>
  <c r="AB50" i="18" s="1"/>
  <c r="AD13" i="49"/>
  <c r="AD13" i="37"/>
  <c r="AB48" i="55"/>
  <c r="AC48" i="55" s="1"/>
  <c r="AC48" i="18"/>
  <c r="AC48" i="24"/>
  <c r="AC48" i="37"/>
  <c r="AC48" i="43"/>
  <c r="AC48" i="49"/>
  <c r="E15" i="35"/>
  <c r="C24" i="35"/>
  <c r="C15" i="67"/>
  <c r="W49" i="30" l="1"/>
  <c r="W10" i="30"/>
  <c r="P12" i="18"/>
  <c r="P6" i="18"/>
  <c r="P8" i="18" s="1"/>
  <c r="P20" i="18" s="1"/>
  <c r="P27" i="18" s="1"/>
  <c r="AD14" i="18"/>
  <c r="P11" i="18"/>
  <c r="AD12" i="18"/>
  <c r="AD13" i="18"/>
  <c r="P6" i="43"/>
  <c r="P8" i="43" s="1"/>
  <c r="P20" i="43" s="1"/>
  <c r="P27" i="43" s="1"/>
  <c r="P11" i="43"/>
  <c r="AD12" i="43"/>
  <c r="AD13" i="43"/>
  <c r="AD13" i="24"/>
  <c r="AD12" i="37"/>
  <c r="AB50" i="55"/>
  <c r="AD12" i="24"/>
  <c r="AD12" i="49"/>
  <c r="P6" i="37"/>
  <c r="P8" i="37" s="1"/>
  <c r="P20" i="37" s="1"/>
  <c r="P27" i="37" s="1"/>
  <c r="P6" i="24"/>
  <c r="P8" i="24" s="1"/>
  <c r="P20" i="24" s="1"/>
  <c r="P27" i="24" s="1"/>
  <c r="O50" i="9"/>
  <c r="W38" i="30"/>
  <c r="AD14" i="55"/>
  <c r="P12" i="55"/>
  <c r="AD14" i="37"/>
  <c r="P12" i="37"/>
  <c r="AD14" i="49"/>
  <c r="P12" i="49"/>
  <c r="AD14" i="43"/>
  <c r="P12" i="43"/>
  <c r="AD14" i="24"/>
  <c r="P12" i="24"/>
  <c r="W14" i="9"/>
  <c r="P12" i="9"/>
  <c r="W14" i="23"/>
  <c r="P12" i="23"/>
  <c r="W14" i="29"/>
  <c r="P12" i="29"/>
  <c r="W14" i="36"/>
  <c r="P12" i="36"/>
  <c r="W14" i="42"/>
  <c r="P12" i="42"/>
  <c r="W14" i="48"/>
  <c r="P12" i="48"/>
  <c r="W14" i="54"/>
  <c r="P12" i="54"/>
  <c r="C20" i="67"/>
  <c r="E20" i="35"/>
  <c r="C29" i="35"/>
  <c r="I56" i="11"/>
  <c r="I47" i="9"/>
  <c r="I49" i="23"/>
  <c r="P5" i="54"/>
  <c r="W7" i="54"/>
  <c r="P7" i="54"/>
  <c r="W5" i="54"/>
  <c r="AK6" i="54"/>
  <c r="O50" i="48"/>
  <c r="P5" i="23"/>
  <c r="AK5" i="23" s="1"/>
  <c r="P7" i="23"/>
  <c r="W7" i="23"/>
  <c r="AK6" i="23"/>
  <c r="P5" i="29"/>
  <c r="AK5" i="29" s="1"/>
  <c r="P7" i="29"/>
  <c r="W5" i="29"/>
  <c r="P5" i="48"/>
  <c r="P7" i="48"/>
  <c r="W5" i="48"/>
  <c r="AK6" i="48"/>
  <c r="P7" i="9"/>
  <c r="AK6" i="9"/>
  <c r="W7" i="9"/>
  <c r="P5" i="9"/>
  <c r="AK5" i="9" s="1"/>
  <c r="W5" i="9"/>
  <c r="P5" i="36"/>
  <c r="W5" i="36"/>
  <c r="AK6" i="36"/>
  <c r="P7" i="36"/>
  <c r="W7" i="36"/>
  <c r="P5" i="42"/>
  <c r="P9" i="42" s="1"/>
  <c r="P21" i="42" s="1"/>
  <c r="P27" i="42" s="1"/>
  <c r="W7" i="42"/>
  <c r="P7" i="42"/>
  <c r="W5" i="42"/>
  <c r="AK6" i="42"/>
  <c r="B29" i="51"/>
  <c r="AK5" i="48"/>
  <c r="B29" i="50"/>
  <c r="B29" i="57"/>
  <c r="AK5" i="54"/>
  <c r="AK7" i="54" s="1"/>
  <c r="B29" i="56"/>
  <c r="P9" i="54"/>
  <c r="P21" i="54" s="1"/>
  <c r="P27" i="54" s="1"/>
  <c r="P28" i="54" s="1"/>
  <c r="P34" i="54" s="1"/>
  <c r="AN5" i="9"/>
  <c r="AN7" i="9" s="1"/>
  <c r="AN23" i="9" s="1"/>
  <c r="AN25" i="9" s="1"/>
  <c r="W5" i="23"/>
  <c r="AK6" i="29"/>
  <c r="W7" i="29"/>
  <c r="W7" i="48"/>
  <c r="W8" i="48" s="1"/>
  <c r="W11" i="48" s="1"/>
  <c r="W22" i="48" s="1"/>
  <c r="W27" i="48" s="1"/>
  <c r="I9" i="48" s="1"/>
  <c r="I13" i="48" s="1"/>
  <c r="W8" i="54"/>
  <c r="W11" i="54" s="1"/>
  <c r="W22" i="54" s="1"/>
  <c r="W27" i="54" s="1"/>
  <c r="I9" i="54" s="1"/>
  <c r="I13" i="54" s="1"/>
  <c r="I31" i="54" s="1"/>
  <c r="P9" i="23"/>
  <c r="P9" i="48"/>
  <c r="W55" i="51"/>
  <c r="P5" i="51"/>
  <c r="P8" i="51" s="1"/>
  <c r="P11" i="51" s="1"/>
  <c r="P18" i="51" s="1"/>
  <c r="P23" i="51" s="1"/>
  <c r="P24" i="51" s="1"/>
  <c r="W3" i="51" s="1"/>
  <c r="W5" i="51" s="1"/>
  <c r="W7" i="51" s="1"/>
  <c r="P30" i="51"/>
  <c r="P33" i="51" s="1"/>
  <c r="P35" i="51" s="1"/>
  <c r="P47" i="51" s="1"/>
  <c r="P49" i="51" s="1"/>
  <c r="AK7" i="23"/>
  <c r="AK44" i="23" s="1"/>
  <c r="AK49" i="23" s="1"/>
  <c r="AK53" i="23" s="1"/>
  <c r="AK7" i="29"/>
  <c r="P9" i="29"/>
  <c r="P21" i="29" s="1"/>
  <c r="P27" i="29" s="1"/>
  <c r="P21" i="48"/>
  <c r="P27" i="48" s="1"/>
  <c r="P28" i="48" s="1"/>
  <c r="P34" i="48" s="1"/>
  <c r="P40" i="48" s="1"/>
  <c r="P42" i="48" s="1"/>
  <c r="P35" i="48" s="1"/>
  <c r="P36" i="48" s="1"/>
  <c r="I5" i="48" s="1"/>
  <c r="AN11" i="9"/>
  <c r="AN13" i="9" s="1"/>
  <c r="AD22" i="24"/>
  <c r="AD25" i="24" s="1"/>
  <c r="P20" i="49"/>
  <c r="P27" i="49" s="1"/>
  <c r="AD22" i="43"/>
  <c r="AD25" i="43" s="1"/>
  <c r="AD22" i="18"/>
  <c r="AD25" i="18" s="1"/>
  <c r="AD22" i="37"/>
  <c r="AD25" i="37" s="1"/>
  <c r="AD22" i="49"/>
  <c r="AD25" i="49" s="1"/>
  <c r="AK7" i="9"/>
  <c r="AK44" i="9" s="1"/>
  <c r="AK49" i="9" s="1"/>
  <c r="AK53" i="9" s="1"/>
  <c r="W8" i="23"/>
  <c r="W11" i="23" s="1"/>
  <c r="W22" i="23" s="1"/>
  <c r="W27" i="23" s="1"/>
  <c r="AK7" i="48"/>
  <c r="AK35" i="48" s="1"/>
  <c r="AK40" i="48" s="1"/>
  <c r="AK52" i="48" s="1"/>
  <c r="I20" i="48" s="1"/>
  <c r="W8" i="29"/>
  <c r="W11" i="29" s="1"/>
  <c r="W22" i="29" s="1"/>
  <c r="W27" i="29" s="1"/>
  <c r="AK35" i="29"/>
  <c r="AK40" i="29" s="1"/>
  <c r="AK52" i="29" s="1"/>
  <c r="AK23" i="29"/>
  <c r="AK25" i="29" s="1"/>
  <c r="AK30" i="29" s="1"/>
  <c r="AK44" i="29"/>
  <c r="AK49" i="29" s="1"/>
  <c r="AK53" i="29" s="1"/>
  <c r="AK11" i="29"/>
  <c r="AK13" i="29" s="1"/>
  <c r="AK18" i="29" s="1"/>
  <c r="AK51" i="29" s="1"/>
  <c r="P26" i="51"/>
  <c r="W58" i="51"/>
  <c r="W60" i="51"/>
  <c r="P40" i="54"/>
  <c r="P42" i="54" s="1"/>
  <c r="P35" i="54" s="1"/>
  <c r="P36" i="54" s="1"/>
  <c r="I5" i="54" s="1"/>
  <c r="I47" i="54" s="1"/>
  <c r="I49" i="54" s="1"/>
  <c r="W31" i="54"/>
  <c r="W33" i="54" s="1"/>
  <c r="W39" i="54" s="1"/>
  <c r="W41" i="54" s="1"/>
  <c r="P30" i="57"/>
  <c r="P33" i="57" s="1"/>
  <c r="P35" i="57" s="1"/>
  <c r="P47" i="57" s="1"/>
  <c r="P49" i="57" s="1"/>
  <c r="W55" i="57"/>
  <c r="P5" i="57"/>
  <c r="P8" i="57" s="1"/>
  <c r="P11" i="57" s="1"/>
  <c r="P18" i="57" s="1"/>
  <c r="P23" i="57" s="1"/>
  <c r="P24" i="57" s="1"/>
  <c r="AK35" i="9"/>
  <c r="AK40" i="9" s="1"/>
  <c r="AK52" i="9" s="1"/>
  <c r="AK44" i="48"/>
  <c r="AK49" i="48" s="1"/>
  <c r="AK53" i="48" s="1"/>
  <c r="I21" i="48" s="1"/>
  <c r="AK23" i="48"/>
  <c r="AK25" i="48" s="1"/>
  <c r="AK30" i="48" s="1"/>
  <c r="AN35" i="9"/>
  <c r="AN40" i="9" s="1"/>
  <c r="AK35" i="23"/>
  <c r="AK40" i="23" s="1"/>
  <c r="AK52" i="23" s="1"/>
  <c r="W43" i="23"/>
  <c r="W45" i="23" s="1"/>
  <c r="W41" i="23"/>
  <c r="W43" i="9"/>
  <c r="W45" i="9" s="1"/>
  <c r="W41" i="9"/>
  <c r="C15" i="35"/>
  <c r="AK11" i="54" l="1"/>
  <c r="AK13" i="54" s="1"/>
  <c r="AK18" i="54" s="1"/>
  <c r="AK51" i="54" s="1"/>
  <c r="AK35" i="54"/>
  <c r="AK40" i="54" s="1"/>
  <c r="AK52" i="54" s="1"/>
  <c r="AK44" i="54"/>
  <c r="AK49" i="54" s="1"/>
  <c r="AK53" i="54" s="1"/>
  <c r="AK23" i="54"/>
  <c r="AK25" i="54" s="1"/>
  <c r="AK30" i="54" s="1"/>
  <c r="AK11" i="23"/>
  <c r="AK13" i="23" s="1"/>
  <c r="AK18" i="23" s="1"/>
  <c r="AK51" i="23" s="1"/>
  <c r="AK23" i="9"/>
  <c r="AK25" i="9" s="1"/>
  <c r="AK30" i="9" s="1"/>
  <c r="W31" i="48"/>
  <c r="W33" i="48" s="1"/>
  <c r="W39" i="48" s="1"/>
  <c r="AK23" i="23"/>
  <c r="AK25" i="23" s="1"/>
  <c r="AK30" i="23" s="1"/>
  <c r="P6" i="55"/>
  <c r="AD12" i="55"/>
  <c r="P11" i="55"/>
  <c r="AD13" i="55"/>
  <c r="P28" i="42"/>
  <c r="P28" i="29"/>
  <c r="C20" i="35"/>
  <c r="E51" i="35" s="1"/>
  <c r="P28" i="43"/>
  <c r="P33" i="43" s="1"/>
  <c r="P28" i="37"/>
  <c r="P33" i="37" s="1"/>
  <c r="P28" i="24"/>
  <c r="P33" i="24" s="1"/>
  <c r="P28" i="49"/>
  <c r="P33" i="49" s="1"/>
  <c r="P39" i="49" s="1"/>
  <c r="P41" i="49" s="1"/>
  <c r="P34" i="49" s="1"/>
  <c r="P35" i="49" s="1"/>
  <c r="I5" i="49" s="1"/>
  <c r="I16" i="49" s="1"/>
  <c r="P28" i="18"/>
  <c r="P33" i="18" s="1"/>
  <c r="I49" i="9"/>
  <c r="AN18" i="9"/>
  <c r="AN30" i="9" s="1"/>
  <c r="AN44" i="9"/>
  <c r="AN49" i="9" s="1"/>
  <c r="AK11" i="48"/>
  <c r="AK13" i="48" s="1"/>
  <c r="AK18" i="48" s="1"/>
  <c r="AK51" i="48" s="1"/>
  <c r="I19" i="48" s="1"/>
  <c r="I22" i="48" s="1"/>
  <c r="AK11" i="9"/>
  <c r="AK13" i="9" s="1"/>
  <c r="AK18" i="9" s="1"/>
  <c r="AK51" i="9" s="1"/>
  <c r="I31" i="48"/>
  <c r="I47" i="48" s="1"/>
  <c r="I49" i="48" s="1"/>
  <c r="W43" i="54"/>
  <c r="W45" i="54" s="1"/>
  <c r="P21" i="23"/>
  <c r="P27" i="23" s="1"/>
  <c r="W3" i="56"/>
  <c r="W6" i="56" s="1"/>
  <c r="W8" i="56" s="1"/>
  <c r="W32" i="56" s="1"/>
  <c r="W34" i="56" s="1"/>
  <c r="P5" i="56"/>
  <c r="P8" i="56" s="1"/>
  <c r="P21" i="56" s="1"/>
  <c r="P30" i="56" s="1"/>
  <c r="P35" i="56" s="1"/>
  <c r="P36" i="56" s="1"/>
  <c r="B29" i="45"/>
  <c r="AK5" i="42"/>
  <c r="AK7" i="42" s="1"/>
  <c r="B29" i="44"/>
  <c r="W8" i="42"/>
  <c r="W11" i="42" s="1"/>
  <c r="W22" i="42" s="1"/>
  <c r="W27" i="42" s="1"/>
  <c r="I9" i="42" s="1"/>
  <c r="I13" i="42" s="1"/>
  <c r="W8" i="36"/>
  <c r="W11" i="36" s="1"/>
  <c r="W22" i="36" s="1"/>
  <c r="W27" i="36" s="1"/>
  <c r="I9" i="36" s="1"/>
  <c r="I13" i="36" s="1"/>
  <c r="W8" i="9"/>
  <c r="W11" i="9" s="1"/>
  <c r="W22" i="9" s="1"/>
  <c r="W27" i="9" s="1"/>
  <c r="P9" i="9"/>
  <c r="P21" i="9" s="1"/>
  <c r="P27" i="9" s="1"/>
  <c r="W3" i="50"/>
  <c r="W6" i="50" s="1"/>
  <c r="W8" i="50" s="1"/>
  <c r="W32" i="50" s="1"/>
  <c r="W34" i="50" s="1"/>
  <c r="P5" i="50"/>
  <c r="P8" i="50" s="1"/>
  <c r="P21" i="50" s="1"/>
  <c r="P30" i="50" s="1"/>
  <c r="P35" i="50" s="1"/>
  <c r="P36" i="50" s="1"/>
  <c r="B29" i="39"/>
  <c r="P9" i="36"/>
  <c r="P21" i="36" s="1"/>
  <c r="P27" i="36" s="1"/>
  <c r="P28" i="36" s="1"/>
  <c r="P34" i="36" s="1"/>
  <c r="B29" i="38"/>
  <c r="AK5" i="36"/>
  <c r="AK7" i="36" s="1"/>
  <c r="W3" i="57"/>
  <c r="W5" i="57" s="1"/>
  <c r="W7" i="57" s="1"/>
  <c r="P26" i="57"/>
  <c r="W14" i="57" s="1"/>
  <c r="W18" i="57" s="1"/>
  <c r="W22" i="57" s="1"/>
  <c r="W23" i="57" s="1"/>
  <c r="W60" i="57"/>
  <c r="W58" i="57"/>
  <c r="W14" i="51"/>
  <c r="W18" i="51" s="1"/>
  <c r="W22" i="51" s="1"/>
  <c r="W23" i="51" s="1"/>
  <c r="I5" i="51"/>
  <c r="I21" i="51" s="1"/>
  <c r="I23" i="51" s="1"/>
  <c r="P39" i="37"/>
  <c r="P41" i="37" s="1"/>
  <c r="P34" i="37" s="1"/>
  <c r="P35" i="37" s="1"/>
  <c r="I5" i="37" s="1"/>
  <c r="I16" i="37" s="1"/>
  <c r="W16" i="43" l="1"/>
  <c r="W19" i="43" s="1"/>
  <c r="W24" i="43" s="1"/>
  <c r="AL3" i="43"/>
  <c r="AL5" i="43" s="1"/>
  <c r="AL7" i="43" s="1"/>
  <c r="AL11" i="43" s="1"/>
  <c r="AL12" i="43" s="1"/>
  <c r="W16" i="24"/>
  <c r="W19" i="24" s="1"/>
  <c r="W24" i="24" s="1"/>
  <c r="W44" i="18"/>
  <c r="W47" i="18" s="1"/>
  <c r="W52" i="18" s="1"/>
  <c r="BA11" i="43"/>
  <c r="BA15" i="43" s="1"/>
  <c r="BA17" i="43" s="1"/>
  <c r="BE17" i="43" s="1"/>
  <c r="BE21" i="43" s="1"/>
  <c r="AL3" i="18"/>
  <c r="AL5" i="18" s="1"/>
  <c r="AL7" i="18" s="1"/>
  <c r="AL11" i="18" s="1"/>
  <c r="AL12" i="18" s="1"/>
  <c r="AL3" i="37"/>
  <c r="AL5" i="37" s="1"/>
  <c r="AL7" i="37" s="1"/>
  <c r="AL11" i="37" s="1"/>
  <c r="AL12" i="37" s="1"/>
  <c r="W30" i="24"/>
  <c r="BA11" i="24"/>
  <c r="BA15" i="24" s="1"/>
  <c r="BA17" i="24" s="1"/>
  <c r="BE17" i="24" s="1"/>
  <c r="BE21" i="24" s="1"/>
  <c r="BA2" i="24"/>
  <c r="BA6" i="24" s="1"/>
  <c r="BA8" i="24" s="1"/>
  <c r="BE8" i="24" s="1"/>
  <c r="BE20" i="24" s="1"/>
  <c r="BE22" i="24" s="1"/>
  <c r="BE24" i="24" s="1"/>
  <c r="W2" i="18"/>
  <c r="W5" i="18" s="1"/>
  <c r="BA11" i="18"/>
  <c r="BA15" i="18" s="1"/>
  <c r="BA17" i="18" s="1"/>
  <c r="BE17" i="18" s="1"/>
  <c r="BE21" i="18" s="1"/>
  <c r="AT2" i="43"/>
  <c r="AT4" i="43" s="1"/>
  <c r="AT9" i="43" s="1"/>
  <c r="AT11" i="43" s="1"/>
  <c r="AT13" i="43" s="1"/>
  <c r="W44" i="49"/>
  <c r="W47" i="49" s="1"/>
  <c r="W30" i="49"/>
  <c r="W44" i="37"/>
  <c r="W47" i="37" s="1"/>
  <c r="W2" i="37"/>
  <c r="W5" i="37" s="1"/>
  <c r="W41" i="48"/>
  <c r="W43" i="48"/>
  <c r="W45" i="48" s="1"/>
  <c r="W33" i="24"/>
  <c r="W38" i="24" s="1"/>
  <c r="W33" i="49"/>
  <c r="W38" i="49" s="1"/>
  <c r="P34" i="29"/>
  <c r="P40" i="29" s="1"/>
  <c r="P42" i="29" s="1"/>
  <c r="P35" i="29" s="1"/>
  <c r="P36" i="29" s="1"/>
  <c r="I5" i="29" s="1"/>
  <c r="I47" i="29" s="1"/>
  <c r="I49" i="29" s="1"/>
  <c r="W31" i="29"/>
  <c r="W33" i="29" s="1"/>
  <c r="W39" i="29" s="1"/>
  <c r="P34" i="42"/>
  <c r="P40" i="42" s="1"/>
  <c r="P42" i="42" s="1"/>
  <c r="P35" i="42" s="1"/>
  <c r="P36" i="42" s="1"/>
  <c r="I5" i="42" s="1"/>
  <c r="W31" i="42"/>
  <c r="W33" i="42" s="1"/>
  <c r="W39" i="42" s="1"/>
  <c r="P39" i="18"/>
  <c r="P41" i="18" s="1"/>
  <c r="P34" i="18" s="1"/>
  <c r="P35" i="18" s="1"/>
  <c r="I5" i="18" s="1"/>
  <c r="W16" i="18"/>
  <c r="W19" i="18" s="1"/>
  <c r="W30" i="18"/>
  <c r="W33" i="18" s="1"/>
  <c r="BA2" i="18"/>
  <c r="BA6" i="18" s="1"/>
  <c r="BA8" i="18" s="1"/>
  <c r="BE8" i="18" s="1"/>
  <c r="BE20" i="18" s="1"/>
  <c r="BE22" i="18" s="1"/>
  <c r="BE24" i="18" s="1"/>
  <c r="BA2" i="49"/>
  <c r="BA6" i="49" s="1"/>
  <c r="BA8" i="49" s="1"/>
  <c r="BE8" i="49" s="1"/>
  <c r="BE20" i="49" s="1"/>
  <c r="W16" i="49"/>
  <c r="W19" i="49" s="1"/>
  <c r="AT2" i="49"/>
  <c r="AT4" i="49" s="1"/>
  <c r="AT9" i="49" s="1"/>
  <c r="AT11" i="49" s="1"/>
  <c r="AT13" i="49" s="1"/>
  <c r="BA11" i="49"/>
  <c r="BA15" i="49" s="1"/>
  <c r="BA17" i="49" s="1"/>
  <c r="BE17" i="49" s="1"/>
  <c r="BE21" i="49" s="1"/>
  <c r="AL3" i="49"/>
  <c r="AL5" i="49" s="1"/>
  <c r="AL7" i="49" s="1"/>
  <c r="AL11" i="49" s="1"/>
  <c r="AL12" i="49" s="1"/>
  <c r="AT2" i="24"/>
  <c r="AT4" i="24" s="1"/>
  <c r="AT9" i="24" s="1"/>
  <c r="AT11" i="24" s="1"/>
  <c r="AT13" i="24" s="1"/>
  <c r="W2" i="24"/>
  <c r="W5" i="24" s="1"/>
  <c r="W44" i="24"/>
  <c r="W47" i="24" s="1"/>
  <c r="AL3" i="24"/>
  <c r="AL5" i="24" s="1"/>
  <c r="AL7" i="24" s="1"/>
  <c r="AL11" i="24" s="1"/>
  <c r="AL12" i="24" s="1"/>
  <c r="AT2" i="37"/>
  <c r="AT4" i="37" s="1"/>
  <c r="AT9" i="37" s="1"/>
  <c r="AT11" i="37" s="1"/>
  <c r="AT13" i="37" s="1"/>
  <c r="BA11" i="37"/>
  <c r="BA15" i="37" s="1"/>
  <c r="BA17" i="37" s="1"/>
  <c r="BE17" i="37" s="1"/>
  <c r="BE21" i="37" s="1"/>
  <c r="W16" i="37"/>
  <c r="W19" i="37" s="1"/>
  <c r="W30" i="37"/>
  <c r="W33" i="37" s="1"/>
  <c r="W2" i="43"/>
  <c r="W5" i="43" s="1"/>
  <c r="W44" i="43"/>
  <c r="W47" i="43" s="1"/>
  <c r="P39" i="43"/>
  <c r="P41" i="43" s="1"/>
  <c r="P34" i="43" s="1"/>
  <c r="P35" i="43" s="1"/>
  <c r="I5" i="43" s="1"/>
  <c r="I16" i="43" s="1"/>
  <c r="I54" i="43" s="1"/>
  <c r="I56" i="43" s="1"/>
  <c r="W30" i="43"/>
  <c r="W33" i="43" s="1"/>
  <c r="AT2" i="18"/>
  <c r="AT4" i="18" s="1"/>
  <c r="AT9" i="18" s="1"/>
  <c r="AT11" i="18" s="1"/>
  <c r="AT13" i="18" s="1"/>
  <c r="W2" i="49"/>
  <c r="W5" i="49" s="1"/>
  <c r="P39" i="24"/>
  <c r="P41" i="24" s="1"/>
  <c r="P34" i="24" s="1"/>
  <c r="P35" i="24" s="1"/>
  <c r="I5" i="24" s="1"/>
  <c r="I16" i="24" s="1"/>
  <c r="I54" i="24" s="1"/>
  <c r="I56" i="24" s="1"/>
  <c r="BA2" i="37"/>
  <c r="BA6" i="37" s="1"/>
  <c r="BA8" i="37" s="1"/>
  <c r="BE8" i="37" s="1"/>
  <c r="BE20" i="37" s="1"/>
  <c r="BA2" i="43"/>
  <c r="BA6" i="43" s="1"/>
  <c r="BA8" i="43" s="1"/>
  <c r="BE8" i="43" s="1"/>
  <c r="BE20" i="43" s="1"/>
  <c r="BE22" i="43" s="1"/>
  <c r="BE24" i="43" s="1"/>
  <c r="I30" i="43" s="1"/>
  <c r="I38" i="43" s="1"/>
  <c r="W3" i="38"/>
  <c r="W6" i="38" s="1"/>
  <c r="W8" i="38" s="1"/>
  <c r="W32" i="38" s="1"/>
  <c r="W34" i="38" s="1"/>
  <c r="P5" i="38"/>
  <c r="P8" i="38" s="1"/>
  <c r="P21" i="38" s="1"/>
  <c r="P30" i="38" s="1"/>
  <c r="P35" i="38" s="1"/>
  <c r="P36" i="38" s="1"/>
  <c r="W55" i="39"/>
  <c r="P5" i="39"/>
  <c r="P8" i="39" s="1"/>
  <c r="P11" i="39" s="1"/>
  <c r="P18" i="39" s="1"/>
  <c r="P23" i="39" s="1"/>
  <c r="P24" i="39" s="1"/>
  <c r="P30" i="39"/>
  <c r="P33" i="39" s="1"/>
  <c r="P35" i="39" s="1"/>
  <c r="P47" i="39" s="1"/>
  <c r="P49" i="39" s="1"/>
  <c r="P5" i="44"/>
  <c r="P8" i="44" s="1"/>
  <c r="P21" i="44" s="1"/>
  <c r="P30" i="44" s="1"/>
  <c r="P35" i="44" s="1"/>
  <c r="P36" i="44" s="1"/>
  <c r="W3" i="44"/>
  <c r="W6" i="44" s="1"/>
  <c r="W8" i="44" s="1"/>
  <c r="W32" i="44" s="1"/>
  <c r="W34" i="44" s="1"/>
  <c r="W55" i="45"/>
  <c r="P5" i="45"/>
  <c r="P8" i="45" s="1"/>
  <c r="P11" i="45" s="1"/>
  <c r="P18" i="45" s="1"/>
  <c r="P23" i="45" s="1"/>
  <c r="P24" i="45" s="1"/>
  <c r="P30" i="45"/>
  <c r="P33" i="45" s="1"/>
  <c r="P35" i="45" s="1"/>
  <c r="P47" i="45" s="1"/>
  <c r="P49" i="45" s="1"/>
  <c r="AK11" i="36"/>
  <c r="AK13" i="36" s="1"/>
  <c r="AK18" i="36" s="1"/>
  <c r="AK51" i="36" s="1"/>
  <c r="I19" i="36" s="1"/>
  <c r="AK23" i="36"/>
  <c r="AK25" i="36" s="1"/>
  <c r="AK30" i="36" s="1"/>
  <c r="AK44" i="36"/>
  <c r="AK49" i="36" s="1"/>
  <c r="AK53" i="36" s="1"/>
  <c r="I21" i="36" s="1"/>
  <c r="AK35" i="36"/>
  <c r="AK40" i="36" s="1"/>
  <c r="AK52" i="36" s="1"/>
  <c r="I20" i="36" s="1"/>
  <c r="W31" i="36"/>
  <c r="W33" i="36" s="1"/>
  <c r="W39" i="36" s="1"/>
  <c r="P40" i="36"/>
  <c r="P42" i="36" s="1"/>
  <c r="P35" i="36" s="1"/>
  <c r="P36" i="36" s="1"/>
  <c r="I5" i="36" s="1"/>
  <c r="W40" i="50"/>
  <c r="W42" i="50" s="1"/>
  <c r="W44" i="50" s="1"/>
  <c r="P38" i="50"/>
  <c r="W51" i="50" s="1"/>
  <c r="W55" i="50" s="1"/>
  <c r="W59" i="50" s="1"/>
  <c r="W60" i="50" s="1"/>
  <c r="AK44" i="42"/>
  <c r="AK49" i="42" s="1"/>
  <c r="AK53" i="42" s="1"/>
  <c r="I21" i="42" s="1"/>
  <c r="AK11" i="42"/>
  <c r="AK13" i="42" s="1"/>
  <c r="AK18" i="42" s="1"/>
  <c r="AK51" i="42" s="1"/>
  <c r="I19" i="42" s="1"/>
  <c r="AK35" i="42"/>
  <c r="AK40" i="42" s="1"/>
  <c r="AK52" i="42" s="1"/>
  <c r="I20" i="42" s="1"/>
  <c r="AK23" i="42"/>
  <c r="AK25" i="42" s="1"/>
  <c r="AK30" i="42" s="1"/>
  <c r="W40" i="56"/>
  <c r="W42" i="56" s="1"/>
  <c r="W44" i="56" s="1"/>
  <c r="P38" i="56"/>
  <c r="W51" i="56" s="1"/>
  <c r="W55" i="56" s="1"/>
  <c r="W59" i="56" s="1"/>
  <c r="W60" i="56" s="1"/>
  <c r="I54" i="49"/>
  <c r="I56" i="49" s="1"/>
  <c r="C24" i="67"/>
  <c r="W21" i="43" l="1"/>
  <c r="BE22" i="37"/>
  <c r="BE24" i="37" s="1"/>
  <c r="I30" i="37" s="1"/>
  <c r="I38" i="37" s="1"/>
  <c r="I54" i="37" s="1"/>
  <c r="I56" i="37" s="1"/>
  <c r="W49" i="18"/>
  <c r="I14" i="18" s="1"/>
  <c r="W21" i="24"/>
  <c r="W10" i="18"/>
  <c r="W7" i="18"/>
  <c r="I8" i="18" s="1"/>
  <c r="W49" i="49"/>
  <c r="W52" i="49"/>
  <c r="W7" i="37"/>
  <c r="W10" i="37"/>
  <c r="W52" i="37"/>
  <c r="W49" i="37"/>
  <c r="W35" i="49"/>
  <c r="W35" i="24"/>
  <c r="BE22" i="49"/>
  <c r="BE24" i="49" s="1"/>
  <c r="I30" i="49" s="1"/>
  <c r="I38" i="49" s="1"/>
  <c r="C29" i="67"/>
  <c r="W41" i="42"/>
  <c r="W43" i="42"/>
  <c r="W45" i="42" s="1"/>
  <c r="W41" i="29"/>
  <c r="W43" i="29"/>
  <c r="W45" i="29" s="1"/>
  <c r="W10" i="49"/>
  <c r="W7" i="49"/>
  <c r="W35" i="43"/>
  <c r="W38" i="43"/>
  <c r="W52" i="43"/>
  <c r="W49" i="43"/>
  <c r="W10" i="43"/>
  <c r="W7" i="43"/>
  <c r="W35" i="37"/>
  <c r="W38" i="37"/>
  <c r="W21" i="37"/>
  <c r="W24" i="37"/>
  <c r="W49" i="24"/>
  <c r="W52" i="24"/>
  <c r="W7" i="24"/>
  <c r="W10" i="24"/>
  <c r="W24" i="49"/>
  <c r="W21" i="49"/>
  <c r="W35" i="18"/>
  <c r="I12" i="18" s="1"/>
  <c r="W38" i="18"/>
  <c r="W21" i="18"/>
  <c r="I10" i="18" s="1"/>
  <c r="W24" i="18"/>
  <c r="E51" i="67"/>
  <c r="W43" i="36"/>
  <c r="W45" i="36" s="1"/>
  <c r="W41" i="36"/>
  <c r="P26" i="45"/>
  <c r="W3" i="45"/>
  <c r="W5" i="45" s="1"/>
  <c r="W7" i="45" s="1"/>
  <c r="W58" i="39"/>
  <c r="W60" i="39"/>
  <c r="I22" i="36"/>
  <c r="I31" i="36" s="1"/>
  <c r="I47" i="36" s="1"/>
  <c r="I49" i="36" s="1"/>
  <c r="W58" i="45"/>
  <c r="W60" i="45"/>
  <c r="W40" i="44"/>
  <c r="W42" i="44" s="1"/>
  <c r="W44" i="44" s="1"/>
  <c r="P38" i="44"/>
  <c r="W51" i="44" s="1"/>
  <c r="W55" i="44" s="1"/>
  <c r="W59" i="44" s="1"/>
  <c r="W60" i="44" s="1"/>
  <c r="P26" i="39"/>
  <c r="W3" i="39"/>
  <c r="W5" i="39" s="1"/>
  <c r="W7" i="39" s="1"/>
  <c r="W40" i="38"/>
  <c r="W42" i="38" s="1"/>
  <c r="W44" i="38" s="1"/>
  <c r="P38" i="38"/>
  <c r="W51" i="38" s="1"/>
  <c r="W55" i="38" s="1"/>
  <c r="W59" i="38" s="1"/>
  <c r="W60" i="38" s="1"/>
  <c r="I22" i="42"/>
  <c r="I31" i="42" s="1"/>
  <c r="I47" i="42" s="1"/>
  <c r="I49" i="42" s="1"/>
  <c r="I16" i="18" l="1"/>
  <c r="I54" i="18" s="1"/>
  <c r="I56" i="18" s="1"/>
  <c r="I5" i="45"/>
  <c r="I21" i="45" s="1"/>
  <c r="I23" i="45" s="1"/>
  <c r="W14" i="45"/>
  <c r="W18" i="45" s="1"/>
  <c r="W22" i="45" s="1"/>
  <c r="W23" i="45" s="1"/>
  <c r="I5" i="39"/>
  <c r="I21" i="39" s="1"/>
  <c r="I23" i="39" s="1"/>
  <c r="W14" i="39"/>
  <c r="W18" i="39" s="1"/>
  <c r="W22" i="39" s="1"/>
  <c r="W23" i="39" s="1"/>
  <c r="C24" i="66"/>
  <c r="C29" i="66" l="1"/>
  <c r="E51" i="66" s="1"/>
</calcChain>
</file>

<file path=xl/sharedStrings.xml><?xml version="1.0" encoding="utf-8"?>
<sst xmlns="http://schemas.openxmlformats.org/spreadsheetml/2006/main" count="29448" uniqueCount="2334">
  <si>
    <t>X   Brands &amp; Label Factor</t>
  </si>
  <si>
    <t>Business Income</t>
  </si>
  <si>
    <t>Business Income Factor</t>
  </si>
  <si>
    <t>Mos. Limitation</t>
  </si>
  <si>
    <t>w/ Ext Exp</t>
  </si>
  <si>
    <t>w/o Ext Exp</t>
  </si>
  <si>
    <t>3rd</t>
  </si>
  <si>
    <t>4th</t>
  </si>
  <si>
    <t>6th</t>
  </si>
  <si>
    <t xml:space="preserve">Mercantile / </t>
  </si>
  <si>
    <t>Rental</t>
  </si>
  <si>
    <t>Rule 51 - Table 51.I.4.b.  Ordinary Payroll Exlusion &amp; Limitation RMF</t>
  </si>
  <si>
    <t>Rule 51 - Table 51.L.4.a  Tuition &amp; Fees RMF</t>
  </si>
  <si>
    <t>Rule 52 - Table 52.D.2 Extra Expense RMF</t>
  </si>
  <si>
    <t>Limits on Loss</t>
  </si>
  <si>
    <t>Payment (%)</t>
  </si>
  <si>
    <t>BI Coverage Base Rate</t>
  </si>
  <si>
    <t>Rule 54 - Table 54.E.4 Civil Authority Increase RMF</t>
  </si>
  <si>
    <t>A</t>
  </si>
  <si>
    <t>Class</t>
  </si>
  <si>
    <t>1C</t>
  </si>
  <si>
    <t>2B</t>
  </si>
  <si>
    <t>3B</t>
  </si>
  <si>
    <t>3C</t>
  </si>
  <si>
    <t>4B</t>
  </si>
  <si>
    <t>4C</t>
  </si>
  <si>
    <t>5B</t>
  </si>
  <si>
    <t>5C</t>
  </si>
  <si>
    <t>B</t>
  </si>
  <si>
    <t>Personal Property</t>
  </si>
  <si>
    <t>S</t>
  </si>
  <si>
    <t>H</t>
  </si>
  <si>
    <t>Rule 85 - Table 85.M.1.b  Protection Class Multipliers</t>
  </si>
  <si>
    <t>F/JM/NC</t>
  </si>
  <si>
    <t>MNC/MFR/FR</t>
  </si>
  <si>
    <t>Tiers 1-3</t>
  </si>
  <si>
    <t>Tiers 4-6</t>
  </si>
  <si>
    <t>Joisted Masonry</t>
  </si>
  <si>
    <t>Non-Comb.</t>
  </si>
  <si>
    <t>Mas. Non-Comb.</t>
  </si>
  <si>
    <t>Mod F.R.</t>
  </si>
  <si>
    <t>Fir. Res.</t>
  </si>
  <si>
    <t>CSP Class Codes</t>
  </si>
  <si>
    <t>0074</t>
  </si>
  <si>
    <t>0075</t>
  </si>
  <si>
    <t>0076</t>
  </si>
  <si>
    <t>0077</t>
  </si>
  <si>
    <t>0078</t>
  </si>
  <si>
    <t>0079</t>
  </si>
  <si>
    <t>0196</t>
  </si>
  <si>
    <t>0197</t>
  </si>
  <si>
    <t>0198</t>
  </si>
  <si>
    <t>0311</t>
  </si>
  <si>
    <t>0312</t>
  </si>
  <si>
    <t>BASIC GROUP I - CLASS LOSS COSTS</t>
  </si>
  <si>
    <t>BUILDING</t>
  </si>
  <si>
    <t>CONTENTS</t>
  </si>
  <si>
    <t>Class Code</t>
  </si>
  <si>
    <t>0313</t>
  </si>
  <si>
    <t>0321</t>
  </si>
  <si>
    <t>0322</t>
  </si>
  <si>
    <t>0323</t>
  </si>
  <si>
    <t>0331</t>
  </si>
  <si>
    <t>0332</t>
  </si>
  <si>
    <t>0333</t>
  </si>
  <si>
    <t>0341</t>
  </si>
  <si>
    <t>0342</t>
  </si>
  <si>
    <t>0343</t>
  </si>
  <si>
    <t>0511</t>
  </si>
  <si>
    <t>0512</t>
  </si>
  <si>
    <t>0520</t>
  </si>
  <si>
    <t>0531</t>
  </si>
  <si>
    <t>0532</t>
  </si>
  <si>
    <t>0533</t>
  </si>
  <si>
    <t>0534</t>
  </si>
  <si>
    <t>0541</t>
  </si>
  <si>
    <t>0545</t>
  </si>
  <si>
    <t>0550</t>
  </si>
  <si>
    <t>0561</t>
  </si>
  <si>
    <t>0562</t>
  </si>
  <si>
    <t>0563</t>
  </si>
  <si>
    <t>0564</t>
  </si>
  <si>
    <t>T</t>
  </si>
  <si>
    <t>C</t>
  </si>
  <si>
    <t>0565</t>
  </si>
  <si>
    <t>0566</t>
  </si>
  <si>
    <t>0567</t>
  </si>
  <si>
    <t>0570</t>
  </si>
  <si>
    <t>0580</t>
  </si>
  <si>
    <t>0581</t>
  </si>
  <si>
    <t>0582</t>
  </si>
  <si>
    <t>0701</t>
  </si>
  <si>
    <t>0702</t>
  </si>
  <si>
    <t>0742</t>
  </si>
  <si>
    <t>0743</t>
  </si>
  <si>
    <t>0744</t>
  </si>
  <si>
    <t>0745</t>
  </si>
  <si>
    <t>0746</t>
  </si>
  <si>
    <t>0747</t>
  </si>
  <si>
    <t>0755</t>
  </si>
  <si>
    <t>0756</t>
  </si>
  <si>
    <t>0757</t>
  </si>
  <si>
    <t>0831</t>
  </si>
  <si>
    <t>0832</t>
  </si>
  <si>
    <t>0833</t>
  </si>
  <si>
    <t>0834</t>
  </si>
  <si>
    <t>( Table_Time_Special )</t>
  </si>
  <si>
    <t>Extra Expense - Final Rates</t>
  </si>
  <si>
    <t>X  Ord &amp; Law Factor</t>
  </si>
  <si>
    <t>Ord or Law - Base Rate</t>
  </si>
  <si>
    <t>Ord or Law Final Rate Factor</t>
  </si>
  <si>
    <t>X  Ord or Law - Final Rate Factor</t>
  </si>
  <si>
    <t>X  Bldg Deductible Factor</t>
  </si>
  <si>
    <t>Group II Symbol &amp; Multiplier:</t>
  </si>
  <si>
    <t>X  Group II Multiplier</t>
  </si>
  <si>
    <t>Modified Loss Cost</t>
  </si>
  <si>
    <t>Inflation Guard Premium - Outdoor TSP</t>
  </si>
  <si>
    <t>Outdoor TSP Premium</t>
  </si>
  <si>
    <t>Final Outdoor TSP Premium</t>
  </si>
  <si>
    <t>0841</t>
  </si>
  <si>
    <t>0843</t>
  </si>
  <si>
    <t>0844</t>
  </si>
  <si>
    <t>0845</t>
  </si>
  <si>
    <t>0846</t>
  </si>
  <si>
    <t>0851</t>
  </si>
  <si>
    <t>Table 73.E.1.b.  Story Modification Factors</t>
  </si>
  <si>
    <t># of Stories</t>
  </si>
  <si>
    <t>Table 73.D.6.a Co-Ins Mod Factors - EQ</t>
  </si>
  <si>
    <t>(Table_EQ_CoIns)</t>
  </si>
  <si>
    <t>Appliances - Excluding Radio &amp; TV stocks</t>
  </si>
  <si>
    <t>Appliances - Including radio &amp; TV stocks</t>
  </si>
  <si>
    <t>Auto Risks - Assembly plants</t>
  </si>
  <si>
    <t>Auto Risks - Garages</t>
  </si>
  <si>
    <t>Auto Risks - Gasoline &amp; Super Svc Stations</t>
  </si>
  <si>
    <t>Auto Risks - Laundry Shops</t>
  </si>
  <si>
    <t>Auto Risks - Repair Shops</t>
  </si>
  <si>
    <t>Auto Risks: Sales - Accessories &amp; Parts</t>
  </si>
  <si>
    <t>Auto Risks: Sales - Autos, Motorcycles &amp; Trailers</t>
  </si>
  <si>
    <t>Auto Risks: Sales - Tire Mfg,Rebuild &amp; Vulc. Shops</t>
  </si>
  <si>
    <t>Auto Risks: Sales - Tires</t>
  </si>
  <si>
    <t>Bakeries - Retail</t>
  </si>
  <si>
    <t>Bakeries - Wholesale</t>
  </si>
  <si>
    <t>Bars - Furniture and Fixtures</t>
  </si>
  <si>
    <t>Bottles - In Shipping Cartons</t>
  </si>
  <si>
    <t>Bottles - Open Stock</t>
  </si>
  <si>
    <t>Bottling Plants</t>
  </si>
  <si>
    <t>Bottling Plants - Furniture and Fixtures</t>
  </si>
  <si>
    <t>Bowling Alleys - Excl. Bev. Stock and Bars</t>
  </si>
  <si>
    <t>Bowling Alleys - Incl. Bev. Stock and Bars</t>
  </si>
  <si>
    <t>Can Manufacturing</t>
  </si>
  <si>
    <t>Candy Mfg. - Finished Stock</t>
  </si>
  <si>
    <t>Candy Mfg. - Machinery and Equipment</t>
  </si>
  <si>
    <t>Chemicals Excl. Liquids: Glass Cont. - In Cartons</t>
  </si>
  <si>
    <t>Chemicals Excl. Liquids: Glass Cont. - Open Stock</t>
  </si>
  <si>
    <t>Chemicals Excl. Liquids - Other than Glass Cont.</t>
  </si>
  <si>
    <t>Coffee - Beans</t>
  </si>
  <si>
    <t>Coffee - Roasting and Milling Plants</t>
  </si>
  <si>
    <t>Cold Storage Plants</t>
  </si>
  <si>
    <t>Cold Storage Plants - Equipment</t>
  </si>
  <si>
    <t>Cotton - Gin or Pickery</t>
  </si>
  <si>
    <t>Cotton - In Bags or Bales</t>
  </si>
  <si>
    <t>Creamery - Machinery &amp; Equipment</t>
  </si>
  <si>
    <t>Doll Manufacturing</t>
  </si>
  <si>
    <t>Drugs: Sales &amp; Storage - Retail</t>
  </si>
  <si>
    <t>Drugs: Sales &amp; Storage - Wholesale</t>
  </si>
  <si>
    <t>Dry Goods - Retail</t>
  </si>
  <si>
    <t>Dry Goods - Wholesale</t>
  </si>
  <si>
    <t>Electric - Motors and Generators</t>
  </si>
  <si>
    <t>Electric - Repair Shops</t>
  </si>
  <si>
    <t>Electric: Sales/Stor - Fixture Stocks - Crated</t>
  </si>
  <si>
    <t>Electric: Sales/Stor - Fixture Stocks - Mixed &amp; Open</t>
  </si>
  <si>
    <t>Floor Covering - Mfg. - Carpets &amp; Rugs</t>
  </si>
  <si>
    <t>Floor Covering: Sales &amp; Storage - Asphalt Tile</t>
  </si>
  <si>
    <t>Floor Covering: Sales &amp; Storage - Carpet &amp; Rugs</t>
  </si>
  <si>
    <t>Floor Covering: Sales &amp; Storage - Linoleum in Roles</t>
  </si>
  <si>
    <t>Foodstuffs - Cold Storage</t>
  </si>
  <si>
    <t>Foodstuffs: Glass - In Shipping Cartons</t>
  </si>
  <si>
    <t>Foodstuffs: Glass - Open Stock</t>
  </si>
  <si>
    <t>Foodstuffs - Other than Glass (Excl. Cold Storage)</t>
  </si>
  <si>
    <t>EQ Ord/Law Factor</t>
  </si>
  <si>
    <t>X  Expense Modification Factor</t>
  </si>
  <si>
    <t>6. Mgmt Cooperation - Medical Facilities</t>
  </si>
  <si>
    <t>8. Mgmt Cooperation - Inspection Loss Prevention Program</t>
  </si>
  <si>
    <t>Rule 38.B.  Alcoholic Beverages Tax Exclusion</t>
  </si>
  <si>
    <t>Limit of Insurance / 100</t>
  </si>
  <si>
    <t>X  B&amp;L Final Rate Factor</t>
  </si>
  <si>
    <t>B&amp;L Final Rate Factor</t>
  </si>
  <si>
    <t>Foundries - Balance of Contents</t>
  </si>
  <si>
    <t>Foundries - Patterns</t>
  </si>
  <si>
    <t>Fountain Lunch</t>
  </si>
  <si>
    <t>Furniture - Manufacturing</t>
  </si>
  <si>
    <t>Furniture - Sales and Storage</t>
  </si>
  <si>
    <t>Gas Mfg. (As Oxygen, Hydrogen, etc.)</t>
  </si>
  <si>
    <t>Glass - Flat, in original packing cases</t>
  </si>
  <si>
    <t>Glass - Flat, in open racks and bins</t>
  </si>
  <si>
    <t>Coverage Info Used:</t>
  </si>
  <si>
    <t>Glass - Plate in individual comp. racks or wedged</t>
  </si>
  <si>
    <t>Glass: Glassware - In Shipping Containers</t>
  </si>
  <si>
    <t>Glass: Glassware - Open Stock</t>
  </si>
  <si>
    <t>Hardware Stores - Retail</t>
  </si>
  <si>
    <t>Hardware Stores - Wholesale</t>
  </si>
  <si>
    <t>Hat Manufacturing</t>
  </si>
  <si>
    <t>Jewelry - Manufacturing</t>
  </si>
  <si>
    <t>Jewelry: Sales &amp; Storage - Retail</t>
  </si>
  <si>
    <t>Jewelry: Sales &amp; Storage - Wholesale</t>
  </si>
  <si>
    <t>Laboratories - Chemical</t>
  </si>
  <si>
    <t>Laboratories - Dental and X-Ray</t>
  </si>
  <si>
    <t>Lamps - Sales and Storage</t>
  </si>
  <si>
    <t>Leather - Manufacturing</t>
  </si>
  <si>
    <t>Leather: Sales &amp; Storage - Finished Goods</t>
  </si>
  <si>
    <t>Leather: Sales &amp; Storage - Hides</t>
  </si>
  <si>
    <t>Liquids - In Barrels or Drums in Tiers or Racks</t>
  </si>
  <si>
    <t>Liquids - In Barrels or Drums One High</t>
  </si>
  <si>
    <t>Liquids: Glass Cont - In Shipping Cartons</t>
  </si>
  <si>
    <t>Liquids: Glass Cont - Open Stock</t>
  </si>
  <si>
    <t>Liquids - In Other than Glass Containers</t>
  </si>
  <si>
    <t>Machinery - Construction - Heavy</t>
  </si>
  <si>
    <t>Machinery - Farm</t>
  </si>
  <si>
    <t>Mattress Mfg - Machinery &amp; Equipment</t>
  </si>
  <si>
    <t>Mattress Mfg - Stocks of Mattresses</t>
  </si>
  <si>
    <t>Meat Packing Plant - Machinery &amp; Equipment</t>
  </si>
  <si>
    <t>Metalworkers</t>
  </si>
  <si>
    <t>Motion Pict. Prod. Plants - Camera machine shops</t>
  </si>
  <si>
    <t>Motion Pict. Prod. Plants - Cutting rooms</t>
  </si>
  <si>
    <t>Motion Pict. Prod. Plants - Grips</t>
  </si>
  <si>
    <t>Motion Pict. Prod. Plants - Make-up</t>
  </si>
  <si>
    <t>Motion Pict. Prod. Plants - Musical instrument stocks</t>
  </si>
  <si>
    <t>Motion Pict. Prod. Plants - Scene docks</t>
  </si>
  <si>
    <t>Base Terrorism Loss Cost</t>
  </si>
  <si>
    <t>X  BI Rate Factor</t>
  </si>
  <si>
    <t>Motion Pict. Prod. Plants - Stages or studios</t>
  </si>
  <si>
    <t>Motion Pict. Prod. Plants - Dressing Room Bldg</t>
  </si>
  <si>
    <t>Motion Pict. Prod. Plants - Film Exchanges</t>
  </si>
  <si>
    <t>Motion Pict. Prod. Plants - Film Laboratories</t>
  </si>
  <si>
    <t>Motion Pict. Prod. Plants - Film Vault Bldgs</t>
  </si>
  <si>
    <t>Motion Pict. Prod. Plants - Projection Rooms</t>
  </si>
  <si>
    <t>( Table_CCUO_Loss )</t>
  </si>
  <si>
    <t>Loss Assessment - Loss Cost</t>
  </si>
  <si>
    <t>Total Loss Assessment - Loss Cost</t>
  </si>
  <si>
    <t>+  (Each Addt'l 5K - Loss Cost)</t>
  </si>
  <si>
    <t>Loss Assessment Premium</t>
  </si>
  <si>
    <t>Misc. Real Pty - Loss Cost</t>
  </si>
  <si>
    <t>Misc. Real Pty Final Rate</t>
  </si>
  <si>
    <t>Misc. Real Property Premium</t>
  </si>
  <si>
    <t>Total Optional Coverage(s) Premium</t>
  </si>
  <si>
    <t>Motion Pict. Prod. Plants - Pty Storage Bldg</t>
  </si>
  <si>
    <t>Motion Pict. Prod. Plants - Scenery &amp; Art Bldg</t>
  </si>
  <si>
    <t>Motion Pict. Prod. Plants - Sound Recording Equip.</t>
  </si>
  <si>
    <t>Motion Pict. Prod. Plants - Storage of Costumes</t>
  </si>
  <si>
    <t>Motion Pict. Prod. Plants - Wardrobe Bldgs</t>
  </si>
  <si>
    <t>Motion Pict. Prod. Plants - Woodworking Bldgs</t>
  </si>
  <si>
    <t>Motion Pict. Prod. Plants - Making/Repairing Costumes</t>
  </si>
  <si>
    <t>Office - Furniture &amp; Fixtures</t>
  </si>
  <si>
    <t>Office: Machines - Electronic Computers</t>
  </si>
  <si>
    <t>Office: Machines - Other Machines</t>
  </si>
  <si>
    <t>Optical: Mfg-Sales/Stor - Furniture, Fixtures &amp; Equip</t>
  </si>
  <si>
    <t>Optical: Mfg-Sales/Stor - Open Stock</t>
  </si>
  <si>
    <t>Optical: Mfg-Sales/Stor - In Shipping Cartons</t>
  </si>
  <si>
    <t>Paper - Stocks, WS, other than Newsprint in Rolls</t>
  </si>
  <si>
    <t>Phonograph - Manufacturing</t>
  </si>
  <si>
    <t>Phonograph: Records - Retail</t>
  </si>
  <si>
    <t>Phonograph: Records - Wholesale</t>
  </si>
  <si>
    <t>Photography - Laboratories, Gallieries &amp; Studios</t>
  </si>
  <si>
    <t>Photography - Photographic Equipment Stocks</t>
  </si>
  <si>
    <t>Plumbers' Supplies - Excl. Porcelain/Enam. Toilet Fixt.</t>
  </si>
  <si>
    <t>Plumbers' Supplies - Porcelain/Enam. Toilet Fixt.</t>
  </si>
  <si>
    <t>Pottery - Mfg, Furniture, Fixtures &amp; Equipment</t>
  </si>
  <si>
    <t>Pottery: Sales &amp; Storage - Open Stock</t>
  </si>
  <si>
    <t>Pottery: Sales &amp; Storage - In Shipping Cartons</t>
  </si>
  <si>
    <t>Printing Plants - Machinery &amp; Equipment</t>
  </si>
  <si>
    <t>Printing Plants - Paper incl. Finished Stock</t>
  </si>
  <si>
    <t>Printing Plants - Type stored in Galleys in Racks</t>
  </si>
  <si>
    <t>Sporting Goods - Manufacturing</t>
  </si>
  <si>
    <t>Sporting Goods - Retail</t>
  </si>
  <si>
    <t>Sporting Goods - Wholesale</t>
  </si>
  <si>
    <t>Sprinkler Equipment - w/ approved EQ Bracing</t>
  </si>
  <si>
    <t>Sprinkler Equipment - w/ unapproved EQ Bracing</t>
  </si>
  <si>
    <t>Storage Furniture/Fixt. - Excl. Glass Showcases</t>
  </si>
  <si>
    <t>Storage Furniture/Fixt. - Incl. Glass Showcases</t>
  </si>
  <si>
    <t>TV &amp; Radio - Receiving Sets</t>
  </si>
  <si>
    <t>TV &amp; Radio - Studios</t>
  </si>
  <si>
    <t>TV &amp; Radio - Transmitting Stations</t>
  </si>
  <si>
    <t>Textile - Manufacturing</t>
  </si>
  <si>
    <t>Textile: Stocks - In Bolts</t>
  </si>
  <si>
    <t>Tobacco - Manufacturing</t>
  </si>
  <si>
    <t>Tobacco:  Sales &amp; Storage - Inc. Furn/Fixt.</t>
  </si>
  <si>
    <t>Tobacco:  Sales &amp; Storage</t>
  </si>
  <si>
    <t>Tobacco:  Sales &amp; Storage - Wholesale</t>
  </si>
  <si>
    <t>Woodworking - Sawmills &amp; Plywoods Mills, Etc.</t>
  </si>
  <si>
    <t>Woodworking - Others</t>
  </si>
  <si>
    <t>Tank Contents - Anchored w/ Flexible Pipe Connection</t>
  </si>
  <si>
    <t>Tank Contents - Unanchored w/ Fixed Pipe Connections</t>
  </si>
  <si>
    <t>Tank Contents - Unanchored w/ No Pipe Connections</t>
  </si>
  <si>
    <t>Personal Property Description</t>
  </si>
  <si>
    <t>PP Rate Grade</t>
  </si>
  <si>
    <t>Rule 73 - Territories 73.E.1.a.</t>
  </si>
  <si>
    <t>Tiers</t>
  </si>
  <si>
    <t>1 - 8</t>
  </si>
  <si>
    <t>9 - 20</t>
  </si>
  <si>
    <t>Over 20</t>
  </si>
  <si>
    <t>EQ Property Rating Information</t>
  </si>
  <si>
    <t>EQ Building Coverage</t>
  </si>
  <si>
    <t>Building Classification:</t>
  </si>
  <si>
    <t>EQ Deductible:</t>
  </si>
  <si>
    <t>EQ Personal Pty  Coverage</t>
  </si>
  <si>
    <t>Select Personal Pty Type Below:</t>
  </si>
  <si>
    <t>Business Income Coverage</t>
  </si>
  <si>
    <t>EQ Zipcode | Territory:</t>
  </si>
  <si>
    <t>Earthquake Tier:</t>
  </si>
  <si>
    <t>EQ Co-Insurance:</t>
  </si>
  <si>
    <t>EQ BCEG Comm Grade:</t>
  </si>
  <si>
    <t>(Table_EQ_BCEG)</t>
  </si>
  <si>
    <t>Table 74.F.5.d Sprinkler Leakage - EQ Ext Factors</t>
  </si>
  <si>
    <t>*Only applies if Coverage is Class (S)pecific or (T)entative</t>
  </si>
  <si>
    <t>Utility Service Property?</t>
  </si>
  <si>
    <t>Water Supply:</t>
  </si>
  <si>
    <t>Communications Supply:</t>
  </si>
  <si>
    <t>Power Supply:</t>
  </si>
  <si>
    <t>Overhead Lines Property?</t>
  </si>
  <si>
    <t>Utility Service Property Premium</t>
  </si>
  <si>
    <t>Overhead Line Property</t>
  </si>
  <si>
    <t>Utility Service Premium</t>
  </si>
  <si>
    <r>
      <t>Utility Services Premium</t>
    </r>
    <r>
      <rPr>
        <sz val="10"/>
        <rFont val="Arial"/>
        <family val="2"/>
      </rPr>
      <t xml:space="preserve"> *</t>
    </r>
  </si>
  <si>
    <t>0852</t>
  </si>
  <si>
    <t>0900</t>
  </si>
  <si>
    <t>0911</t>
  </si>
  <si>
    <t>0912</t>
  </si>
  <si>
    <t>0913</t>
  </si>
  <si>
    <t>0921</t>
  </si>
  <si>
    <t>0922</t>
  </si>
  <si>
    <t>0923</t>
  </si>
  <si>
    <t>0931</t>
  </si>
  <si>
    <t>0932</t>
  </si>
  <si>
    <t>0933</t>
  </si>
  <si>
    <t>0934</t>
  </si>
  <si>
    <t>0940</t>
  </si>
  <si>
    <t>0951</t>
  </si>
  <si>
    <t>0952</t>
  </si>
  <si>
    <t>1000</t>
  </si>
  <si>
    <t>1051</t>
  </si>
  <si>
    <t>1052</t>
  </si>
  <si>
    <t>1070</t>
  </si>
  <si>
    <t>1150</t>
  </si>
  <si>
    <t>1180</t>
  </si>
  <si>
    <t>1211</t>
  </si>
  <si>
    <t>1212</t>
  </si>
  <si>
    <t>1213</t>
  </si>
  <si>
    <t>1220</t>
  </si>
  <si>
    <t>1230</t>
  </si>
  <si>
    <t>1400</t>
  </si>
  <si>
    <t>1650</t>
  </si>
  <si>
    <t>1700</t>
  </si>
  <si>
    <t>1751</t>
  </si>
  <si>
    <t>1752</t>
  </si>
  <si>
    <t>2200</t>
  </si>
  <si>
    <t>2350</t>
  </si>
  <si>
    <t>2459</t>
  </si>
  <si>
    <t>2800</t>
  </si>
  <si>
    <t>3409</t>
  </si>
  <si>
    <t>4809</t>
  </si>
  <si>
    <t>J Msnry</t>
  </si>
  <si>
    <t>Non Comb</t>
  </si>
  <si>
    <t>M Ncomb</t>
  </si>
  <si>
    <t>Y</t>
  </si>
  <si>
    <t>CONTENTS - YARD</t>
  </si>
  <si>
    <t>CONTENTS - C</t>
  </si>
  <si>
    <t>CONTENTS - B</t>
  </si>
  <si>
    <t>CONTENTS - A</t>
  </si>
  <si>
    <t>Mercantile – Sole Occupancy Only – Jewelry</t>
  </si>
  <si>
    <t>Mercantile – Sole Occupancy Only – Sporting Goods</t>
  </si>
  <si>
    <t>Mercantile – Sole Occupancy Only – Not Otherwise Classified – High Susceptibility</t>
  </si>
  <si>
    <t>Greenhouses – Sole Occupancy Only</t>
  </si>
  <si>
    <t>Mercantile – Multiple Occupancy without 0564 Occupant</t>
  </si>
  <si>
    <t>Mercantile – Multiple Occupancy with 0564 Occupant</t>
  </si>
  <si>
    <t>Government Offices</t>
  </si>
  <si>
    <t>X  Bldg Deductible</t>
  </si>
  <si>
    <t>TERRORISM PRICING - FEDERAL BACKSTOP</t>
  </si>
  <si>
    <t>Year</t>
  </si>
  <si>
    <t>B.  Certified Acts of Terrorism -  Loss Costs</t>
  </si>
  <si>
    <t>Full Year **</t>
  </si>
  <si>
    <t>Program Year 3 *</t>
  </si>
  <si>
    <t>( Table_Terrorism )</t>
  </si>
  <si>
    <t>C.  Certified Acts of Terrorism -  Limited Coverage</t>
  </si>
  <si>
    <t>Territory Description</t>
  </si>
  <si>
    <t>Remainder of State</t>
  </si>
  <si>
    <t>w/ Exclusion of NBC</t>
  </si>
  <si>
    <t>Terrorism Coverage</t>
  </si>
  <si>
    <t>( Table_TerrorNBC )</t>
  </si>
  <si>
    <t>TERRORISM</t>
  </si>
  <si>
    <t>Terrorism - Building Premium</t>
  </si>
  <si>
    <t>*   Program Year 3 - 1/1/05 - 12/31/05</t>
  </si>
  <si>
    <t>**  Full - Upon termination of TRIA</t>
  </si>
  <si>
    <t>X  ( Bldg Limit of Insurance / 100 )</t>
  </si>
  <si>
    <t>Building Terrorism Premium</t>
  </si>
  <si>
    <t>X  Legal Liability Factor</t>
  </si>
  <si>
    <t>Total Terrorism Premium</t>
  </si>
  <si>
    <t>P&amp;W Base Rate</t>
  </si>
  <si>
    <t>Fire Resistive Vault Credit:</t>
  </si>
  <si>
    <t>Banks and Offices other than Governmental</t>
  </si>
  <si>
    <t>Motels and Hotels with Limited Cooking Restaurant – Up to 10 Units</t>
  </si>
  <si>
    <t>Motels and Hotels with Limited Cooking Restaurant – 11 to 30 Units</t>
  </si>
  <si>
    <t>Motels and Hotels with Limited Cooking Restaurant – Over 30 Units</t>
  </si>
  <si>
    <t>Motels and Hotels without Restaurant – Up to 10 Units</t>
  </si>
  <si>
    <t>Motels and Hotels without Restaurant – 11 to 30 Units</t>
  </si>
  <si>
    <t>Motels and Hotels without Restaurant – Over 30 Units</t>
  </si>
  <si>
    <t>Golf, Tennis and Similar Sport Facilities with Limited Cooking</t>
  </si>
  <si>
    <t>Golf, Tennis and Similar Sport Facilities without Cooking</t>
  </si>
  <si>
    <t>Building Final Base Rate</t>
  </si>
  <si>
    <t>/  Co-Insurance &gt; 80%</t>
  </si>
  <si>
    <t>80% Bldg Final Base Rate</t>
  </si>
  <si>
    <t>Functional Bldg Valuation Rate</t>
  </si>
  <si>
    <t>X Limit of Insurance / 100</t>
  </si>
  <si>
    <t>Clubs, Not Otherwise Classified, Including Fraternal and Union Halls</t>
  </si>
  <si>
    <t>Motion Picture Studios</t>
  </si>
  <si>
    <t>Theaters Excluding Drive-in Theaters</t>
  </si>
  <si>
    <t>Drive-in Theaters</t>
  </si>
  <si>
    <t>Skating Rinks – Roller Rinks</t>
  </si>
  <si>
    <t>Bowling Alleys without Cooking</t>
  </si>
  <si>
    <t>Halls and Auditoriums</t>
  </si>
  <si>
    <t>Recreational Facilities, Not Otherwise Classified</t>
  </si>
  <si>
    <t>Boys' and Girls' Camps</t>
  </si>
  <si>
    <t>Dance Halls, Ballrooms and Discotheques</t>
  </si>
  <si>
    <t>Hospitals</t>
  </si>
  <si>
    <t>Nursing and Convalescent Homes</t>
  </si>
  <si>
    <t>Churches and Synagogues</t>
  </si>
  <si>
    <t>Dry Cleaners and Dyeing Plants, other than Self-Service</t>
  </si>
  <si>
    <t>Laundries, other than Self-Service</t>
  </si>
  <si>
    <t>Self-Service Laundries and Dry Cleaners</t>
  </si>
  <si>
    <t>Light Hazard Service Occupancies</t>
  </si>
  <si>
    <t>Service Occupancies, other than Light Hazard</t>
  </si>
  <si>
    <t>Funeral Homes</t>
  </si>
  <si>
    <t>Auto Parking Garages, Car Washes</t>
  </si>
  <si>
    <t>Gasoline Service Stations</t>
  </si>
  <si>
    <t>Motor Vehicle and Aircraft Repair, with or without Sales</t>
  </si>
  <si>
    <t>Tire Recapping and Vulcanizing, with or without Sales</t>
  </si>
  <si>
    <t>Aircraft Hangars without Repair</t>
  </si>
  <si>
    <t>Gambling Casinos with Limited Cooking Restaurants</t>
  </si>
  <si>
    <t>Alcoholic Beverage Tax Exclusion Premium</t>
  </si>
  <si>
    <t>Gambling Casinos without Restaurants</t>
  </si>
  <si>
    <t>Penal Institutions</t>
  </si>
  <si>
    <t>Museums, Libraries, Art Galleries (Non-Profit)</t>
  </si>
  <si>
    <t>Schools, Academic</t>
  </si>
  <si>
    <t>Fire Departments, Police, Sewage, Water Works and Other Public Buildings</t>
  </si>
  <si>
    <t>Builders' Risk</t>
  </si>
  <si>
    <t>Vacant Buildings – See CSP Class Code of previous or intended occupancy. Add loss cost of .011 unless Class Code of previous or intended occupancy is 0580, 0742-0747, 0833, 0834, 0841, 0843, 0844, 0846, 0900, 0951, 0952, 1051 or 1052.</t>
  </si>
  <si>
    <t>Freight Terminals</t>
  </si>
  <si>
    <t>General Storage Warehouses – Bailee</t>
  </si>
  <si>
    <t>Household Goods Storage</t>
  </si>
  <si>
    <t>Cold Storage Warehouses</t>
  </si>
  <si>
    <t>Waste and Reclaimed Materials Including Yards</t>
  </si>
  <si>
    <t>Building Supply Yards, Including Retail Lumberyards, Coal and Coke Yards</t>
  </si>
  <si>
    <t>Mill Yards</t>
  </si>
  <si>
    <t>Percentage Deductibles</t>
  </si>
  <si>
    <t>Bldg.</t>
  </si>
  <si>
    <t>Mand.</t>
  </si>
  <si>
    <t>Tier</t>
  </si>
  <si>
    <t>Classes</t>
  </si>
  <si>
    <t>1D</t>
  </si>
  <si>
    <t>3A</t>
  </si>
  <si>
    <t>5A</t>
  </si>
  <si>
    <t>2A</t>
  </si>
  <si>
    <t>4A</t>
  </si>
  <si>
    <t>4D</t>
  </si>
  <si>
    <t>5AA</t>
  </si>
  <si>
    <t>Rule 73 - Table 73.D.8 Building Height Modification Factors</t>
  </si>
  <si>
    <t xml:space="preserve">Building </t>
  </si>
  <si>
    <t>4-7 Stories</t>
  </si>
  <si>
    <t>8 Or More Stories</t>
  </si>
  <si>
    <t>T1</t>
  </si>
  <si>
    <t>T2</t>
  </si>
  <si>
    <t>T3</t>
  </si>
  <si>
    <t>Tier /</t>
  </si>
  <si>
    <t>1_1C</t>
  </si>
  <si>
    <t>1_1D</t>
  </si>
  <si>
    <t>1_3B</t>
  </si>
  <si>
    <t>1_3A</t>
  </si>
  <si>
    <t>1_4B</t>
  </si>
  <si>
    <t>1_5A</t>
  </si>
  <si>
    <t>1_2A</t>
  </si>
  <si>
    <t>1_2B</t>
  </si>
  <si>
    <t>1_4A</t>
  </si>
  <si>
    <t>1_3C</t>
  </si>
  <si>
    <t>1_4C</t>
  </si>
  <si>
    <t>1_4D</t>
  </si>
  <si>
    <t>1_5B</t>
  </si>
  <si>
    <t>1_5C</t>
  </si>
  <si>
    <t>1_5AA</t>
  </si>
  <si>
    <t>2_1C</t>
  </si>
  <si>
    <t>2_1D</t>
  </si>
  <si>
    <t>2_3B</t>
  </si>
  <si>
    <t>2_3A</t>
  </si>
  <si>
    <t>2_4B</t>
  </si>
  <si>
    <t>2_5A</t>
  </si>
  <si>
    <t>2_2A</t>
  </si>
  <si>
    <t>2_2B</t>
  </si>
  <si>
    <t>2_4A</t>
  </si>
  <si>
    <t>2_3C</t>
  </si>
  <si>
    <t>2_4C</t>
  </si>
  <si>
    <t>2_4D</t>
  </si>
  <si>
    <t>2_5B</t>
  </si>
  <si>
    <t>2_5C</t>
  </si>
  <si>
    <t>2_5AA</t>
  </si>
  <si>
    <t>3_1C</t>
  </si>
  <si>
    <t>3_1D</t>
  </si>
  <si>
    <t>3_3B</t>
  </si>
  <si>
    <t>3_3A</t>
  </si>
  <si>
    <t>3_4B</t>
  </si>
  <si>
    <t>3_5A</t>
  </si>
  <si>
    <t>3_2A</t>
  </si>
  <si>
    <t>3_2B</t>
  </si>
  <si>
    <t>3_4A</t>
  </si>
  <si>
    <t>3_3C</t>
  </si>
  <si>
    <t>3_4C</t>
  </si>
  <si>
    <t>3_4D</t>
  </si>
  <si>
    <t>3_5B</t>
  </si>
  <si>
    <t>3_5C</t>
  </si>
  <si>
    <t>3_5AA</t>
  </si>
  <si>
    <t>Structure</t>
  </si>
  <si>
    <t>Bridges</t>
  </si>
  <si>
    <t>Dams</t>
  </si>
  <si>
    <t>Greenhouses with glass walls and roofs</t>
  </si>
  <si>
    <t>Reservoirs – See "Dams"</t>
  </si>
  <si>
    <t>Sewage Treatment Plants</t>
  </si>
  <si>
    <t>Silos – See "Tanks at Ground Level"</t>
  </si>
  <si>
    <t>Radio &amp; TV Towers: Stand Alone</t>
  </si>
  <si>
    <t>Radio &amp; TV Towers: Over 75 feet High</t>
  </si>
  <si>
    <t>Radio &amp; TV Towers: Under 75 feet high</t>
  </si>
  <si>
    <t>9A</t>
  </si>
  <si>
    <t>9B</t>
  </si>
  <si>
    <t>9C</t>
  </si>
  <si>
    <t>Stacks:  Steel</t>
  </si>
  <si>
    <t>Stacks:  Reinforced Concrete</t>
  </si>
  <si>
    <t>Stacks:   Brick</t>
  </si>
  <si>
    <t>10A.1a</t>
  </si>
  <si>
    <t>10A.1b</t>
  </si>
  <si>
    <t>10A.1c</t>
  </si>
  <si>
    <t>10A.2a</t>
  </si>
  <si>
    <t>10A.2b</t>
  </si>
  <si>
    <t>Swimming Pools - Open Air in Ground</t>
  </si>
  <si>
    <t>Tanks: Ground - Steel/RC - Ht to Dia. Ratio &lt; 1</t>
  </si>
  <si>
    <t>Tanks: Ground - Steel/RC - Ht to Dia. Ratio &lt; 1 to 2.5</t>
  </si>
  <si>
    <t>Tanks: Ground - Steel/RC - Ht to Dia. Ratio &gt; 1 to 2.5</t>
  </si>
  <si>
    <t>Tanks:  Ground - Wood - Ht to Dia. Ratio &lt; 1</t>
  </si>
  <si>
    <t>Tanks:  Ground - Wood - Ht to Dia. Ratio 1 and Over</t>
  </si>
  <si>
    <t>10B.1</t>
  </si>
  <si>
    <t>10B.2</t>
  </si>
  <si>
    <t>10B.3</t>
  </si>
  <si>
    <t>10B.4</t>
  </si>
  <si>
    <t>Tanks:  Elevated - Steel</t>
  </si>
  <si>
    <t>Utility Svcs - PWS Total</t>
  </si>
  <si>
    <t>Util. Svcs - Power &amp; Water Premium</t>
  </si>
  <si>
    <t>Util. Svcs - Comm. Supply Premium</t>
  </si>
  <si>
    <t>Util. Svcs - Overhead Comm Lines Premium</t>
  </si>
  <si>
    <t>TOTAL UTILITY SERVICES PREMIUM</t>
  </si>
  <si>
    <t>Sprinkler Leakage Exclusion Options</t>
  </si>
  <si>
    <t>( Non-Sprinklered Property )</t>
  </si>
  <si>
    <t>Territory Multiplier</t>
  </si>
  <si>
    <t>Vandalism Exclusion Options</t>
  </si>
  <si>
    <t>Sprinkler Exclusion Factor</t>
  </si>
  <si>
    <t>Pertains to NSpk Pty Only</t>
  </si>
  <si>
    <t>Tanks:  Elevated - Reinforced Concrete</t>
  </si>
  <si>
    <t>Tanks:  Elevated - Wood</t>
  </si>
  <si>
    <t>Tanks:  Elevated - Mixed Construction</t>
  </si>
  <si>
    <t>Transmission Lines, Tramway Tower</t>
  </si>
  <si>
    <t>Any Other Structure - Not otherwise Classified</t>
  </si>
  <si>
    <t>Equiv. Bldg</t>
  </si>
  <si>
    <t>Mand. Ded</t>
  </si>
  <si>
    <t>Rule 73 - Table 73.D.4.c. Class 7 Special Structures</t>
  </si>
  <si>
    <t>Building Classifications - Rule 73.D.4.a.  Completed Buildings</t>
  </si>
  <si>
    <t>Wood Frame - Habitational / Non-Habitational</t>
  </si>
  <si>
    <t>Wood Frame - Combo/Stucco</t>
  </si>
  <si>
    <t>All-Metal - 1 Story 20,000 ft or Less</t>
  </si>
  <si>
    <t>All-Metal - Not Classifeied under 2A</t>
  </si>
  <si>
    <t>Steel Frame - Reinforced Concrete/Masonry</t>
  </si>
  <si>
    <t>Steel Frame - Combo RC/Masonry/Metal</t>
  </si>
  <si>
    <t>Steel Frame - Any Non-load bearing material</t>
  </si>
  <si>
    <t>Rein Conc Frame - Masonry/RC Ext Walls</t>
  </si>
  <si>
    <t>Rein Conc Frame - Any Material Int. Walls</t>
  </si>
  <si>
    <t>Rein Conc Frame - Partial or Complete Load Sys</t>
  </si>
  <si>
    <t>Rein Conc Frame - Not Otherwise Classified</t>
  </si>
  <si>
    <t>Concrete Brick - One-Story Building</t>
  </si>
  <si>
    <t>Concrete Brick - Any Height (Material of 5A)</t>
  </si>
  <si>
    <t>Earthquake Resistive Buildings</t>
  </si>
  <si>
    <t>Special Structures</t>
  </si>
  <si>
    <t>Hollow Load Bearing Walls &amp; Other</t>
  </si>
  <si>
    <t>Unreinforced Concrete Brick</t>
  </si>
  <si>
    <t>Table 73.D.4.d.  Masonry Veneer Limitation</t>
  </si>
  <si>
    <t>* Applies to Building Classes: 1C or 1D</t>
  </si>
  <si>
    <t>10-25%</t>
  </si>
  <si>
    <t>25-50%</t>
  </si>
  <si>
    <t>Over 50%</t>
  </si>
  <si>
    <t>Rule 73 -  Table 73.F. Personal Pty Index - EQ Ins.</t>
  </si>
  <si>
    <t>Aircraft and parts, excl. instruments</t>
  </si>
  <si>
    <t>Antique stores</t>
  </si>
  <si>
    <t>Aquariums</t>
  </si>
  <si>
    <t>Art galleries</t>
  </si>
  <si>
    <t>Art stores</t>
  </si>
  <si>
    <t>Banks</t>
  </si>
  <si>
    <t>Barber shops</t>
  </si>
  <si>
    <t>Bars, cocktail lounges, night clubs and saloons</t>
  </si>
  <si>
    <t>Beauty shops</t>
  </si>
  <si>
    <t>Bicycle and Motorcycle shops</t>
  </si>
  <si>
    <t>Blueprint shops</t>
  </si>
  <si>
    <t>Boats</t>
  </si>
  <si>
    <t>Boilers</t>
  </si>
  <si>
    <t>Bookbinding shops</t>
  </si>
  <si>
    <t>Books</t>
  </si>
  <si>
    <t>Bottle caps</t>
  </si>
  <si>
    <t>Boxes, barrels &amp; drums: mfg., sales and storage</t>
  </si>
  <si>
    <t>X  PP Fire Resistive Vault Credit</t>
  </si>
  <si>
    <t>B&amp;L Base Rate</t>
  </si>
  <si>
    <t>Brush and broom stocks</t>
  </si>
  <si>
    <t>Burial caskets</t>
  </si>
  <si>
    <t>Butcher shops</t>
  </si>
  <si>
    <t>Cable</t>
  </si>
  <si>
    <t>Candy stores, retail</t>
  </si>
  <si>
    <t>Canned goods in cases</t>
  </si>
  <si>
    <t>Canneries</t>
  </si>
  <si>
    <t>Cement, portland, in bulk storage or bags</t>
  </si>
  <si>
    <t>Churches</t>
  </si>
  <si>
    <t>Cleaning and dyeing plants</t>
  </si>
  <si>
    <t>Clocks</t>
  </si>
  <si>
    <t>Clothing: mfg., sales and storage</t>
  </si>
  <si>
    <t>Clubs, city or country</t>
  </si>
  <si>
    <t>Commissary equipment</t>
  </si>
  <si>
    <t>Computers (electronic)</t>
  </si>
  <si>
    <t>Conduit</t>
  </si>
  <si>
    <t>Copra</t>
  </si>
  <si>
    <t>Cordage</t>
  </si>
  <si>
    <t>Cork products</t>
  </si>
  <si>
    <t>Cosmetic mfg.</t>
  </si>
  <si>
    <t>Curtains, draperies, blinds, shades mfg.</t>
  </si>
  <si>
    <t>Dance studios</t>
  </si>
  <si>
    <t>Delicatessen stores</t>
  </si>
  <si>
    <t>Dental product mfg.</t>
  </si>
  <si>
    <t>Department stores</t>
  </si>
  <si>
    <t>Doctor or dental office</t>
  </si>
  <si>
    <t>Electronic equipment</t>
  </si>
  <si>
    <t>Firehouses</t>
  </si>
  <si>
    <t>Firework stocks</t>
  </si>
  <si>
    <t>Florist shops</t>
  </si>
  <si>
    <t>Giftshops</t>
  </si>
  <si>
    <t>Grain</t>
  </si>
  <si>
    <t>Grocery stores</t>
  </si>
  <si>
    <t>Hay</t>
  </si>
  <si>
    <t>Hemp</t>
  </si>
  <si>
    <t>Hops</t>
  </si>
  <si>
    <t>Hospitals and clinics</t>
  </si>
  <si>
    <t>Hotel supply houses</t>
  </si>
  <si>
    <t>Hotels, motels, and trailer parks</t>
  </si>
  <si>
    <t>Household contents</t>
  </si>
  <si>
    <t>Ice cream:</t>
  </si>
  <si>
    <t>Ice skating rinks</t>
  </si>
  <si>
    <t>Instruments, such as aircraft, electronic, marine</t>
  </si>
  <si>
    <t>Physical</t>
  </si>
  <si>
    <t>Laundries</t>
  </si>
  <si>
    <t>Libraries</t>
  </si>
  <si>
    <t>Lithographing shops</t>
  </si>
  <si>
    <t>Locksmith shops</t>
  </si>
  <si>
    <t>Locomotive and parts</t>
  </si>
  <si>
    <t>Machine shops</t>
  </si>
  <si>
    <t>Magazines</t>
  </si>
  <si>
    <t>Other Cause of Loss</t>
  </si>
  <si>
    <t>Terrorism Premium</t>
  </si>
  <si>
    <t>(List_PolicyFormTypes)</t>
  </si>
  <si>
    <t>Building &amp; Personal Pty</t>
  </si>
  <si>
    <t>Condo Assoc Coverage</t>
  </si>
  <si>
    <t>Condo Comm Unit Owners</t>
  </si>
  <si>
    <t>Policy Form Type:</t>
  </si>
  <si>
    <t>Mult. Residential Properties Credit</t>
  </si>
  <si>
    <t>Separate Heating Credit</t>
  </si>
  <si>
    <t>X  Multiple Residential Credit Factor</t>
  </si>
  <si>
    <t>X  Separate Heating Credit Factor</t>
  </si>
  <si>
    <t>Rule 83 - Multiple Residential Properties</t>
  </si>
  <si>
    <t>Multiple Res. Pty Credit</t>
  </si>
  <si>
    <t>OTHER CAUSE OF LOSS</t>
  </si>
  <si>
    <t>(Other Cause of Loss)</t>
  </si>
  <si>
    <t>EQ Building Class:</t>
  </si>
  <si>
    <t>X   ( Bldg Limit of Insurance / 100 )</t>
  </si>
  <si>
    <t>EQ Sprinkler Lkg Base Rate</t>
  </si>
  <si>
    <t>EQ Sprinkler Leakage Premium</t>
  </si>
  <si>
    <t>Molten Material Premium</t>
  </si>
  <si>
    <t>Earthquake Sprinkler Leakage Premium</t>
  </si>
  <si>
    <t>Pier &amp; Wharf Addt'l Premium</t>
  </si>
  <si>
    <t>Watercrat Buyback Exclusion Premium</t>
  </si>
  <si>
    <t>Molten Material Base Rate</t>
  </si>
  <si>
    <t>Watercraft Buyback Base Rate</t>
  </si>
  <si>
    <t>Watercraft Buyback Premium</t>
  </si>
  <si>
    <t>Personal Pty Limit of Insurance:</t>
  </si>
  <si>
    <t>Pier &amp; Wharf Premium</t>
  </si>
  <si>
    <t>Total Other COL Premium</t>
  </si>
  <si>
    <t>Mausoleums, columbariums and receiving vaults</t>
  </si>
  <si>
    <t>Mortuaries</t>
  </si>
  <si>
    <t>Museums</t>
  </si>
  <si>
    <t>Musical instruments</t>
  </si>
  <si>
    <t>Newspaper plants</t>
  </si>
  <si>
    <t>Newsprint in rolls</t>
  </si>
  <si>
    <t>Novelty stores</t>
  </si>
  <si>
    <t>Nut processing plants, incl. stocks</t>
  </si>
  <si>
    <t>Objects of art</t>
  </si>
  <si>
    <t>Paint mfg., wholesale and retail stores</t>
  </si>
  <si>
    <t>Pawnbrokers shops</t>
  </si>
  <si>
    <t>Pet hospitals</t>
  </si>
  <si>
    <t>Pipes and fittings</t>
  </si>
  <si>
    <t>Plumbing shops</t>
  </si>
  <si>
    <t>Pool and billiard parlors, excl. liquor stocks</t>
  </si>
  <si>
    <t>Porcelain</t>
  </si>
  <si>
    <t>Refrigerating machinery</t>
  </si>
  <si>
    <t>Restaurants</t>
  </si>
  <si>
    <t>Roofing materials</t>
  </si>
  <si>
    <t>Rope</t>
  </si>
  <si>
    <t>Rubber mfg. other than tires</t>
  </si>
  <si>
    <t>Safe deposit boxes, contents of, in bank vaults</t>
  </si>
  <si>
    <t>Scales, wholesale stocks</t>
  </si>
  <si>
    <t>Schools</t>
  </si>
  <si>
    <t>Seed warehouses</t>
  </si>
  <si>
    <t>Showcases</t>
  </si>
  <si>
    <t>Stationery stores</t>
  </si>
  <si>
    <t>Statuary</t>
  </si>
  <si>
    <t>Structural steel</t>
  </si>
  <si>
    <t>Surgical supplies</t>
  </si>
  <si>
    <t>Pollutant Clean-Up &amp; Removal Premium</t>
  </si>
  <si>
    <t>Pollutant Cleanup - Base Rate</t>
  </si>
  <si>
    <t>Pollutant Cleanup &amp; Rem. Premium</t>
  </si>
  <si>
    <t>Optional Deductible:</t>
  </si>
  <si>
    <t>Index</t>
  </si>
  <si>
    <t>( Table_PolRemoval)</t>
  </si>
  <si>
    <t>( Table_PCR_Ded )</t>
  </si>
  <si>
    <t>X  Pollution Clean-Up Factor</t>
  </si>
  <si>
    <t>X  Pollutant Deductible Factor</t>
  </si>
  <si>
    <t>Taxidermist shops</t>
  </si>
  <si>
    <t>Telephone and telegraph exchanges</t>
  </si>
  <si>
    <t>Theaters</t>
  </si>
  <si>
    <t>Toy shops</t>
  </si>
  <si>
    <t>Upholstery shops</t>
  </si>
  <si>
    <t>Vending machines</t>
  </si>
  <si>
    <t>Wearing apparel (when not listed under "Clothing")</t>
  </si>
  <si>
    <t>Welding supplies</t>
  </si>
  <si>
    <t>Wire</t>
  </si>
  <si>
    <t>Wool fiber in bags or bales</t>
  </si>
  <si>
    <t>Oil Distributing, Oil Terminals and LPG Tank Farms – Including Stock</t>
  </si>
  <si>
    <t>Rule 38 - Table 38.T.4.a. Types of Property or Occupancy for Spoilage Coverage</t>
  </si>
  <si>
    <t>Bakery Goods</t>
  </si>
  <si>
    <t>Cheese Shops</t>
  </si>
  <si>
    <t>Delicatessens</t>
  </si>
  <si>
    <t>Fruits &amp; Vegetables</t>
  </si>
  <si>
    <t>Grocery Stores</t>
  </si>
  <si>
    <t>Meat &amp; Poultry Markets</t>
  </si>
  <si>
    <t>Supermarkets</t>
  </si>
  <si>
    <t>Florists</t>
  </si>
  <si>
    <t>Seafood</t>
  </si>
  <si>
    <t>Pharmaceuticals - Non-Mfg</t>
  </si>
  <si>
    <t>Dairy Products, excl. Ice Cream</t>
  </si>
  <si>
    <t>Dairy Products, incl. Ice Cream</t>
  </si>
  <si>
    <t>SPOILAGE COVERAGE: Pty/Occup Types</t>
  </si>
  <si>
    <t>Property Description</t>
  </si>
  <si>
    <t>Selling Price Factor</t>
  </si>
  <si>
    <t>(  Table_SpoilTypes )</t>
  </si>
  <si>
    <t>(List_SpoilClass)</t>
  </si>
  <si>
    <t>Fire Resistive Vault Credit</t>
  </si>
  <si>
    <t>All Perils - NBC Terrorism</t>
  </si>
  <si>
    <t>Fire Only Credit Factor (Only applicable in FPP States)</t>
  </si>
  <si>
    <t>D.  Domestic Terrorism Exclusion Or Sub-Limit</t>
  </si>
  <si>
    <t>Exclude Domestic Terrorism Peril</t>
  </si>
  <si>
    <t>Exclude DT NBC Peril Only</t>
  </si>
  <si>
    <t>Applicable</t>
  </si>
  <si>
    <t>BREAKDOWN</t>
  </si>
  <si>
    <t>CONTAMINATION</t>
  </si>
  <si>
    <t>POWER</t>
  </si>
  <si>
    <t>OUTAGE</t>
  </si>
  <si>
    <t>&amp; POWER OUTAGE</t>
  </si>
  <si>
    <t>BOTH BREAKDOWN / CONT.</t>
  </si>
  <si>
    <t>Refrig. Maint. Agrmnt</t>
  </si>
  <si>
    <t>CLASSIFICATION</t>
  </si>
  <si>
    <t>Rule 38.T.4.b. Spoliage Coverage - Loss Costs</t>
  </si>
  <si>
    <t>B/C</t>
  </si>
  <si>
    <t>PO</t>
  </si>
  <si>
    <t>Both</t>
  </si>
  <si>
    <t>B/C_Y</t>
  </si>
  <si>
    <t>B/C_N</t>
  </si>
  <si>
    <t>Both_Y</t>
  </si>
  <si>
    <t>Both_N</t>
  </si>
  <si>
    <t>( Table_SpoilCOL )</t>
  </si>
  <si>
    <t>( Table_SpoilColRef )</t>
  </si>
  <si>
    <t>Col #</t>
  </si>
  <si>
    <t>Lookup Value</t>
  </si>
  <si>
    <t>( Table_SpoilLC )</t>
  </si>
  <si>
    <t>Spoilage - Loss Cost</t>
  </si>
  <si>
    <t>X  Selling Price Factor</t>
  </si>
  <si>
    <t>Spoilage Coverage Base Rate</t>
  </si>
  <si>
    <t>X  ( Spoilage Limit of Insurance / 100 )</t>
  </si>
  <si>
    <t>X  ( PP Limit of Insurance / 100 )</t>
  </si>
  <si>
    <t>Oil Distributing, Oil Terminals and LPG Tank Farms – Excluding Stock</t>
  </si>
  <si>
    <t>Baking on Premises, Delivery to Outlets</t>
  </si>
  <si>
    <t>Beverage Bottlers Excluding Alcoholic Beverages</t>
  </si>
  <si>
    <t>Distilleries and Wineries</t>
  </si>
  <si>
    <t>Textile Mill Products</t>
  </si>
  <si>
    <t>Leather and Leather Products</t>
  </si>
  <si>
    <t>Printing</t>
  </si>
  <si>
    <t>Boarding and Lodging Houses, Rooming Houses, Fraternities and Sororities, Dormitories – Over 30 Units</t>
  </si>
  <si>
    <t>1 Family Dwellings (Lessor's Risk)</t>
  </si>
  <si>
    <t>2 Family Dwellings (Lessor's Risk)</t>
  </si>
  <si>
    <t>3 or 4 Family Dwellings (Lessor's Risk)</t>
  </si>
  <si>
    <t>Apartments without Mercantile Occupancies – Up to 10 Units</t>
  </si>
  <si>
    <t>Apartments without Mercantile Occupancies – 11 to 30 Units</t>
  </si>
  <si>
    <t>Apartments without Mercantile Occupancies – Over 30 Units</t>
  </si>
  <si>
    <t>Apartments with Mercantile Occupancies – Up to 10 Units</t>
  </si>
  <si>
    <t>Apartments with Mercantile Occupancies – 11 to 30 Units</t>
  </si>
  <si>
    <t>Apartments with Mercantile Occupancies – Over 30 Units</t>
  </si>
  <si>
    <t>Residential Condominiums without Mercantile Occupancies – Up to 10 Units</t>
  </si>
  <si>
    <t>Residential Condominiums without Mercantile Occupancies – 11 to 30 Units</t>
  </si>
  <si>
    <t>Residential Condominiums without Mercantile Occupancies – Over 30 Units</t>
  </si>
  <si>
    <t>Residential Condominiums with Mercantile Occupancies – Up to 10 Units</t>
  </si>
  <si>
    <t>Residential Condominiums with Mercantile Occupancies – 11 to 30 Units</t>
  </si>
  <si>
    <t>Residential Condominiums with Mercantile Occupancies – Over 30 Units</t>
  </si>
  <si>
    <t>Mercantile – Sole Occupancy Only – Not Otherwise Classified – Low Susceptibility</t>
  </si>
  <si>
    <t>Mercantile – Sole Occupancy Only – Tire, Battery and Accessory Dealers without Tire Recapping and Vulcanizing</t>
  </si>
  <si>
    <t>Mercantile – Sole Occupancy Only – Wearing Apparel, Textiles, Shoes</t>
  </si>
  <si>
    <t>Mercantile – Sole Occupancy Only – Alcoholic Beverages other than Bars</t>
  </si>
  <si>
    <t>PPI - Brands &amp; Labels Premium</t>
  </si>
  <si>
    <t>PPI - B&amp;L Premium</t>
  </si>
  <si>
    <t>X  BI Change - Time Period Factor</t>
  </si>
  <si>
    <r>
      <t xml:space="preserve">OR  </t>
    </r>
    <r>
      <rPr>
        <sz val="10"/>
        <rFont val="Arial"/>
        <family val="2"/>
      </rPr>
      <t>X  BI Change - No Wait Period Factor</t>
    </r>
  </si>
  <si>
    <t>Merc – Sole Occy Only – Food Products Inc. Retail Bakeries; Non-Alcoholic Beverages (Sales Only – No Baking or Cooking)</t>
  </si>
  <si>
    <t>Mercantile – Sole Occupancy Only – Baking on Premises, No Delivery to Outlets</t>
  </si>
  <si>
    <t>Mercantile – Sole Occupancy Only – Bars and Taverns</t>
  </si>
  <si>
    <t>Mercantile – Sole Occupancy Only – Restaurants with Limited Cooking</t>
  </si>
  <si>
    <t>Mercantile – Sole Occupancy Only – Motor Vehicles, No Repair</t>
  </si>
  <si>
    <t>Mercantile – Sole Occupancy Only – Boat and Marine Supply Dealers</t>
  </si>
  <si>
    <t>Mercantile – Sole Occupancy Only – Drugs</t>
  </si>
  <si>
    <t>Mercantile – Sole Occupancy Only – Electrical Goods, Hardware and Machinery</t>
  </si>
  <si>
    <t>* For these Class Codes Protection Class Multiplier is 1.00 for all Prot. Classes</t>
  </si>
  <si>
    <t>Policy Information:</t>
  </si>
  <si>
    <t>Yes</t>
  </si>
  <si>
    <t>PROPERTY RATE TESTING WORKSHEET</t>
  </si>
  <si>
    <t>Company:</t>
  </si>
  <si>
    <t>Basic</t>
  </si>
  <si>
    <t>Broad</t>
  </si>
  <si>
    <t>Special</t>
  </si>
  <si>
    <t>* For Deductibles Greater than $1000</t>
  </si>
  <si>
    <t xml:space="preserve">( PLEASE ENTER IN SHADED AREAS ONLY )   </t>
  </si>
  <si>
    <t>Special Vandal</t>
  </si>
  <si>
    <t>SP Vandal &lt; 80%</t>
  </si>
  <si>
    <t>Other Than Special</t>
  </si>
  <si>
    <t>Option</t>
  </si>
  <si>
    <t>BA: Group I &amp; II</t>
  </si>
  <si>
    <t>Other COL</t>
  </si>
  <si>
    <t>Vacancy Permit Factors</t>
  </si>
  <si>
    <t>Minimum Loss Costs for Other than BASIC:</t>
  </si>
  <si>
    <t>Below are Minimum Loss Costs for BASIC:</t>
  </si>
  <si>
    <t>Basic Grp I &amp; II</t>
  </si>
  <si>
    <t>( Table_VacancyOther )</t>
  </si>
  <si>
    <t>( Table_VacancyBasic )</t>
  </si>
  <si>
    <t>( Table_VPFactors )</t>
  </si>
  <si>
    <t>( Minimum Loss Cost )</t>
  </si>
  <si>
    <t>Vacancy Permit Rate Applied</t>
  </si>
  <si>
    <t>Building Coverage</t>
  </si>
  <si>
    <t>No</t>
  </si>
  <si>
    <t>(List_YN)</t>
  </si>
  <si>
    <t>Bed &amp; Breakfast</t>
  </si>
  <si>
    <t>Cemetary Plus</t>
  </si>
  <si>
    <t>Church Plus</t>
  </si>
  <si>
    <t>Extra Plus</t>
  </si>
  <si>
    <t>Food Processors Plus</t>
  </si>
  <si>
    <t>Hotel Plus</t>
  </si>
  <si>
    <t>Japanese Temple Plus</t>
  </si>
  <si>
    <t>Links Plus</t>
  </si>
  <si>
    <t>Manufacturing Plus</t>
  </si>
  <si>
    <t>Plastics Plus</t>
  </si>
  <si>
    <t>Printers Plus</t>
  </si>
  <si>
    <t>Public Schools Plus</t>
  </si>
  <si>
    <t>Restaurant Plus</t>
  </si>
  <si>
    <t>Restaurant Extra Plus</t>
  </si>
  <si>
    <t>Retirement Home Plus</t>
  </si>
  <si>
    <t>Standard Property Plus</t>
  </si>
  <si>
    <t>Social Svc Agency Plus</t>
  </si>
  <si>
    <t>NEFS Social Svc Agency</t>
  </si>
  <si>
    <t>Shopping Center Plus</t>
  </si>
  <si>
    <t>Shopping Ctr Extra Plus</t>
  </si>
  <si>
    <t>BE</t>
  </si>
  <si>
    <t>CH</t>
  </si>
  <si>
    <t>EP</t>
  </si>
  <si>
    <t>JT</t>
  </si>
  <si>
    <t>L</t>
  </si>
  <si>
    <t>MF</t>
  </si>
  <si>
    <t>PL</t>
  </si>
  <si>
    <t>PR</t>
  </si>
  <si>
    <t>PS</t>
  </si>
  <si>
    <t>R</t>
  </si>
  <si>
    <t>RE</t>
  </si>
  <si>
    <t>RH</t>
  </si>
  <si>
    <t>SS</t>
  </si>
  <si>
    <t>S1</t>
  </si>
  <si>
    <t>SH</t>
  </si>
  <si>
    <t>SP</t>
  </si>
  <si>
    <t>UW</t>
  </si>
  <si>
    <t>N</t>
  </si>
  <si>
    <t>OPTIONAL COVERAGES</t>
  </si>
  <si>
    <t>Protection Class:</t>
  </si>
  <si>
    <t>Type of Rating:</t>
  </si>
  <si>
    <t>Terr. Description</t>
  </si>
  <si>
    <t>#</t>
  </si>
  <si>
    <t>Terr Mult.</t>
  </si>
  <si>
    <t>SC</t>
  </si>
  <si>
    <t>Building Class:</t>
  </si>
  <si>
    <t>Occupancy:</t>
  </si>
  <si>
    <t>Deductible:</t>
  </si>
  <si>
    <t>Building Limit:</t>
  </si>
  <si>
    <t>Agreed Value</t>
  </si>
  <si>
    <t>Replacement Cost:</t>
  </si>
  <si>
    <t>Cause of Loss:</t>
  </si>
  <si>
    <t>ISO Loss Cost Ed. Dt</t>
  </si>
  <si>
    <t>Specific</t>
  </si>
  <si>
    <t>Tentative</t>
  </si>
  <si>
    <t>Special Class</t>
  </si>
  <si>
    <t>Wind/Hail Deductible:</t>
  </si>
  <si>
    <t>Company Deviation</t>
  </si>
  <si>
    <t>Coverage Base Rate</t>
  </si>
  <si>
    <t>Personal Pty Final Base Rate</t>
  </si>
  <si>
    <t>80% Personal Pty Final Base Rate</t>
  </si>
  <si>
    <t>Total Functional Limit:</t>
  </si>
  <si>
    <t>Functional Pers. Pty Valuation</t>
  </si>
  <si>
    <t>RCP Code:</t>
  </si>
  <si>
    <t>Package Type:</t>
  </si>
  <si>
    <t>Apartments</t>
  </si>
  <si>
    <t>Church</t>
  </si>
  <si>
    <t>Contractor</t>
  </si>
  <si>
    <t>Group I - Personal Pty Loss Cost</t>
  </si>
  <si>
    <t>X   ( PP Limit of Insurance / 100 )</t>
  </si>
  <si>
    <t>Industrial Processing</t>
  </si>
  <si>
    <t>Institutional</t>
  </si>
  <si>
    <t>Mercantile</t>
  </si>
  <si>
    <t>Motel/Hotel</t>
  </si>
  <si>
    <t>Offices</t>
  </si>
  <si>
    <t>Printer</t>
  </si>
  <si>
    <t>Restaurant</t>
  </si>
  <si>
    <t>Service</t>
  </si>
  <si>
    <t>Pkg Type</t>
  </si>
  <si>
    <t>EXPENSE</t>
  </si>
  <si>
    <t>Person entering policy information must make sure cells shaded in green are correct.</t>
  </si>
  <si>
    <t>MODIFICATION</t>
  </si>
  <si>
    <t>When entering, type as decimals Ex. "-.10" for a 10% credit, ".05" for a 5% debit.</t>
  </si>
  <si>
    <t>If an Expense Modification</t>
  </si>
  <si>
    <t>Category</t>
  </si>
  <si>
    <t>Credit or Debit</t>
  </si>
  <si>
    <t>Factor is being applied,</t>
  </si>
  <si>
    <t>please enter in the cell below.</t>
  </si>
  <si>
    <t>SUPPLEMENTAL RATE PLAN</t>
  </si>
  <si>
    <t>Rule 38.P. Vacancy Permit</t>
  </si>
  <si>
    <t>SUPPLEMENTAL RATE PLAN PREMIUM CALCULATION</t>
  </si>
  <si>
    <t>CATEGORY</t>
  </si>
  <si>
    <t>Applied Credit or Debit</t>
  </si>
  <si>
    <t>Total SRP Credit or Debit</t>
  </si>
  <si>
    <t>Blanket Rating:</t>
  </si>
  <si>
    <t>Terrorism</t>
  </si>
  <si>
    <t>Exclusion Options:</t>
  </si>
  <si>
    <t>1.  Is Terrorism Covered?</t>
  </si>
  <si>
    <t>3.  Computer Rated:</t>
  </si>
  <si>
    <t>2.  Is NBC Excluded?</t>
  </si>
  <si>
    <t>S/T Loss Cost:</t>
  </si>
  <si>
    <t>P/I Building Class:</t>
  </si>
  <si>
    <t>Business Income Limit:</t>
  </si>
  <si>
    <t>Extra Expense Coverage</t>
  </si>
  <si>
    <t>Legal Liability Coverage</t>
  </si>
  <si>
    <t>Dependent Properties</t>
  </si>
  <si>
    <t>IP</t>
  </si>
  <si>
    <t>MH</t>
  </si>
  <si>
    <t>O</t>
  </si>
  <si>
    <t>P</t>
  </si>
  <si>
    <t>Policy Symbol:</t>
  </si>
  <si>
    <t>X  Sprinkler &lt; 50% Factor</t>
  </si>
  <si>
    <t>X  Loss Cost Multiplier</t>
  </si>
  <si>
    <t>X  Protection Class Factor</t>
  </si>
  <si>
    <t>X  Sprinkler Exclusion Factor</t>
  </si>
  <si>
    <t>Grp I - Territory Code:</t>
  </si>
  <si>
    <t>Grp II - Symbol:</t>
  </si>
  <si>
    <t>BCEG Comm Grade:</t>
  </si>
  <si>
    <t>Business Income Premium</t>
  </si>
  <si>
    <t>Extra Expense Premium</t>
  </si>
  <si>
    <t>(List_PolSymbols)</t>
  </si>
  <si>
    <t>CPP</t>
  </si>
  <si>
    <t>Monoline Pty Only</t>
  </si>
  <si>
    <t>Monoline Account</t>
  </si>
  <si>
    <t>Package MOD</t>
  </si>
  <si>
    <t>MAC</t>
  </si>
  <si>
    <t>PAC</t>
  </si>
  <si>
    <t>(Table_ContentA)</t>
  </si>
  <si>
    <t>(Table_ContentB)</t>
  </si>
  <si>
    <t>(Table_ContentC)</t>
  </si>
  <si>
    <t>(Table_ContentYd)</t>
  </si>
  <si>
    <t>(Table_G1_LC)</t>
  </si>
  <si>
    <t>Protection</t>
  </si>
  <si>
    <t>(Table_ProtClass)</t>
  </si>
  <si>
    <t>(Table_StateRates)</t>
  </si>
  <si>
    <t>(Table_PakMods)</t>
  </si>
  <si>
    <t>(Table_TerrMult)</t>
  </si>
  <si>
    <t>(List_RatingType)</t>
  </si>
  <si>
    <t>1B</t>
  </si>
  <si>
    <t>6B</t>
  </si>
  <si>
    <t>2C</t>
  </si>
  <si>
    <t>6C</t>
  </si>
  <si>
    <t>Symbol</t>
  </si>
  <si>
    <t>AB</t>
  </si>
  <si>
    <t>(List_NBC)</t>
  </si>
  <si>
    <t>NBC Terrorism Only</t>
  </si>
  <si>
    <t>NBC All Perils</t>
  </si>
  <si>
    <t>BA</t>
  </si>
  <si>
    <t>BR</t>
  </si>
  <si>
    <t>(Table_Cause250)</t>
  </si>
  <si>
    <t>OT</t>
  </si>
  <si>
    <t>Deductible Amt</t>
  </si>
  <si>
    <t>All Other Ex. EQ</t>
  </si>
  <si>
    <t>Group I</t>
  </si>
  <si>
    <t>Group II</t>
  </si>
  <si>
    <t>AA</t>
  </si>
  <si>
    <t>Sprinkler &lt; 50 % Factor</t>
  </si>
  <si>
    <t>X  Domestic Terrorism Credit Factor</t>
  </si>
  <si>
    <t>X  Coinsurance Factor</t>
  </si>
  <si>
    <t>X  Deductible Factor</t>
  </si>
  <si>
    <t>X  Company Deviation</t>
  </si>
  <si>
    <t>X  Package Modification Factor</t>
  </si>
  <si>
    <t>+  Inflation Guard Premium</t>
  </si>
  <si>
    <t>X  SRP</t>
  </si>
  <si>
    <t>Inflation Guard Premium</t>
  </si>
  <si>
    <t>State:</t>
  </si>
  <si>
    <t>X  Limit of Insurance / 100</t>
  </si>
  <si>
    <t>X  Inflation Guard Factor</t>
  </si>
  <si>
    <t>X   Inflation Guard Factor</t>
  </si>
  <si>
    <t>P/I PP Class:</t>
  </si>
  <si>
    <t>ApplySprinkler &lt; 50%?</t>
  </si>
  <si>
    <t>Rule 33 - Table 33.C.  $250 Ded. Option Factors</t>
  </si>
  <si>
    <t>Loss Cost</t>
  </si>
  <si>
    <t>(Table_G2SymLC)</t>
  </si>
  <si>
    <t>(List_CauseBldg)</t>
  </si>
  <si>
    <t>Building Code Eff. Grading (BCEG)</t>
  </si>
  <si>
    <t>Table A1.E.1.a. Basic Group II Factors</t>
  </si>
  <si>
    <t>Grade</t>
  </si>
  <si>
    <t>Code</t>
  </si>
  <si>
    <t>(01)</t>
  </si>
  <si>
    <t>(02)</t>
  </si>
  <si>
    <t>(03)</t>
  </si>
  <si>
    <t>(04)</t>
  </si>
  <si>
    <t>(05)</t>
  </si>
  <si>
    <t>(06)</t>
  </si>
  <si>
    <t>(07)</t>
  </si>
  <si>
    <t>(08)</t>
  </si>
  <si>
    <t>Ordinance Or Law: Restoration Premium</t>
  </si>
  <si>
    <t>Utility Services - Time Element Premium</t>
  </si>
  <si>
    <t>* Group I&amp;II, Special or Broad premiums are totaled for one premium.</t>
  </si>
  <si>
    <t>Utility Svcs - Loss Cost</t>
  </si>
  <si>
    <t>Utility Service Multiplier</t>
  </si>
  <si>
    <t>Full Utility - Loss Cost</t>
  </si>
  <si>
    <t>Ord or Law - Increase Period of Restoration</t>
  </si>
  <si>
    <t>Ord or Law - Increase Period of Restoration Premium</t>
  </si>
  <si>
    <t>(09)</t>
  </si>
  <si>
    <t>(10)</t>
  </si>
  <si>
    <t>(99)</t>
  </si>
  <si>
    <t>Table A1.E.1.b. Earthquake Factors</t>
  </si>
  <si>
    <t>(Table_BCEG)</t>
  </si>
  <si>
    <t>Outdoor TS&amp;P Base Rate</t>
  </si>
  <si>
    <t>Outdoor TS&amp;P Premium</t>
  </si>
  <si>
    <t>Vacancy Permit Base Rate</t>
  </si>
  <si>
    <t>X  Vacancy Permit Factor</t>
  </si>
  <si>
    <t>Inflation Guard Premium - Building</t>
  </si>
  <si>
    <t>Inflation Guard Premium - PP</t>
  </si>
  <si>
    <t>Prior/Intended Factor:</t>
  </si>
  <si>
    <t>VACANT BUILDING exception CSP Codes</t>
  </si>
  <si>
    <t>(List_VacantClasses)</t>
  </si>
  <si>
    <t>Personal Property Coverage</t>
  </si>
  <si>
    <t>Select Special Type:</t>
  </si>
  <si>
    <t>(List_SPTheft)</t>
  </si>
  <si>
    <t>Excluding Theft</t>
  </si>
  <si>
    <t>Including Theft</t>
  </si>
  <si>
    <t>Grp I or II - Construction:</t>
  </si>
  <si>
    <t>1190</t>
  </si>
  <si>
    <t>Special Classes applies for all except: 1185, 1200, 0833</t>
  </si>
  <si>
    <t>SPECIAL CLASS CSP Codes</t>
  </si>
  <si>
    <t>1185</t>
  </si>
  <si>
    <t>1200</t>
  </si>
  <si>
    <t>Bridges and Aqueducts</t>
  </si>
  <si>
    <t>All Special Class</t>
  </si>
  <si>
    <t>Billboards and Signs</t>
  </si>
  <si>
    <t>Drive-In Theaters</t>
  </si>
  <si>
    <t>Earthquake PP - Loss Cost</t>
  </si>
  <si>
    <t>Total Optional Coverage Premium</t>
  </si>
  <si>
    <t>BI CoInsurance %:</t>
  </si>
  <si>
    <t>X  Agreed Value Factor</t>
  </si>
  <si>
    <t>Less Than 10%</t>
  </si>
  <si>
    <t>X  Story Modification Factor</t>
  </si>
  <si>
    <t>Zone 1</t>
  </si>
  <si>
    <t>*** Per Mary McFadden use Multistate Rates (4/24/08)</t>
  </si>
  <si>
    <t>(Table_EQ_SprLkg)</t>
  </si>
  <si>
    <t>(List_SpecialClass)</t>
  </si>
  <si>
    <t>Legend</t>
  </si>
  <si>
    <t>See Content Tables</t>
  </si>
  <si>
    <t>See Special Class Table</t>
  </si>
  <si>
    <t>Agreed Value Factor</t>
  </si>
  <si>
    <t>Deductibles</t>
  </si>
  <si>
    <t>Legal Liability Premium</t>
  </si>
  <si>
    <t>-  Vandalism Exclusion Factor )</t>
  </si>
  <si>
    <t>X  ( Sprinkler Exclusion Factor</t>
  </si>
  <si>
    <t>( Table_InflationGd )</t>
  </si>
  <si>
    <t>Other IG %:</t>
  </si>
  <si>
    <t>Inflation Guard (IG):</t>
  </si>
  <si>
    <t>* OT rates apply to each additional 2%</t>
  </si>
  <si>
    <t>Policy Yr Type</t>
  </si>
  <si>
    <t>Table 74.A.3.c.(1)(a) Sprinkler Leakage Factors</t>
  </si>
  <si>
    <t>Masnry NC</t>
  </si>
  <si>
    <t>Mod Fire Res</t>
  </si>
  <si>
    <t>Construction Type</t>
  </si>
  <si>
    <t>Buildings</t>
  </si>
  <si>
    <t>Contents</t>
  </si>
  <si>
    <t>(Table_SprLkg)</t>
  </si>
  <si>
    <t>Msnry Non-Comb.</t>
  </si>
  <si>
    <t>W/H Exclusion</t>
  </si>
  <si>
    <t>(Table_Construction)</t>
  </si>
  <si>
    <t>018</t>
  </si>
  <si>
    <t>017</t>
  </si>
  <si>
    <t>016</t>
  </si>
  <si>
    <t>015</t>
  </si>
  <si>
    <t>Fire Only</t>
  </si>
  <si>
    <t>Fire/Vandal</t>
  </si>
  <si>
    <t>Fire/Sprinkler</t>
  </si>
  <si>
    <t>Fire/Sprk/Vand.</t>
  </si>
  <si>
    <t>Table 70.E.1.e.(1).(a) Co-Ins Mod Factors - Grp I</t>
  </si>
  <si>
    <t>Co-Ins (%)</t>
  </si>
  <si>
    <t>Less Than 80% Coinsurance (Specific)</t>
  </si>
  <si>
    <t>Table 70.E.1.e.(1).(b) Co-Ins Mod Factors - Grp I</t>
  </si>
  <si>
    <t>(+) Factor</t>
  </si>
  <si>
    <t>Fire and Vandalism</t>
  </si>
  <si>
    <t>Fire and Sprinkler Leakage</t>
  </si>
  <si>
    <t>LC</t>
  </si>
  <si>
    <t>(Table_CoIns1)</t>
  </si>
  <si>
    <t>Building Coverage Premium</t>
  </si>
  <si>
    <t>Base Rate</t>
  </si>
  <si>
    <t>Susceptibility Grading:</t>
  </si>
  <si>
    <r>
      <t>Rule 73 -  Table 73.D.2.d Earthquake Deductible Options</t>
    </r>
    <r>
      <rPr>
        <sz val="9"/>
        <rFont val="Arial"/>
        <family val="2"/>
      </rPr>
      <t xml:space="preserve">  (Edition 03/01/07)</t>
    </r>
  </si>
  <si>
    <r>
      <t xml:space="preserve">S - </t>
    </r>
    <r>
      <rPr>
        <sz val="8"/>
        <rFont val="Arial"/>
        <family val="2"/>
      </rPr>
      <t xml:space="preserve">Slight, </t>
    </r>
    <r>
      <rPr>
        <b/>
        <sz val="8"/>
        <rFont val="Arial"/>
        <family val="2"/>
      </rPr>
      <t>M</t>
    </r>
    <r>
      <rPr>
        <sz val="8"/>
        <rFont val="Arial"/>
        <family val="2"/>
      </rPr>
      <t xml:space="preserve"> - Moderate, </t>
    </r>
    <r>
      <rPr>
        <b/>
        <sz val="8"/>
        <rFont val="Arial"/>
        <family val="2"/>
      </rPr>
      <t>H</t>
    </r>
    <r>
      <rPr>
        <sz val="8"/>
        <rFont val="Arial"/>
        <family val="2"/>
      </rPr>
      <t xml:space="preserve"> - High</t>
    </r>
  </si>
  <si>
    <t>PP - Moderate</t>
  </si>
  <si>
    <t>PP - High</t>
  </si>
  <si>
    <t>Misc. Real Property</t>
  </si>
  <si>
    <t>ADDITIONAL COVERAGE INFORMATION</t>
  </si>
  <si>
    <r>
      <t>PPO</t>
    </r>
    <r>
      <rPr>
        <sz val="10"/>
        <rFont val="Arial"/>
        <family val="2"/>
      </rPr>
      <t xml:space="preserve"> - Personal Pty of Others:</t>
    </r>
  </si>
  <si>
    <r>
      <t>HPP</t>
    </r>
    <r>
      <rPr>
        <sz val="10"/>
        <rFont val="Arial"/>
        <family val="2"/>
      </rPr>
      <t xml:space="preserve"> - Household Personal Pty:</t>
    </r>
  </si>
  <si>
    <r>
      <t>STK</t>
    </r>
    <r>
      <rPr>
        <sz val="10"/>
        <rFont val="Arial"/>
        <family val="2"/>
      </rPr>
      <t xml:space="preserve"> - Stock Personal Pty:</t>
    </r>
  </si>
  <si>
    <r>
      <t>OTH</t>
    </r>
    <r>
      <rPr>
        <sz val="10"/>
        <rFont val="Arial"/>
        <family val="2"/>
      </rPr>
      <t xml:space="preserve"> - Other Personal Pty:</t>
    </r>
  </si>
  <si>
    <t>CCUO - Misc. Real Property Premium</t>
  </si>
  <si>
    <t>CCUO - Loss Assessment Premium</t>
  </si>
  <si>
    <t>Peak Season Premium</t>
  </si>
  <si>
    <t>PPI - Personal Property Premium</t>
  </si>
  <si>
    <t>Final Rate</t>
  </si>
  <si>
    <t>Building Premium</t>
  </si>
  <si>
    <t>Final Building Premium</t>
  </si>
  <si>
    <t>Demolition Cost Coverage:</t>
  </si>
  <si>
    <t>Increase Cost for Construction:</t>
  </si>
  <si>
    <t>Rule 38.D. Ordinance or Law</t>
  </si>
  <si>
    <t>Ord or Law Factor</t>
  </si>
  <si>
    <t>Contractors</t>
  </si>
  <si>
    <t>Rule 85.L.3.  Special Loss Costs  ( SPECIAL CLASS )</t>
  </si>
  <si>
    <t>Fire Resistive Vault Factor</t>
  </si>
  <si>
    <t>Special Class Pty - Item #:</t>
  </si>
  <si>
    <t>Protection Class</t>
  </si>
  <si>
    <t>Ordinance or Law Coverage</t>
  </si>
  <si>
    <t>Actual Cash Value:</t>
  </si>
  <si>
    <t>Replacement Cost Value:</t>
  </si>
  <si>
    <t>Total Ord or Law Premium</t>
  </si>
  <si>
    <t>Ord or Law: Coverage B - Demolition Cost</t>
  </si>
  <si>
    <t>Ord or Law: Coverage C - Inc. Construction</t>
  </si>
  <si>
    <t>(Table_CIdesc)</t>
  </si>
  <si>
    <t>(Table_CIUnder80)</t>
  </si>
  <si>
    <t>Coinsurance %:</t>
  </si>
  <si>
    <t>Fire, Sprink Lkg and Vandalism</t>
  </si>
  <si>
    <t>Terrorism - Business Income</t>
  </si>
  <si>
    <t>BI Terrorism Premium</t>
  </si>
  <si>
    <t>X  ( BI Limit of Insurance / 100 )</t>
  </si>
  <si>
    <t>Business Income - Final Rates</t>
  </si>
  <si>
    <t>X  Fire Only Coverage Factor</t>
  </si>
  <si>
    <t>X  NBC Exclusion Factor</t>
  </si>
  <si>
    <t>X  Protection Class Multiplier</t>
  </si>
  <si>
    <t>Builder's Risks</t>
  </si>
  <si>
    <t>Bowling Alleys</t>
  </si>
  <si>
    <t>Building Supply Yards</t>
  </si>
  <si>
    <t>Gambling Casinos – Without Restaurants</t>
  </si>
  <si>
    <t>Greenhouses</t>
  </si>
  <si>
    <t>Motels and Hotels</t>
  </si>
  <si>
    <t>Recreational Facilities, NOC –</t>
  </si>
  <si>
    <t>Vacant Buildings</t>
  </si>
  <si>
    <t>Yard Property, NOC,</t>
  </si>
  <si>
    <t>Museums, Libraries, Art Galleries (NP)</t>
  </si>
  <si>
    <t>Gambling Casinos – w/ Restaurants</t>
  </si>
  <si>
    <t>Dance Halls, Ballrooms &amp; Discos</t>
  </si>
  <si>
    <t>Table 74.A.3.b. Vandalism Exclusion Factors</t>
  </si>
  <si>
    <t>All Other Classes</t>
  </si>
  <si>
    <t>Class CSP</t>
  </si>
  <si>
    <t>Classification Description</t>
  </si>
  <si>
    <t>(-) Factor</t>
  </si>
  <si>
    <t>(Table_VandalExcl)</t>
  </si>
  <si>
    <t>Building - Loss Cost</t>
  </si>
  <si>
    <t>Personal Property - Loss Cost</t>
  </si>
  <si>
    <t>X  Territory Multiplier</t>
  </si>
  <si>
    <t>Personal Property Premium</t>
  </si>
  <si>
    <t>Final Personal Property Premium</t>
  </si>
  <si>
    <t>X   Agreed Value Factor</t>
  </si>
  <si>
    <t>Monthly Limit of Indemnity</t>
  </si>
  <si>
    <t>Maximum Period of Indemnity</t>
  </si>
  <si>
    <t>Business Occupancy Type</t>
  </si>
  <si>
    <t>Merc. &amp; NMf</t>
  </si>
  <si>
    <t>M &amp; Ming</t>
  </si>
  <si>
    <t>Property (3)</t>
  </si>
  <si>
    <t>Manfacturing (2)</t>
  </si>
  <si>
    <t>Non-Manufctr (1)</t>
  </si>
  <si>
    <t>( Table_BI_IndDays )</t>
  </si>
  <si>
    <t>( Table_BI_MaxInd )</t>
  </si>
  <si>
    <t>( Table_BI_CoIns_EE )</t>
  </si>
  <si>
    <t>( Table_BI_CoIns )</t>
  </si>
  <si>
    <t>( Table_BI_Mos1 )</t>
  </si>
  <si>
    <t>( Table_BI_Mos2 )</t>
  </si>
  <si>
    <t>( Table_BI_Mos3 )</t>
  </si>
  <si>
    <t>Extra Expense Included?</t>
  </si>
  <si>
    <t>(List_BI_OccType)</t>
  </si>
  <si>
    <t>Mfg / Mining</t>
  </si>
  <si>
    <t>Mercantile / Non-Mfg</t>
  </si>
  <si>
    <t>CoInsurance %:</t>
  </si>
  <si>
    <t>Value  $:</t>
  </si>
  <si>
    <t>Extended Period of Indemnity</t>
  </si>
  <si>
    <t>Select Limitation:</t>
  </si>
  <si>
    <t>BI Agreed Value Factor</t>
  </si>
  <si>
    <t>Apply Agreed Value?</t>
  </si>
  <si>
    <t>Electronic Media &amp; Records</t>
  </si>
  <si>
    <t>Ordinary Payroll Exclusion</t>
  </si>
  <si>
    <t>Power, Heat &amp; Refrigeration Deduction</t>
  </si>
  <si>
    <t>BI Power, Heat &amp; Refrig</t>
  </si>
  <si>
    <t>Seasonal Leases</t>
  </si>
  <si>
    <t>Educational Institutions</t>
  </si>
  <si>
    <t>Watercraft Exclusion Buyback?</t>
  </si>
  <si>
    <t>Construction:</t>
  </si>
  <si>
    <t>(List_BI_Educ)</t>
  </si>
  <si>
    <t>Limited</t>
  </si>
  <si>
    <t>Recovery Months</t>
  </si>
  <si>
    <t>Extension Period:</t>
  </si>
  <si>
    <t>( Table_BI_EMR )</t>
  </si>
  <si>
    <t>Extra Expense Limit:</t>
  </si>
  <si>
    <t>Limit of Insurance:</t>
  </si>
  <si>
    <t># of Coverage Days:</t>
  </si>
  <si>
    <t># of Days in Period:</t>
  </si>
  <si>
    <t>( Table_BI_OrdPR)</t>
  </si>
  <si>
    <t>Mining Properties</t>
  </si>
  <si>
    <t>Rule 31 - Property Plus Endorsements</t>
  </si>
  <si>
    <t>(Table_PtyEnd)</t>
  </si>
  <si>
    <t>( Table_EE_CoIns)</t>
  </si>
  <si>
    <t>X   BI Agreed Value Factor</t>
  </si>
  <si>
    <r>
      <t xml:space="preserve">OR  </t>
    </r>
    <r>
      <rPr>
        <sz val="10"/>
        <rFont val="Arial"/>
        <family val="2"/>
      </rPr>
      <t>X  Max Period of Indemnity Factor</t>
    </r>
  </si>
  <si>
    <r>
      <t xml:space="preserve">OR  </t>
    </r>
    <r>
      <rPr>
        <sz val="10"/>
        <rFont val="Arial"/>
        <family val="2"/>
      </rPr>
      <t>X  Monthly Limit of Indemnity Factor</t>
    </r>
  </si>
  <si>
    <t>X  Business Income Rate Factor</t>
  </si>
  <si>
    <t>X  Seasonal Leases Factor</t>
  </si>
  <si>
    <t>X  Extended Period of Indemnity Factor</t>
  </si>
  <si>
    <t>X  Ordinary Payroll Factor</t>
  </si>
  <si>
    <t>X  Power Heat Refrigeration Factor</t>
  </si>
  <si>
    <t>X  Extra Expense Rate Factor</t>
  </si>
  <si>
    <t>X  Civil Authority Increased Factor</t>
  </si>
  <si>
    <t>(000s)</t>
  </si>
  <si>
    <t>LIMITS</t>
  </si>
  <si>
    <t>(Table_DedMin)</t>
  </si>
  <si>
    <t>Table 81 &amp; 82 Deductible Insurance Plan - $1000 and Over - Basic Grp I</t>
  </si>
  <si>
    <t>(Table_DedMax)</t>
  </si>
  <si>
    <t>Deductible Selection List</t>
  </si>
  <si>
    <t>Enter Deductible %:</t>
  </si>
  <si>
    <t>FR/MFR</t>
  </si>
  <si>
    <t>All Other</t>
  </si>
  <si>
    <t>Building</t>
  </si>
  <si>
    <t>Builder's Risk</t>
  </si>
  <si>
    <t>BI w/o EE</t>
  </si>
  <si>
    <t>Rule 85</t>
  </si>
  <si>
    <t>See Rates for Builder's Risk</t>
  </si>
  <si>
    <t>PROTECTION CLASSES</t>
  </si>
  <si>
    <t>1-4</t>
  </si>
  <si>
    <t>5-8</t>
  </si>
  <si>
    <t>9-10</t>
  </si>
  <si>
    <t>Basic Group II</t>
  </si>
  <si>
    <t>Item #</t>
  </si>
  <si>
    <t>(01-04)</t>
  </si>
  <si>
    <t>(05-08)</t>
  </si>
  <si>
    <t>(09-10)</t>
  </si>
  <si>
    <t>Multiplier</t>
  </si>
  <si>
    <t>1.A</t>
  </si>
  <si>
    <t>1190 SPECIAL PROPERTY - Masonry</t>
  </si>
  <si>
    <t>1.B</t>
  </si>
  <si>
    <t>1190 SPECIAL PROPERTY - Metal</t>
  </si>
  <si>
    <t>1.C</t>
  </si>
  <si>
    <t>TOTAL PP COVERAGE PREMIUM:</t>
  </si>
  <si>
    <t>1190 SPECIAL PROPERTY - Combustible Material</t>
  </si>
  <si>
    <t>AIRCRAFT STORED IN THE OPEN</t>
  </si>
  <si>
    <t>3.A</t>
  </si>
  <si>
    <t>AIRCRAFT BEACONS, BLINKERS - Metal Supports</t>
  </si>
  <si>
    <t>3.B</t>
  </si>
  <si>
    <t>AIRCRAFT BEACONS, BLINKERS - Wood Supports</t>
  </si>
  <si>
    <t>4.A</t>
  </si>
  <si>
    <t>AMUSEMENT EQUIPMENT - Metal Equip.</t>
  </si>
  <si>
    <t>4.B</t>
  </si>
  <si>
    <t>AMUSEMENT EQUIPMENT - Combustible Equip.</t>
  </si>
  <si>
    <t>ARTIFICIAL TURF</t>
  </si>
  <si>
    <t>6.A</t>
  </si>
  <si>
    <t>AWNINGS OR CANOPIES - Entirely Non-Combustible</t>
  </si>
  <si>
    <t>6.B</t>
  </si>
  <si>
    <t>AWNINGS OR CANOPIES - Other</t>
  </si>
  <si>
    <t>7.A</t>
  </si>
  <si>
    <t>BILLBOARDS AND SIGNS - Metal</t>
  </si>
  <si>
    <t>7.B</t>
  </si>
  <si>
    <t>BILLBOARDS AND SIGNS - Other</t>
  </si>
  <si>
    <t>BLEACHERS</t>
  </si>
  <si>
    <t>BOATS, DREDGES OR VESSELS ON LAND/ANCHORED</t>
  </si>
  <si>
    <t>10.A</t>
  </si>
  <si>
    <t>BRIDGES/AQUEDUCTS - Concrete</t>
  </si>
  <si>
    <t>10.B</t>
  </si>
  <si>
    <t>BRIDGES/AQUEDUCTS - Metal</t>
  </si>
  <si>
    <t>10.C</t>
  </si>
  <si>
    <t>BRIDGES/AQUEDUCTS - Wood or Part Wood</t>
  </si>
  <si>
    <t>11.A</t>
  </si>
  <si>
    <t>COOLING TOWERS - Masonry</t>
  </si>
  <si>
    <t>11.B</t>
  </si>
  <si>
    <t>COOLING TOWERS - Metal</t>
  </si>
  <si>
    <t>11.C</t>
  </si>
  <si>
    <t>COOLING TOWERS - Wood</t>
  </si>
  <si>
    <t>CORDWOOD, FELLED TIMBER, STAKES &amp; RR TIES</t>
  </si>
  <si>
    <t>CRANES AND OTHER HEAVY MACHINERY in the open,</t>
  </si>
  <si>
    <t>14.A</t>
  </si>
  <si>
    <t>DRIVE-IN THEATERS - Speakers</t>
  </si>
  <si>
    <t>Limit of Ins - All Perils Excl. Theft</t>
  </si>
  <si>
    <t>Limit of Ins - Theft Only</t>
  </si>
  <si>
    <t>Peak Season - Start Date:</t>
  </si>
  <si>
    <t>Peak Season - End Date:</t>
  </si>
  <si>
    <t># of Days</t>
  </si>
  <si>
    <t>Terrorism - Personal Property Premium</t>
  </si>
  <si>
    <t>PP Terrorism Premium</t>
  </si>
  <si>
    <t>Peak Season Pro-Rate Factor</t>
  </si>
  <si>
    <t>Peak Season - # of Days</t>
  </si>
  <si>
    <t>/  # of Days per Year</t>
  </si>
  <si>
    <t>Peak Season "Total" Premium</t>
  </si>
  <si>
    <t>-  PP "Total" Premium</t>
  </si>
  <si>
    <t>Peak Season "Full" Premium</t>
  </si>
  <si>
    <t>X  Peak Season Pro-Rate Factor</t>
  </si>
  <si>
    <t>Peak Season Premium:</t>
  </si>
  <si>
    <t>14.B.1</t>
  </si>
  <si>
    <r>
      <t xml:space="preserve">DRIVE-IN THEATERS - Screens:  </t>
    </r>
    <r>
      <rPr>
        <b/>
        <sz val="8"/>
        <rFont val="Arial"/>
        <family val="2"/>
      </rPr>
      <t>Concrete</t>
    </r>
  </si>
  <si>
    <t>14.B.2</t>
  </si>
  <si>
    <r>
      <t xml:space="preserve">DRIVE-IN THEATERS - Screens:  </t>
    </r>
    <r>
      <rPr>
        <b/>
        <sz val="8"/>
        <rFont val="Arial"/>
        <family val="2"/>
      </rPr>
      <t>Metal</t>
    </r>
  </si>
  <si>
    <t>14.B.3</t>
  </si>
  <si>
    <r>
      <t xml:space="preserve">DRIVE-IN THEATERS - Screens:  </t>
    </r>
    <r>
      <rPr>
        <b/>
        <sz val="8"/>
        <rFont val="Arial"/>
        <family val="2"/>
      </rPr>
      <t>Wood</t>
    </r>
  </si>
  <si>
    <t>15.A</t>
  </si>
  <si>
    <t>ELECTRIC TRANSFORMERS - Concrete/Steel</t>
  </si>
  <si>
    <t>15.B</t>
  </si>
  <si>
    <t>ELECTRIC TRANSFORMERS - Wood</t>
  </si>
  <si>
    <t>16.A</t>
  </si>
  <si>
    <t>EXHIBIT STANDS &amp; BOOTHS - Metal</t>
  </si>
  <si>
    <t>16.B</t>
  </si>
  <si>
    <t>EXHIBIT STANDS &amp; BOOTHS - Wood or Part-Wood</t>
  </si>
  <si>
    <t>EXPLOSIVES IN THE OPEN</t>
  </si>
  <si>
    <t>18.A</t>
  </si>
  <si>
    <t>FENCES AND ARBORS - Metal / Masonry</t>
  </si>
  <si>
    <t>18.B</t>
  </si>
  <si>
    <t>FENCES AND ARBORS - Wood</t>
  </si>
  <si>
    <t>19.A</t>
  </si>
  <si>
    <t>INCINERATORS OR REFUSE BURNERS - Masonry</t>
  </si>
  <si>
    <t>19.B</t>
  </si>
  <si>
    <t>INCINERATORS OR REFUSE BURNERS - All Other</t>
  </si>
  <si>
    <t>20.A</t>
  </si>
  <si>
    <t>MACHINERY &amp; EQUIPMENT - Non-Combustible Materials</t>
  </si>
  <si>
    <t>20.B</t>
  </si>
  <si>
    <t>MACHINERY &amp; EQUIPMENT - Combustible Materials</t>
  </si>
  <si>
    <t>20.C</t>
  </si>
  <si>
    <t>(Table_EQ_Tiers)</t>
  </si>
  <si>
    <t>(Table_EQ_PPGrade)</t>
  </si>
  <si>
    <t>(Table_EQ_OptStory)</t>
  </si>
  <si>
    <t>(Table_EQ_Masonry)</t>
  </si>
  <si>
    <t>(Table_EQ_LC)</t>
  </si>
  <si>
    <t>(Table_EQ_Deductible)</t>
  </si>
  <si>
    <t>(Table_EQ_Class7)</t>
  </si>
  <si>
    <t>Masonry Veneer Limit:</t>
  </si>
  <si>
    <t>Utility Service Factor</t>
  </si>
  <si>
    <t>X  Utility Svc Multiplier</t>
  </si>
  <si>
    <t>Pollutant Cleanup &amp; Removal</t>
  </si>
  <si>
    <t>Pollutant Clean-up &amp; Removal Premium</t>
  </si>
  <si>
    <t>( Table_Utility_Svcs )</t>
  </si>
  <si>
    <t>( Table_Utility_OHLines )</t>
  </si>
  <si>
    <t>Utility Service Base Rate</t>
  </si>
  <si>
    <t>Utility Service Premium Total</t>
  </si>
  <si>
    <t>Overhead Lines Premium</t>
  </si>
  <si>
    <t>Overhead Lines Factor</t>
  </si>
  <si>
    <t>X  Overhead Lines Multiplier</t>
  </si>
  <si>
    <t>Overhead Lines Base Rate</t>
  </si>
  <si>
    <t>Overhead Lines Premium Total</t>
  </si>
  <si>
    <t>MACHINERY &amp; EQUIPMENT - Hay, Straw or Other Fibers</t>
  </si>
  <si>
    <t>MOTION PICTURE SETS IN THE OPEN</t>
  </si>
  <si>
    <t>NURSERY STOCK IN THE OPEN</t>
  </si>
  <si>
    <t>OIL DERRICKS</t>
  </si>
  <si>
    <t>RAFTS AND OTHER FLOATING EQUIPMENT</t>
  </si>
  <si>
    <t>RESERVOIR ROOFS</t>
  </si>
  <si>
    <t>SAWMILLS, PORTABLE, IN THE OPEN</t>
  </si>
  <si>
    <t>STOCK, FEED &amp; FEED STORING PENS, CORRALS</t>
  </si>
  <si>
    <t>28.A</t>
  </si>
  <si>
    <t>STREET LIGHTING POLES &amp; TRAFFIC EQ. - Metal</t>
  </si>
  <si>
    <t>28.B</t>
  </si>
  <si>
    <t>STREET LIGHTING POLES &amp; TRAFFIC EQ. - Wood</t>
  </si>
  <si>
    <t>29.A.1</t>
  </si>
  <si>
    <r>
      <t xml:space="preserve">SWIMMING POOLS - In Ground: </t>
    </r>
    <r>
      <rPr>
        <b/>
        <sz val="8"/>
        <rFont val="Arial"/>
        <family val="2"/>
      </rPr>
      <t>Concrete/Metal</t>
    </r>
  </si>
  <si>
    <t>29.A.2</t>
  </si>
  <si>
    <r>
      <t xml:space="preserve">SWIMMING POOLS - In Ground: </t>
    </r>
    <r>
      <rPr>
        <b/>
        <sz val="8"/>
        <rFont val="Arial"/>
        <family val="2"/>
      </rPr>
      <t>Wood</t>
    </r>
  </si>
  <si>
    <t>29.B.1</t>
  </si>
  <si>
    <r>
      <t xml:space="preserve">SWIMMING POOLS - Above Ground: </t>
    </r>
    <r>
      <rPr>
        <b/>
        <sz val="8"/>
        <rFont val="Arial"/>
        <family val="2"/>
      </rPr>
      <t>Concrete/Metal</t>
    </r>
  </si>
  <si>
    <t>29.B.2</t>
  </si>
  <si>
    <r>
      <t xml:space="preserve">SWIMMING POOLS - Above Ground: </t>
    </r>
    <r>
      <rPr>
        <b/>
        <sz val="8"/>
        <rFont val="Arial"/>
        <family val="2"/>
      </rPr>
      <t>Other</t>
    </r>
  </si>
  <si>
    <t>30.A</t>
  </si>
  <si>
    <t>TANKS, BINS &amp; SILOS - Above Ground</t>
  </si>
  <si>
    <t>30.B.1</t>
  </si>
  <si>
    <r>
      <t xml:space="preserve">TANKS, BINS &amp; SILOS - Below Ground:  </t>
    </r>
    <r>
      <rPr>
        <b/>
        <sz val="8"/>
        <rFont val="Arial"/>
        <family val="2"/>
      </rPr>
      <t>Masonry</t>
    </r>
  </si>
  <si>
    <t>30.B.2</t>
  </si>
  <si>
    <t>Terrorism - Legal Liability Premium</t>
  </si>
  <si>
    <t>X  ( LL Limit of Insurance / 100 )</t>
  </si>
  <si>
    <t>Legal Liability Terrorism Premium</t>
  </si>
  <si>
    <t>Extra Expense Coverage:</t>
  </si>
  <si>
    <t>Business Income Base Rate</t>
  </si>
  <si>
    <t>Business Income Final Rate</t>
  </si>
  <si>
    <t>SP excl. Theft</t>
  </si>
  <si>
    <t>Apts/Condos</t>
  </si>
  <si>
    <t>All Others</t>
  </si>
  <si>
    <t>MFR / FR</t>
  </si>
  <si>
    <t>1A</t>
  </si>
  <si>
    <t>Occupancy Type</t>
  </si>
  <si>
    <t>Loss Costs</t>
  </si>
  <si>
    <t>Rule 72.E.4.  Special Form - Leasehold Interest and Time Element Coverages</t>
  </si>
  <si>
    <t>Occupancy Type:</t>
  </si>
  <si>
    <r>
      <t xml:space="preserve">TANKS, BINS &amp; SILOS - Below Ground:  </t>
    </r>
    <r>
      <rPr>
        <b/>
        <sz val="8"/>
        <rFont val="Arial"/>
        <family val="2"/>
      </rPr>
      <t>Steel</t>
    </r>
  </si>
  <si>
    <t>30.B.3</t>
  </si>
  <si>
    <t>Utility Svcs - CSP Total</t>
  </si>
  <si>
    <t>Utility Svcs - OHC Total</t>
  </si>
  <si>
    <r>
      <t xml:space="preserve">TANKS, BINS &amp; SILOS - Below Ground:  </t>
    </r>
    <r>
      <rPr>
        <b/>
        <sz val="8"/>
        <rFont val="Arial"/>
        <family val="2"/>
      </rPr>
      <t>Wood</t>
    </r>
  </si>
  <si>
    <t>31.A</t>
  </si>
  <si>
    <t>TENTS &amp; FABRIC STRUCTURES - Metal</t>
  </si>
  <si>
    <t>31.B</t>
  </si>
  <si>
    <t>TENTS &amp; FABRIC STRUCTURES - Air</t>
  </si>
  <si>
    <t>31.C</t>
  </si>
  <si>
    <t>TENTS &amp; FABRIC STRUCTURES - All Other</t>
  </si>
  <si>
    <t>32.A</t>
  </si>
  <si>
    <t>TOWERS - Broadcasting Antennas (Radio &amp; TV)</t>
  </si>
  <si>
    <t>32.B</t>
  </si>
  <si>
    <t>TOWERS - Receiving Antennas (Radio &amp; TV)</t>
  </si>
  <si>
    <t>32.C.1</t>
  </si>
  <si>
    <r>
      <t xml:space="preserve">TOWERS - Smokestacks/Chimneys:  </t>
    </r>
    <r>
      <rPr>
        <b/>
        <sz val="8"/>
        <rFont val="Arial"/>
        <family val="2"/>
      </rPr>
      <t>Masonry</t>
    </r>
  </si>
  <si>
    <t>32.C.2</t>
  </si>
  <si>
    <r>
      <t xml:space="preserve">TOWERS - Smokestacks/Chimneys:  </t>
    </r>
    <r>
      <rPr>
        <b/>
        <sz val="8"/>
        <rFont val="Arial"/>
        <family val="2"/>
      </rPr>
      <t>Metal</t>
    </r>
  </si>
  <si>
    <t>32.D</t>
  </si>
  <si>
    <t>TOWERS - Windmills</t>
  </si>
  <si>
    <t>33.A</t>
  </si>
  <si>
    <t>TUNNELS &amp; PASSAGEWAYS - Masonry / Metal</t>
  </si>
  <si>
    <t>33.B</t>
  </si>
  <si>
    <t>TUNNELS &amp; PASSAGEWAYS - Wood</t>
  </si>
  <si>
    <t>34.A</t>
  </si>
  <si>
    <t>WATER OR SEWAGE LIFT PUMPS - Masonry / Metal</t>
  </si>
  <si>
    <t>34.B</t>
  </si>
  <si>
    <t>WATER OR SEWAGE LIFT PUMPS - Wood</t>
  </si>
  <si>
    <t>( Table_SpecialLC )</t>
  </si>
  <si>
    <t>Exception for KY - $250 Deductible Option</t>
  </si>
  <si>
    <t>( DF_250Deductible )</t>
  </si>
  <si>
    <t>Table 70.E.2.c.(1).(a) Co-Ins Mod Factors - Grp II</t>
  </si>
  <si>
    <t>(Table_CoIns2)</t>
  </si>
  <si>
    <t>Table 70.E.2.d Group II COL</t>
  </si>
  <si>
    <t>Convents, Monasteries/Rectories, Orphan Homes, etc. – Up to 10 Units</t>
  </si>
  <si>
    <t>Convents, Monasteries/Rectories, Orphan Homes, etc. – 11 to 30 Units</t>
  </si>
  <si>
    <t>Boarding/Lodging Houses, Frats/Sororities, Dorms – 11 to 30 Units</t>
  </si>
  <si>
    <t>Windstorm / Hail Exclusion:</t>
  </si>
  <si>
    <r>
      <t xml:space="preserve">Utility Services </t>
    </r>
    <r>
      <rPr>
        <sz val="10"/>
        <rFont val="Arial"/>
        <family val="2"/>
      </rPr>
      <t>(Time Element)</t>
    </r>
  </si>
  <si>
    <t>Boarding/Lodging Houses, Frats/Sororities, Dorms – Up to 10 Units</t>
  </si>
  <si>
    <t>Convents, Monasteries/Rectories, Orphan Homes, etc. – Over 30 Units</t>
  </si>
  <si>
    <t>X  ( EE Limit of Insurance / 100 )</t>
  </si>
  <si>
    <t>EE Terrorism Premium</t>
  </si>
  <si>
    <t>X  EE Rate Factor</t>
  </si>
  <si>
    <t>Table 74.A.3.c. Sprinkler Leakage - Loss Cost</t>
  </si>
  <si>
    <t>Rated as Non-Sprinklered (Bldg/PP)</t>
  </si>
  <si>
    <t>Mercantile – Sole Occupancy Only – Food Products with Ltd Cooking, Excl. Bakeries</t>
  </si>
  <si>
    <t>Mercantile – Sole Occup. Only – Furniture/Home Furnishings other than Appliances</t>
  </si>
  <si>
    <t>Mercantile – Sole Occup. Only – Not Otherwise Classified – Mod. Susceptibility</t>
  </si>
  <si>
    <t>Miscellaneous Products Storage – (Other Than Retail/Wholesale/Cold Storage)</t>
  </si>
  <si>
    <t>1300</t>
  </si>
  <si>
    <t>Baled Cotton &amp; Cotton Seed Yard</t>
  </si>
  <si>
    <t>Lumber Yards</t>
  </si>
  <si>
    <t>ADDITIONAL CLASSES (70.E.2.a.(4)(b)</t>
  </si>
  <si>
    <t>(List_AddtlClass)</t>
  </si>
  <si>
    <t>CSP Class</t>
  </si>
  <si>
    <t>Table 70.E.2.a.(4)(b) Addt'l Classes (Multipliers)</t>
  </si>
  <si>
    <t>(Table_AddtlClass)</t>
  </si>
  <si>
    <t>Table 82.D. Windstorm or Hail RMF</t>
  </si>
  <si>
    <t>Windstorm/Hail % Deductible</t>
  </si>
  <si>
    <t>Choose % Deductible:</t>
  </si>
  <si>
    <t>Limit of Ins.</t>
  </si>
  <si>
    <t>( Table_WHDed )</t>
  </si>
  <si>
    <t>Null</t>
  </si>
  <si>
    <t>X  Windstorm or Hail Exclusion Factor</t>
  </si>
  <si>
    <t>X  Building Code Effect Grade Factor</t>
  </si>
  <si>
    <t>X  Windstorm or Hail Deductible Factor</t>
  </si>
  <si>
    <t>CAUSES OF LOSS - SPECIAL FORM</t>
  </si>
  <si>
    <t>Rule 72.E.2.b.(1) Building Coverage - Loss Costs</t>
  </si>
  <si>
    <t>Construction</t>
  </si>
  <si>
    <t>Apts &amp; Condos</t>
  </si>
  <si>
    <t>CAUSES OF LOSS - BROAD FORM</t>
  </si>
  <si>
    <t>Rule 71.E.2.c. Property Damage - Loss Costs</t>
  </si>
  <si>
    <t>Rule 71.E.4.b. Time Element &amp; Leasehold Interest</t>
  </si>
  <si>
    <t>(List_SpecialRisk)</t>
  </si>
  <si>
    <t>Ord Or Law: Inc. Period of Rest Premium</t>
  </si>
  <si>
    <t>Extra Expense Premium Total</t>
  </si>
  <si>
    <t>EE - Special Premium</t>
  </si>
  <si>
    <t>EE - Group I Premium</t>
  </si>
  <si>
    <t>EE - Group II Premium</t>
  </si>
  <si>
    <t>EE - Broad Premium</t>
  </si>
  <si>
    <t>Total Extra Expense Premium</t>
  </si>
  <si>
    <t>Total Ord or Law - Inc. Premium</t>
  </si>
  <si>
    <t>Ord or Law - Increase Premium</t>
  </si>
  <si>
    <t>- Total EE Premium</t>
  </si>
  <si>
    <t>Ord or Law - Inc. Period of Rest. Premium</t>
  </si>
  <si>
    <t>Business Income Premium Total</t>
  </si>
  <si>
    <t>BI - Group I Premium</t>
  </si>
  <si>
    <t>BI - Group II Premium</t>
  </si>
  <si>
    <t>BI - Special Premium</t>
  </si>
  <si>
    <t>BI - Broad Premium</t>
  </si>
  <si>
    <t>Total Business Income Premium</t>
  </si>
  <si>
    <t>- Total BI Premium</t>
  </si>
  <si>
    <t>Motel-Hotel Risks</t>
  </si>
  <si>
    <t>Mercantile Risks</t>
  </si>
  <si>
    <t>Institutional Risks</t>
  </si>
  <si>
    <t>Service Risks</t>
  </si>
  <si>
    <t>Industrial &amp; Proc. Risks</t>
  </si>
  <si>
    <t>Contractors Risks</t>
  </si>
  <si>
    <t>Territory</t>
  </si>
  <si>
    <t>Jefferson County</t>
  </si>
  <si>
    <t>GRADE</t>
  </si>
  <si>
    <t>Installation</t>
  </si>
  <si>
    <t>Central Station</t>
  </si>
  <si>
    <t>(w/o Keys)</t>
  </si>
  <si>
    <t>Local</t>
  </si>
  <si>
    <t>(with Keys)</t>
  </si>
  <si>
    <t>Table 72.E.2.d.(3)(d)(ii) Burglar Alarm System Modification Factors</t>
  </si>
  <si>
    <t>Watchman Station</t>
  </si>
  <si>
    <t>Watchman Clock</t>
  </si>
  <si>
    <t>Watchman Other</t>
  </si>
  <si>
    <t>( Table_BroadLC )</t>
  </si>
  <si>
    <t>( Table_BroadTime )</t>
  </si>
  <si>
    <t>Civil Authority</t>
  </si>
  <si>
    <t>80% Building - Loss Cost</t>
  </si>
  <si>
    <t>X  Educational Institution Factor</t>
  </si>
  <si>
    <t>( Table_BI_Educ )</t>
  </si>
  <si>
    <r>
      <t xml:space="preserve">OR  </t>
    </r>
    <r>
      <rPr>
        <sz val="10"/>
        <rFont val="Arial"/>
        <family val="2"/>
      </rPr>
      <t>X  Educ. Inst. Ext. Recovery Factor</t>
    </r>
  </si>
  <si>
    <t>Select Type | # of Mos:</t>
  </si>
  <si>
    <t>Rule 51 - K.4. Seasonal Leases - Monthly Limits on Loss Pymnt</t>
  </si>
  <si>
    <t>BI w/ EE</t>
  </si>
  <si>
    <t>( Table_BI_Seasonal )</t>
  </si>
  <si>
    <t>( Table_CivilAuth )</t>
  </si>
  <si>
    <t>Coverage Period:</t>
  </si>
  <si>
    <t>Rule 51 - Table 51.H.4 Mining Properties Loss Costs</t>
  </si>
  <si>
    <t>( Table_BI_Mining )</t>
  </si>
  <si>
    <t>Limited Coverage</t>
  </si>
  <si>
    <t>Broad Coverage</t>
  </si>
  <si>
    <t>Coverage Type</t>
  </si>
  <si>
    <t>X  Functional Building Factor</t>
  </si>
  <si>
    <t>Functional Bldg Valuation Base Rate</t>
  </si>
  <si>
    <t>Funct. Bldg Valuation Premium</t>
  </si>
  <si>
    <t>Functional Bldg. V. Factor</t>
  </si>
  <si>
    <t>Functional PP V. Factor</t>
  </si>
  <si>
    <t>( Table_DebrisRemoval )</t>
  </si>
  <si>
    <t>X   Limit of Insurance / 100</t>
  </si>
  <si>
    <t>G1</t>
  </si>
  <si>
    <t>G2</t>
  </si>
  <si>
    <t>Functional PP Valuation Premium</t>
  </si>
  <si>
    <t>Alcoholic Beverage Tax Premium</t>
  </si>
  <si>
    <t>X   ( BI Limit of Insurance / 100 )</t>
  </si>
  <si>
    <t>X  Civil Authority Increase Factor</t>
  </si>
  <si>
    <t>OH Power Trans Lines:</t>
  </si>
  <si>
    <t>OH Communication Lines:</t>
  </si>
  <si>
    <t>Flat Charge</t>
  </si>
  <si>
    <t>Standard Pty Plus</t>
  </si>
  <si>
    <t>Property Plus Endorsements - Bldg, PP, BI</t>
  </si>
  <si>
    <t>(Table_PlusEnd)</t>
  </si>
  <si>
    <t>Property Plus Endorsement</t>
  </si>
  <si>
    <t>Policy Level Optional Coverage</t>
  </si>
  <si>
    <t>Brands &amp; Labels Premium</t>
  </si>
  <si>
    <t>Spoilage Coverage Premium</t>
  </si>
  <si>
    <t>Vacancy Permit Premium</t>
  </si>
  <si>
    <t>Functional Building Valuation Premium</t>
  </si>
  <si>
    <t>Outdoor Trees, Shrubs &amp; Plants Premium</t>
  </si>
  <si>
    <t>Mortgage Holders E&amp;O Premium</t>
  </si>
  <si>
    <t>Functional PP Valuation Base Rate</t>
  </si>
  <si>
    <t>Endorsement Type:</t>
  </si>
  <si>
    <t>No Underground Cov.</t>
  </si>
  <si>
    <t>( List_BI_Mining )</t>
  </si>
  <si>
    <t>+  Underground - Mining Property Factor</t>
  </si>
  <si>
    <t>Rule 54 - COMMON TIME ELEMENTS</t>
  </si>
  <si>
    <t>Earthquake</t>
  </si>
  <si>
    <t>A. Ordinance Or Law - Increased Period of Restoration</t>
  </si>
  <si>
    <t>B.  Business Income Changes - Time Period</t>
  </si>
  <si>
    <t>Cov. Period</t>
  </si>
  <si>
    <t>Waiting Period</t>
  </si>
  <si>
    <t>24-HR</t>
  </si>
  <si>
    <t>( Table_BI_Wait )</t>
  </si>
  <si>
    <t>Rule 54 - Table B.4.b.&amp;c.&amp;d. - Utility Services</t>
  </si>
  <si>
    <t>Svc Type</t>
  </si>
  <si>
    <t>CAUSE OF LOSS</t>
  </si>
  <si>
    <t>Power Supply</t>
  </si>
  <si>
    <t>Comm Supply</t>
  </si>
  <si>
    <t>OH Power Trans</t>
  </si>
  <si>
    <t>Ordinance or Law - Increase Period</t>
  </si>
  <si>
    <t>BI Changes - Waiting Time Period</t>
  </si>
  <si>
    <t>Select Period:</t>
  </si>
  <si>
    <t>Limits on Loss Payment</t>
  </si>
  <si>
    <t>BI - Dependent Property Premium</t>
  </si>
  <si>
    <t>EE - Dependent Property Premium</t>
  </si>
  <si>
    <t>Building - Legal Liability Premium</t>
  </si>
  <si>
    <t>Select Pty or Occup. Type:</t>
  </si>
  <si>
    <t>Refrig. Maintenance Agreement?</t>
  </si>
  <si>
    <t>Apply Selling Price?</t>
  </si>
  <si>
    <t>Breakdown or Countdown</t>
  </si>
  <si>
    <t>Power Outage</t>
  </si>
  <si>
    <t>Both B/C &amp; PO</t>
  </si>
  <si>
    <t>Rule 52.E. Interruption Of Computer Operations</t>
  </si>
  <si>
    <t>Annual Aggregate Limit</t>
  </si>
  <si>
    <t>Eliminating in Property Rating for 2008.</t>
  </si>
  <si>
    <t>* Maximum Limit of Insurance of $50K is being done away with for Property Rating in 2008.</t>
  </si>
  <si>
    <t>* This max is regardless of # of interruptions, # of premises, or # of locations.</t>
  </si>
  <si>
    <t>* Manually Rated Coverage</t>
  </si>
  <si>
    <t>Rule 38.K. Newly Acquired Property</t>
  </si>
  <si>
    <r>
      <t xml:space="preserve">Applies to Building Coverage, but does </t>
    </r>
    <r>
      <rPr>
        <u/>
        <sz val="8"/>
        <rFont val="Arial"/>
        <family val="2"/>
      </rPr>
      <t>not</t>
    </r>
    <r>
      <rPr>
        <sz val="8"/>
        <rFont val="Arial"/>
        <family val="2"/>
      </rPr>
      <t xml:space="preserve"> affect</t>
    </r>
  </si>
  <si>
    <t>rating on worksheet, therefore it is not represented.</t>
  </si>
  <si>
    <t>Miscellaneous Defined Lists</t>
  </si>
  <si>
    <t>Rule #</t>
  </si>
  <si>
    <t>Miscellaneous Coverage Factors</t>
  </si>
  <si>
    <t>51.A</t>
  </si>
  <si>
    <t>85.G.9</t>
  </si>
  <si>
    <t>Inc Amt (%)</t>
  </si>
  <si>
    <t># of P/R Days</t>
  </si>
  <si>
    <t>GRP I</t>
  </si>
  <si>
    <t>GRP II</t>
  </si>
  <si>
    <t>PP - Legal Liability Premium</t>
  </si>
  <si>
    <t>Loss Assessment</t>
  </si>
  <si>
    <t>Vacancy Permit</t>
  </si>
  <si>
    <t>Spoilage Coverage</t>
  </si>
  <si>
    <t>35%-70%-100</t>
  </si>
  <si>
    <t>40%-80%-100</t>
  </si>
  <si>
    <t>100%-100%-100</t>
  </si>
  <si>
    <t>( Table_Time_Utility )</t>
  </si>
  <si>
    <t>Enter Limit of Insurance:</t>
  </si>
  <si>
    <t>Utility Services Premium</t>
  </si>
  <si>
    <t>Content Group</t>
  </si>
  <si>
    <t>Rule 67 - Table 67.D.1 Mortgage Holder's E &amp; O</t>
  </si>
  <si>
    <t>Mortgages</t>
  </si>
  <si>
    <t xml:space="preserve"># of </t>
  </si>
  <si>
    <t>Limit of Insurance per Mortgage (000s)</t>
  </si>
  <si>
    <t>Increment</t>
  </si>
  <si>
    <t>LL Addt'l Insured Factor</t>
  </si>
  <si>
    <t>LL Bldg CoIns Factor</t>
  </si>
  <si>
    <t>LL Pty CoIns Factor</t>
  </si>
  <si>
    <t>X  Legal Liab Addt'l Assureds Factor</t>
  </si>
  <si>
    <t>X  Legal Liab Building Rate Factor</t>
  </si>
  <si>
    <t>Building - Legal Liab. Premium</t>
  </si>
  <si>
    <t>X  Legal Liab Personal Pty Rate Factor</t>
  </si>
  <si>
    <t>Optional Coverages</t>
  </si>
  <si>
    <r>
      <t xml:space="preserve">Combo - Type 1 </t>
    </r>
    <r>
      <rPr>
        <b/>
        <sz val="10"/>
        <rFont val="Arial"/>
        <family val="2"/>
      </rPr>
      <t>|</t>
    </r>
    <r>
      <rPr>
        <sz val="10"/>
        <rFont val="Arial"/>
        <family val="2"/>
      </rPr>
      <t xml:space="preserve"> Type 2</t>
    </r>
    <r>
      <rPr>
        <sz val="10"/>
        <rFont val="Arial"/>
        <family val="2"/>
      </rPr>
      <t>:</t>
    </r>
  </si>
  <si>
    <t>Area (# of Square Ft):</t>
  </si>
  <si>
    <t>Debris Removal Coverage:</t>
  </si>
  <si>
    <t>Debris Removal Premium</t>
  </si>
  <si>
    <t>X  Lost Cost Multiplier</t>
  </si>
  <si>
    <t>X  Debris Removal Factor</t>
  </si>
  <si>
    <t>Utility Services (Time Element):</t>
  </si>
  <si>
    <r>
      <t>Utility Services</t>
    </r>
    <r>
      <rPr>
        <sz val="10"/>
        <rFont val="Arial"/>
        <family val="2"/>
      </rPr>
      <t xml:space="preserve"> (Public Utilities Only):</t>
    </r>
  </si>
  <si>
    <t>Requested Limit of Ins:</t>
  </si>
  <si>
    <t>Rule 38 - Building &amp; Personal Property Coverage Options</t>
  </si>
  <si>
    <t>Rule 38.C.2. Brands &amp; Labels</t>
  </si>
  <si>
    <t>B&amp;L Factor</t>
  </si>
  <si>
    <t>B&amp;L Max Increase</t>
  </si>
  <si>
    <t>Rule 38.E. Pollutant Clean Up &amp; Removal</t>
  </si>
  <si>
    <t>Minimum Deductible</t>
  </si>
  <si>
    <t>Cause of Loss</t>
  </si>
  <si>
    <t>EQ</t>
  </si>
  <si>
    <t>Rule 38.E.5.  Optional Deductibles</t>
  </si>
  <si>
    <t>Deductible</t>
  </si>
  <si>
    <t>Limit Excess of:</t>
  </si>
  <si>
    <t>Rule 38.F. Debris Removal Addt'l Limit of Insurance</t>
  </si>
  <si>
    <t>Stock Factor</t>
  </si>
  <si>
    <t>Bus. Pers Pty.</t>
  </si>
  <si>
    <t>Limit of Ins</t>
  </si>
  <si>
    <t>per 5,000</t>
  </si>
  <si>
    <t>Rule 38.I.  Manufacturers' Consequential Loss Assumption</t>
  </si>
  <si>
    <t>Rule 38.H.  Loss Assessment</t>
  </si>
  <si>
    <t>X  Additional $1MM Factor</t>
  </si>
  <si>
    <t>Base Mortgageholders Premium</t>
  </si>
  <si>
    <t>Total MortgageHolders E&amp;O Premium</t>
  </si>
  <si>
    <t>1st $1MM Premium Total</t>
  </si>
  <si>
    <t>Building - Grp I Loss Cost</t>
  </si>
  <si>
    <t>DT - Bldg Final Rate</t>
  </si>
  <si>
    <t>X  Domestic Terrorism Peril Factor</t>
  </si>
  <si>
    <t>X  NBC Domestic Terrorism Factor</t>
  </si>
  <si>
    <t xml:space="preserve"> +  Additional &gt; $1MM Premium Total</t>
  </si>
  <si>
    <t>Total MortgageHolders Premium</t>
  </si>
  <si>
    <t>Additional Limits of Insurance ( &gt; $$1MM )</t>
  </si>
  <si>
    <t>Rule 38.J.  Miscellaneous Real Property</t>
  </si>
  <si>
    <t>All Causes of Loss Factor</t>
  </si>
  <si>
    <t>Rule 38.L.  Utility Services</t>
  </si>
  <si>
    <t>A.  Water, Communication and Power Supply Services</t>
  </si>
  <si>
    <t>Utility Type</t>
  </si>
  <si>
    <t>PU-Building</t>
  </si>
  <si>
    <t>PU-Personal Pty</t>
  </si>
  <si>
    <t>OP-Building</t>
  </si>
  <si>
    <t>OP-Personal Pty</t>
  </si>
  <si>
    <t>B.  Overhead Power Transmission and Communication Lines</t>
  </si>
  <si>
    <t>Select Utility Type:</t>
  </si>
  <si>
    <t>( Table_UtilityCol )</t>
  </si>
  <si>
    <t>Mortgageholders E&amp;O Premium</t>
  </si>
  <si>
    <t>Mortgageholders Loss Cost</t>
  </si>
  <si>
    <t>2. Care and condition of premises</t>
  </si>
  <si>
    <t>1. Quality of Management</t>
  </si>
  <si>
    <t>3. Type, condition and care of Equipment</t>
  </si>
  <si>
    <t>4. Classification Variations</t>
  </si>
  <si>
    <t>5. Employees: selection, training, supervision, and experience</t>
  </si>
  <si>
    <t>6. Management Cooperation - Medical Facilities</t>
  </si>
  <si>
    <t>7. Management Cooperation - Safety</t>
  </si>
  <si>
    <t>8. Management Cooperation - Inspection Loss Prevention Program</t>
  </si>
  <si>
    <t>9. Damage Susceptibility to Property</t>
  </si>
  <si>
    <t>EARTHQUAKE - COMMERCIAL PROPERTY PREMIUMS</t>
  </si>
  <si>
    <t>Group I - Basic Building Loss Cost</t>
  </si>
  <si>
    <t>Molten Material Factor</t>
  </si>
  <si>
    <t>Rule 74 - Other Cause of Loss</t>
  </si>
  <si>
    <t>Table 74.C. - Pier &amp; Wharf Additional Covered Cause of Loss</t>
  </si>
  <si>
    <t>Construction Description</t>
  </si>
  <si>
    <t>Fire Resistive incl. pier deck &amp; platform</t>
  </si>
  <si>
    <t>Fire Resistive -substructure, incl. superstruc., enclosed</t>
  </si>
  <si>
    <t>Non-combustible, Heavy timber-substrc, enclosed</t>
  </si>
  <si>
    <t>Domestic Terrorism - Business Income</t>
  </si>
  <si>
    <t>EE DT Premium</t>
  </si>
  <si>
    <t>All Other substructure, incl. superstructure; enclosed</t>
  </si>
  <si>
    <t>All Other incl. pier deck &amp; platform, w/o superstruct.</t>
  </si>
  <si>
    <t>Substructure w/ canopy superstructure; Not enclosed</t>
  </si>
  <si>
    <t>Table 74.G. - Watercraft Exclusion Buyback</t>
  </si>
  <si>
    <t>( Table_Other_PierWharf )</t>
  </si>
  <si>
    <t>( Table_Other_WaterBuyback )</t>
  </si>
  <si>
    <t>X  Molten Material Factor</t>
  </si>
  <si>
    <t>Molten Material Final Rate</t>
  </si>
  <si>
    <t>Pier and Wharf Premium</t>
  </si>
  <si>
    <t>Watercraft Exclusion Buyback Premium</t>
  </si>
  <si>
    <t>Total Other COL:</t>
  </si>
  <si>
    <t>Table 74.F.5.d (KY) Sprinkler Leakage - EQ Ext Factors</t>
  </si>
  <si>
    <t>Type</t>
  </si>
  <si>
    <t>PP - Slight</t>
  </si>
  <si>
    <t>EQ Territory:</t>
  </si>
  <si>
    <t>Earthquake Loss Cost</t>
  </si>
  <si>
    <t>X  Bldg EQ Extension Factor</t>
  </si>
  <si>
    <t>EQ Specific Loss Cost</t>
  </si>
  <si>
    <t>Pier &amp; Wharf Loss Cost</t>
  </si>
  <si>
    <t>Watercraft Buyback Excl. - Loss Cost</t>
  </si>
  <si>
    <t>BUILDING - COMMERCIAL PROPERTY PREMIUMS</t>
  </si>
  <si>
    <t>PERSONAL PROPERTY - COMMERCIAL PROPERTY PREMIUMS</t>
  </si>
  <si>
    <t>BUSINESS INCOME - COMMERCIAL PROPERTY PREMIUMS</t>
  </si>
  <si>
    <t>EXTRA EXPENSE - COMMERCIAL PROPERTY PREMIUMS</t>
  </si>
  <si>
    <t>Earthquake Personal Property Premium</t>
  </si>
  <si>
    <t>Earthquake Building Premium</t>
  </si>
  <si>
    <t>TOTAL EQ COVERAGE PREMIUM</t>
  </si>
  <si>
    <t>Earthquake Building - Loss Cost</t>
  </si>
  <si>
    <t>N/A</t>
  </si>
  <si>
    <t>(Table_EQ_BldgClass)</t>
  </si>
  <si>
    <t>Earthquake Tier/Class:</t>
  </si>
  <si>
    <t>% of Ext. Wall face with MV</t>
  </si>
  <si>
    <t>Building Limit of Insurance:</t>
  </si>
  <si>
    <t>EQ Building Premium</t>
  </si>
  <si>
    <t>X  Masonry Veneer Limitation Factor</t>
  </si>
  <si>
    <t>EQ Business Income Premium</t>
  </si>
  <si>
    <t>EQ Extra Expense Premium</t>
  </si>
  <si>
    <t>1st 500 Mortgages (1st $1MM)</t>
  </si>
  <si>
    <t>X  First 500 Mortgages</t>
  </si>
  <si>
    <t>Mortgageholders Base Rate</t>
  </si>
  <si>
    <t>Mortgageholders Premium</t>
  </si>
  <si>
    <t>2nd 500 Mortgages (1st $1MM)</t>
  </si>
  <si>
    <t>Next 4,000 Mortgages (1st $1MM)</t>
  </si>
  <si>
    <t>Next 10,000 Mortgages (1st $1MM)</t>
  </si>
  <si>
    <t>Next 15,000 Mortgages (1st $1MM)</t>
  </si>
  <si>
    <t>( Table_MortgageHolder )</t>
  </si>
  <si>
    <t>X  Next 500 Mortgages</t>
  </si>
  <si>
    <t>X  Next 4000 Mortgages</t>
  </si>
  <si>
    <t>X  Next 10,000 Mortgages</t>
  </si>
  <si>
    <t>X  Next 15,000 Mortgages</t>
  </si>
  <si>
    <t>( List_Occupancy )</t>
  </si>
  <si>
    <t>Rating Group 1</t>
  </si>
  <si>
    <t>Rating Group 2</t>
  </si>
  <si>
    <t>Rating Group 3</t>
  </si>
  <si>
    <t>( List_Ratings )</t>
  </si>
  <si>
    <t>Personal Pty Class:</t>
  </si>
  <si>
    <t>(Table_Bldg_Special)</t>
  </si>
  <si>
    <t>EQ OTH - PP Premium</t>
  </si>
  <si>
    <t>EQ STK - PP Premium</t>
  </si>
  <si>
    <t>EQ HPP - PP Premium</t>
  </si>
  <si>
    <t>EQ PPO - PP Premium</t>
  </si>
  <si>
    <t>EQ STK - Personal Property Premium</t>
  </si>
  <si>
    <t>EQ OTH - Personal Property Premium</t>
  </si>
  <si>
    <t>EQ PPI - Personal Property Premium</t>
  </si>
  <si>
    <t>EQ PPO - Personal Property Premium</t>
  </si>
  <si>
    <t>EQ HPP - Personal Property Premium</t>
  </si>
  <si>
    <t>EQ Personal Property Final Rate:</t>
  </si>
  <si>
    <t>EQ Personal Pty - Final Rate</t>
  </si>
  <si>
    <t>Total EQ PP Premium</t>
  </si>
  <si>
    <t>Ext. of Prot.</t>
  </si>
  <si>
    <t>Rating Group 4</t>
  </si>
  <si>
    <t xml:space="preserve">Rates </t>
  </si>
  <si>
    <t>PDC Website</t>
  </si>
  <si>
    <t xml:space="preserve">Rates verified in OnCore </t>
  </si>
  <si>
    <t>Rates</t>
  </si>
  <si>
    <t>Notes</t>
  </si>
  <si>
    <t>Outdoor Trees, Shrubs and Plants</t>
  </si>
  <si>
    <t># of Mortgages</t>
  </si>
  <si>
    <t>Mortgageholders Errors &amp; Omissions</t>
  </si>
  <si>
    <t>Sprinkler Leakage Exclusion:</t>
  </si>
  <si>
    <t>Vandalism Exclusion:</t>
  </si>
  <si>
    <t>Windstorm or Hail Exclusion:</t>
  </si>
  <si>
    <t>Windstorm/Hail Deductible:</t>
  </si>
  <si>
    <t>Windstorm or Hail Exclusion?</t>
  </si>
  <si>
    <t>Brands &amp; Labels:</t>
  </si>
  <si>
    <t>Commercial Condominium Unit Owners:</t>
  </si>
  <si>
    <t>Peak Season:</t>
  </si>
  <si>
    <t>LL Limit of Insurance:</t>
  </si>
  <si>
    <t>Include Additional Assureds:</t>
  </si>
  <si>
    <t>Alcoholic Beverage Tax:</t>
  </si>
  <si>
    <t>Vandalism Exclusion Factor:</t>
  </si>
  <si>
    <t>Sprinkler &lt; 50 % Factor:</t>
  </si>
  <si>
    <t>Dependent Property Premium</t>
  </si>
  <si>
    <t>PRE-DETERMINED COVERAGE FACTORS</t>
  </si>
  <si>
    <t>Town Tax % | Town Code:</t>
  </si>
  <si>
    <t>Policy Term:</t>
  </si>
  <si>
    <t>Grp I / II - Construction:</t>
  </si>
  <si>
    <t>COVERAGE INFORMATION</t>
  </si>
  <si>
    <t>POLICY INFORMATION:</t>
  </si>
  <si>
    <t>EQ Sprinkler Leakage:</t>
  </si>
  <si>
    <t>Molten Material:</t>
  </si>
  <si>
    <t>Pier &amp; Wharf Addt'l Cause of Loss:</t>
  </si>
  <si>
    <t>P&amp;W Construction:</t>
  </si>
  <si>
    <t>Include Addt'l Assureds?</t>
  </si>
  <si>
    <t>Cause of Loss Basic</t>
  </si>
  <si>
    <t>Cause of Loss Broad</t>
  </si>
  <si>
    <t>Cause of Loss Special Form</t>
  </si>
  <si>
    <t>Sprinkler Leakage Exclusin</t>
  </si>
  <si>
    <t>Watercraft Exclusion Buyback</t>
  </si>
  <si>
    <t>Molten Material</t>
  </si>
  <si>
    <t>Pier and Wharf Additioanl Cause of Loss</t>
  </si>
  <si>
    <t>Vandalism Exclusion</t>
  </si>
  <si>
    <t>Windstorm or Hail Exclusion</t>
  </si>
  <si>
    <t>Rates manually verified</t>
  </si>
  <si>
    <t>Functional Building Valuation</t>
  </si>
  <si>
    <t>Utility Services</t>
  </si>
  <si>
    <t>Ordinance or Law</t>
  </si>
  <si>
    <t>Outdoor Trees, Shrubs &amp; Plants</t>
  </si>
  <si>
    <t>Mortgagee Holders Errors &amp; Omissions</t>
  </si>
  <si>
    <t>Off Premises Power Failure</t>
  </si>
  <si>
    <t>Legal Liability Real &amp; Legal Liability Personal Property</t>
  </si>
  <si>
    <t>Tax Location</t>
  </si>
  <si>
    <t>Legal Website</t>
  </si>
  <si>
    <t>State Rating Info for:</t>
  </si>
  <si>
    <t>Description</t>
  </si>
  <si>
    <t>GAIC</t>
  </si>
  <si>
    <t>GAAS</t>
  </si>
  <si>
    <t>GANY</t>
  </si>
  <si>
    <t>GAAL</t>
  </si>
  <si>
    <t>ISO Filing #</t>
  </si>
  <si>
    <t>Approved for GAI Use</t>
  </si>
  <si>
    <t>SRP</t>
  </si>
  <si>
    <t>Property LCM</t>
  </si>
  <si>
    <t>Rule 15 - DEFINITIONS</t>
  </si>
  <si>
    <t>F</t>
  </si>
  <si>
    <t>M</t>
  </si>
  <si>
    <t>Frame</t>
  </si>
  <si>
    <t>Joint Masonry</t>
  </si>
  <si>
    <t>Non-Combustible</t>
  </si>
  <si>
    <t>Modified Fire Resistive</t>
  </si>
  <si>
    <t>Fire Resistive</t>
  </si>
  <si>
    <t>Causes of Loss</t>
  </si>
  <si>
    <t>Factor</t>
  </si>
  <si>
    <t>Rule 38 - Table 38.E.5. Optional Deductibles</t>
  </si>
  <si>
    <t>Refer</t>
  </si>
  <si>
    <t>Rule 38 - Table 38.G.4 Inflation Guard - Addt'l Premium</t>
  </si>
  <si>
    <t>Rule 50 - Table 50.E.3.b.#1 Business Income w/ Extra Exp Rates</t>
  </si>
  <si>
    <t>Coinsurance</t>
  </si>
  <si>
    <t>Percentage (%)</t>
  </si>
  <si>
    <t>None</t>
  </si>
  <si>
    <t>Rental Pty</t>
  </si>
  <si>
    <t>Rule 50 - Table 50.E.3.b.#2 Business Income w/o Extra Exp Rates</t>
  </si>
  <si>
    <t>Rule 51 - Table 51.D.3 Electronic Media &amp; Records RMF</t>
  </si>
  <si>
    <t>No Limit</t>
  </si>
  <si>
    <t>180 Days</t>
  </si>
  <si>
    <t>Rule 51 - Table 51.E.4 Extended Period of Indemnity RMF</t>
  </si>
  <si>
    <t>Number of Days</t>
  </si>
  <si>
    <t>* Interpolation Not Permitted</t>
  </si>
  <si>
    <t>Rule 51 - Table 51.F.4 Maximum Period of Indemnity RMF</t>
  </si>
  <si>
    <t>BI w Ext Exp</t>
  </si>
  <si>
    <t>BI w/o Ext Exp</t>
  </si>
  <si>
    <t>Mercantile/NMO</t>
  </si>
  <si>
    <t>Manufctr Operations</t>
  </si>
  <si>
    <t>Rental Property</t>
  </si>
  <si>
    <t>Rule 51 - Table 51.G.4 Monthly Limit of Indemnity RMF</t>
  </si>
  <si>
    <t>Type of Risk</t>
  </si>
  <si>
    <t>NA</t>
  </si>
  <si>
    <t>Contents Grade</t>
  </si>
  <si>
    <t>Deduct.</t>
  </si>
  <si>
    <t>TERRITORY 22</t>
  </si>
  <si>
    <t>22_1C</t>
  </si>
  <si>
    <t>22_1D</t>
  </si>
  <si>
    <t>22_2A</t>
  </si>
  <si>
    <t>22_2B</t>
  </si>
  <si>
    <t>22_3A</t>
  </si>
  <si>
    <t>22_3B</t>
  </si>
  <si>
    <t>22_3C</t>
  </si>
  <si>
    <t>22_4A</t>
  </si>
  <si>
    <t>22_4B</t>
  </si>
  <si>
    <t>22_4C</t>
  </si>
  <si>
    <t>22_4D</t>
  </si>
  <si>
    <t>22_5A</t>
  </si>
  <si>
    <t>22_5AA</t>
  </si>
  <si>
    <t>22_5B</t>
  </si>
  <si>
    <t>22_5C</t>
  </si>
  <si>
    <t>TERRITORY 23</t>
  </si>
  <si>
    <t>23_1C</t>
  </si>
  <si>
    <t>23_1D</t>
  </si>
  <si>
    <t>23_2A</t>
  </si>
  <si>
    <t>23_2B</t>
  </si>
  <si>
    <t>23_3A</t>
  </si>
  <si>
    <t>23_3B</t>
  </si>
  <si>
    <t>23_3C</t>
  </si>
  <si>
    <t>23_4A</t>
  </si>
  <si>
    <t>23_4B</t>
  </si>
  <si>
    <t>23_4C</t>
  </si>
  <si>
    <t>23_4D</t>
  </si>
  <si>
    <t>23_5A</t>
  </si>
  <si>
    <t>23_5AA</t>
  </si>
  <si>
    <t>23_5B</t>
  </si>
  <si>
    <t>23_5C</t>
  </si>
  <si>
    <t>TERRITORY 24</t>
  </si>
  <si>
    <t>24_1C</t>
  </si>
  <si>
    <t>24_1D</t>
  </si>
  <si>
    <t>24_2A</t>
  </si>
  <si>
    <t>24_2B</t>
  </si>
  <si>
    <t>24_3A</t>
  </si>
  <si>
    <t>24_3B</t>
  </si>
  <si>
    <t>24_3C</t>
  </si>
  <si>
    <t>24_4A</t>
  </si>
  <si>
    <t>24_4B</t>
  </si>
  <si>
    <t>24_4C</t>
  </si>
  <si>
    <t>24_4D</t>
  </si>
  <si>
    <t>24_5A</t>
  </si>
  <si>
    <t>24_5AA</t>
  </si>
  <si>
    <t>24_5B</t>
  </si>
  <si>
    <t>24_5C</t>
  </si>
  <si>
    <t>TERRITORY 25</t>
  </si>
  <si>
    <t>25_1C</t>
  </si>
  <si>
    <t>25_1D</t>
  </si>
  <si>
    <t>25_2A</t>
  </si>
  <si>
    <t>25_2B</t>
  </si>
  <si>
    <t>25_3A</t>
  </si>
  <si>
    <t>25_3B</t>
  </si>
  <si>
    <t>25_3C</t>
  </si>
  <si>
    <t>25_4A</t>
  </si>
  <si>
    <t>25_4B</t>
  </si>
  <si>
    <t>25_4C</t>
  </si>
  <si>
    <t>25_4D</t>
  </si>
  <si>
    <t>25_5A</t>
  </si>
  <si>
    <t>25_5AA</t>
  </si>
  <si>
    <t>25_5B</t>
  </si>
  <si>
    <t>25_5C</t>
  </si>
  <si>
    <r>
      <t xml:space="preserve">Rule 73:  Causes of Loss - Earthquake  </t>
    </r>
    <r>
      <rPr>
        <sz val="10"/>
        <rFont val="Arial"/>
        <family val="2"/>
      </rPr>
      <t>(Edition 03/01/07)</t>
    </r>
  </si>
  <si>
    <t>* To be used with EQ Business Income &amp; Extra Expense</t>
  </si>
  <si>
    <t>IA Exception Page</t>
  </si>
  <si>
    <t>IA Tax Table</t>
  </si>
  <si>
    <t>IA Commercial Package MOD's</t>
  </si>
  <si>
    <t>The Following Terrorism ratings are N/A in IA</t>
  </si>
  <si>
    <t>United Way Plus (OH/IA)</t>
  </si>
  <si>
    <t>Circular #</t>
  </si>
  <si>
    <t>Sage Edition Date</t>
  </si>
  <si>
    <t>LI-CF-2009-111</t>
  </si>
  <si>
    <t xml:space="preserve"> 39.A.4.b</t>
  </si>
  <si>
    <t xml:space="preserve"> 74 A.3.c</t>
  </si>
  <si>
    <t xml:space="preserve"> 74 G.4</t>
  </si>
  <si>
    <t xml:space="preserve"> 74.B.3</t>
  </si>
  <si>
    <t xml:space="preserve"> 74.A.3.a</t>
  </si>
  <si>
    <t xml:space="preserve"> 38.R</t>
  </si>
  <si>
    <t xml:space="preserve"> 38.P.4</t>
  </si>
  <si>
    <t xml:space="preserve"> 38.L.a &amp; b</t>
  </si>
  <si>
    <t xml:space="preserve"> 38.O</t>
  </si>
  <si>
    <t xml:space="preserve"> 74 C.5</t>
  </si>
  <si>
    <t xml:space="preserve"> 74.A.3.c</t>
  </si>
  <si>
    <t xml:space="preserve"> 38.T</t>
  </si>
  <si>
    <t>ECR#:</t>
  </si>
  <si>
    <t>Eff Dt:</t>
  </si>
  <si>
    <t>Copied From:</t>
  </si>
  <si>
    <t>PROPERTY RATING INFORMATON</t>
  </si>
  <si>
    <t>BASIC RATING FOR BUILDING &amp; PERSONAL PROPERTY</t>
  </si>
  <si>
    <t>ADDITIONAL RULES</t>
  </si>
  <si>
    <t>A3</t>
  </si>
  <si>
    <t>Building Code Effectiveness Grading</t>
  </si>
  <si>
    <t>A5</t>
  </si>
  <si>
    <t>Green Updates</t>
  </si>
  <si>
    <t>Additional Rule</t>
  </si>
  <si>
    <t>PDC WEBSITE RATING INFORMATION</t>
  </si>
  <si>
    <t>Rates verified by Ratabase Comparison &amp; Oncore</t>
  </si>
  <si>
    <t>81.E.4.</t>
  </si>
  <si>
    <t>Sage Exception Pg</t>
  </si>
  <si>
    <t>OPTIONAL COVERAGE RATING</t>
  </si>
  <si>
    <t>ISO-Countrywide</t>
  </si>
  <si>
    <t>85.L.3.</t>
  </si>
  <si>
    <t>Basic Grp I - Special Class Loss Costs</t>
  </si>
  <si>
    <t>11/01/08 EX PG</t>
  </si>
  <si>
    <t>LI-CF-2009-109</t>
  </si>
  <si>
    <t>Basic Group I Class Rates
( Loss Costs )</t>
  </si>
  <si>
    <t>85.L.</t>
  </si>
  <si>
    <t>Special Class - Exceptions</t>
  </si>
  <si>
    <t>Earthquake &amp; Volcanic Eruption</t>
  </si>
  <si>
    <t>Windstorm or Hail % Deductibles</t>
  </si>
  <si>
    <t>Multiple Residential Properties - Special Credits</t>
  </si>
  <si>
    <t>Common Time Elements</t>
  </si>
  <si>
    <t>54.B.4.</t>
  </si>
  <si>
    <t>Common TE - Utility Services</t>
  </si>
  <si>
    <t>01/01/01 LC</t>
  </si>
  <si>
    <t>Loss Cost Multipliers / Co. Deviations</t>
  </si>
  <si>
    <t>Company</t>
  </si>
  <si>
    <t>LCM</t>
  </si>
  <si>
    <t>Deviation</t>
  </si>
  <si>
    <t>Building &amp; Pers Pty Cov Options</t>
  </si>
  <si>
    <t>50 &amp; 51</t>
  </si>
  <si>
    <t>52 &amp; 53</t>
  </si>
  <si>
    <t>Extra Expense Coverage Options &amp; Forms</t>
  </si>
  <si>
    <t>Business Income Coverage Options &amp; Forms</t>
  </si>
  <si>
    <t>( +/- 25 )</t>
  </si>
  <si>
    <t>Supplemental Rating Plan ( SRP )</t>
  </si>
  <si>
    <t>8B</t>
  </si>
  <si>
    <t>2ltr Code:</t>
  </si>
  <si>
    <t>Hvy Timber Joisted-Msnry</t>
  </si>
  <si>
    <t>Sup Non-Combustible</t>
  </si>
  <si>
    <t>Sup Mas Non-Combust.</t>
  </si>
  <si>
    <t>X  Prior/Intended Class - Loss Cost</t>
  </si>
  <si>
    <t>Occ Category</t>
  </si>
  <si>
    <t>X  Building LOI Relativity Factor</t>
  </si>
  <si>
    <t>RULE 70-72. COUNTRYWIDE - CAUSE OF LOSS - RELATIVITY FACTORS ( BUILDING )</t>
  </si>
  <si>
    <t>Sage 01/01/2011</t>
  </si>
  <si>
    <t>RULE 70-72. COUNTRYWIDE - CAUSE OF LOSS - RELATIVITY FACTORS ( PERSONAL PROPERTY )</t>
  </si>
  <si>
    <t>BUILDING - BASIC GROUP I</t>
  </si>
  <si>
    <t>GROUP II</t>
  </si>
  <si>
    <t>BROAD</t>
  </si>
  <si>
    <t>SPECIAL</t>
  </si>
  <si>
    <t>PERSONAL PROPERTY - BASIC GROUP I</t>
  </si>
  <si>
    <t>Limit of</t>
  </si>
  <si>
    <t>Construction Class</t>
  </si>
  <si>
    <t>Rule 70.E.2.d.(1)</t>
  </si>
  <si>
    <t>Rule 71.E. # 1</t>
  </si>
  <si>
    <t>Rule 72.E.2.c.(3)</t>
  </si>
  <si>
    <t>Rule 70.E.2.d.(2)</t>
  </si>
  <si>
    <t>Rule 71.E. # 2</t>
  </si>
  <si>
    <t>Rule 72.E.2.c.(6)</t>
  </si>
  <si>
    <t>Insurance</t>
  </si>
  <si>
    <t>BA2</t>
  </si>
  <si>
    <t>( Table_LOI_Bldg )</t>
  </si>
  <si>
    <t>( Table_LOI_PP )</t>
  </si>
  <si>
    <t>( DF_SprLkg )</t>
  </si>
  <si>
    <t>* 1/1/11 Edition Date</t>
  </si>
  <si>
    <t>70.G.3.b.</t>
  </si>
  <si>
    <t>38.A.4.b.</t>
  </si>
  <si>
    <t>38.T.4.b.</t>
  </si>
  <si>
    <t>RTC</t>
  </si>
  <si>
    <t>Arizona Earthquake Rates</t>
  </si>
  <si>
    <t>(Table_EQ_SprLkgExt)</t>
  </si>
  <si>
    <t>X  Personal Property LOI Relativity Factor</t>
  </si>
  <si>
    <t xml:space="preserve">Table 72.E.2.c.(4). Watchman Svc Mod Factors </t>
  </si>
  <si>
    <t>Sage Ed 1/1/11</t>
  </si>
  <si>
    <t>( Table_Watchman )</t>
  </si>
  <si>
    <t>* This has not been implemented in worksheet</t>
  </si>
  <si>
    <t>Occupancy Category</t>
  </si>
  <si>
    <t>Residential Apts &amp; Condos</t>
  </si>
  <si>
    <t>Mercantile - High</t>
  </si>
  <si>
    <t>Mercantile - Medium</t>
  </si>
  <si>
    <t>Mercantile - Low</t>
  </si>
  <si>
    <t>Motels &amp; Hotels</t>
  </si>
  <si>
    <t>Institutional - High</t>
  </si>
  <si>
    <t>Industrial and Processing - High</t>
  </si>
  <si>
    <t>Institutional - Low</t>
  </si>
  <si>
    <t>Industrial and Processing - Low</t>
  </si>
  <si>
    <t>Service - High</t>
  </si>
  <si>
    <t>Service - Low</t>
  </si>
  <si>
    <t>Brief Desc.</t>
  </si>
  <si>
    <t>Motels/Hotels</t>
  </si>
  <si>
    <t>Inst - High</t>
  </si>
  <si>
    <t>Inst - Low</t>
  </si>
  <si>
    <t>Ind/Proc - High</t>
  </si>
  <si>
    <t>Ind/Proc - Low</t>
  </si>
  <si>
    <t>Svc - High</t>
  </si>
  <si>
    <t>Svc - Low</t>
  </si>
  <si>
    <t>Merc - High</t>
  </si>
  <si>
    <t>Merc - Med</t>
  </si>
  <si>
    <t>Merc - Low</t>
  </si>
  <si>
    <t>( Table_Special_PP )</t>
  </si>
  <si>
    <t>(List_NA)</t>
  </si>
  <si>
    <t>Special - Territory Code:</t>
  </si>
  <si>
    <t>Rule 85. Territory Multipliers</t>
  </si>
  <si>
    <t>(Table_TerrMult_SP)</t>
  </si>
  <si>
    <t>Rule 72.E.2.c.(2) Special Form - Territory Multipliers</t>
  </si>
  <si>
    <t>(List_Blank)</t>
  </si>
  <si>
    <t>Excluding</t>
  </si>
  <si>
    <t>TYPE OF THEFT</t>
  </si>
  <si>
    <t>Customer #:</t>
  </si>
  <si>
    <t>X  Special - Theft Exclusion Factor</t>
  </si>
  <si>
    <t>(List_PP_Types)</t>
  </si>
  <si>
    <r>
      <t>PPO</t>
    </r>
    <r>
      <rPr>
        <sz val="8"/>
        <rFont val="Arial"/>
        <family val="2"/>
      </rPr>
      <t xml:space="preserve"> - Personal Pty of Others Limit:</t>
    </r>
  </si>
  <si>
    <r>
      <t>HPP</t>
    </r>
    <r>
      <rPr>
        <sz val="8"/>
        <rFont val="Arial"/>
        <family val="2"/>
      </rPr>
      <t xml:space="preserve"> - Household Personal Pty Limit:</t>
    </r>
  </si>
  <si>
    <r>
      <t>STK</t>
    </r>
    <r>
      <rPr>
        <sz val="8"/>
        <rFont val="Arial"/>
        <family val="2"/>
      </rPr>
      <t xml:space="preserve"> - Stock Personal Pty Limit:</t>
    </r>
  </si>
  <si>
    <r>
      <t>OTH</t>
    </r>
    <r>
      <rPr>
        <sz val="8"/>
        <rFont val="Arial"/>
        <family val="2"/>
      </rPr>
      <t xml:space="preserve"> - Other Personal Pty Limit:</t>
    </r>
  </si>
  <si>
    <r>
      <t xml:space="preserve">PPI - </t>
    </r>
    <r>
      <rPr>
        <sz val="8"/>
        <rFont val="Arial"/>
        <family val="2"/>
      </rPr>
      <t>Personal Pty of Insured Limit:</t>
    </r>
  </si>
  <si>
    <t>PPI - Personal Pty of Insured Limit:</t>
  </si>
  <si>
    <t>A - Loss to the Undamaged Building Premium</t>
  </si>
  <si>
    <t>B - Demolition Cost Premium</t>
  </si>
  <si>
    <t>C - Increase Cost of Construction Premium</t>
  </si>
  <si>
    <t>Bulding - Loss Cost</t>
  </si>
  <si>
    <t>X  Cov A - Limit of Insurance/100</t>
  </si>
  <si>
    <t>X  Undamaged Portion Factor</t>
  </si>
  <si>
    <t>X  Cov A - Building LOI Relativity Factor</t>
  </si>
  <si>
    <t>Cov A - Ord Law Premium</t>
  </si>
  <si>
    <t>Cov B - Ord Law Premium</t>
  </si>
  <si>
    <t>Cov C - Ord Law Premium</t>
  </si>
  <si>
    <t>Special Class Col Refs</t>
  </si>
  <si>
    <t>( Table_SpecialCR )</t>
  </si>
  <si>
    <t>LC - Incl.</t>
  </si>
  <si>
    <t>Rule 72.E.2.c.(2) Special Form - Personal Property LC</t>
  </si>
  <si>
    <t>Alcoholic Bev - Theft Only</t>
  </si>
  <si>
    <t>Alcoholic Bev - All Perils - Excluding Theft</t>
  </si>
  <si>
    <t>X  All Perils - PP LOI Relativity Factor</t>
  </si>
  <si>
    <t>X  Theft Only - PP LOI Relativity Factor</t>
  </si>
  <si>
    <t>AB - All Perils PP Premium</t>
  </si>
  <si>
    <t>AB - Theft Only PP Premium</t>
  </si>
  <si>
    <t>Alcoholic Bev Tax Excl Premium</t>
  </si>
  <si>
    <t>Alcoholic Bev Tax Excl Premium (Difference)</t>
  </si>
  <si>
    <t>-  AB - All Perils PP Premium</t>
  </si>
  <si>
    <t>Total Coverage A - Ord or Law Premium:</t>
  </si>
  <si>
    <t>Total Coverage B - Ord or Law Premium:</t>
  </si>
  <si>
    <t>Total Coverage C - Ord or Law Premium:</t>
  </si>
  <si>
    <t>I</t>
  </si>
  <si>
    <t>X  BI Base Rate Adj Factor</t>
  </si>
  <si>
    <t>50.D.2</t>
  </si>
  <si>
    <t>BI Grp I - Base Rt Adj Factor</t>
  </si>
  <si>
    <t>BI Grp II - Base Rt Adj Factor</t>
  </si>
  <si>
    <t>* Info Needs to be Updated below</t>
  </si>
  <si>
    <t>* For expediency sake I made Apts/Condos &amp; SP excl Theft the same rates</t>
  </si>
  <si>
    <t>X   Peak Season - Limit of Insurance / 100</t>
  </si>
  <si>
    <t>Peak Season Limit Premium</t>
  </si>
  <si>
    <t>Regular PP Season Premium</t>
  </si>
  <si>
    <t>Total</t>
  </si>
  <si>
    <t>Peak Season</t>
  </si>
  <si>
    <t>Reg. Season</t>
  </si>
  <si>
    <t>X  PP LOI Relativity Factor</t>
  </si>
  <si>
    <t>X  Peak Season - LOI Relativity Factor</t>
  </si>
  <si>
    <t>Personal Pty - Final Rate</t>
  </si>
  <si>
    <t>Regular Personal Property Premium</t>
  </si>
  <si>
    <t>Additional Personal Property Coverage(s)</t>
  </si>
  <si>
    <t>PPO PP Premium</t>
  </si>
  <si>
    <t>Final PPO PP Premium</t>
  </si>
  <si>
    <t>HPP PP Premium</t>
  </si>
  <si>
    <t>Final HPP PP Premium</t>
  </si>
  <si>
    <t>STK PP Premium</t>
  </si>
  <si>
    <t>Final STK PP Premium</t>
  </si>
  <si>
    <t>OTH PP Premium</t>
  </si>
  <si>
    <t>Final OTH PP Premium</t>
  </si>
  <si>
    <t>Final PP Rate</t>
  </si>
  <si>
    <t>Rate Departure Factor (RDF)</t>
  </si>
  <si>
    <t>Modified Coverage Base Rate</t>
  </si>
  <si>
    <t>Rate Modifcation Factor (RMF)</t>
  </si>
  <si>
    <t>X  Modified Coverage Base Rate</t>
  </si>
  <si>
    <t>Prot Class</t>
  </si>
  <si>
    <t>Gr II - Symbol</t>
  </si>
  <si>
    <t>Location Limit</t>
  </si>
  <si>
    <t>Loc #</t>
  </si>
  <si>
    <t>Total Location Limits:</t>
  </si>
  <si>
    <t>BLANKET - COMMERCIAL PROPERTY PREMIUMS</t>
  </si>
  <si>
    <t>Loc 1</t>
  </si>
  <si>
    <t>Loc 2</t>
  </si>
  <si>
    <t>Loc 3</t>
  </si>
  <si>
    <t>Loc 4</t>
  </si>
  <si>
    <t>Loc 5</t>
  </si>
  <si>
    <t>Group I - Rate</t>
  </si>
  <si>
    <t>STEP 1 - Loc. Premiums (80% CoIns )</t>
  </si>
  <si>
    <t>STEP 2 - Calculation of Blanket Rates</t>
  </si>
  <si>
    <t>100% Value of Location Limit</t>
  </si>
  <si>
    <t>Total Location Limit</t>
  </si>
  <si>
    <t>/  Total Location Limit</t>
  </si>
  <si>
    <r>
      <rPr>
        <sz val="8"/>
        <rFont val="Arial"/>
        <family val="2"/>
      </rPr>
      <t>(Rounded to 0.xx)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100% Value / Total Limit</t>
    </r>
  </si>
  <si>
    <t>X  90% of Total Location Limit</t>
  </si>
  <si>
    <t>Proportional Blanket Limit</t>
  </si>
  <si>
    <t>( List_BlanketCoIns )</t>
  </si>
  <si>
    <t>90 Percent</t>
  </si>
  <si>
    <t>100 Percent</t>
  </si>
  <si>
    <t>Interpolated LOI Lower Limit</t>
  </si>
  <si>
    <t>Interpolated LOI Higher Limit</t>
  </si>
  <si>
    <t>X  LOI Bldg Relativity Factor</t>
  </si>
  <si>
    <r>
      <rPr>
        <sz val="8"/>
        <rFont val="Arial"/>
        <family val="2"/>
      </rPr>
      <t>( Step 1 X LOI )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Adjusted Rate</t>
    </r>
  </si>
  <si>
    <t>X  100% Location Limit</t>
  </si>
  <si>
    <t>Adjusted Location Limit</t>
  </si>
  <si>
    <t>STEP 3 &amp; 4 - Final Blanket Rate</t>
  </si>
  <si>
    <t>Sum of Location Premiums (Loc 1-5)</t>
  </si>
  <si>
    <r>
      <rPr>
        <sz val="8"/>
        <rFont val="Arial"/>
        <family val="2"/>
      </rPr>
      <t>( Rounded to mil )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Group I - Blanket Rate</t>
    </r>
  </si>
  <si>
    <t>X  Blanket Coinsurance Factor</t>
  </si>
  <si>
    <t>Final Grp I - Blanket Rate</t>
  </si>
  <si>
    <t>Location 1</t>
  </si>
  <si>
    <t>Location 2</t>
  </si>
  <si>
    <t>Location 3</t>
  </si>
  <si>
    <t>Location 4</t>
  </si>
  <si>
    <t>Location 5</t>
  </si>
  <si>
    <t>Location Blanket Premiums</t>
  </si>
  <si>
    <t>X  Grp I - Blanket Rate</t>
  </si>
  <si>
    <t>Group I - Location Premiums</t>
  </si>
  <si>
    <t>Location - Limit of Insurance / 100</t>
  </si>
  <si>
    <t>BUILDING COVERAGE INFORMATION</t>
  </si>
  <si>
    <t>COVERAGE SELECTION</t>
  </si>
  <si>
    <t>PERSONAL PROPERTY COVERAGE INFORMATION</t>
  </si>
  <si>
    <t>BUSINESS INCOME COVERAGE INFORMATION</t>
  </si>
  <si>
    <t>EXTRA EXPENSE COVERAGE INFORMATION</t>
  </si>
  <si>
    <t>TOTAL PREMIUMS:</t>
  </si>
  <si>
    <t>PERSONAL PROPERTY</t>
  </si>
  <si>
    <t>BUSINESS INCOME</t>
  </si>
  <si>
    <t>EXTRA EXPENSE</t>
  </si>
  <si>
    <t>Limits of Loss</t>
  </si>
  <si>
    <t>Group II - Rate</t>
  </si>
  <si>
    <t>BUILDING - BLANKET RATING - GROUP I</t>
  </si>
  <si>
    <t>BUILDING - BLANKET RATING - GROUP II</t>
  </si>
  <si>
    <t>Building Coinsurance %:</t>
  </si>
  <si>
    <t>PP Coinsurance %:</t>
  </si>
  <si>
    <t>Constr</t>
  </si>
  <si>
    <r>
      <rPr>
        <sz val="8"/>
        <rFont val="Arial"/>
        <family val="2"/>
      </rPr>
      <t>( Rounded to mil )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Group II - Blanket Rate</t>
    </r>
  </si>
  <si>
    <t>Final Grp II - Blanket Rate</t>
  </si>
  <si>
    <t>Group II - Location Premiums</t>
  </si>
  <si>
    <t>Rule 34. Specific &amp; Blanket Insurance</t>
  </si>
  <si>
    <t>CoInsurance %</t>
  </si>
  <si>
    <t>( Table_CoIns_Blanket )</t>
  </si>
  <si>
    <t>Debris Removal - Final Rate</t>
  </si>
  <si>
    <t>Rate Modification Factor (RMF)</t>
  </si>
  <si>
    <t>X  ( Sprinkler Lkg Exclusion Factor</t>
  </si>
  <si>
    <t>TERRITORY 1</t>
  </si>
  <si>
    <t>Modified BI Base Rate</t>
  </si>
  <si>
    <t>+  Underground - Mining Property Factor )</t>
  </si>
  <si>
    <r>
      <t xml:space="preserve">OR  </t>
    </r>
    <r>
      <rPr>
        <sz val="10"/>
        <rFont val="Arial"/>
        <family val="2"/>
      </rPr>
      <t>X  ( Max Period of Indemnity Factor</t>
    </r>
  </si>
  <si>
    <t>EE Final Rate</t>
  </si>
  <si>
    <t>Building Base Rate</t>
  </si>
  <si>
    <t>Building Base Rate Algorithm</t>
  </si>
  <si>
    <t>Cov A - Ord Law Base Rate</t>
  </si>
  <si>
    <r>
      <t xml:space="preserve">Ord or Law: Coverage A - Loss to Undamaged Portion of Building </t>
    </r>
    <r>
      <rPr>
        <b/>
        <i/>
        <sz val="10"/>
        <color rgb="FF0000FF"/>
        <rFont val="Arial"/>
        <family val="2"/>
      </rPr>
      <t>( Replacement Cost )</t>
    </r>
  </si>
  <si>
    <t>X  Cov B - Building LOI Relativity Factor</t>
  </si>
  <si>
    <t>X  Cov C - Building LOI Relativity Factor</t>
  </si>
  <si>
    <r>
      <t xml:space="preserve">Ord or Law: Coverage A - Loss to Undamaged Portion of Building </t>
    </r>
    <r>
      <rPr>
        <b/>
        <i/>
        <sz val="10"/>
        <color rgb="FF0000FF"/>
        <rFont val="Arial"/>
        <family val="2"/>
      </rPr>
      <t>( Actual Cost )</t>
    </r>
  </si>
  <si>
    <t>X  PP - Special Occupancy Rate</t>
  </si>
  <si>
    <t>Alcoholic/Beverage - Base Rate</t>
  </si>
  <si>
    <t>Alcoholic / Beverage - Base Rate</t>
  </si>
  <si>
    <t>X  All Perils PP - Limit of Ins / 100</t>
  </si>
  <si>
    <t>X  Theft Only PP - Limit of Ins / 100</t>
  </si>
  <si>
    <t>Peak Season Final Rate</t>
  </si>
  <si>
    <t>COMMERCIAL PROPERTY RATING WORKSHEET</t>
  </si>
  <si>
    <t>Quote Description:</t>
  </si>
  <si>
    <t>Effective Date:</t>
  </si>
  <si>
    <t>Quote Date:</t>
  </si>
  <si>
    <t>(List_PP_Types2)</t>
  </si>
  <si>
    <r>
      <t xml:space="preserve">PPI - </t>
    </r>
    <r>
      <rPr>
        <sz val="8"/>
        <rFont val="Arial"/>
        <family val="2"/>
      </rPr>
      <t>Personal Pty</t>
    </r>
  </si>
  <si>
    <r>
      <t>PPO</t>
    </r>
    <r>
      <rPr>
        <sz val="8"/>
        <rFont val="Arial"/>
        <family val="2"/>
      </rPr>
      <t xml:space="preserve"> - Personal Pty of Others</t>
    </r>
  </si>
  <si>
    <r>
      <t>HPP</t>
    </r>
    <r>
      <rPr>
        <sz val="8"/>
        <rFont val="Arial"/>
        <family val="2"/>
      </rPr>
      <t xml:space="preserve"> - Household Personal Pty</t>
    </r>
  </si>
  <si>
    <r>
      <t>STK</t>
    </r>
    <r>
      <rPr>
        <sz val="8"/>
        <rFont val="Arial"/>
        <family val="2"/>
      </rPr>
      <t xml:space="preserve"> - Stock Personal Pty</t>
    </r>
  </si>
  <si>
    <r>
      <t>OTH</t>
    </r>
    <r>
      <rPr>
        <sz val="8"/>
        <rFont val="Arial"/>
        <family val="2"/>
      </rPr>
      <t xml:space="preserve"> - Other Personal Pty</t>
    </r>
  </si>
  <si>
    <t>Total PP Limit of Insurance:</t>
  </si>
  <si>
    <t>PPI - Personal Pty</t>
  </si>
  <si>
    <t>HPP - Household Personal Pty Limit:</t>
  </si>
  <si>
    <t>Total Personal Pty Premium w/ Terrorism</t>
  </si>
  <si>
    <t>TOTAL LOCATION PREMIUM w/ Terrorism</t>
  </si>
  <si>
    <t>TOTALS:</t>
  </si>
  <si>
    <t>TOTAL PREMIUM:</t>
  </si>
  <si>
    <t>TOT PREMIUM</t>
  </si>
  <si>
    <t>TAB NAME</t>
  </si>
  <si>
    <t>LOC #</t>
  </si>
  <si>
    <t>Group I | Group II:</t>
  </si>
  <si>
    <t>Special | Broad:</t>
  </si>
  <si>
    <t>Blanket Final Rate:</t>
  </si>
  <si>
    <t>BUILDING - BLANKET RATING - SPECIAL</t>
  </si>
  <si>
    <t>BUILDING - BLANKET RATING - BROAD</t>
  </si>
  <si>
    <t>Special - Rate</t>
  </si>
  <si>
    <t>Broad - Rate</t>
  </si>
  <si>
    <t>Broad Form - Column Ref:</t>
  </si>
  <si>
    <t>PERSONAL PROPERTY - BLANKET RATING - GROUP I</t>
  </si>
  <si>
    <t>PERSONAL PROPERTY - BLANKET RATING - GROUP II</t>
  </si>
  <si>
    <t>PERSONAL PROPERTY - BLANKET RATING - SPECIAL</t>
  </si>
  <si>
    <t>PERSONAL PROPERTY - BLANKET RATING - BROAD</t>
  </si>
  <si>
    <t>Total Location Premium w/o Terrorism</t>
  </si>
  <si>
    <t>Totals:</t>
  </si>
  <si>
    <t>Total Optional Coverage</t>
  </si>
  <si>
    <t>TOTAL LOCATION PREMIUM</t>
  </si>
  <si>
    <t>CONNECTICUT</t>
  </si>
  <si>
    <t>Minnesota PROPERTY 2011-01-01 Rating v1.xlsm</t>
  </si>
  <si>
    <t>CT</t>
  </si>
  <si>
    <t>CSP FULL CLASS RATE LIST</t>
  </si>
  <si>
    <t>201010140335</t>
  </si>
  <si>
    <t>0004514584</t>
  </si>
  <si>
    <t>CF-2009-RLC09</t>
  </si>
  <si>
    <t>Entire State - CT</t>
  </si>
  <si>
    <t>New Haven</t>
  </si>
  <si>
    <t>Fairfield, Hartford</t>
  </si>
  <si>
    <t>Fairfield &amp; New Haven</t>
  </si>
  <si>
    <t>( Table_TerrorFire )</t>
  </si>
  <si>
    <t>Conditional or Post TRIA</t>
  </si>
  <si>
    <t>Excl w/ Fire Exception</t>
  </si>
  <si>
    <t>* Fire Only</t>
  </si>
  <si>
    <t>#14 - R15 - MISC (BLANKET)</t>
  </si>
  <si>
    <t>TC1_BLDG1</t>
  </si>
  <si>
    <t>TC1_BLDG2</t>
  </si>
  <si>
    <t>TC1_BLDG3</t>
  </si>
  <si>
    <t>TC1_PP1</t>
  </si>
  <si>
    <t>TC1_PP2</t>
  </si>
  <si>
    <t>TC1_PP3</t>
  </si>
  <si>
    <t>* Use Territory 1 Rates</t>
  </si>
  <si>
    <t>PP Occupancy Code:</t>
  </si>
  <si>
    <t>#15 - R31 - PP - SPECIAL HPP</t>
  </si>
  <si>
    <t>TC2_PP1</t>
  </si>
  <si>
    <t>TC2_PP2</t>
  </si>
  <si>
    <t>TC2_PP3</t>
  </si>
  <si>
    <t>HPP - Household Personal Pty</t>
  </si>
  <si>
    <t>PPO - Personal Pty of Others</t>
  </si>
  <si>
    <t>#16 - R34 - BLANKET - GANY</t>
  </si>
  <si>
    <t>Deductible Amt | Factor:</t>
  </si>
  <si>
    <t>TC3_BLDG1</t>
  </si>
  <si>
    <t>TC3_BLDG2</t>
  </si>
  <si>
    <t>TC3_BLDG3</t>
  </si>
  <si>
    <t>TC3_PP1</t>
  </si>
  <si>
    <t>TC3_PP2</t>
  </si>
  <si>
    <t>TC3_PP3</t>
  </si>
  <si>
    <t>X  Special - Territory Multiplier</t>
  </si>
  <si>
    <t>X   Territory Multiplier</t>
  </si>
  <si>
    <r>
      <t xml:space="preserve">Enter the </t>
    </r>
    <r>
      <rPr>
        <b/>
        <sz val="10"/>
        <rFont val="Arial"/>
        <family val="2"/>
      </rPr>
      <t>Special</t>
    </r>
    <r>
      <rPr>
        <sz val="10"/>
        <rFont val="Arial"/>
        <family val="2"/>
      </rPr>
      <t xml:space="preserve"> - Territory Multiplier:</t>
    </r>
  </si>
  <si>
    <r>
      <t xml:space="preserve">Enter the </t>
    </r>
    <r>
      <rPr>
        <b/>
        <sz val="10"/>
        <rFont val="Arial"/>
        <family val="2"/>
      </rPr>
      <t>Grp I</t>
    </r>
    <r>
      <rPr>
        <sz val="10"/>
        <rFont val="Arial"/>
        <family val="2"/>
      </rPr>
      <t xml:space="preserve"> - Territory Multiplier: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</si>
</sst>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6" formatCode="&quot;$&quot;#,##0_);[Red]\(&quot;$&quot;#,##0\)"/>
    <numFmt numFmtId="44" formatCode="_(&quot;$&quot;* #,##0.00_);_(&quot;$&quot;* \(#,##0.00\);_(&quot;$&quot;* &quot;-&quot;??_);_(@_)"/>
    <numFmt numFmtId="164" formatCode="0.000"/>
    <numFmt numFmtId="165" formatCode="#,##0.000"/>
    <numFmt numFmtId="166" formatCode="0.0000"/>
    <numFmt numFmtId="167" formatCode="0.0"/>
    <numFmt numFmtId="168" formatCode="_(&quot;$&quot;* #,##0_);_(&quot;$&quot;* \(#,##0\);_(&quot;$&quot;* &quot;-&quot;??_);_(@_)"/>
    <numFmt numFmtId="169" formatCode="&quot;$&quot;#,##0.00"/>
    <numFmt numFmtId="170" formatCode="&quot;$&quot;#,##0"/>
    <numFmt numFmtId="171" formatCode="mm/dd/yy;@"/>
    <numFmt numFmtId="172" formatCode="mm/dd/yyyy;@"/>
  </numFmts>
  <fonts count="8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10"/>
      <color indexed="9"/>
      <name val="Arial"/>
      <family val="2"/>
    </font>
    <font>
      <b/>
      <sz val="8"/>
      <name val="Arial Narrow"/>
      <family val="2"/>
    </font>
    <font>
      <sz val="10"/>
      <color indexed="9"/>
      <name val="Arial"/>
      <family val="2"/>
    </font>
    <font>
      <sz val="10"/>
      <color indexed="55"/>
      <name val="Arial"/>
      <family val="2"/>
    </font>
    <font>
      <b/>
      <sz val="8"/>
      <color indexed="12"/>
      <name val="Arial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6"/>
      <color indexed="8"/>
      <name val="Arial"/>
      <family val="2"/>
    </font>
    <font>
      <u/>
      <sz val="10"/>
      <name val="Arial"/>
      <family val="2"/>
    </font>
    <font>
      <b/>
      <sz val="9"/>
      <name val="Arial Narrow"/>
      <family val="2"/>
    </font>
    <font>
      <sz val="8"/>
      <color indexed="8"/>
      <name val="Arial"/>
      <family val="2"/>
    </font>
    <font>
      <sz val="10"/>
      <color indexed="54"/>
      <name val="Arial"/>
      <family val="2"/>
    </font>
    <font>
      <sz val="10"/>
      <color indexed="54"/>
      <name val="Arial"/>
      <family val="2"/>
    </font>
    <font>
      <sz val="9"/>
      <color indexed="54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b/>
      <sz val="8"/>
      <color indexed="18"/>
      <name val="Arial"/>
      <family val="2"/>
    </font>
    <font>
      <sz val="10"/>
      <color indexed="62"/>
      <name val="Arial"/>
      <family val="2"/>
    </font>
    <font>
      <b/>
      <sz val="7"/>
      <color indexed="12"/>
      <name val="Arial"/>
      <family val="2"/>
    </font>
    <font>
      <b/>
      <sz val="9"/>
      <color indexed="23"/>
      <name val="Arial"/>
      <family val="2"/>
    </font>
    <font>
      <sz val="12"/>
      <name val="Symbol"/>
      <family val="1"/>
      <charset val="2"/>
    </font>
    <font>
      <sz val="10"/>
      <color indexed="22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9"/>
      <color indexed="62"/>
      <name val="Arial"/>
      <family val="2"/>
    </font>
    <font>
      <sz val="8"/>
      <color indexed="62"/>
      <name val="Arial"/>
      <family val="2"/>
    </font>
    <font>
      <sz val="9.5"/>
      <name val="Arial"/>
      <family val="2"/>
    </font>
    <font>
      <b/>
      <sz val="8"/>
      <color indexed="62"/>
      <name val="Arial"/>
      <family val="2"/>
    </font>
    <font>
      <sz val="10"/>
      <color indexed="12"/>
      <name val="Arial"/>
      <family val="2"/>
    </font>
    <font>
      <sz val="10"/>
      <color indexed="62"/>
      <name val="Arial"/>
      <family val="2"/>
    </font>
    <font>
      <sz val="8"/>
      <color indexed="22"/>
      <name val="Arial"/>
      <family val="2"/>
    </font>
    <font>
      <sz val="9"/>
      <color indexed="22"/>
      <name val="Arial"/>
      <family val="2"/>
    </font>
    <font>
      <b/>
      <sz val="9"/>
      <color indexed="22"/>
      <name val="Arial"/>
      <family val="2"/>
    </font>
    <font>
      <b/>
      <sz val="9"/>
      <color indexed="18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sz val="10"/>
      <color indexed="18"/>
      <name val="Arial"/>
      <family val="2"/>
    </font>
    <font>
      <b/>
      <sz val="7"/>
      <name val="Arial"/>
      <family val="2"/>
    </font>
    <font>
      <sz val="9"/>
      <color indexed="62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sz val="9"/>
      <color indexed="54"/>
      <name val="Arial"/>
      <family val="2"/>
    </font>
    <font>
      <b/>
      <sz val="10"/>
      <color indexed="12"/>
      <name val="Arial"/>
      <family val="2"/>
    </font>
    <font>
      <b/>
      <sz val="8"/>
      <color indexed="10"/>
      <name val="Arial"/>
      <family val="2"/>
    </font>
    <font>
      <b/>
      <u/>
      <sz val="8"/>
      <name val="Arial"/>
      <family val="2"/>
    </font>
    <font>
      <sz val="8"/>
      <color rgb="FF0000FF"/>
      <name val="Arial"/>
      <family val="2"/>
    </font>
    <font>
      <sz val="8"/>
      <color rgb="FFFF0000"/>
      <name val="Arial"/>
      <family val="2"/>
    </font>
    <font>
      <b/>
      <sz val="8"/>
      <color rgb="FF0000FF"/>
      <name val="Arial"/>
      <family val="2"/>
    </font>
    <font>
      <b/>
      <sz val="8"/>
      <color theme="0"/>
      <name val="Arial"/>
      <family val="2"/>
    </font>
    <font>
      <sz val="8"/>
      <color theme="0" tint="-0.499984740745262"/>
      <name val="Arial"/>
      <family val="2"/>
    </font>
    <font>
      <b/>
      <sz val="8"/>
      <color rgb="FFFF0000"/>
      <name val="Arial"/>
      <family val="2"/>
    </font>
    <font>
      <i/>
      <sz val="10"/>
      <color theme="3" tint="-0.249977111117893"/>
      <name val="Arial"/>
      <family val="2"/>
    </font>
    <font>
      <b/>
      <sz val="9"/>
      <color rgb="FFFF0000"/>
      <name val="Arial"/>
      <family val="2"/>
    </font>
    <font>
      <b/>
      <i/>
      <sz val="10"/>
      <name val="Arial"/>
      <family val="2"/>
    </font>
    <font>
      <sz val="10"/>
      <color theme="0"/>
      <name val="Arial"/>
      <family val="2"/>
    </font>
    <font>
      <b/>
      <sz val="9"/>
      <color theme="0"/>
      <name val="Arial"/>
      <family val="2"/>
    </font>
    <font>
      <i/>
      <sz val="10"/>
      <name val="Arial"/>
      <family val="2"/>
    </font>
    <font>
      <b/>
      <i/>
      <sz val="10"/>
      <color rgb="FF0000FF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i/>
      <sz val="8"/>
      <color theme="3" tint="-0.249977111117893"/>
      <name val="Arial"/>
      <family val="2"/>
    </font>
    <font>
      <sz val="6"/>
      <color rgb="FF0000FF"/>
      <name val="Arial"/>
      <family val="2"/>
    </font>
    <font>
      <b/>
      <sz val="9"/>
      <color rgb="FF0000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</fills>
  <borders count="7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1623">
    <xf numFmtId="0" fontId="0" fillId="0" borderId="0" xfId="0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0" fillId="0" borderId="0" xfId="0" applyBorder="1"/>
    <xf numFmtId="0" fontId="11" fillId="0" borderId="2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/>
    </xf>
    <xf numFmtId="0" fontId="11" fillId="0" borderId="5" xfId="0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 vertical="center"/>
    </xf>
    <xf numFmtId="2" fontId="5" fillId="0" borderId="5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 vertical="center"/>
    </xf>
    <xf numFmtId="0" fontId="11" fillId="0" borderId="6" xfId="0" applyFont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11" fillId="0" borderId="10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16" fontId="5" fillId="0" borderId="11" xfId="0" applyNumberFormat="1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16" fontId="5" fillId="0" borderId="14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0" fillId="0" borderId="1" xfId="0" applyBorder="1"/>
    <xf numFmtId="0" fontId="11" fillId="0" borderId="4" xfId="0" applyFont="1" applyFill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 wrapText="1"/>
    </xf>
    <xf numFmtId="2" fontId="5" fillId="0" borderId="0" xfId="0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2" fontId="12" fillId="0" borderId="2" xfId="0" applyNumberFormat="1" applyFont="1" applyBorder="1" applyAlignment="1">
      <alignment horizontal="center" wrapText="1"/>
    </xf>
    <xf numFmtId="0" fontId="11" fillId="0" borderId="0" xfId="0" applyFont="1" applyFill="1" applyBorder="1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/>
    <xf numFmtId="0" fontId="2" fillId="0" borderId="3" xfId="0" applyFont="1" applyBorder="1"/>
    <xf numFmtId="0" fontId="11" fillId="0" borderId="2" xfId="0" applyFont="1" applyBorder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1" fillId="0" borderId="0" xfId="0" applyFont="1" applyAlignment="1">
      <alignment horizontal="left"/>
    </xf>
    <xf numFmtId="49" fontId="10" fillId="0" borderId="0" xfId="0" applyNumberFormat="1" applyFont="1" applyAlignment="1">
      <alignment horizontal="left" vertical="center"/>
    </xf>
    <xf numFmtId="49" fontId="10" fillId="0" borderId="0" xfId="0" applyNumberFormat="1" applyFont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1" fillId="0" borderId="17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1" fillId="0" borderId="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49" fontId="11" fillId="0" borderId="19" xfId="0" applyNumberFormat="1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20" xfId="0" applyFont="1" applyFill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49" fontId="11" fillId="0" borderId="2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11" fillId="0" borderId="24" xfId="0" applyNumberFormat="1" applyFont="1" applyBorder="1" applyAlignment="1">
      <alignment horizontal="center" vertical="center" wrapText="1"/>
    </xf>
    <xf numFmtId="0" fontId="12" fillId="0" borderId="0" xfId="0" applyFont="1" applyBorder="1" applyAlignment="1">
      <alignment wrapText="1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center" vertical="center"/>
    </xf>
    <xf numFmtId="49" fontId="11" fillId="0" borderId="0" xfId="0" applyNumberFormat="1" applyFont="1" applyBorder="1" applyAlignment="1">
      <alignment horizontal="center" vertical="center" wrapText="1"/>
    </xf>
    <xf numFmtId="0" fontId="12" fillId="0" borderId="0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19" xfId="0" applyBorder="1" applyAlignment="1">
      <alignment horizontal="left" vertical="center" indent="1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0" fillId="0" borderId="19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4" xfId="0" applyBorder="1" applyAlignment="1">
      <alignment vertical="center"/>
    </xf>
    <xf numFmtId="0" fontId="10" fillId="0" borderId="17" xfId="0" applyFont="1" applyBorder="1" applyAlignment="1">
      <alignment horizontal="left" vertical="center"/>
    </xf>
    <xf numFmtId="0" fontId="10" fillId="0" borderId="28" xfId="0" applyFont="1" applyBorder="1" applyAlignment="1">
      <alignment horizontal="left" vertical="center"/>
    </xf>
    <xf numFmtId="0" fontId="0" fillId="0" borderId="29" xfId="0" applyBorder="1" applyAlignment="1">
      <alignment horizontal="left" vertical="center" indent="1"/>
    </xf>
    <xf numFmtId="0" fontId="0" fillId="0" borderId="24" xfId="0" applyBorder="1" applyAlignment="1">
      <alignment horizontal="left" vertical="center" indent="3"/>
    </xf>
    <xf numFmtId="0" fontId="0" fillId="0" borderId="24" xfId="0" applyBorder="1" applyAlignment="1">
      <alignment horizontal="right" vertical="center"/>
    </xf>
    <xf numFmtId="0" fontId="0" fillId="0" borderId="30" xfId="0" applyBorder="1" applyAlignment="1">
      <alignment horizontal="right" vertical="center"/>
    </xf>
    <xf numFmtId="0" fontId="0" fillId="0" borderId="31" xfId="0" applyBorder="1" applyAlignment="1">
      <alignment vertical="center"/>
    </xf>
    <xf numFmtId="0" fontId="18" fillId="0" borderId="18" xfId="0" applyFont="1" applyFill="1" applyBorder="1" applyAlignment="1">
      <alignment vertical="center"/>
    </xf>
    <xf numFmtId="0" fontId="18" fillId="0" borderId="30" xfId="0" applyFont="1" applyFill="1" applyBorder="1" applyAlignment="1">
      <alignment vertical="center"/>
    </xf>
    <xf numFmtId="0" fontId="11" fillId="0" borderId="32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3" fillId="0" borderId="33" xfId="0" applyFont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Fill="1" applyBorder="1" applyAlignment="1">
      <alignment vertical="center"/>
    </xf>
    <xf numFmtId="0" fontId="9" fillId="0" borderId="0" xfId="0" applyFont="1"/>
    <xf numFmtId="0" fontId="0" fillId="0" borderId="16" xfId="0" applyBorder="1" applyAlignment="1">
      <alignment vertical="center"/>
    </xf>
    <xf numFmtId="0" fontId="0" fillId="0" borderId="1" xfId="0" applyBorder="1" applyAlignment="1">
      <alignment vertical="center"/>
    </xf>
    <xf numFmtId="0" fontId="10" fillId="0" borderId="31" xfId="0" applyFont="1" applyFill="1" applyBorder="1" applyAlignment="1">
      <alignment vertical="center"/>
    </xf>
    <xf numFmtId="0" fontId="11" fillId="0" borderId="36" xfId="0" applyFont="1" applyFill="1" applyBorder="1" applyAlignment="1">
      <alignment horizontal="right" vertical="center"/>
    </xf>
    <xf numFmtId="0" fontId="0" fillId="0" borderId="37" xfId="0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13" fillId="2" borderId="2" xfId="0" applyFont="1" applyFill="1" applyBorder="1" applyAlignment="1">
      <alignment horizontal="center" vertical="center"/>
    </xf>
    <xf numFmtId="3" fontId="2" fillId="0" borderId="15" xfId="0" applyNumberFormat="1" applyFont="1" applyBorder="1" applyAlignment="1">
      <alignment horizontal="left" vertical="center" indent="2"/>
    </xf>
    <xf numFmtId="3" fontId="2" fillId="0" borderId="7" xfId="0" applyNumberFormat="1" applyFont="1" applyBorder="1" applyAlignment="1">
      <alignment horizontal="left" vertical="center" indent="2"/>
    </xf>
    <xf numFmtId="0" fontId="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1" fillId="0" borderId="38" xfId="0" applyFont="1" applyBorder="1" applyAlignment="1">
      <alignment vertical="center"/>
    </xf>
    <xf numFmtId="2" fontId="19" fillId="0" borderId="34" xfId="0" applyNumberFormat="1" applyFont="1" applyFill="1" applyBorder="1" applyAlignment="1">
      <alignment vertical="center"/>
    </xf>
    <xf numFmtId="0" fontId="9" fillId="0" borderId="37" xfId="0" applyFont="1" applyFill="1" applyBorder="1" applyAlignment="1">
      <alignment horizontal="left" vertical="center"/>
    </xf>
    <xf numFmtId="0" fontId="9" fillId="0" borderId="19" xfId="0" applyFont="1" applyFill="1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10" fillId="0" borderId="17" xfId="0" applyFont="1" applyBorder="1" applyAlignment="1">
      <alignment vertical="center"/>
    </xf>
    <xf numFmtId="0" fontId="0" fillId="0" borderId="19" xfId="0" applyBorder="1" applyAlignment="1">
      <alignment horizontal="left" vertical="center" indent="2"/>
    </xf>
    <xf numFmtId="0" fontId="1" fillId="0" borderId="40" xfId="0" applyFont="1" applyFill="1" applyBorder="1" applyAlignment="1">
      <alignment vertical="center"/>
    </xf>
    <xf numFmtId="0" fontId="0" fillId="0" borderId="24" xfId="0" applyFill="1" applyBorder="1" applyAlignment="1">
      <alignment horizontal="left" vertical="center"/>
    </xf>
    <xf numFmtId="0" fontId="16" fillId="0" borderId="0" xfId="0" applyFont="1" applyFill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171" fontId="22" fillId="0" borderId="0" xfId="0" applyNumberFormat="1" applyFont="1" applyBorder="1" applyAlignment="1">
      <alignment horizontal="center" vertical="center" wrapText="1"/>
    </xf>
    <xf numFmtId="2" fontId="22" fillId="0" borderId="0" xfId="0" applyNumberFormat="1" applyFont="1" applyBorder="1" applyAlignment="1">
      <alignment horizontal="center" vertical="center" wrapText="1"/>
    </xf>
    <xf numFmtId="0" fontId="23" fillId="0" borderId="41" xfId="0" applyFont="1" applyBorder="1" applyAlignment="1">
      <alignment horizontal="left" wrapText="1"/>
    </xf>
    <xf numFmtId="0" fontId="13" fillId="2" borderId="41" xfId="0" applyFont="1" applyFill="1" applyBorder="1" applyAlignment="1">
      <alignment horizontal="center" vertical="center" wrapText="1"/>
    </xf>
    <xf numFmtId="0" fontId="23" fillId="0" borderId="41" xfId="0" applyFont="1" applyBorder="1" applyAlignment="1">
      <alignment horizontal="left" vertical="center" wrapText="1"/>
    </xf>
    <xf numFmtId="171" fontId="23" fillId="0" borderId="41" xfId="0" applyNumberFormat="1" applyFont="1" applyBorder="1" applyAlignment="1">
      <alignment horizontal="center" vertical="center" wrapText="1"/>
    </xf>
    <xf numFmtId="2" fontId="23" fillId="0" borderId="41" xfId="0" applyNumberFormat="1" applyFont="1" applyBorder="1" applyAlignment="1">
      <alignment horizontal="center" vertical="center" wrapText="1"/>
    </xf>
    <xf numFmtId="0" fontId="10" fillId="0" borderId="8" xfId="0" applyFont="1" applyBorder="1"/>
    <xf numFmtId="0" fontId="0" fillId="0" borderId="42" xfId="0" applyBorder="1"/>
    <xf numFmtId="0" fontId="10" fillId="0" borderId="9" xfId="0" quotePrefix="1" applyFont="1" applyBorder="1" applyAlignment="1">
      <alignment horizontal="left"/>
    </xf>
    <xf numFmtId="0" fontId="10" fillId="0" borderId="0" xfId="0" applyFont="1" applyBorder="1"/>
    <xf numFmtId="0" fontId="5" fillId="0" borderId="9" xfId="0" applyFont="1" applyBorder="1"/>
    <xf numFmtId="0" fontId="5" fillId="0" borderId="9" xfId="0" quotePrefix="1" applyFont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9" fillId="0" borderId="37" xfId="0" applyFont="1" applyFill="1" applyBorder="1" applyAlignment="1">
      <alignment horizontal="right" vertical="center" indent="1"/>
    </xf>
    <xf numFmtId="9" fontId="8" fillId="3" borderId="18" xfId="0" applyNumberFormat="1" applyFont="1" applyFill="1" applyBorder="1"/>
    <xf numFmtId="9" fontId="8" fillId="3" borderId="29" xfId="0" applyNumberFormat="1" applyFont="1" applyFill="1" applyBorder="1"/>
    <xf numFmtId="0" fontId="0" fillId="0" borderId="0" xfId="0" applyBorder="1" applyAlignment="1">
      <alignment vertical="center"/>
    </xf>
    <xf numFmtId="0" fontId="10" fillId="0" borderId="43" xfId="0" applyFont="1" applyBorder="1"/>
    <xf numFmtId="0" fontId="10" fillId="0" borderId="44" xfId="0" applyFont="1" applyBorder="1"/>
    <xf numFmtId="0" fontId="0" fillId="0" borderId="44" xfId="0" applyBorder="1"/>
    <xf numFmtId="0" fontId="10" fillId="3" borderId="45" xfId="0" applyFont="1" applyFill="1" applyBorder="1"/>
    <xf numFmtId="0" fontId="0" fillId="0" borderId="0" xfId="0" quotePrefix="1" applyBorder="1" applyAlignment="1">
      <alignment horizontal="left"/>
    </xf>
    <xf numFmtId="0" fontId="10" fillId="0" borderId="0" xfId="0" applyFont="1" applyBorder="1" applyAlignment="1">
      <alignment horizontal="left"/>
    </xf>
    <xf numFmtId="169" fontId="0" fillId="0" borderId="0" xfId="0" quotePrefix="1" applyNumberFormat="1" applyBorder="1" applyAlignment="1">
      <alignment horizontal="left"/>
    </xf>
    <xf numFmtId="0" fontId="6" fillId="0" borderId="27" xfId="0" applyFont="1" applyBorder="1"/>
    <xf numFmtId="9" fontId="0" fillId="0" borderId="0" xfId="0" applyNumberFormat="1" applyBorder="1"/>
    <xf numFmtId="0" fontId="10" fillId="0" borderId="27" xfId="0" applyFont="1" applyBorder="1" applyAlignment="1">
      <alignment horizontal="right"/>
    </xf>
    <xf numFmtId="9" fontId="0" fillId="0" borderId="2" xfId="0" applyNumberFormat="1" applyBorder="1"/>
    <xf numFmtId="0" fontId="0" fillId="0" borderId="19" xfId="0" applyBorder="1" applyAlignment="1">
      <alignment horizontal="right" vertical="center" indent="1"/>
    </xf>
    <xf numFmtId="0" fontId="0" fillId="0" borderId="19" xfId="0" applyBorder="1" applyAlignment="1">
      <alignment horizontal="right" vertical="center"/>
    </xf>
    <xf numFmtId="0" fontId="0" fillId="0" borderId="29" xfId="0" applyBorder="1" applyAlignment="1">
      <alignment horizontal="left" vertical="center"/>
    </xf>
    <xf numFmtId="0" fontId="16" fillId="2" borderId="17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18" fillId="2" borderId="38" xfId="0" applyFont="1" applyFill="1" applyBorder="1" applyAlignment="1">
      <alignment vertical="center"/>
    </xf>
    <xf numFmtId="0" fontId="23" fillId="0" borderId="41" xfId="0" applyFont="1" applyBorder="1" applyAlignment="1">
      <alignment horizontal="center" wrapText="1"/>
    </xf>
    <xf numFmtId="0" fontId="5" fillId="0" borderId="8" xfId="0" applyFont="1" applyBorder="1"/>
    <xf numFmtId="2" fontId="2" fillId="0" borderId="5" xfId="0" applyNumberFormat="1" applyFont="1" applyBorder="1" applyAlignment="1">
      <alignment horizontal="center"/>
    </xf>
    <xf numFmtId="1" fontId="2" fillId="0" borderId="2" xfId="0" applyNumberFormat="1" applyFont="1" applyBorder="1" applyAlignment="1">
      <alignment horizontal="center"/>
    </xf>
    <xf numFmtId="0" fontId="0" fillId="0" borderId="0" xfId="0" applyAlignment="1">
      <alignment horizontal="right" vertical="center"/>
    </xf>
    <xf numFmtId="3" fontId="0" fillId="0" borderId="20" xfId="0" applyNumberFormat="1" applyFill="1" applyBorder="1" applyAlignment="1">
      <alignment horizontal="left" vertical="center"/>
    </xf>
    <xf numFmtId="0" fontId="2" fillId="0" borderId="0" xfId="0" applyFont="1"/>
    <xf numFmtId="0" fontId="20" fillId="0" borderId="0" xfId="0" applyFont="1" applyAlignment="1">
      <alignment horizontal="right" vertical="center"/>
    </xf>
    <xf numFmtId="0" fontId="11" fillId="0" borderId="6" xfId="0" applyFont="1" applyBorder="1" applyAlignment="1">
      <alignment horizontal="center" vertical="center"/>
    </xf>
    <xf numFmtId="0" fontId="13" fillId="2" borderId="46" xfId="0" applyFont="1" applyFill="1" applyBorder="1" applyAlignment="1">
      <alignment horizontal="center" vertical="center" wrapText="1"/>
    </xf>
    <xf numFmtId="0" fontId="20" fillId="0" borderId="18" xfId="0" applyFont="1" applyBorder="1" applyAlignment="1">
      <alignment horizontal="right" vertical="center"/>
    </xf>
    <xf numFmtId="0" fontId="23" fillId="0" borderId="0" xfId="0" applyFont="1" applyBorder="1" applyAlignment="1">
      <alignment horizontal="left" vertical="center" wrapText="1"/>
    </xf>
    <xf numFmtId="2" fontId="23" fillId="0" borderId="0" xfId="0" applyNumberFormat="1" applyFont="1" applyBorder="1" applyAlignment="1">
      <alignment horizontal="center" vertical="center" wrapText="1"/>
    </xf>
    <xf numFmtId="0" fontId="20" fillId="0" borderId="0" xfId="0" applyFont="1" applyBorder="1" applyAlignment="1">
      <alignment horizontal="right" vertical="center"/>
    </xf>
    <xf numFmtId="0" fontId="24" fillId="0" borderId="0" xfId="0" applyFont="1" applyBorder="1" applyAlignment="1">
      <alignment horizontal="center" vertical="center" wrapText="1"/>
    </xf>
    <xf numFmtId="171" fontId="23" fillId="0" borderId="0" xfId="0" applyNumberFormat="1" applyFont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3" fillId="2" borderId="4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/>
    </xf>
    <xf numFmtId="0" fontId="13" fillId="2" borderId="32" xfId="0" applyFont="1" applyFill="1" applyBorder="1" applyAlignment="1">
      <alignment horizontal="left" vertical="center"/>
    </xf>
    <xf numFmtId="0" fontId="2" fillId="0" borderId="32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right" vertical="center"/>
    </xf>
    <xf numFmtId="0" fontId="0" fillId="0" borderId="18" xfId="0" quotePrefix="1" applyBorder="1" applyAlignment="1">
      <alignment horizontal="right" vertical="center"/>
    </xf>
    <xf numFmtId="49" fontId="0" fillId="3" borderId="20" xfId="0" applyNumberFormat="1" applyFill="1" applyBorder="1" applyAlignment="1">
      <alignment vertical="center"/>
    </xf>
    <xf numFmtId="0" fontId="9" fillId="0" borderId="0" xfId="0" applyFont="1" applyAlignment="1">
      <alignment horizontal="right" vertical="center"/>
    </xf>
    <xf numFmtId="0" fontId="10" fillId="0" borderId="19" xfId="0" applyFont="1" applyBorder="1" applyAlignment="1">
      <alignment horizontal="left" vertical="center"/>
    </xf>
    <xf numFmtId="0" fontId="0" fillId="0" borderId="19" xfId="0" applyBorder="1" applyAlignment="1">
      <alignment horizontal="left" vertical="center" indent="3"/>
    </xf>
    <xf numFmtId="2" fontId="0" fillId="0" borderId="34" xfId="0" applyNumberFormat="1" applyFill="1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0" xfId="0" applyBorder="1" applyAlignment="1">
      <alignment horizontal="left" vertical="center" indent="3"/>
    </xf>
    <xf numFmtId="0" fontId="0" fillId="0" borderId="48" xfId="0" applyBorder="1" applyAlignment="1">
      <alignment vertical="center"/>
    </xf>
    <xf numFmtId="0" fontId="20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1" fillId="0" borderId="0" xfId="0" applyFont="1" applyFill="1" applyBorder="1" applyAlignment="1">
      <alignment vertical="center"/>
    </xf>
    <xf numFmtId="2" fontId="2" fillId="0" borderId="0" xfId="0" applyNumberFormat="1" applyFont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 vertical="center"/>
    </xf>
    <xf numFmtId="0" fontId="10" fillId="0" borderId="37" xfId="0" applyFont="1" applyBorder="1" applyAlignment="1">
      <alignment vertical="center"/>
    </xf>
    <xf numFmtId="0" fontId="10" fillId="3" borderId="39" xfId="0" applyFont="1" applyFill="1" applyBorder="1" applyAlignment="1">
      <alignment horizontal="left" vertical="center"/>
    </xf>
    <xf numFmtId="0" fontId="12" fillId="0" borderId="2" xfId="0" quotePrefix="1" applyFont="1" applyBorder="1" applyAlignment="1">
      <alignment horizontal="center" wrapText="1"/>
    </xf>
    <xf numFmtId="0" fontId="20" fillId="0" borderId="0" xfId="0" applyFont="1" applyAlignment="1">
      <alignment horizontal="right"/>
    </xf>
    <xf numFmtId="2" fontId="0" fillId="0" borderId="0" xfId="0" applyNumberFormat="1" applyAlignment="1">
      <alignment vertical="center"/>
    </xf>
    <xf numFmtId="2" fontId="0" fillId="0" borderId="18" xfId="0" applyNumberFormat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right" vertical="center"/>
    </xf>
    <xf numFmtId="2" fontId="0" fillId="0" borderId="0" xfId="0" quotePrefix="1" applyNumberFormat="1" applyAlignment="1">
      <alignment vertical="center"/>
    </xf>
    <xf numFmtId="2" fontId="0" fillId="5" borderId="0" xfId="0" applyNumberFormat="1" applyFill="1" applyAlignment="1">
      <alignment vertical="center"/>
    </xf>
    <xf numFmtId="0" fontId="0" fillId="0" borderId="20" xfId="0" applyNumberFormat="1" applyFill="1" applyBorder="1" applyAlignment="1">
      <alignment vertical="center"/>
    </xf>
    <xf numFmtId="49" fontId="0" fillId="0" borderId="0" xfId="0" applyNumberFormat="1" applyAlignment="1">
      <alignment vertical="center"/>
    </xf>
    <xf numFmtId="49" fontId="2" fillId="0" borderId="0" xfId="0" applyNumberFormat="1" applyFont="1" applyAlignment="1">
      <alignment horizontal="center" vertical="center"/>
    </xf>
    <xf numFmtId="0" fontId="10" fillId="0" borderId="18" xfId="0" applyFont="1" applyBorder="1" applyAlignment="1">
      <alignment vertical="center"/>
    </xf>
    <xf numFmtId="0" fontId="16" fillId="2" borderId="28" xfId="0" applyFont="1" applyFill="1" applyBorder="1" applyAlignment="1">
      <alignment vertical="center"/>
    </xf>
    <xf numFmtId="0" fontId="21" fillId="2" borderId="38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164" fontId="12" fillId="0" borderId="0" xfId="0" applyNumberFormat="1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12" fillId="0" borderId="0" xfId="0" applyFont="1" applyFill="1" applyBorder="1" applyAlignment="1">
      <alignment vertical="center" wrapText="1"/>
    </xf>
    <xf numFmtId="0" fontId="23" fillId="0" borderId="0" xfId="0" applyFont="1" applyBorder="1" applyAlignment="1">
      <alignment vertical="center" wrapText="1"/>
    </xf>
    <xf numFmtId="171" fontId="23" fillId="0" borderId="0" xfId="0" applyNumberFormat="1" applyFont="1" applyBorder="1" applyAlignment="1">
      <alignment vertical="center" wrapText="1"/>
    </xf>
    <xf numFmtId="0" fontId="0" fillId="0" borderId="0" xfId="0" applyBorder="1" applyAlignment="1"/>
    <xf numFmtId="2" fontId="12" fillId="0" borderId="2" xfId="0" applyNumberFormat="1" applyFont="1" applyBorder="1" applyAlignment="1">
      <alignment horizontal="center"/>
    </xf>
    <xf numFmtId="2" fontId="12" fillId="0" borderId="21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quotePrefix="1" applyAlignment="1">
      <alignment horizontal="right" vertical="center"/>
    </xf>
    <xf numFmtId="0" fontId="20" fillId="0" borderId="27" xfId="0" applyFont="1" applyBorder="1" applyAlignment="1">
      <alignment horizontal="right" vertical="center"/>
    </xf>
    <xf numFmtId="3" fontId="0" fillId="0" borderId="18" xfId="0" applyNumberForma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2" xfId="0" applyFont="1" applyFill="1" applyBorder="1" applyAlignment="1">
      <alignment horizontal="center"/>
    </xf>
    <xf numFmtId="2" fontId="13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/>
    </xf>
    <xf numFmtId="2" fontId="27" fillId="0" borderId="2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6" fillId="0" borderId="0" xfId="0" applyFont="1"/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0" fontId="12" fillId="0" borderId="18" xfId="0" applyFont="1" applyFill="1" applyBorder="1" applyAlignment="1">
      <alignment horizontal="left" vertical="center"/>
    </xf>
    <xf numFmtId="0" fontId="0" fillId="0" borderId="3" xfId="0" applyBorder="1"/>
    <xf numFmtId="0" fontId="2" fillId="0" borderId="5" xfId="0" applyFont="1" applyBorder="1" applyAlignment="1">
      <alignment horizontal="center"/>
    </xf>
    <xf numFmtId="0" fontId="12" fillId="0" borderId="29" xfId="0" applyFont="1" applyFill="1" applyBorder="1" applyAlignment="1">
      <alignment horizontal="left" vertical="center"/>
    </xf>
    <xf numFmtId="0" fontId="0" fillId="0" borderId="21" xfId="0" applyBorder="1"/>
    <xf numFmtId="0" fontId="11" fillId="0" borderId="2" xfId="0" applyFont="1" applyBorder="1"/>
    <xf numFmtId="0" fontId="2" fillId="0" borderId="2" xfId="0" quotePrefix="1" applyFont="1" applyBorder="1" applyAlignment="1">
      <alignment horizontal="center"/>
    </xf>
    <xf numFmtId="164" fontId="23" fillId="0" borderId="2" xfId="0" applyNumberFormat="1" applyFont="1" applyBorder="1" applyAlignment="1">
      <alignment horizontal="left" vertical="center" wrapText="1" indent="2"/>
    </xf>
    <xf numFmtId="0" fontId="23" fillId="0" borderId="2" xfId="0" quotePrefix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right" vertical="center"/>
    </xf>
    <xf numFmtId="3" fontId="9" fillId="0" borderId="0" xfId="0" applyNumberFormat="1" applyFont="1" applyAlignment="1">
      <alignment vertical="center"/>
    </xf>
    <xf numFmtId="3" fontId="10" fillId="0" borderId="0" xfId="0" applyNumberFormat="1" applyFont="1" applyAlignment="1">
      <alignment vertical="center"/>
    </xf>
    <xf numFmtId="0" fontId="29" fillId="0" borderId="18" xfId="0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left" vertical="center"/>
    </xf>
    <xf numFmtId="49" fontId="13" fillId="2" borderId="2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wrapText="1"/>
    </xf>
    <xf numFmtId="49" fontId="2" fillId="0" borderId="2" xfId="0" applyNumberFormat="1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quotePrefix="1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49" fontId="11" fillId="6" borderId="19" xfId="0" applyNumberFormat="1" applyFont="1" applyFill="1" applyBorder="1" applyAlignment="1">
      <alignment horizontal="center" vertical="center" wrapText="1"/>
    </xf>
    <xf numFmtId="49" fontId="11" fillId="0" borderId="49" xfId="0" applyNumberFormat="1" applyFont="1" applyBorder="1" applyAlignment="1">
      <alignment horizontal="center" vertical="center" wrapText="1"/>
    </xf>
    <xf numFmtId="0" fontId="0" fillId="0" borderId="29" xfId="0" applyBorder="1" applyAlignment="1">
      <alignment horizontal="left" vertical="center" indent="2"/>
    </xf>
    <xf numFmtId="0" fontId="0" fillId="0" borderId="21" xfId="0" applyBorder="1" applyAlignment="1">
      <alignment vertical="center"/>
    </xf>
    <xf numFmtId="0" fontId="0" fillId="0" borderId="29" xfId="0" applyFill="1" applyBorder="1" applyAlignment="1">
      <alignment vertical="center"/>
    </xf>
    <xf numFmtId="3" fontId="0" fillId="0" borderId="40" xfId="0" applyNumberFormat="1" applyFill="1" applyBorder="1" applyAlignment="1">
      <alignment vertical="center"/>
    </xf>
    <xf numFmtId="0" fontId="32" fillId="0" borderId="12" xfId="0" applyFont="1" applyBorder="1" applyAlignment="1">
      <alignment vertical="center"/>
    </xf>
    <xf numFmtId="0" fontId="31" fillId="0" borderId="19" xfId="0" applyFont="1" applyBorder="1" applyAlignment="1">
      <alignment horizontal="right" vertical="center"/>
    </xf>
    <xf numFmtId="0" fontId="32" fillId="0" borderId="40" xfId="0" applyNumberFormat="1" applyFont="1" applyFill="1" applyBorder="1" applyAlignment="1">
      <alignment horizontal="center" vertical="center"/>
    </xf>
    <xf numFmtId="165" fontId="32" fillId="0" borderId="2" xfId="0" applyNumberFormat="1" applyFont="1" applyFill="1" applyBorder="1" applyAlignment="1">
      <alignment horizontal="center" vertical="center"/>
    </xf>
    <xf numFmtId="2" fontId="0" fillId="0" borderId="18" xfId="0" applyNumberFormat="1" applyFill="1" applyBorder="1" applyAlignment="1">
      <alignment vertical="center"/>
    </xf>
    <xf numFmtId="0" fontId="9" fillId="5" borderId="0" xfId="0" applyFont="1" applyFill="1" applyAlignment="1">
      <alignment horizontal="right" vertical="center"/>
    </xf>
    <xf numFmtId="164" fontId="0" fillId="0" borderId="0" xfId="0" quotePrefix="1" applyNumberFormat="1" applyAlignment="1">
      <alignment vertical="center"/>
    </xf>
    <xf numFmtId="164" fontId="5" fillId="0" borderId="29" xfId="0" applyNumberFormat="1" applyFont="1" applyBorder="1" applyAlignment="1">
      <alignment horizontal="left" vertical="center" indent="3"/>
    </xf>
    <xf numFmtId="3" fontId="34" fillId="0" borderId="40" xfId="0" applyNumberFormat="1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/>
    </xf>
    <xf numFmtId="0" fontId="20" fillId="0" borderId="0" xfId="0" applyFont="1"/>
    <xf numFmtId="0" fontId="20" fillId="0" borderId="2" xfId="0" applyFont="1" applyBorder="1"/>
    <xf numFmtId="0" fontId="35" fillId="0" borderId="26" xfId="0" applyFont="1" applyBorder="1" applyAlignment="1">
      <alignment horizontal="left"/>
    </xf>
    <xf numFmtId="164" fontId="2" fillId="0" borderId="0" xfId="0" applyNumberFormat="1" applyFont="1" applyBorder="1" applyAlignment="1">
      <alignment horizontal="left" vertical="center"/>
    </xf>
    <xf numFmtId="0" fontId="32" fillId="0" borderId="2" xfId="0" applyNumberFormat="1" applyFont="1" applyFill="1" applyBorder="1" applyAlignment="1">
      <alignment horizontal="center" vertical="center"/>
    </xf>
    <xf numFmtId="2" fontId="2" fillId="0" borderId="0" xfId="0" applyNumberFormat="1" applyFont="1"/>
    <xf numFmtId="2" fontId="5" fillId="0" borderId="0" xfId="0" applyNumberFormat="1" applyFont="1" applyFill="1" applyBorder="1" applyAlignment="1">
      <alignment horizontal="center" vertical="center"/>
    </xf>
    <xf numFmtId="3" fontId="0" fillId="0" borderId="50" xfId="0" applyNumberFormat="1" applyFill="1" applyBorder="1" applyAlignment="1">
      <alignment horizontal="left" vertical="center"/>
    </xf>
    <xf numFmtId="0" fontId="1" fillId="0" borderId="20" xfId="0" applyFont="1" applyFill="1" applyBorder="1" applyAlignment="1">
      <alignment vertical="center"/>
    </xf>
    <xf numFmtId="0" fontId="0" fillId="4" borderId="16" xfId="0" applyFill="1" applyBorder="1" applyAlignment="1">
      <alignment vertical="center"/>
    </xf>
    <xf numFmtId="3" fontId="0" fillId="4" borderId="50" xfId="0" applyNumberFormat="1" applyFill="1" applyBorder="1" applyAlignment="1">
      <alignment horizontal="left" vertical="center"/>
    </xf>
    <xf numFmtId="0" fontId="0" fillId="4" borderId="2" xfId="0" applyFill="1" applyBorder="1" applyAlignment="1">
      <alignment vertical="center"/>
    </xf>
    <xf numFmtId="0" fontId="2" fillId="0" borderId="21" xfId="0" applyFont="1" applyBorder="1" applyAlignment="1">
      <alignment vertical="center"/>
    </xf>
    <xf numFmtId="1" fontId="5" fillId="0" borderId="2" xfId="0" applyNumberFormat="1" applyFont="1" applyBorder="1" applyAlignment="1">
      <alignment horizontal="center"/>
    </xf>
    <xf numFmtId="2" fontId="0" fillId="0" borderId="0" xfId="0" applyNumberFormat="1" applyBorder="1" applyAlignment="1">
      <alignment vertical="center"/>
    </xf>
    <xf numFmtId="0" fontId="0" fillId="0" borderId="0" xfId="0" quotePrefix="1" applyBorder="1" applyAlignment="1">
      <alignment horizontal="right" vertical="center"/>
    </xf>
    <xf numFmtId="0" fontId="10" fillId="0" borderId="0" xfId="0" applyFont="1" applyBorder="1" applyAlignment="1">
      <alignment horizontal="right" vertical="center"/>
    </xf>
    <xf numFmtId="0" fontId="5" fillId="0" borderId="44" xfId="0" applyFont="1" applyBorder="1"/>
    <xf numFmtId="2" fontId="12" fillId="0" borderId="3" xfId="0" applyNumberFormat="1" applyFont="1" applyBorder="1" applyAlignment="1">
      <alignment horizontal="center"/>
    </xf>
    <xf numFmtId="0" fontId="13" fillId="2" borderId="51" xfId="0" applyFont="1" applyFill="1" applyBorder="1" applyAlignment="1">
      <alignment horizontal="center"/>
    </xf>
    <xf numFmtId="0" fontId="13" fillId="2" borderId="26" xfId="0" applyFont="1" applyFill="1" applyBorder="1" applyAlignment="1">
      <alignment horizontal="center"/>
    </xf>
    <xf numFmtId="6" fontId="11" fillId="3" borderId="2" xfId="0" applyNumberFormat="1" applyFont="1" applyFill="1" applyBorder="1" applyAlignment="1">
      <alignment horizontal="center"/>
    </xf>
    <xf numFmtId="6" fontId="11" fillId="3" borderId="20" xfId="0" applyNumberFormat="1" applyFont="1" applyFill="1" applyBorder="1" applyAlignment="1">
      <alignment horizontal="center"/>
    </xf>
    <xf numFmtId="2" fontId="12" fillId="0" borderId="20" xfId="0" applyNumberFormat="1" applyFont="1" applyBorder="1" applyAlignment="1">
      <alignment horizontal="center"/>
    </xf>
    <xf numFmtId="38" fontId="11" fillId="3" borderId="52" xfId="0" applyNumberFormat="1" applyFont="1" applyFill="1" applyBorder="1" applyAlignment="1">
      <alignment horizontal="center"/>
    </xf>
    <xf numFmtId="38" fontId="11" fillId="3" borderId="53" xfId="0" applyNumberFormat="1" applyFont="1" applyFill="1" applyBorder="1" applyAlignment="1">
      <alignment horizontal="center"/>
    </xf>
    <xf numFmtId="38" fontId="11" fillId="3" borderId="54" xfId="0" applyNumberFormat="1" applyFont="1" applyFill="1" applyBorder="1" applyAlignment="1">
      <alignment horizontal="center"/>
    </xf>
    <xf numFmtId="2" fontId="12" fillId="5" borderId="5" xfId="0" applyNumberFormat="1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2" fontId="12" fillId="5" borderId="20" xfId="0" applyNumberFormat="1" applyFont="1" applyFill="1" applyBorder="1" applyAlignment="1">
      <alignment horizontal="center"/>
    </xf>
    <xf numFmtId="2" fontId="12" fillId="5" borderId="21" xfId="0" applyNumberFormat="1" applyFont="1" applyFill="1" applyBorder="1" applyAlignment="1">
      <alignment horizontal="center"/>
    </xf>
    <xf numFmtId="2" fontId="12" fillId="5" borderId="55" xfId="0" applyNumberFormat="1" applyFont="1" applyFill="1" applyBorder="1" applyAlignment="1">
      <alignment horizontal="center"/>
    </xf>
    <xf numFmtId="2" fontId="12" fillId="5" borderId="56" xfId="0" applyNumberFormat="1" applyFont="1" applyFill="1" applyBorder="1" applyAlignment="1">
      <alignment horizontal="center"/>
    </xf>
    <xf numFmtId="2" fontId="12" fillId="5" borderId="57" xfId="0" applyNumberFormat="1" applyFont="1" applyFill="1" applyBorder="1" applyAlignment="1">
      <alignment horizontal="center"/>
    </xf>
    <xf numFmtId="0" fontId="28" fillId="0" borderId="18" xfId="0" applyFont="1" applyBorder="1" applyAlignment="1">
      <alignment horizontal="center" vertical="center"/>
    </xf>
    <xf numFmtId="6" fontId="12" fillId="0" borderId="0" xfId="0" applyNumberFormat="1" applyFont="1" applyFill="1" applyBorder="1" applyAlignment="1">
      <alignment horizontal="left"/>
    </xf>
    <xf numFmtId="2" fontId="36" fillId="0" borderId="51" xfId="0" applyNumberFormat="1" applyFont="1" applyBorder="1" applyAlignment="1">
      <alignment horizontal="center" vertical="center"/>
    </xf>
    <xf numFmtId="2" fontId="36" fillId="0" borderId="49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49" fontId="20" fillId="0" borderId="0" xfId="0" applyNumberFormat="1" applyFont="1" applyAlignment="1">
      <alignment horizontal="right" vertical="center"/>
    </xf>
    <xf numFmtId="49" fontId="13" fillId="2" borderId="2" xfId="0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vertical="center"/>
    </xf>
    <xf numFmtId="0" fontId="11" fillId="0" borderId="58" xfId="0" applyFont="1" applyBorder="1" applyAlignment="1">
      <alignment horizontal="center"/>
    </xf>
    <xf numFmtId="0" fontId="11" fillId="0" borderId="59" xfId="0" applyFont="1" applyBorder="1" applyAlignment="1">
      <alignment horizontal="center"/>
    </xf>
    <xf numFmtId="0" fontId="11" fillId="0" borderId="55" xfId="0" applyFont="1" applyBorder="1" applyAlignment="1">
      <alignment horizontal="center"/>
    </xf>
    <xf numFmtId="0" fontId="11" fillId="0" borderId="26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37" fillId="0" borderId="8" xfId="0" applyFont="1" applyBorder="1" applyAlignment="1"/>
    <xf numFmtId="0" fontId="37" fillId="0" borderId="9" xfId="0" applyFont="1" applyBorder="1" applyAlignment="1"/>
    <xf numFmtId="0" fontId="20" fillId="4" borderId="21" xfId="0" applyFont="1" applyFill="1" applyBorder="1" applyAlignment="1">
      <alignment horizontal="right" vertical="center"/>
    </xf>
    <xf numFmtId="0" fontId="11" fillId="0" borderId="45" xfId="0" applyFont="1" applyBorder="1" applyAlignment="1"/>
    <xf numFmtId="0" fontId="12" fillId="0" borderId="52" xfId="0" applyFont="1" applyBorder="1" applyAlignment="1"/>
    <xf numFmtId="0" fontId="12" fillId="0" borderId="53" xfId="0" applyFont="1" applyBorder="1" applyAlignment="1"/>
    <xf numFmtId="0" fontId="12" fillId="0" borderId="49" xfId="0" applyFont="1" applyBorder="1" applyAlignment="1"/>
    <xf numFmtId="2" fontId="2" fillId="0" borderId="0" xfId="0" applyNumberFormat="1" applyFont="1" applyBorder="1" applyAlignment="1">
      <alignment horizontal="center" vertical="center"/>
    </xf>
    <xf numFmtId="0" fontId="11" fillId="4" borderId="32" xfId="0" applyFont="1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20" fillId="4" borderId="29" xfId="0" applyFont="1" applyFill="1" applyBorder="1" applyAlignment="1">
      <alignment horizontal="right" vertical="center"/>
    </xf>
    <xf numFmtId="0" fontId="11" fillId="4" borderId="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vertical="center"/>
    </xf>
    <xf numFmtId="2" fontId="2" fillId="4" borderId="60" xfId="0" applyNumberFormat="1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vertical="center"/>
    </xf>
    <xf numFmtId="0" fontId="2" fillId="4" borderId="7" xfId="0" applyFont="1" applyFill="1" applyBorder="1" applyAlignment="1">
      <alignment vertical="center"/>
    </xf>
    <xf numFmtId="2" fontId="2" fillId="4" borderId="5" xfId="0" applyNumberFormat="1" applyFont="1" applyFill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34" fillId="0" borderId="2" xfId="0" applyFont="1" applyFill="1" applyBorder="1" applyAlignment="1">
      <alignment horizontal="center" vertical="center"/>
    </xf>
    <xf numFmtId="3" fontId="0" fillId="0" borderId="20" xfId="0" applyNumberFormat="1" applyFill="1" applyBorder="1" applyAlignment="1">
      <alignment vertical="center"/>
    </xf>
    <xf numFmtId="2" fontId="12" fillId="0" borderId="2" xfId="0" applyNumberFormat="1" applyFont="1" applyFill="1" applyBorder="1" applyAlignment="1">
      <alignment horizontal="center"/>
    </xf>
    <xf numFmtId="2" fontId="12" fillId="0" borderId="20" xfId="0" applyNumberFormat="1" applyFont="1" applyFill="1" applyBorder="1" applyAlignment="1">
      <alignment horizontal="center"/>
    </xf>
    <xf numFmtId="2" fontId="12" fillId="0" borderId="22" xfId="0" applyNumberFormat="1" applyFont="1" applyFill="1" applyBorder="1" applyAlignment="1">
      <alignment horizontal="center"/>
    </xf>
    <xf numFmtId="2" fontId="12" fillId="0" borderId="23" xfId="0" applyNumberFormat="1" applyFont="1" applyFill="1" applyBorder="1" applyAlignment="1">
      <alignment horizontal="center"/>
    </xf>
    <xf numFmtId="2" fontId="12" fillId="0" borderId="21" xfId="0" applyNumberFormat="1" applyFont="1" applyFill="1" applyBorder="1" applyAlignment="1">
      <alignment horizontal="center"/>
    </xf>
    <xf numFmtId="2" fontId="12" fillId="0" borderId="25" xfId="0" applyNumberFormat="1" applyFont="1" applyFill="1" applyBorder="1" applyAlignment="1">
      <alignment horizontal="center"/>
    </xf>
    <xf numFmtId="0" fontId="11" fillId="0" borderId="43" xfId="0" applyFont="1" applyBorder="1" applyAlignment="1">
      <alignment horizontal="center"/>
    </xf>
    <xf numFmtId="3" fontId="12" fillId="0" borderId="53" xfId="0" applyNumberFormat="1" applyFont="1" applyFill="1" applyBorder="1" applyAlignment="1">
      <alignment horizontal="center"/>
    </xf>
    <xf numFmtId="3" fontId="12" fillId="0" borderId="49" xfId="0" applyNumberFormat="1" applyFont="1" applyFill="1" applyBorder="1" applyAlignment="1">
      <alignment horizontal="center"/>
    </xf>
    <xf numFmtId="3" fontId="12" fillId="0" borderId="52" xfId="0" applyNumberFormat="1" applyFont="1" applyFill="1" applyBorder="1" applyAlignment="1">
      <alignment horizontal="center"/>
    </xf>
    <xf numFmtId="2" fontId="12" fillId="0" borderId="3" xfId="0" applyNumberFormat="1" applyFont="1" applyFill="1" applyBorder="1" applyAlignment="1">
      <alignment horizontal="center"/>
    </xf>
    <xf numFmtId="2" fontId="12" fillId="0" borderId="5" xfId="0" applyNumberFormat="1" applyFont="1" applyFill="1" applyBorder="1" applyAlignment="1">
      <alignment horizontal="center"/>
    </xf>
    <xf numFmtId="2" fontId="12" fillId="0" borderId="39" xfId="0" applyNumberFormat="1" applyFont="1" applyFill="1" applyBorder="1" applyAlignment="1">
      <alignment horizontal="center"/>
    </xf>
    <xf numFmtId="0" fontId="11" fillId="0" borderId="54" xfId="0" applyFont="1" applyBorder="1" applyAlignment="1">
      <alignment horizontal="center"/>
    </xf>
    <xf numFmtId="9" fontId="13" fillId="2" borderId="27" xfId="0" applyNumberFormat="1" applyFont="1" applyFill="1" applyBorder="1" applyAlignment="1">
      <alignment horizontal="center"/>
    </xf>
    <xf numFmtId="9" fontId="13" fillId="2" borderId="48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0" fillId="4" borderId="2" xfId="0" applyFont="1" applyFill="1" applyBorder="1"/>
    <xf numFmtId="0" fontId="11" fillId="4" borderId="2" xfId="0" applyFont="1" applyFill="1" applyBorder="1" applyAlignment="1">
      <alignment horizontal="center"/>
    </xf>
    <xf numFmtId="0" fontId="20" fillId="0" borderId="0" xfId="0" applyFont="1" applyAlignment="1">
      <alignment horizontal="left"/>
    </xf>
    <xf numFmtId="0" fontId="2" fillId="0" borderId="18" xfId="0" applyFont="1" applyBorder="1" applyAlignment="1">
      <alignment horizontal="center" vertical="center"/>
    </xf>
    <xf numFmtId="0" fontId="13" fillId="2" borderId="32" xfId="0" applyFont="1" applyFill="1" applyBorder="1" applyAlignment="1">
      <alignment vertical="center"/>
    </xf>
    <xf numFmtId="0" fontId="13" fillId="2" borderId="29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49" fontId="20" fillId="0" borderId="0" xfId="0" applyNumberFormat="1" applyFont="1" applyAlignment="1">
      <alignment horizontal="left" vertical="center"/>
    </xf>
    <xf numFmtId="0" fontId="11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61" xfId="0" applyFont="1" applyBorder="1" applyAlignment="1">
      <alignment horizontal="left" vertical="center"/>
    </xf>
    <xf numFmtId="2" fontId="2" fillId="0" borderId="20" xfId="0" applyNumberFormat="1" applyFont="1" applyBorder="1" applyAlignment="1">
      <alignment horizontal="center" vertical="center"/>
    </xf>
    <xf numFmtId="0" fontId="2" fillId="0" borderId="59" xfId="0" applyFont="1" applyBorder="1" applyAlignment="1">
      <alignment horizontal="left" vertical="center"/>
    </xf>
    <xf numFmtId="2" fontId="2" fillId="0" borderId="23" xfId="0" applyNumberFormat="1" applyFont="1" applyBorder="1" applyAlignment="1">
      <alignment horizontal="center" vertical="center"/>
    </xf>
    <xf numFmtId="2" fontId="2" fillId="0" borderId="39" xfId="0" applyNumberFormat="1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 wrapText="1"/>
    </xf>
    <xf numFmtId="0" fontId="13" fillId="2" borderId="20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2" fontId="5" fillId="0" borderId="62" xfId="0" applyNumberFormat="1" applyFont="1" applyBorder="1" applyAlignment="1">
      <alignment horizontal="center"/>
    </xf>
    <xf numFmtId="2" fontId="5" fillId="0" borderId="63" xfId="0" applyNumberFormat="1" applyFont="1" applyBorder="1" applyAlignment="1">
      <alignment horizontal="center"/>
    </xf>
    <xf numFmtId="2" fontId="5" fillId="0" borderId="20" xfId="0" applyNumberFormat="1" applyFont="1" applyBorder="1" applyAlignment="1">
      <alignment horizontal="center"/>
    </xf>
    <xf numFmtId="2" fontId="5" fillId="0" borderId="22" xfId="0" applyNumberFormat="1" applyFont="1" applyBorder="1" applyAlignment="1">
      <alignment horizontal="center"/>
    </xf>
    <xf numFmtId="2" fontId="5" fillId="0" borderId="23" xfId="0" applyNumberFormat="1" applyFont="1" applyBorder="1" applyAlignment="1">
      <alignment horizontal="center"/>
    </xf>
    <xf numFmtId="2" fontId="5" fillId="0" borderId="39" xfId="0" applyNumberFormat="1" applyFont="1" applyBorder="1" applyAlignment="1">
      <alignment horizontal="center"/>
    </xf>
    <xf numFmtId="3" fontId="0" fillId="3" borderId="50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19" xfId="0" applyFill="1" applyBorder="1" applyAlignment="1">
      <alignment horizontal="left" vertical="center"/>
    </xf>
    <xf numFmtId="0" fontId="12" fillId="0" borderId="2" xfId="0" applyFont="1" applyBorder="1" applyAlignment="1">
      <alignment horizontal="left"/>
    </xf>
    <xf numFmtId="0" fontId="19" fillId="0" borderId="29" xfId="0" applyFont="1" applyBorder="1" applyAlignment="1">
      <alignment horizontal="center" vertical="center"/>
    </xf>
    <xf numFmtId="1" fontId="13" fillId="2" borderId="21" xfId="0" applyNumberFormat="1" applyFont="1" applyFill="1" applyBorder="1" applyAlignment="1">
      <alignment horizontal="center"/>
    </xf>
    <xf numFmtId="0" fontId="13" fillId="2" borderId="32" xfId="0" applyFont="1" applyFill="1" applyBorder="1"/>
    <xf numFmtId="1" fontId="13" fillId="2" borderId="2" xfId="0" applyNumberFormat="1" applyFont="1" applyFill="1" applyBorder="1" applyAlignment="1">
      <alignment horizontal="center" vertical="center"/>
    </xf>
    <xf numFmtId="2" fontId="39" fillId="2" borderId="2" xfId="0" applyNumberFormat="1" applyFont="1" applyFill="1" applyBorder="1" applyAlignment="1">
      <alignment horizontal="center"/>
    </xf>
    <xf numFmtId="0" fontId="0" fillId="0" borderId="16" xfId="0" applyFill="1" applyBorder="1" applyAlignment="1">
      <alignment vertical="center"/>
    </xf>
    <xf numFmtId="2" fontId="0" fillId="0" borderId="0" xfId="0" applyNumberFormat="1" applyFill="1" applyAlignment="1">
      <alignment vertical="center"/>
    </xf>
    <xf numFmtId="0" fontId="12" fillId="0" borderId="0" xfId="0" applyFont="1" applyAlignment="1">
      <alignment horizontal="left"/>
    </xf>
    <xf numFmtId="2" fontId="6" fillId="0" borderId="18" xfId="0" applyNumberFormat="1" applyFont="1" applyFill="1" applyBorder="1" applyAlignment="1">
      <alignment vertical="center"/>
    </xf>
    <xf numFmtId="164" fontId="0" fillId="0" borderId="0" xfId="0" applyNumberFormat="1" applyFill="1" applyAlignment="1">
      <alignment vertical="center"/>
    </xf>
    <xf numFmtId="167" fontId="2" fillId="0" borderId="0" xfId="0" applyNumberFormat="1" applyFont="1" applyAlignment="1">
      <alignment horizontal="center"/>
    </xf>
    <xf numFmtId="0" fontId="13" fillId="2" borderId="6" xfId="0" applyFont="1" applyFill="1" applyBorder="1"/>
    <xf numFmtId="0" fontId="13" fillId="2" borderId="16" xfId="0" applyFont="1" applyFill="1" applyBorder="1"/>
    <xf numFmtId="0" fontId="13" fillId="2" borderId="1" xfId="0" applyFont="1" applyFill="1" applyBorder="1"/>
    <xf numFmtId="0" fontId="2" fillId="0" borderId="32" xfId="0" applyFont="1" applyBorder="1"/>
    <xf numFmtId="0" fontId="2" fillId="0" borderId="29" xfId="0" applyFont="1" applyBorder="1"/>
    <xf numFmtId="0" fontId="2" fillId="0" borderId="18" xfId="0" applyFont="1" applyBorder="1"/>
    <xf numFmtId="0" fontId="2" fillId="0" borderId="21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13" fillId="2" borderId="2" xfId="0" applyFont="1" applyFill="1" applyBorder="1"/>
    <xf numFmtId="0" fontId="40" fillId="2" borderId="2" xfId="0" applyFont="1" applyFill="1" applyBorder="1"/>
    <xf numFmtId="0" fontId="15" fillId="2" borderId="2" xfId="0" applyFont="1" applyFill="1" applyBorder="1" applyAlignment="1">
      <alignment horizontal="center"/>
    </xf>
    <xf numFmtId="2" fontId="15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 vertical="center"/>
    </xf>
    <xf numFmtId="3" fontId="0" fillId="3" borderId="2" xfId="0" applyNumberFormat="1" applyFill="1" applyBorder="1" applyAlignment="1">
      <alignment vertical="center"/>
    </xf>
    <xf numFmtId="3" fontId="0" fillId="3" borderId="5" xfId="0" applyNumberFormat="1" applyFill="1" applyBorder="1" applyAlignment="1">
      <alignment vertical="center"/>
    </xf>
    <xf numFmtId="0" fontId="0" fillId="0" borderId="64" xfId="0" applyBorder="1" applyAlignment="1">
      <alignment vertical="center"/>
    </xf>
    <xf numFmtId="0" fontId="10" fillId="0" borderId="9" xfId="0" applyFont="1" applyBorder="1"/>
    <xf numFmtId="3" fontId="0" fillId="0" borderId="65" xfId="0" applyNumberFormat="1" applyFill="1" applyBorder="1" applyAlignment="1">
      <alignment horizontal="left" vertical="center"/>
    </xf>
    <xf numFmtId="0" fontId="0" fillId="0" borderId="29" xfId="0" applyFill="1" applyBorder="1" applyAlignment="1">
      <alignment horizontal="center" vertical="center"/>
    </xf>
    <xf numFmtId="1" fontId="2" fillId="0" borderId="5" xfId="0" applyNumberFormat="1" applyFont="1" applyFill="1" applyBorder="1" applyAlignment="1">
      <alignment horizontal="center"/>
    </xf>
    <xf numFmtId="2" fontId="2" fillId="0" borderId="5" xfId="0" applyNumberFormat="1" applyFon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/>
    </xf>
    <xf numFmtId="2" fontId="2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9" fillId="0" borderId="18" xfId="0" applyFont="1" applyBorder="1" applyAlignment="1">
      <alignment vertical="center"/>
    </xf>
    <xf numFmtId="3" fontId="11" fillId="0" borderId="0" xfId="0" applyNumberFormat="1" applyFont="1" applyAlignment="1">
      <alignment vertical="center"/>
    </xf>
    <xf numFmtId="164" fontId="0" fillId="0" borderId="18" xfId="0" applyNumberFormat="1" applyBorder="1" applyAlignment="1">
      <alignment vertical="center"/>
    </xf>
    <xf numFmtId="164" fontId="5" fillId="0" borderId="29" xfId="0" applyNumberFormat="1" applyFont="1" applyBorder="1" applyAlignment="1">
      <alignment horizontal="center" vertical="center"/>
    </xf>
    <xf numFmtId="0" fontId="12" fillId="0" borderId="0" xfId="0" applyFont="1" applyAlignment="1">
      <alignment wrapText="1"/>
    </xf>
    <xf numFmtId="164" fontId="12" fillId="0" borderId="18" xfId="0" applyNumberFormat="1" applyFont="1" applyBorder="1" applyAlignment="1">
      <alignment horizontal="center" wrapText="1"/>
    </xf>
    <xf numFmtId="164" fontId="12" fillId="0" borderId="29" xfId="0" applyNumberFormat="1" applyFont="1" applyBorder="1" applyAlignment="1">
      <alignment horizontal="center" wrapText="1"/>
    </xf>
    <xf numFmtId="0" fontId="11" fillId="0" borderId="69" xfId="0" applyFont="1" applyBorder="1" applyAlignment="1">
      <alignment horizontal="center"/>
    </xf>
    <xf numFmtId="0" fontId="11" fillId="0" borderId="61" xfId="0" applyFont="1" applyBorder="1" applyAlignment="1">
      <alignment horizontal="center" wrapText="1"/>
    </xf>
    <xf numFmtId="164" fontId="12" fillId="0" borderId="0" xfId="0" applyNumberFormat="1" applyFont="1" applyBorder="1" applyAlignment="1">
      <alignment horizontal="center" wrapText="1"/>
    </xf>
    <xf numFmtId="164" fontId="12" fillId="0" borderId="30" xfId="0" applyNumberFormat="1" applyFont="1" applyBorder="1" applyAlignment="1">
      <alignment horizontal="center" wrapText="1"/>
    </xf>
    <xf numFmtId="164" fontId="12" fillId="0" borderId="52" xfId="0" applyNumberFormat="1" applyFont="1" applyBorder="1" applyAlignment="1">
      <alignment horizontal="center" wrapText="1"/>
    </xf>
    <xf numFmtId="164" fontId="12" fillId="0" borderId="44" xfId="0" applyNumberFormat="1" applyFont="1" applyBorder="1" applyAlignment="1">
      <alignment horizontal="center" wrapText="1"/>
    </xf>
    <xf numFmtId="164" fontId="12" fillId="0" borderId="53" xfId="0" applyNumberFormat="1" applyFont="1" applyBorder="1" applyAlignment="1">
      <alignment horizontal="center" wrapText="1"/>
    </xf>
    <xf numFmtId="164" fontId="12" fillId="0" borderId="49" xfId="0" applyNumberFormat="1" applyFont="1" applyBorder="1" applyAlignment="1">
      <alignment horizontal="center" wrapText="1"/>
    </xf>
    <xf numFmtId="38" fontId="13" fillId="2" borderId="32" xfId="0" applyNumberFormat="1" applyFont="1" applyFill="1" applyBorder="1" applyAlignment="1">
      <alignment horizontal="center" wrapText="1"/>
    </xf>
    <xf numFmtId="38" fontId="13" fillId="2" borderId="29" xfId="0" applyNumberFormat="1" applyFont="1" applyFill="1" applyBorder="1" applyAlignment="1">
      <alignment horizontal="center" wrapText="1"/>
    </xf>
    <xf numFmtId="3" fontId="12" fillId="0" borderId="12" xfId="0" applyNumberFormat="1" applyFont="1" applyBorder="1" applyAlignment="1">
      <alignment horizontal="center" wrapText="1"/>
    </xf>
    <xf numFmtId="3" fontId="12" fillId="0" borderId="61" xfId="0" applyNumberFormat="1" applyFont="1" applyBorder="1" applyAlignment="1">
      <alignment horizontal="center" wrapText="1"/>
    </xf>
    <xf numFmtId="3" fontId="12" fillId="0" borderId="13" xfId="0" applyNumberFormat="1" applyFont="1" applyBorder="1" applyAlignment="1">
      <alignment horizontal="center" wrapText="1"/>
    </xf>
    <xf numFmtId="0" fontId="9" fillId="0" borderId="37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3" borderId="63" xfId="0" applyFont="1" applyFill="1" applyBorder="1" applyAlignment="1">
      <alignment horizontal="left" vertical="center"/>
    </xf>
    <xf numFmtId="3" fontId="0" fillId="3" borderId="20" xfId="0" applyNumberFormat="1" applyFill="1" applyBorder="1" applyAlignment="1">
      <alignment horizontal="right" vertical="center"/>
    </xf>
    <xf numFmtId="0" fontId="9" fillId="0" borderId="18" xfId="0" applyFont="1" applyBorder="1" applyAlignment="1">
      <alignment horizontal="right" vertical="center"/>
    </xf>
    <xf numFmtId="3" fontId="0" fillId="0" borderId="0" xfId="0" applyNumberFormat="1" applyBorder="1" applyAlignment="1">
      <alignment vertical="center"/>
    </xf>
    <xf numFmtId="0" fontId="0" fillId="0" borderId="45" xfId="0" applyBorder="1" applyAlignment="1">
      <alignment horizontal="center" vertical="center"/>
    </xf>
    <xf numFmtId="0" fontId="10" fillId="0" borderId="19" xfId="0" applyFont="1" applyBorder="1" applyAlignment="1">
      <alignment horizontal="right" vertical="center"/>
    </xf>
    <xf numFmtId="0" fontId="0" fillId="0" borderId="10" xfId="0" applyBorder="1" applyAlignment="1">
      <alignment vertical="center"/>
    </xf>
    <xf numFmtId="0" fontId="33" fillId="0" borderId="19" xfId="0" applyFont="1" applyBorder="1" applyAlignment="1">
      <alignment vertical="center"/>
    </xf>
    <xf numFmtId="0" fontId="10" fillId="0" borderId="0" xfId="0" applyFont="1" applyFill="1" applyAlignment="1">
      <alignment horizontal="left" vertical="center"/>
    </xf>
    <xf numFmtId="3" fontId="9" fillId="0" borderId="0" xfId="0" applyNumberFormat="1" applyFont="1" applyFill="1" applyAlignment="1">
      <alignment horizontal="right" vertical="center"/>
    </xf>
    <xf numFmtId="3" fontId="0" fillId="0" borderId="0" xfId="0" applyNumberFormat="1" applyFill="1" applyAlignment="1">
      <alignment vertical="center"/>
    </xf>
    <xf numFmtId="0" fontId="9" fillId="0" borderId="0" xfId="0" applyFont="1" applyFill="1" applyAlignment="1">
      <alignment horizontal="right" vertical="center"/>
    </xf>
    <xf numFmtId="3" fontId="0" fillId="0" borderId="18" xfId="0" applyNumberFormat="1" applyFill="1" applyBorder="1" applyAlignment="1">
      <alignment vertical="center"/>
    </xf>
    <xf numFmtId="0" fontId="41" fillId="0" borderId="19" xfId="0" applyFont="1" applyFill="1" applyBorder="1" applyAlignment="1">
      <alignment horizontal="left" vertical="center" indent="2"/>
    </xf>
    <xf numFmtId="3" fontId="19" fillId="0" borderId="2" xfId="0" applyNumberFormat="1" applyFont="1" applyFill="1" applyBorder="1" applyAlignment="1">
      <alignment horizontal="right" vertical="center"/>
    </xf>
    <xf numFmtId="3" fontId="19" fillId="0" borderId="29" xfId="0" applyNumberFormat="1" applyFont="1" applyFill="1" applyBorder="1" applyAlignment="1">
      <alignment horizontal="center" vertical="center"/>
    </xf>
    <xf numFmtId="0" fontId="32" fillId="0" borderId="45" xfId="0" applyNumberFormat="1" applyFont="1" applyFill="1" applyBorder="1" applyAlignment="1">
      <alignment horizontal="center" vertical="center"/>
    </xf>
    <xf numFmtId="0" fontId="42" fillId="0" borderId="19" xfId="0" applyFont="1" applyBorder="1" applyAlignment="1">
      <alignment horizontal="right" vertical="center"/>
    </xf>
    <xf numFmtId="0" fontId="38" fillId="0" borderId="16" xfId="0" applyFont="1" applyFill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2" fillId="0" borderId="0" xfId="0" applyFont="1" applyAlignment="1"/>
    <xf numFmtId="0" fontId="1" fillId="3" borderId="2" xfId="0" applyFont="1" applyFill="1" applyBorder="1" applyAlignment="1">
      <alignment horizontal="center" vertical="center"/>
    </xf>
    <xf numFmtId="0" fontId="20" fillId="0" borderId="6" xfId="0" applyFont="1" applyBorder="1" applyAlignment="1">
      <alignment vertical="center"/>
    </xf>
    <xf numFmtId="0" fontId="28" fillId="0" borderId="45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16" fillId="2" borderId="8" xfId="0" applyFont="1" applyFill="1" applyBorder="1" applyAlignment="1">
      <alignment vertical="center"/>
    </xf>
    <xf numFmtId="0" fontId="18" fillId="2" borderId="42" xfId="0" applyFont="1" applyFill="1" applyBorder="1" applyAlignment="1">
      <alignment vertical="center"/>
    </xf>
    <xf numFmtId="0" fontId="18" fillId="2" borderId="58" xfId="0" applyFont="1" applyFill="1" applyBorder="1" applyAlignment="1">
      <alignment vertical="center"/>
    </xf>
    <xf numFmtId="0" fontId="0" fillId="0" borderId="26" xfId="0" applyBorder="1" applyAlignment="1">
      <alignment horizontal="right" vertical="center"/>
    </xf>
    <xf numFmtId="0" fontId="0" fillId="0" borderId="27" xfId="0" applyBorder="1" applyAlignment="1">
      <alignment horizontal="right" vertical="center"/>
    </xf>
    <xf numFmtId="0" fontId="9" fillId="0" borderId="17" xfId="0" applyFont="1" applyFill="1" applyBorder="1" applyAlignment="1">
      <alignment horizontal="left" vertical="center"/>
    </xf>
    <xf numFmtId="0" fontId="18" fillId="0" borderId="28" xfId="0" applyFont="1" applyFill="1" applyBorder="1" applyAlignment="1">
      <alignment vertical="center"/>
    </xf>
    <xf numFmtId="0" fontId="0" fillId="0" borderId="19" xfId="0" applyFill="1" applyBorder="1" applyAlignment="1">
      <alignment horizontal="right" vertical="center"/>
    </xf>
    <xf numFmtId="0" fontId="16" fillId="2" borderId="42" xfId="0" applyFont="1" applyFill="1" applyBorder="1" applyAlignment="1">
      <alignment vertical="center"/>
    </xf>
    <xf numFmtId="0" fontId="21" fillId="2" borderId="58" xfId="0" applyFon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9" xfId="0" applyBorder="1" applyAlignment="1">
      <alignment horizontal="left" vertical="center" indent="4"/>
    </xf>
    <xf numFmtId="165" fontId="32" fillId="0" borderId="40" xfId="0" applyNumberFormat="1" applyFont="1" applyFill="1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9" fillId="0" borderId="26" xfId="0" applyFont="1" applyFill="1" applyBorder="1" applyAlignment="1">
      <alignment horizontal="left" vertical="center"/>
    </xf>
    <xf numFmtId="0" fontId="18" fillId="0" borderId="27" xfId="0" applyFont="1" applyFill="1" applyBorder="1" applyAlignment="1">
      <alignment vertical="center"/>
    </xf>
    <xf numFmtId="0" fontId="1" fillId="0" borderId="34" xfId="0" applyFont="1" applyFill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64" xfId="0" applyFill="1" applyBorder="1" applyAlignment="1">
      <alignment horizontal="right" vertical="center"/>
    </xf>
    <xf numFmtId="3" fontId="0" fillId="3" borderId="2" xfId="0" applyNumberFormat="1" applyFill="1" applyBorder="1" applyAlignment="1">
      <alignment horizontal="center" vertical="center"/>
    </xf>
    <xf numFmtId="0" fontId="18" fillId="0" borderId="29" xfId="0" applyFont="1" applyFill="1" applyBorder="1" applyAlignment="1">
      <alignment vertical="center"/>
    </xf>
    <xf numFmtId="0" fontId="10" fillId="0" borderId="37" xfId="0" applyFont="1" applyBorder="1" applyAlignment="1">
      <alignment horizontal="left" vertical="center"/>
    </xf>
    <xf numFmtId="0" fontId="10" fillId="0" borderId="29" xfId="0" applyFont="1" applyBorder="1" applyAlignment="1">
      <alignment vertical="center"/>
    </xf>
    <xf numFmtId="0" fontId="9" fillId="0" borderId="37" xfId="0" applyFont="1" applyBorder="1" applyAlignment="1">
      <alignment horizontal="left" vertical="center"/>
    </xf>
    <xf numFmtId="0" fontId="10" fillId="0" borderId="19" xfId="0" applyFont="1" applyBorder="1" applyAlignment="1">
      <alignment vertical="center"/>
    </xf>
    <xf numFmtId="0" fontId="10" fillId="0" borderId="31" xfId="0" applyFont="1" applyBorder="1" applyAlignment="1">
      <alignment vertical="center"/>
    </xf>
    <xf numFmtId="0" fontId="9" fillId="0" borderId="24" xfId="0" applyFont="1" applyFill="1" applyBorder="1" applyAlignment="1">
      <alignment horizontal="left" vertical="center"/>
    </xf>
    <xf numFmtId="0" fontId="0" fillId="0" borderId="64" xfId="0" applyFill="1" applyBorder="1" applyAlignment="1">
      <alignment horizontal="left" vertical="center"/>
    </xf>
    <xf numFmtId="0" fontId="0" fillId="0" borderId="9" xfId="0" applyBorder="1" applyAlignment="1">
      <alignment horizontal="left" vertical="center" indent="3"/>
    </xf>
    <xf numFmtId="0" fontId="16" fillId="2" borderId="33" xfId="0" applyFont="1" applyFill="1" applyBorder="1" applyAlignment="1">
      <alignment vertical="center"/>
    </xf>
    <xf numFmtId="0" fontId="18" fillId="2" borderId="31" xfId="0" applyFont="1" applyFill="1" applyBorder="1" applyAlignment="1">
      <alignment vertical="center"/>
    </xf>
    <xf numFmtId="0" fontId="16" fillId="2" borderId="31" xfId="0" applyFont="1" applyFill="1" applyBorder="1" applyAlignment="1">
      <alignment vertical="center"/>
    </xf>
    <xf numFmtId="0" fontId="21" fillId="2" borderId="36" xfId="0" applyFont="1" applyFill="1" applyBorder="1" applyAlignment="1">
      <alignment horizontal="center" vertical="center"/>
    </xf>
    <xf numFmtId="3" fontId="0" fillId="0" borderId="40" xfId="0" applyNumberFormat="1" applyFill="1" applyBorder="1" applyAlignment="1">
      <alignment horizontal="right" vertical="center"/>
    </xf>
    <xf numFmtId="0" fontId="0" fillId="0" borderId="19" xfId="0" applyFill="1" applyBorder="1" applyAlignment="1">
      <alignment vertical="center"/>
    </xf>
    <xf numFmtId="0" fontId="1" fillId="0" borderId="64" xfId="0" applyFont="1" applyFill="1" applyBorder="1" applyAlignment="1">
      <alignment horizontal="right" vertical="center"/>
    </xf>
    <xf numFmtId="0" fontId="0" fillId="4" borderId="64" xfId="0" applyFill="1" applyBorder="1" applyAlignment="1">
      <alignment vertical="center"/>
    </xf>
    <xf numFmtId="0" fontId="0" fillId="4" borderId="64" xfId="0" applyFill="1" applyBorder="1" applyAlignment="1">
      <alignment horizontal="right" vertical="center"/>
    </xf>
    <xf numFmtId="0" fontId="0" fillId="0" borderId="64" xfId="0" applyFill="1" applyBorder="1" applyAlignment="1">
      <alignment vertical="center"/>
    </xf>
    <xf numFmtId="0" fontId="0" fillId="0" borderId="12" xfId="0" applyFill="1" applyBorder="1" applyAlignment="1">
      <alignment horizontal="right" vertical="center"/>
    </xf>
    <xf numFmtId="0" fontId="5" fillId="0" borderId="34" xfId="0" applyFont="1" applyFill="1" applyBorder="1" applyAlignment="1">
      <alignment vertical="center"/>
    </xf>
    <xf numFmtId="0" fontId="0" fillId="0" borderId="30" xfId="0" applyFill="1" applyBorder="1" applyAlignment="1">
      <alignment horizontal="left" vertical="center"/>
    </xf>
    <xf numFmtId="0" fontId="0" fillId="0" borderId="18" xfId="0" applyFill="1" applyBorder="1" applyAlignment="1">
      <alignment vertical="center"/>
    </xf>
    <xf numFmtId="3" fontId="34" fillId="0" borderId="20" xfId="0" applyNumberFormat="1" applyFont="1" applyFill="1" applyBorder="1" applyAlignment="1">
      <alignment horizontal="center" vertical="center"/>
    </xf>
    <xf numFmtId="0" fontId="11" fillId="0" borderId="31" xfId="0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9" fillId="0" borderId="0" xfId="0" applyFont="1" applyBorder="1" applyAlignment="1">
      <alignment vertical="center"/>
    </xf>
    <xf numFmtId="168" fontId="2" fillId="0" borderId="0" xfId="1" applyNumberFormat="1" applyFont="1"/>
    <xf numFmtId="3" fontId="2" fillId="0" borderId="2" xfId="0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0" fillId="0" borderId="17" xfId="0" applyBorder="1"/>
    <xf numFmtId="0" fontId="13" fillId="2" borderId="9" xfId="0" applyFont="1" applyFill="1" applyBorder="1" applyAlignment="1">
      <alignment horizontal="center"/>
    </xf>
    <xf numFmtId="0" fontId="20" fillId="0" borderId="18" xfId="0" applyFont="1" applyBorder="1" applyAlignment="1">
      <alignment horizontal="left" vertical="center"/>
    </xf>
    <xf numFmtId="2" fontId="2" fillId="0" borderId="0" xfId="0" applyNumberFormat="1" applyFont="1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2" xfId="0" applyFont="1" applyBorder="1" applyAlignment="1">
      <alignment horizontal="left" indent="1"/>
    </xf>
    <xf numFmtId="0" fontId="4" fillId="0" borderId="0" xfId="0" applyFont="1" applyFill="1" applyAlignment="1">
      <alignment horizontal="center" vertical="center"/>
    </xf>
    <xf numFmtId="164" fontId="0" fillId="0" borderId="0" xfId="0" applyNumberFormat="1" applyFill="1" applyBorder="1" applyAlignment="1">
      <alignment vertical="center"/>
    </xf>
    <xf numFmtId="2" fontId="0" fillId="0" borderId="0" xfId="0" applyNumberFormat="1" applyFill="1" applyBorder="1" applyAlignment="1">
      <alignment vertical="center"/>
    </xf>
    <xf numFmtId="0" fontId="25" fillId="0" borderId="0" xfId="0" applyFont="1" applyAlignment="1">
      <alignment vertical="center"/>
    </xf>
    <xf numFmtId="3" fontId="30" fillId="0" borderId="2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4" fontId="0" fillId="0" borderId="18" xfId="0" applyNumberFormat="1" applyBorder="1" applyAlignment="1">
      <alignment vertical="center"/>
    </xf>
    <xf numFmtId="0" fontId="10" fillId="0" borderId="0" xfId="0" applyFont="1" applyFill="1" applyAlignment="1">
      <alignment vertical="center"/>
    </xf>
    <xf numFmtId="0" fontId="0" fillId="0" borderId="18" xfId="0" quotePrefix="1" applyFill="1" applyBorder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3" fontId="10" fillId="0" borderId="0" xfId="0" applyNumberFormat="1" applyFont="1" applyFill="1" applyAlignment="1">
      <alignment vertical="center"/>
    </xf>
    <xf numFmtId="0" fontId="0" fillId="5" borderId="32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3" fontId="0" fillId="0" borderId="2" xfId="0" applyNumberFormat="1" applyFill="1" applyBorder="1" applyAlignment="1">
      <alignment horizontal="center" vertical="center"/>
    </xf>
    <xf numFmtId="0" fontId="10" fillId="0" borderId="19" xfId="0" applyFont="1" applyFill="1" applyBorder="1" applyAlignment="1">
      <alignment horizontal="left" vertical="center"/>
    </xf>
    <xf numFmtId="3" fontId="30" fillId="0" borderId="65" xfId="0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vertical="center"/>
    </xf>
    <xf numFmtId="0" fontId="25" fillId="0" borderId="0" xfId="0" applyFont="1" applyFill="1" applyAlignment="1">
      <alignment horizontal="left" vertical="center"/>
    </xf>
    <xf numFmtId="0" fontId="10" fillId="0" borderId="19" xfId="0" applyFont="1" applyFill="1" applyBorder="1" applyAlignment="1">
      <alignment vertical="center"/>
    </xf>
    <xf numFmtId="0" fontId="37" fillId="0" borderId="42" xfId="0" applyFont="1" applyBorder="1" applyAlignment="1"/>
    <xf numFmtId="0" fontId="37" fillId="0" borderId="0" xfId="0" applyFont="1" applyBorder="1" applyAlignment="1"/>
    <xf numFmtId="0" fontId="11" fillId="0" borderId="45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11" fillId="0" borderId="8" xfId="0" applyFont="1" applyBorder="1" applyAlignment="1">
      <alignment horizontal="center"/>
    </xf>
    <xf numFmtId="0" fontId="9" fillId="0" borderId="37" xfId="0" applyFont="1" applyFill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43" fillId="0" borderId="19" xfId="0" applyFont="1" applyBorder="1" applyAlignment="1">
      <alignment vertical="center"/>
    </xf>
    <xf numFmtId="0" fontId="33" fillId="0" borderId="37" xfId="0" applyFont="1" applyFill="1" applyBorder="1" applyAlignment="1">
      <alignment horizontal="left" vertical="center" indent="1"/>
    </xf>
    <xf numFmtId="16" fontId="11" fillId="0" borderId="70" xfId="0" quotePrefix="1" applyNumberFormat="1" applyFont="1" applyBorder="1" applyAlignment="1">
      <alignment horizontal="center"/>
    </xf>
    <xf numFmtId="16" fontId="11" fillId="0" borderId="66" xfId="0" quotePrefix="1" applyNumberFormat="1" applyFont="1" applyBorder="1" applyAlignment="1">
      <alignment horizontal="center"/>
    </xf>
    <xf numFmtId="16" fontId="11" fillId="0" borderId="36" xfId="0" quotePrefix="1" applyNumberFormat="1" applyFont="1" applyBorder="1" applyAlignment="1">
      <alignment horizontal="center"/>
    </xf>
    <xf numFmtId="0" fontId="12" fillId="0" borderId="37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1" fillId="0" borderId="68" xfId="0" applyFont="1" applyBorder="1" applyAlignment="1">
      <alignment horizontal="center"/>
    </xf>
    <xf numFmtId="1" fontId="30" fillId="0" borderId="45" xfId="0" applyNumberFormat="1" applyFont="1" applyBorder="1" applyAlignment="1">
      <alignment horizontal="center" vertical="center"/>
    </xf>
    <xf numFmtId="0" fontId="9" fillId="0" borderId="18" xfId="0" applyFont="1" applyFill="1" applyBorder="1" applyAlignment="1">
      <alignment horizontal="right" vertical="center"/>
    </xf>
    <xf numFmtId="0" fontId="11" fillId="0" borderId="71" xfId="0" applyFont="1" applyBorder="1" applyAlignment="1">
      <alignment horizontal="center"/>
    </xf>
    <xf numFmtId="0" fontId="13" fillId="2" borderId="2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/>
    </xf>
    <xf numFmtId="0" fontId="2" fillId="0" borderId="0" xfId="0" applyFont="1" applyFill="1" applyBorder="1"/>
    <xf numFmtId="164" fontId="12" fillId="0" borderId="0" xfId="0" applyNumberFormat="1" applyFont="1" applyFill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0" fontId="2" fillId="0" borderId="2" xfId="0" applyFont="1" applyFill="1" applyBorder="1"/>
    <xf numFmtId="0" fontId="12" fillId="0" borderId="2" xfId="0" applyFont="1" applyFill="1" applyBorder="1" applyAlignment="1">
      <alignment horizontal="center"/>
    </xf>
    <xf numFmtId="0" fontId="12" fillId="0" borderId="0" xfId="0" applyFont="1" applyBorder="1" applyAlignment="1">
      <alignment horizontal="right" vertical="center"/>
    </xf>
    <xf numFmtId="164" fontId="45" fillId="0" borderId="0" xfId="0" applyNumberFormat="1" applyFont="1" applyAlignment="1">
      <alignment vertical="center"/>
    </xf>
    <xf numFmtId="3" fontId="32" fillId="0" borderId="16" xfId="0" applyNumberFormat="1" applyFont="1" applyFill="1" applyBorder="1" applyAlignment="1">
      <alignment horizontal="center" vertical="center"/>
    </xf>
    <xf numFmtId="3" fontId="38" fillId="0" borderId="4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0" fillId="0" borderId="8" xfId="0" applyBorder="1" applyAlignment="1">
      <alignment horizontal="center"/>
    </xf>
    <xf numFmtId="0" fontId="11" fillId="0" borderId="72" xfId="0" applyFont="1" applyBorder="1" applyAlignment="1">
      <alignment horizontal="center" wrapText="1"/>
    </xf>
    <xf numFmtId="0" fontId="11" fillId="0" borderId="42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3" fillId="2" borderId="18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1" fillId="0" borderId="35" xfId="0" applyFont="1" applyBorder="1" applyAlignment="1">
      <alignment horizontal="center" wrapText="1"/>
    </xf>
    <xf numFmtId="0" fontId="11" fillId="0" borderId="0" xfId="0" applyFont="1" applyBorder="1" applyAlignment="1">
      <alignment horizontal="center" wrapText="1"/>
    </xf>
    <xf numFmtId="0" fontId="11" fillId="0" borderId="1" xfId="0" applyFont="1" applyBorder="1" applyAlignment="1">
      <alignment horizontal="center" wrapText="1"/>
    </xf>
    <xf numFmtId="0" fontId="11" fillId="0" borderId="65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2" fontId="12" fillId="0" borderId="0" xfId="0" applyNumberFormat="1" applyFont="1" applyBorder="1" applyAlignment="1">
      <alignment horizontal="center" wrapText="1"/>
    </xf>
    <xf numFmtId="0" fontId="11" fillId="0" borderId="52" xfId="0" applyFont="1" applyBorder="1" applyAlignment="1">
      <alignment horizontal="center"/>
    </xf>
    <xf numFmtId="0" fontId="13" fillId="2" borderId="37" xfId="0" applyFont="1" applyFill="1" applyBorder="1" applyAlignment="1">
      <alignment horizontal="center"/>
    </xf>
    <xf numFmtId="0" fontId="13" fillId="2" borderId="47" xfId="0" applyFont="1" applyFill="1" applyBorder="1" applyAlignment="1">
      <alignment horizontal="center"/>
    </xf>
    <xf numFmtId="0" fontId="2" fillId="0" borderId="53" xfId="0" applyFont="1" applyFill="1" applyBorder="1" applyAlignment="1">
      <alignment horizontal="center"/>
    </xf>
    <xf numFmtId="164" fontId="12" fillId="0" borderId="12" xfId="0" applyNumberFormat="1" applyFont="1" applyFill="1" applyBorder="1" applyAlignment="1">
      <alignment horizontal="center" wrapText="1"/>
    </xf>
    <xf numFmtId="164" fontId="12" fillId="0" borderId="2" xfId="0" applyNumberFormat="1" applyFont="1" applyFill="1" applyBorder="1" applyAlignment="1">
      <alignment horizontal="center" wrapText="1"/>
    </xf>
    <xf numFmtId="164" fontId="12" fillId="0" borderId="20" xfId="0" applyNumberFormat="1" applyFont="1" applyFill="1" applyBorder="1" applyAlignment="1">
      <alignment horizontal="center" wrapText="1"/>
    </xf>
    <xf numFmtId="0" fontId="2" fillId="0" borderId="53" xfId="0" applyFont="1" applyFill="1" applyBorder="1" applyAlignment="1">
      <alignment horizontal="center" wrapText="1"/>
    </xf>
    <xf numFmtId="0" fontId="2" fillId="0" borderId="49" xfId="0" applyFont="1" applyFill="1" applyBorder="1" applyAlignment="1">
      <alignment horizontal="center"/>
    </xf>
    <xf numFmtId="164" fontId="12" fillId="0" borderId="13" xfId="0" applyNumberFormat="1" applyFont="1" applyFill="1" applyBorder="1" applyAlignment="1">
      <alignment horizontal="center" wrapText="1"/>
    </xf>
    <xf numFmtId="164" fontId="12" fillId="0" borderId="22" xfId="0" applyNumberFormat="1" applyFont="1" applyFill="1" applyBorder="1" applyAlignment="1">
      <alignment horizontal="center" wrapText="1"/>
    </xf>
    <xf numFmtId="164" fontId="12" fillId="0" borderId="23" xfId="0" applyNumberFormat="1" applyFont="1" applyFill="1" applyBorder="1" applyAlignment="1">
      <alignment horizontal="center" wrapText="1"/>
    </xf>
    <xf numFmtId="0" fontId="2" fillId="0" borderId="0" xfId="0" applyFont="1" applyAlignment="1">
      <alignment horizontal="center"/>
    </xf>
    <xf numFmtId="2" fontId="12" fillId="0" borderId="5" xfId="0" applyNumberFormat="1" applyFont="1" applyBorder="1" applyAlignment="1">
      <alignment horizontal="center" wrapText="1"/>
    </xf>
    <xf numFmtId="2" fontId="12" fillId="0" borderId="22" xfId="0" applyNumberFormat="1" applyFont="1" applyBorder="1" applyAlignment="1">
      <alignment horizontal="center" wrapText="1"/>
    </xf>
    <xf numFmtId="0" fontId="11" fillId="0" borderId="37" xfId="0" applyFont="1" applyBorder="1" applyAlignment="1">
      <alignment horizontal="center"/>
    </xf>
    <xf numFmtId="0" fontId="12" fillId="0" borderId="12" xfId="0" applyFont="1" applyBorder="1" applyAlignment="1">
      <alignment horizontal="center" wrapText="1"/>
    </xf>
    <xf numFmtId="2" fontId="12" fillId="0" borderId="20" xfId="0" applyNumberFormat="1" applyFont="1" applyBorder="1" applyAlignment="1">
      <alignment horizontal="center" wrapText="1"/>
    </xf>
    <xf numFmtId="0" fontId="12" fillId="0" borderId="13" xfId="0" applyFont="1" applyBorder="1" applyAlignment="1">
      <alignment horizontal="center" wrapText="1"/>
    </xf>
    <xf numFmtId="2" fontId="12" fillId="0" borderId="23" xfId="0" applyNumberFormat="1" applyFont="1" applyBorder="1" applyAlignment="1">
      <alignment horizontal="center" wrapText="1"/>
    </xf>
    <xf numFmtId="0" fontId="12" fillId="0" borderId="14" xfId="0" applyFont="1" applyBorder="1" applyAlignment="1">
      <alignment horizontal="center" wrapText="1"/>
    </xf>
    <xf numFmtId="2" fontId="12" fillId="0" borderId="39" xfId="0" applyNumberFormat="1" applyFont="1" applyBorder="1" applyAlignment="1">
      <alignment horizontal="center" wrapText="1"/>
    </xf>
    <xf numFmtId="0" fontId="12" fillId="0" borderId="32" xfId="0" applyFont="1" applyBorder="1" applyAlignment="1">
      <alignment horizontal="center" wrapText="1"/>
    </xf>
    <xf numFmtId="0" fontId="12" fillId="0" borderId="73" xfId="0" applyFont="1" applyBorder="1" applyAlignment="1">
      <alignment horizontal="center" wrapText="1"/>
    </xf>
    <xf numFmtId="0" fontId="12" fillId="0" borderId="7" xfId="0" applyFont="1" applyBorder="1" applyAlignment="1">
      <alignment horizontal="center" wrapText="1"/>
    </xf>
    <xf numFmtId="2" fontId="12" fillId="0" borderId="21" xfId="0" applyNumberFormat="1" applyFont="1" applyBorder="1" applyAlignment="1">
      <alignment horizontal="center" wrapText="1"/>
    </xf>
    <xf numFmtId="2" fontId="12" fillId="0" borderId="25" xfId="0" applyNumberFormat="1" applyFont="1" applyBorder="1" applyAlignment="1">
      <alignment horizontal="center" wrapText="1"/>
    </xf>
    <xf numFmtId="2" fontId="12" fillId="0" borderId="3" xfId="0" applyNumberFormat="1" applyFont="1" applyBorder="1" applyAlignment="1">
      <alignment horizontal="center" wrapText="1"/>
    </xf>
    <xf numFmtId="0" fontId="12" fillId="5" borderId="53" xfId="0" applyFont="1" applyFill="1" applyBorder="1" applyAlignment="1">
      <alignment horizontal="left" wrapText="1" indent="1"/>
    </xf>
    <xf numFmtId="0" fontId="12" fillId="5" borderId="49" xfId="0" applyFont="1" applyFill="1" applyBorder="1" applyAlignment="1">
      <alignment horizontal="left" wrapText="1" indent="1"/>
    </xf>
    <xf numFmtId="0" fontId="12" fillId="5" borderId="52" xfId="0" applyFont="1" applyFill="1" applyBorder="1" applyAlignment="1">
      <alignment horizontal="left" wrapText="1" indent="1"/>
    </xf>
    <xf numFmtId="0" fontId="0" fillId="0" borderId="0" xfId="0" applyAlignment="1"/>
    <xf numFmtId="0" fontId="12" fillId="0" borderId="0" xfId="0" applyFont="1" applyBorder="1" applyAlignment="1"/>
    <xf numFmtId="0" fontId="10" fillId="0" borderId="0" xfId="0" applyFont="1"/>
    <xf numFmtId="0" fontId="9" fillId="0" borderId="0" xfId="0" applyFont="1" applyBorder="1"/>
    <xf numFmtId="0" fontId="12" fillId="0" borderId="2" xfId="0" applyFont="1" applyBorder="1" applyAlignment="1">
      <alignment horizontal="left" wrapText="1"/>
    </xf>
    <xf numFmtId="0" fontId="12" fillId="0" borderId="2" xfId="0" applyFont="1" applyBorder="1" applyAlignment="1"/>
    <xf numFmtId="0" fontId="13" fillId="2" borderId="2" xfId="0" applyFont="1" applyFill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16" fontId="2" fillId="0" borderId="2" xfId="0" applyNumberFormat="1" applyFont="1" applyBorder="1"/>
    <xf numFmtId="0" fontId="13" fillId="2" borderId="2" xfId="0" applyFont="1" applyFill="1" applyBorder="1" applyAlignment="1"/>
    <xf numFmtId="0" fontId="2" fillId="0" borderId="21" xfId="0" applyFont="1" applyBorder="1"/>
    <xf numFmtId="0" fontId="2" fillId="0" borderId="32" xfId="0" applyFont="1" applyBorder="1" applyAlignment="1">
      <alignment horizontal="center"/>
    </xf>
    <xf numFmtId="0" fontId="13" fillId="2" borderId="32" xfId="0" applyFont="1" applyFill="1" applyBorder="1" applyAlignment="1">
      <alignment horizontal="center"/>
    </xf>
    <xf numFmtId="0" fontId="21" fillId="2" borderId="21" xfId="0" applyFont="1" applyFill="1" applyBorder="1"/>
    <xf numFmtId="16" fontId="2" fillId="0" borderId="2" xfId="0" quotePrefix="1" applyNumberFormat="1" applyFont="1" applyBorder="1" applyAlignment="1">
      <alignment horizontal="center"/>
    </xf>
    <xf numFmtId="0" fontId="0" fillId="0" borderId="19" xfId="0" applyFill="1" applyBorder="1" applyAlignment="1">
      <alignment horizontal="left" vertical="center" indent="1"/>
    </xf>
    <xf numFmtId="0" fontId="0" fillId="0" borderId="64" xfId="0" applyBorder="1" applyAlignment="1">
      <alignment horizontal="left" vertical="center"/>
    </xf>
    <xf numFmtId="0" fontId="0" fillId="0" borderId="64" xfId="0" applyBorder="1" applyAlignment="1">
      <alignment horizontal="left" vertical="center" indent="2"/>
    </xf>
    <xf numFmtId="0" fontId="12" fillId="0" borderId="0" xfId="0" applyFont="1" applyFill="1" applyBorder="1" applyAlignment="1">
      <alignment horizontal="center" wrapText="1"/>
    </xf>
    <xf numFmtId="0" fontId="12" fillId="0" borderId="0" xfId="0" applyFont="1" applyFill="1" applyBorder="1" applyAlignment="1">
      <alignment horizontal="left" wrapText="1" indent="1"/>
    </xf>
    <xf numFmtId="2" fontId="12" fillId="0" borderId="0" xfId="0" applyNumberFormat="1" applyFont="1" applyFill="1" applyBorder="1" applyAlignment="1">
      <alignment horizontal="center" wrapText="1"/>
    </xf>
    <xf numFmtId="0" fontId="18" fillId="0" borderId="74" xfId="0" applyFont="1" applyFill="1" applyBorder="1" applyAlignment="1">
      <alignment vertical="center"/>
    </xf>
    <xf numFmtId="0" fontId="0" fillId="0" borderId="64" xfId="0" applyFill="1" applyBorder="1" applyAlignment="1">
      <alignment horizontal="left" vertical="center" indent="1"/>
    </xf>
    <xf numFmtId="0" fontId="0" fillId="0" borderId="64" xfId="0" applyFill="1" applyBorder="1" applyAlignment="1">
      <alignment horizontal="left" vertical="center" indent="3"/>
    </xf>
    <xf numFmtId="0" fontId="46" fillId="0" borderId="45" xfId="0" applyFont="1" applyFill="1" applyBorder="1" applyAlignment="1">
      <alignment horizontal="center" vertical="center"/>
    </xf>
    <xf numFmtId="164" fontId="32" fillId="0" borderId="22" xfId="0" applyNumberFormat="1" applyFont="1" applyBorder="1" applyAlignment="1">
      <alignment horizontal="left" vertical="center" indent="3"/>
    </xf>
    <xf numFmtId="0" fontId="34" fillId="0" borderId="18" xfId="0" applyFont="1" applyBorder="1" applyAlignment="1">
      <alignment horizontal="center" vertical="center"/>
    </xf>
    <xf numFmtId="0" fontId="34" fillId="0" borderId="45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0" fontId="9" fillId="3" borderId="4" xfId="0" applyFont="1" applyFill="1" applyBorder="1" applyAlignment="1">
      <alignment horizontal="center" vertical="center"/>
    </xf>
    <xf numFmtId="3" fontId="42" fillId="0" borderId="65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69" fontId="0" fillId="0" borderId="0" xfId="0" applyNumberFormat="1" applyBorder="1" applyAlignment="1">
      <alignment horizontal="left"/>
    </xf>
    <xf numFmtId="0" fontId="0" fillId="0" borderId="54" xfId="0" applyBorder="1" applyAlignment="1">
      <alignment vertical="center"/>
    </xf>
    <xf numFmtId="167" fontId="2" fillId="0" borderId="0" xfId="0" applyNumberFormat="1" applyFont="1" applyBorder="1" applyAlignment="1">
      <alignment horizontal="center"/>
    </xf>
    <xf numFmtId="0" fontId="49" fillId="0" borderId="21" xfId="0" applyFont="1" applyBorder="1" applyAlignment="1">
      <alignment horizontal="center" vertical="center"/>
    </xf>
    <xf numFmtId="3" fontId="47" fillId="0" borderId="40" xfId="0" applyNumberFormat="1" applyFont="1" applyFill="1" applyBorder="1" applyAlignment="1">
      <alignment horizontal="center" vertical="center"/>
    </xf>
    <xf numFmtId="3" fontId="1" fillId="3" borderId="20" xfId="0" applyNumberFormat="1" applyFont="1" applyFill="1" applyBorder="1" applyAlignment="1">
      <alignment horizontal="center" vertical="center"/>
    </xf>
    <xf numFmtId="0" fontId="33" fillId="0" borderId="19" xfId="0" applyFont="1" applyBorder="1" applyAlignment="1">
      <alignment horizontal="left" vertical="center" indent="1"/>
    </xf>
    <xf numFmtId="0" fontId="42" fillId="0" borderId="19" xfId="0" applyFont="1" applyBorder="1" applyAlignment="1">
      <alignment horizontal="left" vertical="center" indent="1"/>
    </xf>
    <xf numFmtId="0" fontId="50" fillId="0" borderId="19" xfId="0" applyFont="1" applyFill="1" applyBorder="1" applyAlignment="1">
      <alignment horizontal="left" vertical="center" indent="2"/>
    </xf>
    <xf numFmtId="164" fontId="32" fillId="0" borderId="45" xfId="0" applyNumberFormat="1" applyFont="1" applyFill="1" applyBorder="1" applyAlignment="1">
      <alignment horizontal="center" vertical="center"/>
    </xf>
    <xf numFmtId="0" fontId="51" fillId="0" borderId="21" xfId="0" applyFont="1" applyBorder="1" applyAlignment="1">
      <alignment horizontal="center" vertical="center"/>
    </xf>
    <xf numFmtId="3" fontId="31" fillId="0" borderId="65" xfId="0" applyNumberFormat="1" applyFont="1" applyFill="1" applyBorder="1" applyAlignment="1">
      <alignment horizontal="left" vertical="center"/>
    </xf>
    <xf numFmtId="3" fontId="48" fillId="0" borderId="2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10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right" vertical="center"/>
    </xf>
    <xf numFmtId="3" fontId="34" fillId="0" borderId="45" xfId="0" applyNumberFormat="1" applyFont="1" applyFill="1" applyBorder="1" applyAlignment="1">
      <alignment horizontal="center" vertical="center"/>
    </xf>
    <xf numFmtId="3" fontId="0" fillId="3" borderId="20" xfId="0" applyNumberFormat="1" applyFill="1" applyBorder="1" applyAlignment="1">
      <alignment horizontal="center" vertical="center"/>
    </xf>
    <xf numFmtId="3" fontId="10" fillId="0" borderId="0" xfId="0" applyNumberFormat="1" applyFont="1" applyFill="1" applyAlignment="1">
      <alignment horizontal="right" vertical="center"/>
    </xf>
    <xf numFmtId="3" fontId="0" fillId="3" borderId="40" xfId="0" applyNumberFormat="1" applyFill="1" applyBorder="1" applyAlignment="1">
      <alignment horizontal="center" vertical="center"/>
    </xf>
    <xf numFmtId="0" fontId="2" fillId="0" borderId="0" xfId="0" applyFont="1" applyBorder="1"/>
    <xf numFmtId="0" fontId="2" fillId="0" borderId="19" xfId="0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 wrapText="1"/>
    </xf>
    <xf numFmtId="0" fontId="2" fillId="0" borderId="24" xfId="0" applyFont="1" applyFill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3" fillId="2" borderId="24" xfId="0" applyFont="1" applyFill="1" applyBorder="1" applyAlignment="1">
      <alignment horizontal="center"/>
    </xf>
    <xf numFmtId="0" fontId="13" fillId="2" borderId="13" xfId="0" applyFont="1" applyFill="1" applyBorder="1" applyAlignment="1">
      <alignment horizontal="center"/>
    </xf>
    <xf numFmtId="0" fontId="13" fillId="2" borderId="22" xfId="0" applyFont="1" applyFill="1" applyBorder="1" applyAlignment="1">
      <alignment horizontal="center"/>
    </xf>
    <xf numFmtId="0" fontId="13" fillId="2" borderId="23" xfId="0" applyFont="1" applyFill="1" applyBorder="1" applyAlignment="1">
      <alignment horizontal="center"/>
    </xf>
    <xf numFmtId="164" fontId="2" fillId="0" borderId="37" xfId="0" applyNumberFormat="1" applyFont="1" applyBorder="1" applyAlignment="1">
      <alignment horizontal="center" vertical="center"/>
    </xf>
    <xf numFmtId="164" fontId="2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39" xfId="0" applyNumberFormat="1" applyFont="1" applyBorder="1" applyAlignment="1">
      <alignment horizontal="center" vertical="center"/>
    </xf>
    <xf numFmtId="164" fontId="2" fillId="0" borderId="47" xfId="0" applyNumberFormat="1" applyFont="1" applyBorder="1" applyAlignment="1">
      <alignment horizontal="center" vertical="center"/>
    </xf>
    <xf numFmtId="164" fontId="2" fillId="0" borderId="26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 vertical="center"/>
    </xf>
    <xf numFmtId="164" fontId="2" fillId="0" borderId="48" xfId="0" applyNumberFormat="1" applyFont="1" applyBorder="1" applyAlignment="1">
      <alignment horizontal="center" vertical="center"/>
    </xf>
    <xf numFmtId="0" fontId="0" fillId="0" borderId="18" xfId="0" applyFill="1" applyBorder="1" applyAlignment="1">
      <alignment horizontal="right" vertical="center"/>
    </xf>
    <xf numFmtId="0" fontId="0" fillId="0" borderId="2" xfId="0" applyFill="1" applyBorder="1" applyAlignment="1">
      <alignment vertical="center"/>
    </xf>
    <xf numFmtId="3" fontId="10" fillId="0" borderId="0" xfId="0" applyNumberFormat="1" applyFont="1" applyFill="1" applyBorder="1" applyAlignment="1">
      <alignment vertical="center"/>
    </xf>
    <xf numFmtId="0" fontId="2" fillId="0" borderId="9" xfId="0" applyFont="1" applyBorder="1"/>
    <xf numFmtId="0" fontId="9" fillId="0" borderId="0" xfId="0" applyFont="1" applyFill="1" applyAlignment="1">
      <alignment horizontal="left" vertical="center"/>
    </xf>
    <xf numFmtId="0" fontId="9" fillId="5" borderId="2" xfId="0" applyFont="1" applyFill="1" applyBorder="1" applyAlignment="1">
      <alignment horizontal="center" vertical="center"/>
    </xf>
    <xf numFmtId="0" fontId="18" fillId="2" borderId="36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8" fillId="0" borderId="45" xfId="0" applyFont="1" applyFill="1" applyBorder="1" applyAlignment="1">
      <alignment horizontal="center" vertical="center"/>
    </xf>
    <xf numFmtId="0" fontId="10" fillId="0" borderId="45" xfId="0" applyFont="1" applyBorder="1" applyAlignment="1">
      <alignment vertical="center"/>
    </xf>
    <xf numFmtId="0" fontId="0" fillId="3" borderId="20" xfId="0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9" fontId="8" fillId="0" borderId="0" xfId="0" applyNumberFormat="1" applyFont="1" applyFill="1" applyBorder="1"/>
    <xf numFmtId="9" fontId="0" fillId="0" borderId="0" xfId="0" applyNumberFormat="1" applyFill="1" applyBorder="1"/>
    <xf numFmtId="0" fontId="10" fillId="0" borderId="0" xfId="0" applyFont="1" applyFill="1" applyBorder="1"/>
    <xf numFmtId="0" fontId="6" fillId="0" borderId="0" xfId="0" quotePrefix="1" applyFont="1" applyFill="1" applyBorder="1" applyAlignment="1">
      <alignment horizontal="left"/>
    </xf>
    <xf numFmtId="0" fontId="5" fillId="0" borderId="0" xfId="0" applyFont="1" applyFill="1" applyBorder="1"/>
    <xf numFmtId="0" fontId="5" fillId="0" borderId="0" xfId="0" quotePrefix="1" applyFont="1" applyFill="1" applyBorder="1" applyAlignment="1">
      <alignment horizontal="left"/>
    </xf>
    <xf numFmtId="0" fontId="1" fillId="0" borderId="14" xfId="0" applyFont="1" applyFill="1" applyBorder="1" applyAlignment="1">
      <alignment horizontal="left" vertical="center"/>
    </xf>
    <xf numFmtId="0" fontId="10" fillId="0" borderId="33" xfId="0" applyFont="1" applyFill="1" applyBorder="1" applyAlignment="1">
      <alignment vertical="center"/>
    </xf>
    <xf numFmtId="0" fontId="52" fillId="0" borderId="31" xfId="0" applyFont="1" applyFill="1" applyBorder="1" applyAlignment="1">
      <alignment horizontal="center" vertical="center"/>
    </xf>
    <xf numFmtId="0" fontId="33" fillId="0" borderId="36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center" vertical="center"/>
    </xf>
    <xf numFmtId="164" fontId="9" fillId="0" borderId="3" xfId="0" applyNumberFormat="1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 indent="3"/>
    </xf>
    <xf numFmtId="0" fontId="10" fillId="0" borderId="37" xfId="0" applyFont="1" applyFill="1" applyBorder="1" applyAlignment="1">
      <alignment horizontal="left" vertical="center"/>
    </xf>
    <xf numFmtId="0" fontId="44" fillId="0" borderId="18" xfId="0" applyFont="1" applyFill="1" applyBorder="1" applyAlignment="1">
      <alignment horizontal="center" vertical="center"/>
    </xf>
    <xf numFmtId="49" fontId="0" fillId="0" borderId="40" xfId="0" applyNumberForma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164" fontId="0" fillId="0" borderId="0" xfId="0" applyNumberFormat="1" applyFill="1" applyBorder="1" applyAlignment="1">
      <alignment horizontal="right" vertical="center"/>
    </xf>
    <xf numFmtId="3" fontId="1" fillId="0" borderId="20" xfId="0" applyNumberFormat="1" applyFont="1" applyFill="1" applyBorder="1" applyAlignment="1">
      <alignment horizontal="center" vertical="center"/>
    </xf>
    <xf numFmtId="164" fontId="0" fillId="0" borderId="18" xfId="0" applyNumberFormat="1" applyFill="1" applyBorder="1" applyAlignment="1">
      <alignment vertical="center"/>
    </xf>
    <xf numFmtId="164" fontId="0" fillId="0" borderId="18" xfId="0" applyNumberFormat="1" applyFill="1" applyBorder="1" applyAlignment="1">
      <alignment horizontal="right" vertical="center"/>
    </xf>
    <xf numFmtId="0" fontId="2" fillId="0" borderId="60" xfId="0" applyFont="1" applyBorder="1" applyAlignment="1">
      <alignment horizontal="center"/>
    </xf>
    <xf numFmtId="164" fontId="2" fillId="0" borderId="60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0" fontId="0" fillId="0" borderId="9" xfId="0" applyFill="1" applyBorder="1" applyAlignment="1">
      <alignment horizontal="right" vertical="center"/>
    </xf>
    <xf numFmtId="3" fontId="53" fillId="0" borderId="39" xfId="0" applyNumberFormat="1" applyFont="1" applyFill="1" applyBorder="1" applyAlignment="1">
      <alignment horizontal="center" vertical="center"/>
    </xf>
    <xf numFmtId="0" fontId="13" fillId="2" borderId="29" xfId="0" applyFont="1" applyFill="1" applyBorder="1"/>
    <xf numFmtId="0" fontId="20" fillId="0" borderId="0" xfId="0" applyFont="1" applyFill="1" applyBorder="1" applyAlignment="1">
      <alignment horizontal="right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/>
    <xf numFmtId="0" fontId="30" fillId="0" borderId="40" xfId="0" applyFont="1" applyFill="1" applyBorder="1" applyAlignment="1">
      <alignment horizontal="center" vertical="center"/>
    </xf>
    <xf numFmtId="0" fontId="30" fillId="0" borderId="20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vertical="center"/>
    </xf>
    <xf numFmtId="0" fontId="9" fillId="0" borderId="29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wrapText="1"/>
    </xf>
    <xf numFmtId="0" fontId="11" fillId="0" borderId="60" xfId="0" applyFont="1" applyBorder="1" applyAlignment="1">
      <alignment horizontal="center" wrapText="1"/>
    </xf>
    <xf numFmtId="0" fontId="12" fillId="0" borderId="75" xfId="0" applyFont="1" applyBorder="1" applyAlignment="1">
      <alignment horizontal="center" wrapText="1"/>
    </xf>
    <xf numFmtId="0" fontId="12" fillId="0" borderId="60" xfId="0" applyFont="1" applyBorder="1" applyAlignment="1">
      <alignment horizontal="center" wrapText="1"/>
    </xf>
    <xf numFmtId="0" fontId="12" fillId="0" borderId="22" xfId="0" applyFont="1" applyBorder="1" applyAlignment="1">
      <alignment horizontal="center" wrapText="1"/>
    </xf>
    <xf numFmtId="164" fontId="9" fillId="0" borderId="0" xfId="0" applyNumberFormat="1" applyFont="1" applyAlignment="1">
      <alignment vertical="center"/>
    </xf>
    <xf numFmtId="2" fontId="9" fillId="0" borderId="18" xfId="0" applyNumberFormat="1" applyFont="1" applyBorder="1" applyAlignment="1">
      <alignment vertical="center"/>
    </xf>
    <xf numFmtId="0" fontId="10" fillId="0" borderId="27" xfId="0" applyFont="1" applyFill="1" applyBorder="1" applyAlignment="1">
      <alignment vertical="center"/>
    </xf>
    <xf numFmtId="0" fontId="10" fillId="0" borderId="37" xfId="0" applyFont="1" applyBorder="1" applyAlignment="1">
      <alignment horizontal="left" vertical="center" indent="1"/>
    </xf>
    <xf numFmtId="0" fontId="10" fillId="0" borderId="19" xfId="0" applyFont="1" applyBorder="1" applyAlignment="1">
      <alignment horizontal="left" vertical="center" indent="1"/>
    </xf>
    <xf numFmtId="1" fontId="0" fillId="0" borderId="18" xfId="0" applyNumberFormat="1" applyBorder="1" applyAlignment="1">
      <alignment vertical="center"/>
    </xf>
    <xf numFmtId="1" fontId="0" fillId="0" borderId="0" xfId="0" applyNumberFormat="1" applyBorder="1" applyAlignment="1">
      <alignment vertical="center"/>
    </xf>
    <xf numFmtId="0" fontId="0" fillId="0" borderId="33" xfId="0" applyBorder="1" applyAlignment="1">
      <alignment vertical="center"/>
    </xf>
    <xf numFmtId="0" fontId="10" fillId="0" borderId="0" xfId="0" applyFont="1" applyAlignment="1">
      <alignment horizontal="right" vertical="center" indent="1"/>
    </xf>
    <xf numFmtId="0" fontId="13" fillId="2" borderId="27" xfId="0" applyFont="1" applyFill="1" applyBorder="1" applyAlignment="1">
      <alignment horizontal="center"/>
    </xf>
    <xf numFmtId="0" fontId="13" fillId="2" borderId="48" xfId="0" applyFont="1" applyFill="1" applyBorder="1" applyAlignment="1">
      <alignment horizontal="center"/>
    </xf>
    <xf numFmtId="3" fontId="2" fillId="0" borderId="19" xfId="0" applyNumberFormat="1" applyFont="1" applyBorder="1" applyAlignment="1">
      <alignment horizontal="center"/>
    </xf>
    <xf numFmtId="3" fontId="2" fillId="0" borderId="24" xfId="0" applyNumberFormat="1" applyFont="1" applyBorder="1" applyAlignment="1">
      <alignment horizontal="center"/>
    </xf>
    <xf numFmtId="0" fontId="10" fillId="0" borderId="0" xfId="0" applyFont="1" applyBorder="1" applyAlignment="1">
      <alignment vertical="center"/>
    </xf>
    <xf numFmtId="2" fontId="0" fillId="0" borderId="18" xfId="0" quotePrefix="1" applyNumberFormat="1" applyFill="1" applyBorder="1" applyAlignment="1">
      <alignment horizontal="right" vertical="center"/>
    </xf>
    <xf numFmtId="3" fontId="0" fillId="0" borderId="18" xfId="0" applyNumberFormat="1" applyBorder="1" applyAlignment="1">
      <alignment horizontal="right" vertical="center"/>
    </xf>
    <xf numFmtId="2" fontId="9" fillId="0" borderId="0" xfId="0" applyNumberFormat="1" applyFont="1" applyBorder="1" applyAlignment="1">
      <alignment vertical="center"/>
    </xf>
    <xf numFmtId="3" fontId="10" fillId="0" borderId="2" xfId="0" applyNumberFormat="1" applyFont="1" applyBorder="1" applyAlignment="1">
      <alignment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horizontal="center" vertical="center"/>
    </xf>
    <xf numFmtId="0" fontId="13" fillId="2" borderId="58" xfId="0" applyFont="1" applyFill="1" applyBorder="1" applyAlignment="1">
      <alignment horizontal="center" vertical="center"/>
    </xf>
    <xf numFmtId="38" fontId="13" fillId="2" borderId="2" xfId="0" applyNumberFormat="1" applyFont="1" applyFill="1" applyBorder="1" applyAlignment="1">
      <alignment horizontal="left" wrapText="1"/>
    </xf>
    <xf numFmtId="38" fontId="13" fillId="2" borderId="2" xfId="0" applyNumberFormat="1" applyFont="1" applyFill="1" applyBorder="1" applyAlignment="1">
      <alignment horizontal="center" wrapText="1"/>
    </xf>
    <xf numFmtId="1" fontId="12" fillId="0" borderId="2" xfId="0" applyNumberFormat="1" applyFont="1" applyFill="1" applyBorder="1" applyAlignment="1">
      <alignment horizontal="center" wrapText="1"/>
    </xf>
    <xf numFmtId="2" fontId="12" fillId="0" borderId="2" xfId="0" applyNumberFormat="1" applyFont="1" applyFill="1" applyBorder="1" applyAlignment="1">
      <alignment horizontal="center" wrapText="1"/>
    </xf>
    <xf numFmtId="0" fontId="2" fillId="0" borderId="5" xfId="0" applyFont="1" applyBorder="1"/>
    <xf numFmtId="0" fontId="11" fillId="0" borderId="4" xfId="0" applyFont="1" applyBorder="1"/>
    <xf numFmtId="0" fontId="0" fillId="0" borderId="2" xfId="0" applyBorder="1"/>
    <xf numFmtId="0" fontId="54" fillId="0" borderId="0" xfId="0" applyFont="1"/>
    <xf numFmtId="2" fontId="9" fillId="0" borderId="18" xfId="0" applyNumberFormat="1" applyFont="1" applyFill="1" applyBorder="1" applyAlignment="1">
      <alignment horizontal="right" vertical="center"/>
    </xf>
    <xf numFmtId="2" fontId="10" fillId="0" borderId="0" xfId="0" applyNumberFormat="1" applyFont="1" applyFill="1" applyAlignment="1">
      <alignment horizontal="right" vertical="center"/>
    </xf>
    <xf numFmtId="164" fontId="10" fillId="0" borderId="0" xfId="0" applyNumberFormat="1" applyFont="1" applyFill="1" applyAlignment="1">
      <alignment horizontal="right" vertical="center"/>
    </xf>
    <xf numFmtId="3" fontId="0" fillId="0" borderId="16" xfId="0" applyNumberFormat="1" applyFill="1" applyBorder="1" applyAlignment="1">
      <alignment vertical="center"/>
    </xf>
    <xf numFmtId="3" fontId="10" fillId="0" borderId="2" xfId="0" applyNumberFormat="1" applyFont="1" applyFill="1" applyBorder="1" applyAlignment="1">
      <alignment vertical="center"/>
    </xf>
    <xf numFmtId="0" fontId="10" fillId="0" borderId="0" xfId="0" applyFont="1" applyBorder="1" applyAlignment="1">
      <alignment horizontal="center" vertical="center"/>
    </xf>
    <xf numFmtId="3" fontId="19" fillId="0" borderId="2" xfId="0" applyNumberFormat="1" applyFont="1" applyFill="1" applyBorder="1" applyAlignment="1">
      <alignment horizontal="center" vertical="center"/>
    </xf>
    <xf numFmtId="3" fontId="19" fillId="0" borderId="50" xfId="0" applyNumberFormat="1" applyFont="1" applyFill="1" applyBorder="1" applyAlignment="1">
      <alignment horizontal="center" vertical="center"/>
    </xf>
    <xf numFmtId="0" fontId="42" fillId="0" borderId="5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64" xfId="0" applyBorder="1" applyAlignment="1">
      <alignment horizontal="right" vertical="center"/>
    </xf>
    <xf numFmtId="0" fontId="55" fillId="0" borderId="18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" fillId="0" borderId="62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12" fillId="0" borderId="13" xfId="0" applyFont="1" applyBorder="1" applyAlignment="1">
      <alignment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0" fillId="0" borderId="30" xfId="0" applyFill="1" applyBorder="1" applyAlignment="1">
      <alignment vertical="center"/>
    </xf>
    <xf numFmtId="0" fontId="12" fillId="0" borderId="0" xfId="0" applyFont="1"/>
    <xf numFmtId="170" fontId="2" fillId="0" borderId="0" xfId="0" applyNumberFormat="1" applyFont="1" applyBorder="1"/>
    <xf numFmtId="3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3" fontId="33" fillId="0" borderId="0" xfId="0" applyNumberFormat="1" applyFont="1" applyBorder="1" applyAlignment="1">
      <alignment horizontal="left"/>
    </xf>
    <xf numFmtId="0" fontId="0" fillId="0" borderId="0" xfId="0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30" xfId="0" applyBorder="1"/>
    <xf numFmtId="0" fontId="6" fillId="0" borderId="73" xfId="0" applyFont="1" applyFill="1" applyBorder="1" applyAlignment="1">
      <alignment vertical="center"/>
    </xf>
    <xf numFmtId="2" fontId="23" fillId="0" borderId="25" xfId="0" applyNumberFormat="1" applyFont="1" applyBorder="1" applyAlignment="1">
      <alignment horizontal="center" vertical="center" wrapText="1"/>
    </xf>
    <xf numFmtId="0" fontId="57" fillId="0" borderId="0" xfId="0" applyFont="1"/>
    <xf numFmtId="0" fontId="5" fillId="0" borderId="0" xfId="0" applyFont="1"/>
    <xf numFmtId="0" fontId="6" fillId="0" borderId="8" xfId="0" applyFont="1" applyFill="1" applyBorder="1"/>
    <xf numFmtId="0" fontId="0" fillId="0" borderId="58" xfId="0" applyBorder="1"/>
    <xf numFmtId="0" fontId="13" fillId="2" borderId="19" xfId="0" applyFont="1" applyFill="1" applyBorder="1"/>
    <xf numFmtId="0" fontId="18" fillId="2" borderId="29" xfId="0" applyFont="1" applyFill="1" applyBorder="1"/>
    <xf numFmtId="0" fontId="2" fillId="0" borderId="19" xfId="0" applyFont="1" applyBorder="1"/>
    <xf numFmtId="0" fontId="2" fillId="0" borderId="24" xfId="0" applyFont="1" applyBorder="1"/>
    <xf numFmtId="0" fontId="2" fillId="0" borderId="30" xfId="0" applyFont="1" applyBorder="1"/>
    <xf numFmtId="0" fontId="13" fillId="2" borderId="53" xfId="0" applyFont="1" applyFill="1" applyBorder="1"/>
    <xf numFmtId="0" fontId="2" fillId="0" borderId="53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13" fillId="2" borderId="53" xfId="0" applyFont="1" applyFill="1" applyBorder="1" applyAlignment="1">
      <alignment horizontal="center"/>
    </xf>
    <xf numFmtId="3" fontId="55" fillId="0" borderId="49" xfId="0" applyNumberFormat="1" applyFont="1" applyFill="1" applyBorder="1" applyAlignment="1">
      <alignment horizontal="center" vertical="center"/>
    </xf>
    <xf numFmtId="3" fontId="6" fillId="0" borderId="43" xfId="0" applyNumberFormat="1" applyFont="1" applyFill="1" applyBorder="1" applyAlignment="1">
      <alignment horizontal="center" vertical="center"/>
    </xf>
    <xf numFmtId="0" fontId="11" fillId="0" borderId="44" xfId="0" applyFont="1" applyBorder="1" applyAlignment="1">
      <alignment horizontal="center"/>
    </xf>
    <xf numFmtId="0" fontId="13" fillId="2" borderId="19" xfId="0" applyFont="1" applyFill="1" applyBorder="1" applyAlignment="1">
      <alignment horizontal="center"/>
    </xf>
    <xf numFmtId="0" fontId="13" fillId="2" borderId="40" xfId="0" applyFont="1" applyFill="1" applyBorder="1" applyAlignment="1">
      <alignment horizontal="center"/>
    </xf>
    <xf numFmtId="0" fontId="11" fillId="2" borderId="53" xfId="0" applyFont="1" applyFill="1" applyBorder="1"/>
    <xf numFmtId="0" fontId="0" fillId="0" borderId="43" xfId="0" applyBorder="1"/>
    <xf numFmtId="0" fontId="11" fillId="0" borderId="44" xfId="0" applyFont="1" applyFill="1" applyBorder="1"/>
    <xf numFmtId="0" fontId="5" fillId="0" borderId="53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11" fillId="0" borderId="0" xfId="0" applyFont="1" applyBorder="1"/>
    <xf numFmtId="0" fontId="6" fillId="0" borderId="44" xfId="0" applyFont="1" applyBorder="1"/>
    <xf numFmtId="0" fontId="13" fillId="2" borderId="2" xfId="0" applyFont="1" applyFill="1" applyBorder="1" applyAlignment="1">
      <alignment horizontal="left"/>
    </xf>
    <xf numFmtId="0" fontId="5" fillId="0" borderId="2" xfId="0" applyFont="1" applyBorder="1" applyAlignment="1">
      <alignment horizontal="left"/>
    </xf>
    <xf numFmtId="0" fontId="20" fillId="0" borderId="0" xfId="0" applyFont="1" applyFill="1" applyBorder="1"/>
    <xf numFmtId="3" fontId="47" fillId="0" borderId="65" xfId="0" applyNumberFormat="1" applyFont="1" applyFill="1" applyBorder="1" applyAlignment="1">
      <alignment horizontal="center" vertical="center"/>
    </xf>
    <xf numFmtId="3" fontId="47" fillId="0" borderId="10" xfId="0" applyNumberFormat="1" applyFont="1" applyFill="1" applyBorder="1" applyAlignment="1">
      <alignment horizontal="center" vertical="center"/>
    </xf>
    <xf numFmtId="0" fontId="10" fillId="0" borderId="64" xfId="0" applyFont="1" applyFill="1" applyBorder="1" applyAlignment="1">
      <alignment horizontal="left" vertical="center"/>
    </xf>
    <xf numFmtId="3" fontId="10" fillId="3" borderId="20" xfId="0" applyNumberFormat="1" applyFont="1" applyFill="1" applyBorder="1" applyAlignment="1">
      <alignment horizontal="left" vertical="center"/>
    </xf>
    <xf numFmtId="3" fontId="0" fillId="0" borderId="2" xfId="0" applyNumberFormat="1" applyFill="1" applyBorder="1" applyAlignment="1">
      <alignment horizontal="left" vertical="center" indent="2"/>
    </xf>
    <xf numFmtId="3" fontId="58" fillId="0" borderId="4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10" fillId="0" borderId="0" xfId="0" applyNumberFormat="1" applyFont="1" applyFill="1" applyBorder="1" applyAlignment="1">
      <alignment horizontal="right" vertical="center"/>
    </xf>
    <xf numFmtId="2" fontId="10" fillId="0" borderId="0" xfId="0" applyNumberFormat="1" applyFont="1" applyBorder="1" applyAlignment="1">
      <alignment vertical="center"/>
    </xf>
    <xf numFmtId="0" fontId="10" fillId="0" borderId="31" xfId="0" applyFont="1" applyBorder="1" applyAlignment="1">
      <alignment horizontal="right" vertical="center"/>
    </xf>
    <xf numFmtId="0" fontId="10" fillId="0" borderId="36" xfId="0" applyFont="1" applyBorder="1" applyAlignment="1">
      <alignment vertical="center"/>
    </xf>
    <xf numFmtId="164" fontId="9" fillId="0" borderId="0" xfId="0" applyNumberFormat="1" applyFont="1" applyBorder="1" applyAlignment="1">
      <alignment vertical="center"/>
    </xf>
    <xf numFmtId="0" fontId="9" fillId="0" borderId="0" xfId="0" applyFont="1" applyBorder="1" applyAlignment="1">
      <alignment horizontal="right" vertical="center"/>
    </xf>
    <xf numFmtId="164" fontId="0" fillId="0" borderId="2" xfId="0" applyNumberFormat="1" applyBorder="1" applyAlignment="1">
      <alignment vertical="center"/>
    </xf>
    <xf numFmtId="3" fontId="9" fillId="0" borderId="18" xfId="0" applyNumberFormat="1" applyFont="1" applyBorder="1" applyAlignment="1">
      <alignment vertical="center"/>
    </xf>
    <xf numFmtId="0" fontId="0" fillId="5" borderId="29" xfId="0" applyFill="1" applyBorder="1" applyAlignment="1">
      <alignment horizontal="center" vertical="center"/>
    </xf>
    <xf numFmtId="0" fontId="42" fillId="0" borderId="45" xfId="0" applyFont="1" applyFill="1" applyBorder="1" applyAlignment="1">
      <alignment horizontal="center" vertical="center"/>
    </xf>
    <xf numFmtId="0" fontId="38" fillId="0" borderId="21" xfId="0" applyFont="1" applyBorder="1" applyAlignment="1">
      <alignment horizontal="center" vertical="center"/>
    </xf>
    <xf numFmtId="0" fontId="38" fillId="0" borderId="29" xfId="0" applyFont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3" fontId="10" fillId="0" borderId="0" xfId="0" applyNumberFormat="1" applyFont="1" applyAlignment="1">
      <alignment horizontal="right" vertical="center"/>
    </xf>
    <xf numFmtId="3" fontId="34" fillId="0" borderId="65" xfId="0" applyNumberFormat="1" applyFont="1" applyFill="1" applyBorder="1" applyAlignment="1">
      <alignment horizontal="center" vertical="center"/>
    </xf>
    <xf numFmtId="3" fontId="10" fillId="3" borderId="50" xfId="0" applyNumberFormat="1" applyFont="1" applyFill="1" applyBorder="1" applyAlignment="1">
      <alignment horizontal="left" vertical="center"/>
    </xf>
    <xf numFmtId="164" fontId="0" fillId="0" borderId="2" xfId="0" applyNumberFormat="1" applyFill="1" applyBorder="1" applyAlignment="1">
      <alignment vertical="center"/>
    </xf>
    <xf numFmtId="3" fontId="34" fillId="0" borderId="2" xfId="0" applyNumberFormat="1" applyFont="1" applyFill="1" applyBorder="1" applyAlignment="1">
      <alignment horizontal="center" vertical="center"/>
    </xf>
    <xf numFmtId="167" fontId="0" fillId="0" borderId="18" xfId="0" applyNumberFormat="1" applyBorder="1" applyAlignment="1">
      <alignment vertical="center"/>
    </xf>
    <xf numFmtId="0" fontId="0" fillId="0" borderId="45" xfId="0" applyFill="1" applyBorder="1" applyAlignment="1">
      <alignment horizontal="center" vertical="center"/>
    </xf>
    <xf numFmtId="0" fontId="10" fillId="0" borderId="16" xfId="0" applyFont="1" applyFill="1" applyBorder="1" applyAlignment="1">
      <alignment horizontal="left" vertical="center"/>
    </xf>
    <xf numFmtId="0" fontId="0" fillId="0" borderId="16" xfId="0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right" vertical="center"/>
    </xf>
    <xf numFmtId="164" fontId="10" fillId="0" borderId="0" xfId="0" applyNumberFormat="1" applyFont="1" applyFill="1" applyBorder="1" applyAlignment="1">
      <alignment horizontal="right" vertical="center"/>
    </xf>
    <xf numFmtId="0" fontId="0" fillId="0" borderId="10" xfId="0" applyFill="1" applyBorder="1" applyAlignment="1">
      <alignment vertical="center"/>
    </xf>
    <xf numFmtId="0" fontId="0" fillId="0" borderId="28" xfId="0" applyFill="1" applyBorder="1" applyAlignment="1">
      <alignment vertical="center"/>
    </xf>
    <xf numFmtId="2" fontId="19" fillId="0" borderId="30" xfId="0" applyNumberFormat="1" applyFont="1" applyFill="1" applyBorder="1" applyAlignment="1">
      <alignment vertical="center"/>
    </xf>
    <xf numFmtId="0" fontId="21" fillId="2" borderId="31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left" vertical="center"/>
    </xf>
    <xf numFmtId="2" fontId="9" fillId="0" borderId="0" xfId="0" applyNumberFormat="1" applyFont="1" applyFill="1" applyAlignment="1">
      <alignment horizontal="right" vertical="center"/>
    </xf>
    <xf numFmtId="0" fontId="10" fillId="0" borderId="2" xfId="0" applyFont="1" applyFill="1" applyBorder="1" applyAlignment="1">
      <alignment vertical="center"/>
    </xf>
    <xf numFmtId="0" fontId="0" fillId="4" borderId="19" xfId="0" applyFill="1" applyBorder="1" applyAlignment="1">
      <alignment horizontal="right" vertical="center" indent="1"/>
    </xf>
    <xf numFmtId="2" fontId="0" fillId="4" borderId="4" xfId="0" applyNumberFormat="1" applyFill="1" applyBorder="1" applyAlignment="1">
      <alignment vertical="center"/>
    </xf>
    <xf numFmtId="2" fontId="0" fillId="4" borderId="2" xfId="0" applyNumberFormat="1" applyFill="1" applyBorder="1" applyAlignment="1">
      <alignment vertical="center"/>
    </xf>
    <xf numFmtId="0" fontId="0" fillId="0" borderId="37" xfId="0" applyFill="1" applyBorder="1" applyAlignment="1">
      <alignment horizontal="left" vertical="center"/>
    </xf>
    <xf numFmtId="0" fontId="31" fillId="0" borderId="29" xfId="0" applyFont="1" applyBorder="1" applyAlignment="1">
      <alignment horizontal="center" vertical="center"/>
    </xf>
    <xf numFmtId="0" fontId="32" fillId="0" borderId="40" xfId="0" applyFont="1" applyFill="1" applyBorder="1" applyAlignment="1">
      <alignment horizontal="center" vertical="center"/>
    </xf>
    <xf numFmtId="0" fontId="2" fillId="0" borderId="60" xfId="0" applyFont="1" applyFill="1" applyBorder="1" applyAlignment="1">
      <alignment horizontal="left" vertical="center"/>
    </xf>
    <xf numFmtId="0" fontId="11" fillId="0" borderId="60" xfId="0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 indent="2"/>
    </xf>
    <xf numFmtId="0" fontId="0" fillId="0" borderId="18" xfId="0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6" fillId="0" borderId="0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2" fillId="0" borderId="37" xfId="0" applyFont="1" applyBorder="1" applyAlignment="1">
      <alignment vertical="center"/>
    </xf>
    <xf numFmtId="165" fontId="32" fillId="0" borderId="29" xfId="0" applyNumberFormat="1" applyFont="1" applyFill="1" applyBorder="1" applyAlignment="1">
      <alignment horizontal="center" vertical="center"/>
    </xf>
    <xf numFmtId="0" fontId="0" fillId="0" borderId="29" xfId="0" applyFill="1" applyBorder="1" applyAlignment="1">
      <alignment horizontal="left" vertical="center" indent="1"/>
    </xf>
    <xf numFmtId="0" fontId="9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horizontal="left" vertical="center"/>
    </xf>
    <xf numFmtId="0" fontId="0" fillId="0" borderId="16" xfId="0" applyFill="1" applyBorder="1" applyAlignment="1">
      <alignment horizontal="left" vertical="center" indent="1"/>
    </xf>
    <xf numFmtId="0" fontId="0" fillId="0" borderId="16" xfId="0" applyFill="1" applyBorder="1" applyAlignment="1">
      <alignment horizontal="left" vertical="center" indent="3"/>
    </xf>
    <xf numFmtId="0" fontId="10" fillId="0" borderId="29" xfId="0" applyFont="1" applyFill="1" applyBorder="1" applyAlignment="1">
      <alignment vertical="center"/>
    </xf>
    <xf numFmtId="0" fontId="44" fillId="0" borderId="16" xfId="0" applyFont="1" applyFill="1" applyBorder="1" applyAlignment="1">
      <alignment horizontal="left" vertical="center" indent="1"/>
    </xf>
    <xf numFmtId="0" fontId="10" fillId="0" borderId="18" xfId="0" applyFont="1" applyFill="1" applyBorder="1" applyAlignment="1">
      <alignment vertical="center"/>
    </xf>
    <xf numFmtId="0" fontId="0" fillId="0" borderId="29" xfId="0" applyFill="1" applyBorder="1" applyAlignment="1">
      <alignment horizontal="right" vertical="center"/>
    </xf>
    <xf numFmtId="0" fontId="9" fillId="0" borderId="27" xfId="0" applyFont="1" applyFill="1" applyBorder="1" applyAlignment="1">
      <alignment horizontal="left" vertical="center"/>
    </xf>
    <xf numFmtId="0" fontId="10" fillId="0" borderId="29" xfId="0" applyFont="1" applyBorder="1" applyAlignment="1">
      <alignment horizontal="left" vertical="center"/>
    </xf>
    <xf numFmtId="0" fontId="0" fillId="0" borderId="29" xfId="0" applyBorder="1" applyAlignment="1">
      <alignment horizontal="right" vertical="center"/>
    </xf>
    <xf numFmtId="0" fontId="42" fillId="0" borderId="62" xfId="0" applyFont="1" applyFill="1" applyBorder="1" applyAlignment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0" fillId="0" borderId="45" xfId="0" applyFill="1" applyBorder="1" applyAlignment="1" applyProtection="1">
      <alignment horizontal="center"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3" fontId="0" fillId="3" borderId="39" xfId="0" applyNumberFormat="1" applyFill="1" applyBorder="1" applyAlignment="1" applyProtection="1">
      <alignment vertical="center"/>
      <protection locked="0"/>
    </xf>
    <xf numFmtId="3" fontId="0" fillId="3" borderId="47" xfId="0" applyNumberFormat="1" applyFill="1" applyBorder="1" applyAlignment="1" applyProtection="1">
      <alignment vertical="center"/>
      <protection locked="0"/>
    </xf>
    <xf numFmtId="2" fontId="0" fillId="3" borderId="47" xfId="0" applyNumberFormat="1" applyFill="1" applyBorder="1" applyAlignment="1" applyProtection="1">
      <alignment vertical="center"/>
      <protection locked="0"/>
    </xf>
    <xf numFmtId="1" fontId="1" fillId="3" borderId="20" xfId="2" applyNumberFormat="1" applyFill="1" applyBorder="1" applyAlignment="1" applyProtection="1">
      <alignment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9" fontId="1" fillId="3" borderId="2" xfId="2" applyFill="1" applyBorder="1" applyAlignment="1" applyProtection="1">
      <alignment horizontal="center" vertical="center"/>
      <protection locked="0"/>
    </xf>
    <xf numFmtId="3" fontId="0" fillId="3" borderId="2" xfId="0" applyNumberFormat="1" applyFill="1" applyBorder="1" applyAlignment="1" applyProtection="1">
      <alignment horizontal="center" vertical="center"/>
      <protection locked="0"/>
    </xf>
    <xf numFmtId="3" fontId="0" fillId="3" borderId="4" xfId="0" applyNumberFormat="1" applyFill="1" applyBorder="1" applyAlignment="1" applyProtection="1">
      <alignment horizontal="center" vertical="center"/>
      <protection locked="0"/>
    </xf>
    <xf numFmtId="3" fontId="5" fillId="3" borderId="65" xfId="0" applyNumberFormat="1" applyFont="1" applyFill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5" fillId="3" borderId="20" xfId="0" applyFont="1" applyFill="1" applyBorder="1" applyAlignment="1" applyProtection="1">
      <alignment horizontal="center" vertical="center"/>
      <protection locked="0"/>
    </xf>
    <xf numFmtId="3" fontId="0" fillId="3" borderId="2" xfId="0" applyNumberFormat="1" applyFill="1" applyBorder="1" applyAlignment="1" applyProtection="1">
      <alignment horizontal="left" vertical="center" indent="2"/>
      <protection locked="0"/>
    </xf>
    <xf numFmtId="0" fontId="10" fillId="3" borderId="63" xfId="0" applyFont="1" applyFill="1" applyBorder="1" applyAlignment="1" applyProtection="1">
      <alignment horizontal="left" vertical="center"/>
      <protection locked="0"/>
    </xf>
    <xf numFmtId="172" fontId="0" fillId="3" borderId="32" xfId="0" applyNumberFormat="1" applyFill="1" applyBorder="1" applyAlignment="1" applyProtection="1">
      <alignment horizontal="center" vertical="center"/>
      <protection locked="0"/>
    </xf>
    <xf numFmtId="0" fontId="0" fillId="3" borderId="32" xfId="0" applyFill="1" applyBorder="1" applyAlignment="1" applyProtection="1">
      <alignment horizontal="center" vertical="center"/>
      <protection locked="0"/>
    </xf>
    <xf numFmtId="3" fontId="0" fillId="3" borderId="20" xfId="0" applyNumberFormat="1" applyFill="1" applyBorder="1" applyAlignment="1" applyProtection="1">
      <alignment horizontal="right" vertical="center"/>
      <protection locked="0"/>
    </xf>
    <xf numFmtId="3" fontId="0" fillId="3" borderId="20" xfId="0" applyNumberFormat="1" applyFill="1" applyBorder="1" applyAlignment="1" applyProtection="1">
      <alignment horizontal="left" vertical="center"/>
      <protection locked="0"/>
    </xf>
    <xf numFmtId="3" fontId="0" fillId="3" borderId="5" xfId="0" applyNumberFormat="1" applyFill="1" applyBorder="1" applyAlignment="1" applyProtection="1">
      <alignment horizontal="center" vertical="center"/>
      <protection locked="0"/>
    </xf>
    <xf numFmtId="3" fontId="0" fillId="3" borderId="20" xfId="0" applyNumberFormat="1" applyFill="1" applyBorder="1" applyAlignment="1" applyProtection="1">
      <alignment horizontal="center" vertical="center"/>
      <protection locked="0"/>
    </xf>
    <xf numFmtId="3" fontId="0" fillId="3" borderId="2" xfId="0" applyNumberFormat="1" applyFill="1" applyBorder="1" applyAlignment="1" applyProtection="1">
      <alignment horizontal="right" vertical="center"/>
      <protection locked="0"/>
    </xf>
    <xf numFmtId="3" fontId="0" fillId="3" borderId="39" xfId="0" applyNumberFormat="1" applyFill="1" applyBorder="1" applyAlignment="1" applyProtection="1">
      <alignment horizontal="left" vertical="center"/>
      <protection locked="0"/>
    </xf>
    <xf numFmtId="0" fontId="0" fillId="3" borderId="2" xfId="0" applyFill="1" applyBorder="1" applyAlignment="1" applyProtection="1">
      <alignment vertical="center"/>
      <protection locked="0"/>
    </xf>
    <xf numFmtId="3" fontId="0" fillId="3" borderId="50" xfId="0" applyNumberFormat="1" applyFill="1" applyBorder="1" applyAlignment="1" applyProtection="1">
      <alignment horizontal="center" vertical="center"/>
      <protection locked="0"/>
    </xf>
    <xf numFmtId="3" fontId="0" fillId="3" borderId="50" xfId="0" applyNumberFormat="1" applyFill="1" applyBorder="1" applyAlignment="1" applyProtection="1">
      <alignment horizontal="left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3" fontId="10" fillId="3" borderId="63" xfId="0" applyNumberFormat="1" applyFont="1" applyFill="1" applyBorder="1" applyAlignment="1" applyProtection="1">
      <alignment horizontal="left" vertical="center"/>
      <protection locked="0"/>
    </xf>
    <xf numFmtId="0" fontId="29" fillId="0" borderId="18" xfId="0" applyFont="1" applyFill="1" applyBorder="1" applyAlignment="1" applyProtection="1">
      <alignment horizontal="center" vertical="center"/>
    </xf>
    <xf numFmtId="0" fontId="4" fillId="0" borderId="18" xfId="0" applyFont="1" applyBorder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3" fontId="59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 indent="2"/>
    </xf>
    <xf numFmtId="0" fontId="10" fillId="0" borderId="18" xfId="0" applyFont="1" applyBorder="1" applyAlignment="1">
      <alignment horizontal="left" vertical="center"/>
    </xf>
    <xf numFmtId="3" fontId="10" fillId="0" borderId="0" xfId="0" applyNumberFormat="1" applyFont="1" applyBorder="1" applyAlignment="1">
      <alignment vertical="center"/>
    </xf>
    <xf numFmtId="166" fontId="0" fillId="0" borderId="0" xfId="0" applyNumberFormat="1" applyAlignment="1">
      <alignment vertical="center"/>
    </xf>
    <xf numFmtId="0" fontId="33" fillId="0" borderId="31" xfId="0" applyFont="1" applyFill="1" applyBorder="1" applyAlignment="1" applyProtection="1">
      <alignment horizontal="center" vertical="center"/>
    </xf>
    <xf numFmtId="3" fontId="9" fillId="0" borderId="45" xfId="0" applyNumberFormat="1" applyFont="1" applyBorder="1" applyAlignment="1">
      <alignment vertical="center"/>
    </xf>
    <xf numFmtId="0" fontId="10" fillId="0" borderId="17" xfId="0" applyFont="1" applyFill="1" applyBorder="1" applyAlignment="1">
      <alignment vertical="center"/>
    </xf>
    <xf numFmtId="0" fontId="2" fillId="4" borderId="0" xfId="0" applyFont="1" applyFill="1"/>
    <xf numFmtId="164" fontId="2" fillId="4" borderId="0" xfId="0" applyNumberFormat="1" applyFont="1" applyFill="1"/>
    <xf numFmtId="0" fontId="20" fillId="0" borderId="0" xfId="0" applyFont="1" applyFill="1"/>
    <xf numFmtId="0" fontId="0" fillId="0" borderId="0" xfId="0" applyBorder="1" applyAlignment="1">
      <alignment horizontal="center" vertical="center"/>
    </xf>
    <xf numFmtId="0" fontId="60" fillId="0" borderId="0" xfId="0" applyFont="1"/>
    <xf numFmtId="0" fontId="21" fillId="2" borderId="28" xfId="0" applyFont="1" applyFill="1" applyBorder="1" applyAlignment="1">
      <alignment horizontal="center" vertical="center"/>
    </xf>
    <xf numFmtId="0" fontId="1" fillId="0" borderId="30" xfId="0" applyFont="1" applyFill="1" applyBorder="1" applyAlignment="1">
      <alignment vertical="center"/>
    </xf>
    <xf numFmtId="1" fontId="0" fillId="0" borderId="18" xfId="0" applyNumberFormat="1" applyFill="1" applyBorder="1" applyAlignment="1">
      <alignment vertical="center"/>
    </xf>
    <xf numFmtId="1" fontId="0" fillId="0" borderId="0" xfId="0" applyNumberFormat="1" applyFill="1" applyBorder="1" applyAlignment="1">
      <alignment vertical="center"/>
    </xf>
    <xf numFmtId="0" fontId="10" fillId="0" borderId="0" xfId="0" applyFont="1" applyFill="1" applyAlignment="1">
      <alignment horizontal="right" vertical="center" indent="1"/>
    </xf>
    <xf numFmtId="0" fontId="0" fillId="0" borderId="37" xfId="0" applyBorder="1" applyAlignment="1">
      <alignment horizontal="left" vertical="center" indent="3"/>
    </xf>
    <xf numFmtId="164" fontId="5" fillId="0" borderId="16" xfId="0" applyNumberFormat="1" applyFont="1" applyBorder="1" applyAlignment="1">
      <alignment horizontal="left" vertical="center" indent="3"/>
    </xf>
    <xf numFmtId="164" fontId="32" fillId="0" borderId="29" xfId="0" applyNumberFormat="1" applyFont="1" applyBorder="1" applyAlignment="1">
      <alignment horizontal="left" vertical="center" indent="3"/>
    </xf>
    <xf numFmtId="0" fontId="10" fillId="0" borderId="18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/>
    </xf>
    <xf numFmtId="49" fontId="9" fillId="7" borderId="2" xfId="0" applyNumberFormat="1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 wrapText="1"/>
    </xf>
    <xf numFmtId="0" fontId="0" fillId="7" borderId="0" xfId="0" applyFill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left" vertical="center"/>
    </xf>
    <xf numFmtId="0" fontId="6" fillId="0" borderId="32" xfId="3" applyFont="1" applyFill="1" applyBorder="1" applyAlignment="1">
      <alignment horizontal="left" vertical="center"/>
    </xf>
    <xf numFmtId="0" fontId="5" fillId="0" borderId="29" xfId="3" applyFont="1" applyFill="1" applyBorder="1" applyAlignment="1">
      <alignment vertical="center" wrapText="1"/>
    </xf>
    <xf numFmtId="0" fontId="6" fillId="0" borderId="32" xfId="3" applyFont="1" applyFill="1" applyBorder="1" applyAlignment="1">
      <alignment horizontal="right" vertical="center" indent="1"/>
    </xf>
    <xf numFmtId="171" fontId="59" fillId="5" borderId="2" xfId="3" applyNumberFormat="1" applyFont="1" applyFill="1" applyBorder="1" applyAlignment="1">
      <alignment horizontal="center" vertical="center"/>
    </xf>
    <xf numFmtId="0" fontId="6" fillId="0" borderId="2" xfId="3" applyFont="1" applyFill="1" applyBorder="1" applyAlignment="1">
      <alignment horizontal="right" vertical="center" indent="1"/>
    </xf>
    <xf numFmtId="49" fontId="6" fillId="0" borderId="2" xfId="3" applyNumberFormat="1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6" fillId="0" borderId="32" xfId="3" applyFont="1" applyFill="1" applyBorder="1" applyAlignment="1">
      <alignment horizontal="center" vertical="center"/>
    </xf>
    <xf numFmtId="0" fontId="5" fillId="0" borderId="21" xfId="3" applyFont="1" applyFill="1" applyBorder="1" applyAlignment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49" fontId="5" fillId="0" borderId="2" xfId="0" applyNumberFormat="1" applyFont="1" applyBorder="1" applyAlignment="1">
      <alignment horizontal="center" vertical="center" wrapText="1"/>
    </xf>
    <xf numFmtId="14" fontId="5" fillId="0" borderId="2" xfId="0" applyNumberFormat="1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vertical="center" wrapText="1"/>
    </xf>
    <xf numFmtId="171" fontId="5" fillId="0" borderId="2" xfId="0" applyNumberFormat="1" applyFont="1" applyBorder="1" applyAlignment="1">
      <alignment horizontal="center" vertical="center"/>
    </xf>
    <xf numFmtId="171" fontId="5" fillId="0" borderId="2" xfId="0" applyNumberFormat="1" applyFont="1" applyFill="1" applyBorder="1" applyAlignment="1">
      <alignment horizontal="center" vertical="center"/>
    </xf>
    <xf numFmtId="171" fontId="9" fillId="7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171" fontId="61" fillId="0" borderId="2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64" fontId="2" fillId="0" borderId="20" xfId="0" applyNumberFormat="1" applyFont="1" applyBorder="1" applyAlignment="1">
      <alignment horizontal="center" vertical="center" wrapText="1"/>
    </xf>
    <xf numFmtId="0" fontId="9" fillId="8" borderId="37" xfId="0" applyFont="1" applyFill="1" applyBorder="1" applyAlignment="1">
      <alignment horizontal="left" vertical="center"/>
    </xf>
    <xf numFmtId="0" fontId="18" fillId="8" borderId="2" xfId="0" applyFont="1" applyFill="1" applyBorder="1" applyAlignment="1" applyProtection="1">
      <alignment vertical="center"/>
      <protection locked="0"/>
    </xf>
    <xf numFmtId="0" fontId="1" fillId="3" borderId="39" xfId="0" applyFont="1" applyFill="1" applyBorder="1" applyAlignment="1" applyProtection="1">
      <alignment horizontal="center" vertical="center"/>
      <protection locked="0"/>
    </xf>
    <xf numFmtId="0" fontId="1" fillId="0" borderId="40" xfId="0" applyFont="1" applyFill="1" applyBorder="1" applyAlignment="1">
      <alignment horizontal="center" vertical="center"/>
    </xf>
    <xf numFmtId="0" fontId="1" fillId="3" borderId="20" xfId="0" applyFont="1" applyFill="1" applyBorder="1" applyAlignment="1" applyProtection="1">
      <alignment horizontal="center" vertical="center"/>
      <protection locked="0"/>
    </xf>
    <xf numFmtId="0" fontId="18" fillId="8" borderId="18" xfId="0" applyFont="1" applyFill="1" applyBorder="1" applyAlignment="1">
      <alignment vertical="center"/>
    </xf>
    <xf numFmtId="0" fontId="1" fillId="8" borderId="39" xfId="0" applyFont="1" applyFill="1" applyBorder="1" applyAlignment="1" applyProtection="1">
      <alignment horizontal="center" vertical="center"/>
      <protection locked="0"/>
    </xf>
    <xf numFmtId="0" fontId="13" fillId="2" borderId="32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62" fillId="0" borderId="2" xfId="0" applyFont="1" applyBorder="1" applyAlignment="1">
      <alignment horizontal="center" vertical="center"/>
    </xf>
    <xf numFmtId="0" fontId="1" fillId="8" borderId="7" xfId="0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>
      <alignment horizontal="center" vertical="center"/>
    </xf>
    <xf numFmtId="0" fontId="1" fillId="3" borderId="32" xfId="0" applyFont="1" applyFill="1" applyBorder="1" applyAlignment="1" applyProtection="1">
      <alignment horizontal="center" vertical="center"/>
      <protection locked="0"/>
    </xf>
    <xf numFmtId="0" fontId="1" fillId="3" borderId="7" xfId="0" applyFont="1" applyFill="1" applyBorder="1" applyAlignment="1" applyProtection="1">
      <alignment horizontal="center" vertical="center"/>
      <protection locked="0"/>
    </xf>
    <xf numFmtId="0" fontId="10" fillId="3" borderId="32" xfId="0" applyFont="1" applyFill="1" applyBorder="1" applyAlignment="1" applyProtection="1">
      <alignment horizontal="center" vertical="center"/>
      <protection locked="0"/>
    </xf>
    <xf numFmtId="3" fontId="0" fillId="3" borderId="32" xfId="0" applyNumberFormat="1" applyFill="1" applyBorder="1" applyAlignment="1" applyProtection="1">
      <alignment horizontal="center" vertical="center"/>
      <protection locked="0"/>
    </xf>
    <xf numFmtId="0" fontId="0" fillId="3" borderId="29" xfId="0" applyNumberFormat="1" applyFill="1" applyBorder="1" applyAlignment="1" applyProtection="1">
      <alignment horizontal="center" vertical="center"/>
      <protection locked="0"/>
    </xf>
    <xf numFmtId="0" fontId="11" fillId="0" borderId="28" xfId="0" applyFont="1" applyBorder="1" applyAlignment="1">
      <alignment horizontal="center" vertical="center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4" borderId="32" xfId="0" applyFill="1" applyBorder="1" applyAlignment="1">
      <alignment horizontal="center" vertical="center"/>
    </xf>
    <xf numFmtId="0" fontId="0" fillId="3" borderId="29" xfId="0" applyFill="1" applyBorder="1" applyAlignment="1" applyProtection="1">
      <alignment horizontal="center" vertical="center"/>
      <protection locked="0"/>
    </xf>
    <xf numFmtId="2" fontId="19" fillId="0" borderId="27" xfId="0" applyNumberFormat="1" applyFont="1" applyFill="1" applyBorder="1" applyAlignment="1">
      <alignment horizontal="center" vertical="center"/>
    </xf>
    <xf numFmtId="0" fontId="10" fillId="3" borderId="20" xfId="0" applyFont="1" applyFill="1" applyBorder="1" applyAlignment="1" applyProtection="1">
      <alignment horizontal="center" vertical="center"/>
      <protection locked="0"/>
    </xf>
    <xf numFmtId="0" fontId="0" fillId="3" borderId="20" xfId="0" applyFill="1" applyBorder="1" applyAlignment="1" applyProtection="1">
      <alignment horizontal="center" vertical="center"/>
      <protection locked="0"/>
    </xf>
    <xf numFmtId="49" fontId="0" fillId="3" borderId="20" xfId="0" applyNumberFormat="1" applyFill="1" applyBorder="1" applyAlignment="1" applyProtection="1">
      <alignment horizontal="center" vertical="center"/>
      <protection locked="0"/>
    </xf>
    <xf numFmtId="0" fontId="0" fillId="0" borderId="20" xfId="0" applyNumberFormat="1" applyFill="1" applyBorder="1" applyAlignment="1">
      <alignment horizontal="center" vertical="center"/>
    </xf>
    <xf numFmtId="0" fontId="0" fillId="3" borderId="47" xfId="0" applyNumberFormat="1" applyFill="1" applyBorder="1" applyAlignment="1" applyProtection="1">
      <alignment horizontal="center" vertical="center"/>
      <protection locked="0"/>
    </xf>
    <xf numFmtId="4" fontId="30" fillId="0" borderId="40" xfId="0" applyNumberFormat="1" applyFont="1" applyFill="1" applyBorder="1" applyAlignment="1">
      <alignment horizontal="center" vertical="center"/>
    </xf>
    <xf numFmtId="0" fontId="5" fillId="0" borderId="40" xfId="0" applyFont="1" applyFill="1" applyBorder="1" applyAlignment="1">
      <alignment horizontal="center" vertical="center"/>
    </xf>
    <xf numFmtId="3" fontId="0" fillId="0" borderId="20" xfId="0" applyNumberFormat="1" applyFill="1" applyBorder="1" applyAlignment="1">
      <alignment horizontal="center" vertical="center"/>
    </xf>
    <xf numFmtId="3" fontId="10" fillId="3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34" xfId="0" applyFill="1" applyBorder="1" applyAlignment="1">
      <alignment horizontal="center" vertical="center"/>
    </xf>
    <xf numFmtId="3" fontId="10" fillId="3" borderId="20" xfId="0" applyNumberFormat="1" applyFont="1" applyFill="1" applyBorder="1" applyAlignment="1" applyProtection="1">
      <alignment horizontal="center" vertical="center"/>
      <protection locked="0"/>
    </xf>
    <xf numFmtId="3" fontId="0" fillId="0" borderId="65" xfId="0" applyNumberFormat="1" applyFill="1" applyBorder="1" applyAlignment="1">
      <alignment horizontal="center" vertical="center"/>
    </xf>
    <xf numFmtId="0" fontId="10" fillId="3" borderId="39" xfId="0" applyFont="1" applyFill="1" applyBorder="1" applyAlignment="1" applyProtection="1">
      <alignment horizontal="center" vertical="center"/>
      <protection locked="0"/>
    </xf>
    <xf numFmtId="3" fontId="0" fillId="0" borderId="40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10" fillId="0" borderId="40" xfId="0" applyNumberFormat="1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0" fillId="3" borderId="20" xfId="0" applyNumberFormat="1" applyFont="1" applyFill="1" applyBorder="1" applyAlignment="1" applyProtection="1">
      <alignment horizontal="center" vertical="center"/>
      <protection locked="0"/>
    </xf>
    <xf numFmtId="2" fontId="0" fillId="0" borderId="20" xfId="0" applyNumberForma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3" fontId="0" fillId="5" borderId="32" xfId="0" applyNumberFormat="1" applyFill="1" applyBorder="1" applyAlignment="1">
      <alignment horizontal="center" vertical="center"/>
    </xf>
    <xf numFmtId="2" fontId="0" fillId="0" borderId="30" xfId="0" applyNumberForma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" fillId="0" borderId="27" xfId="0" applyFont="1" applyBorder="1" applyAlignment="1">
      <alignment horizontal="center" vertical="center"/>
    </xf>
    <xf numFmtId="0" fontId="1" fillId="9" borderId="77" xfId="0" applyFont="1" applyFill="1" applyBorder="1" applyAlignment="1" applyProtection="1">
      <alignment horizontal="center" vertical="center"/>
      <protection locked="0"/>
    </xf>
    <xf numFmtId="0" fontId="1" fillId="5" borderId="3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0" fontId="0" fillId="3" borderId="40" xfId="0" applyNumberForma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1" fillId="8" borderId="39" xfId="0" applyFont="1" applyFill="1" applyBorder="1" applyAlignment="1">
      <alignment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2" fontId="0" fillId="0" borderId="34" xfId="0" applyNumberFormat="1" applyFill="1" applyBorder="1" applyAlignment="1">
      <alignment horizontal="center" vertical="center"/>
    </xf>
    <xf numFmtId="2" fontId="0" fillId="3" borderId="39" xfId="0" applyNumberFormat="1" applyFill="1" applyBorder="1" applyAlignment="1">
      <alignment horizontal="center" vertical="center"/>
    </xf>
    <xf numFmtId="0" fontId="1" fillId="8" borderId="39" xfId="0" applyFont="1" applyFill="1" applyBorder="1" applyAlignment="1">
      <alignment horizontal="center" vertical="center"/>
    </xf>
    <xf numFmtId="0" fontId="5" fillId="0" borderId="34" xfId="0" applyFont="1" applyFill="1" applyBorder="1" applyAlignment="1">
      <alignment horizontal="center" vertical="center"/>
    </xf>
    <xf numFmtId="0" fontId="10" fillId="3" borderId="39" xfId="0" applyFont="1" applyFill="1" applyBorder="1" applyAlignment="1">
      <alignment horizontal="center" vertical="center"/>
    </xf>
    <xf numFmtId="3" fontId="0" fillId="3" borderId="39" xfId="0" applyNumberFormat="1" applyFill="1" applyBorder="1" applyAlignment="1" applyProtection="1">
      <alignment horizontal="center" vertical="center"/>
      <protection locked="0"/>
    </xf>
    <xf numFmtId="3" fontId="0" fillId="0" borderId="50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0" fillId="3" borderId="63" xfId="0" applyFont="1" applyFill="1" applyBorder="1" applyAlignment="1">
      <alignment horizontal="center" vertical="center"/>
    </xf>
    <xf numFmtId="0" fontId="11" fillId="0" borderId="0" xfId="0" applyFont="1" applyFill="1" applyAlignment="1" applyProtection="1">
      <alignment horizontal="left" vertical="center"/>
      <protection locked="0"/>
    </xf>
    <xf numFmtId="0" fontId="0" fillId="3" borderId="40" xfId="0" applyNumberFormat="1" applyFill="1" applyBorder="1" applyAlignment="1" applyProtection="1">
      <alignment horizontal="center" vertical="center"/>
      <protection locked="0"/>
    </xf>
    <xf numFmtId="0" fontId="0" fillId="3" borderId="39" xfId="0" applyFill="1" applyBorder="1" applyAlignment="1" applyProtection="1">
      <alignment horizontal="center" vertical="center"/>
      <protection locked="0"/>
    </xf>
    <xf numFmtId="2" fontId="19" fillId="0" borderId="34" xfId="0" applyNumberFormat="1" applyFont="1" applyFill="1" applyBorder="1" applyAlignment="1">
      <alignment horizontal="center" vertical="center"/>
    </xf>
    <xf numFmtId="165" fontId="32" fillId="0" borderId="40" xfId="0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1" fillId="0" borderId="48" xfId="0" applyFont="1" applyFill="1" applyBorder="1" applyAlignment="1">
      <alignment horizontal="center" vertical="center"/>
    </xf>
    <xf numFmtId="0" fontId="10" fillId="3" borderId="63" xfId="0" applyFont="1" applyFill="1" applyBorder="1" applyAlignment="1" applyProtection="1">
      <alignment horizontal="center" vertical="center"/>
      <protection locked="0"/>
    </xf>
    <xf numFmtId="3" fontId="0" fillId="0" borderId="48" xfId="0" applyNumberFormat="1" applyFill="1" applyBorder="1" applyAlignment="1">
      <alignment horizontal="center" vertical="center"/>
    </xf>
    <xf numFmtId="49" fontId="1" fillId="3" borderId="20" xfId="0" applyNumberFormat="1" applyFont="1" applyFill="1" applyBorder="1" applyAlignment="1" applyProtection="1">
      <alignment horizontal="center" vertical="center"/>
      <protection locked="0"/>
    </xf>
    <xf numFmtId="3" fontId="1" fillId="10" borderId="29" xfId="0" applyNumberFormat="1" applyFont="1" applyFill="1" applyBorder="1" applyAlignment="1">
      <alignment horizontal="center" vertical="center"/>
    </xf>
    <xf numFmtId="3" fontId="1" fillId="10" borderId="2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49" fontId="11" fillId="0" borderId="37" xfId="0" applyNumberFormat="1" applyFont="1" applyBorder="1" applyAlignment="1">
      <alignment horizontal="center" vertical="center" wrapText="1"/>
    </xf>
    <xf numFmtId="3" fontId="1" fillId="3" borderId="32" xfId="0" applyNumberFormat="1" applyFont="1" applyFill="1" applyBorder="1" applyAlignment="1" applyProtection="1">
      <alignment horizontal="center" vertical="center"/>
      <protection locked="0"/>
    </xf>
    <xf numFmtId="3" fontId="1" fillId="3" borderId="20" xfId="0" applyNumberFormat="1" applyFont="1" applyFill="1" applyBorder="1" applyAlignment="1" applyProtection="1">
      <alignment horizontal="center" vertical="center"/>
      <protection locked="0"/>
    </xf>
    <xf numFmtId="0" fontId="6" fillId="7" borderId="45" xfId="0" applyFont="1" applyFill="1" applyBorder="1" applyAlignment="1">
      <alignment horizontal="center" vertical="center"/>
    </xf>
    <xf numFmtId="0" fontId="64" fillId="0" borderId="0" xfId="0" applyFont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6" fillId="9" borderId="51" xfId="0" applyFont="1" applyFill="1" applyBorder="1" applyAlignment="1">
      <alignment horizontal="center" vertical="center"/>
    </xf>
    <xf numFmtId="0" fontId="65" fillId="11" borderId="43" xfId="0" applyFont="1" applyFill="1" applyBorder="1" applyAlignment="1">
      <alignment horizontal="center" vertical="center" wrapText="1"/>
    </xf>
    <xf numFmtId="0" fontId="66" fillId="0" borderId="53" xfId="0" applyFont="1" applyBorder="1" applyAlignment="1">
      <alignment horizontal="center" vertical="center"/>
    </xf>
    <xf numFmtId="0" fontId="65" fillId="11" borderId="44" xfId="0" applyFont="1" applyFill="1" applyBorder="1" applyAlignment="1">
      <alignment horizontal="center" vertical="center" wrapText="1"/>
    </xf>
    <xf numFmtId="0" fontId="65" fillId="12" borderId="9" xfId="0" applyFont="1" applyFill="1" applyBorder="1" applyAlignment="1">
      <alignment horizontal="center" vertical="center" wrapText="1"/>
    </xf>
    <xf numFmtId="0" fontId="65" fillId="12" borderId="0" xfId="0" applyFont="1" applyFill="1" applyBorder="1" applyAlignment="1">
      <alignment horizontal="center" vertical="center" wrapText="1"/>
    </xf>
    <xf numFmtId="0" fontId="65" fillId="12" borderId="10" xfId="0" applyFont="1" applyFill="1" applyBorder="1" applyAlignment="1">
      <alignment horizontal="center" vertical="center" wrapText="1"/>
    </xf>
    <xf numFmtId="0" fontId="65" fillId="12" borderId="44" xfId="0" applyFont="1" applyFill="1" applyBorder="1" applyAlignment="1">
      <alignment horizontal="center" vertical="center"/>
    </xf>
    <xf numFmtId="0" fontId="2" fillId="0" borderId="53" xfId="0" applyFont="1" applyBorder="1" applyAlignment="1">
      <alignment horizontal="center" vertical="center" wrapText="1"/>
    </xf>
    <xf numFmtId="164" fontId="2" fillId="0" borderId="53" xfId="0" applyNumberFormat="1" applyFont="1" applyBorder="1" applyAlignment="1">
      <alignment horizontal="center" vertical="center" wrapText="1"/>
    </xf>
    <xf numFmtId="3" fontId="2" fillId="0" borderId="53" xfId="0" applyNumberFormat="1" applyFont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3" fontId="2" fillId="0" borderId="49" xfId="0" applyNumberFormat="1" applyFont="1" applyBorder="1" applyAlignment="1">
      <alignment horizontal="center" vertical="center" wrapText="1"/>
    </xf>
    <xf numFmtId="164" fontId="2" fillId="0" borderId="13" xfId="0" applyNumberFormat="1" applyFont="1" applyBorder="1" applyAlignment="1">
      <alignment horizontal="center" vertical="center" wrapText="1"/>
    </xf>
    <xf numFmtId="164" fontId="2" fillId="0" borderId="22" xfId="0" applyNumberFormat="1" applyFont="1" applyBorder="1" applyAlignment="1">
      <alignment horizontal="center" vertical="center" wrapText="1"/>
    </xf>
    <xf numFmtId="164" fontId="2" fillId="0" borderId="23" xfId="0" applyNumberFormat="1" applyFont="1" applyBorder="1" applyAlignment="1">
      <alignment horizontal="center" vertical="center" wrapText="1"/>
    </xf>
    <xf numFmtId="164" fontId="2" fillId="0" borderId="49" xfId="0" applyNumberFormat="1" applyFont="1" applyBorder="1" applyAlignment="1">
      <alignment horizontal="center" vertical="center" wrapText="1"/>
    </xf>
    <xf numFmtId="0" fontId="63" fillId="0" borderId="16" xfId="0" applyFont="1" applyFill="1" applyBorder="1" applyAlignment="1">
      <alignment horizontal="left" vertical="center"/>
    </xf>
    <xf numFmtId="0" fontId="63" fillId="0" borderId="35" xfId="0" applyFont="1" applyFill="1" applyBorder="1" applyAlignment="1">
      <alignment horizontal="left" vertical="center"/>
    </xf>
    <xf numFmtId="164" fontId="62" fillId="0" borderId="60" xfId="0" applyNumberFormat="1" applyFont="1" applyBorder="1" applyAlignment="1">
      <alignment horizontal="center"/>
    </xf>
    <xf numFmtId="164" fontId="62" fillId="0" borderId="5" xfId="0" applyNumberFormat="1" applyFont="1" applyBorder="1" applyAlignment="1">
      <alignment horizontal="center"/>
    </xf>
    <xf numFmtId="164" fontId="62" fillId="0" borderId="2" xfId="0" applyNumberFormat="1" applyFont="1" applyBorder="1" applyAlignment="1">
      <alignment horizontal="center"/>
    </xf>
    <xf numFmtId="164" fontId="62" fillId="0" borderId="14" xfId="0" applyNumberFormat="1" applyFont="1" applyBorder="1" applyAlignment="1">
      <alignment horizontal="center"/>
    </xf>
    <xf numFmtId="164" fontId="62" fillId="0" borderId="39" xfId="0" applyNumberFormat="1" applyFont="1" applyBorder="1" applyAlignment="1">
      <alignment horizontal="center"/>
    </xf>
    <xf numFmtId="164" fontId="62" fillId="0" borderId="12" xfId="0" applyNumberFormat="1" applyFont="1" applyBorder="1" applyAlignment="1">
      <alignment horizontal="center"/>
    </xf>
    <xf numFmtId="164" fontId="62" fillId="0" borderId="20" xfId="0" applyNumberFormat="1" applyFont="1" applyBorder="1" applyAlignment="1">
      <alignment horizontal="center"/>
    </xf>
    <xf numFmtId="164" fontId="62" fillId="0" borderId="13" xfId="0" applyNumberFormat="1" applyFont="1" applyBorder="1" applyAlignment="1">
      <alignment horizontal="center"/>
    </xf>
    <xf numFmtId="164" fontId="62" fillId="0" borderId="22" xfId="0" applyNumberFormat="1" applyFont="1" applyBorder="1" applyAlignment="1">
      <alignment horizontal="center"/>
    </xf>
    <xf numFmtId="164" fontId="62" fillId="0" borderId="23" xfId="0" applyNumberFormat="1" applyFont="1" applyBorder="1" applyAlignment="1">
      <alignment horizontal="center"/>
    </xf>
    <xf numFmtId="164" fontId="62" fillId="0" borderId="0" xfId="0" applyNumberFormat="1" applyFont="1" applyFill="1" applyBorder="1" applyAlignment="1">
      <alignment horizontal="center"/>
    </xf>
    <xf numFmtId="0" fontId="62" fillId="0" borderId="2" xfId="0" applyFont="1" applyBorder="1" applyAlignment="1">
      <alignment horizontal="center"/>
    </xf>
    <xf numFmtId="0" fontId="62" fillId="0" borderId="2" xfId="0" applyFont="1" applyFill="1" applyBorder="1" applyAlignment="1">
      <alignment horizontal="center" vertical="center" wrapText="1"/>
    </xf>
    <xf numFmtId="164" fontId="62" fillId="0" borderId="2" xfId="0" applyNumberFormat="1" applyFont="1" applyFill="1" applyBorder="1" applyAlignment="1">
      <alignment horizontal="center" vertical="center" wrapText="1"/>
    </xf>
    <xf numFmtId="164" fontId="62" fillId="0" borderId="2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vertical="center"/>
    </xf>
    <xf numFmtId="1" fontId="23" fillId="7" borderId="5" xfId="0" applyNumberFormat="1" applyFont="1" applyFill="1" applyBorder="1" applyAlignment="1">
      <alignment horizontal="center" vertical="center" wrapText="1"/>
    </xf>
    <xf numFmtId="2" fontId="23" fillId="7" borderId="5" xfId="0" applyNumberFormat="1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vertical="center"/>
    </xf>
    <xf numFmtId="1" fontId="23" fillId="7" borderId="2" xfId="0" applyNumberFormat="1" applyFont="1" applyFill="1" applyBorder="1" applyAlignment="1">
      <alignment horizontal="center" vertical="center" wrapText="1"/>
    </xf>
    <xf numFmtId="2" fontId="23" fillId="7" borderId="2" xfId="0" applyNumberFormat="1" applyFont="1" applyFill="1" applyBorder="1" applyAlignment="1">
      <alignment horizontal="center" vertical="center" wrapText="1"/>
    </xf>
    <xf numFmtId="0" fontId="62" fillId="0" borderId="19" xfId="0" applyFont="1" applyBorder="1" applyAlignment="1">
      <alignment horizontal="center"/>
    </xf>
    <xf numFmtId="0" fontId="62" fillId="0" borderId="40" xfId="0" applyFont="1" applyBorder="1" applyAlignment="1">
      <alignment horizontal="center"/>
    </xf>
    <xf numFmtId="0" fontId="62" fillId="0" borderId="53" xfId="0" applyFont="1" applyBorder="1" applyAlignment="1">
      <alignment horizontal="center"/>
    </xf>
    <xf numFmtId="0" fontId="62" fillId="0" borderId="19" xfId="0" applyFont="1" applyFill="1" applyBorder="1" applyAlignment="1">
      <alignment horizontal="center" vertical="center"/>
    </xf>
    <xf numFmtId="0" fontId="62" fillId="0" borderId="24" xfId="0" applyFont="1" applyFill="1" applyBorder="1" applyAlignment="1">
      <alignment horizontal="center" vertical="center"/>
    </xf>
    <xf numFmtId="0" fontId="62" fillId="0" borderId="34" xfId="0" applyFont="1" applyBorder="1" applyAlignment="1">
      <alignment horizontal="center"/>
    </xf>
    <xf numFmtId="0" fontId="62" fillId="0" borderId="49" xfId="0" applyFont="1" applyBorder="1" applyAlignment="1">
      <alignment horizontal="center"/>
    </xf>
    <xf numFmtId="0" fontId="62" fillId="0" borderId="24" xfId="0" applyFont="1" applyBorder="1" applyAlignment="1">
      <alignment horizontal="center"/>
    </xf>
    <xf numFmtId="0" fontId="67" fillId="0" borderId="0" xfId="0" applyFont="1"/>
    <xf numFmtId="0" fontId="62" fillId="0" borderId="0" xfId="0" applyFont="1"/>
    <xf numFmtId="2" fontId="62" fillId="0" borderId="2" xfId="0" applyNumberFormat="1" applyFont="1" applyBorder="1" applyAlignment="1">
      <alignment horizontal="center"/>
    </xf>
    <xf numFmtId="164" fontId="12" fillId="0" borderId="1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164" fontId="12" fillId="0" borderId="39" xfId="0" applyNumberFormat="1" applyFont="1" applyBorder="1" applyAlignment="1">
      <alignment horizontal="center"/>
    </xf>
    <xf numFmtId="164" fontId="12" fillId="0" borderId="12" xfId="0" applyNumberFormat="1" applyFont="1" applyBorder="1" applyAlignment="1">
      <alignment horizontal="center"/>
    </xf>
    <xf numFmtId="164" fontId="12" fillId="0" borderId="20" xfId="0" applyNumberFormat="1" applyFont="1" applyBorder="1" applyAlignment="1">
      <alignment horizontal="center"/>
    </xf>
    <xf numFmtId="164" fontId="12" fillId="0" borderId="13" xfId="0" applyNumberFormat="1" applyFont="1" applyBorder="1" applyAlignment="1">
      <alignment horizontal="center"/>
    </xf>
    <xf numFmtId="164" fontId="12" fillId="0" borderId="22" xfId="0" applyNumberFormat="1" applyFont="1" applyBorder="1" applyAlignment="1">
      <alignment horizontal="center"/>
    </xf>
    <xf numFmtId="164" fontId="12" fillId="0" borderId="23" xfId="0" applyNumberFormat="1" applyFont="1" applyBorder="1" applyAlignment="1">
      <alignment horizontal="center"/>
    </xf>
    <xf numFmtId="49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vertical="center" wrapText="1"/>
    </xf>
    <xf numFmtId="164" fontId="62" fillId="0" borderId="2" xfId="0" applyNumberFormat="1" applyFont="1" applyBorder="1" applyAlignment="1">
      <alignment horizontal="center" vertical="center" wrapText="1"/>
    </xf>
    <xf numFmtId="0" fontId="62" fillId="0" borderId="0" xfId="0" applyFont="1" applyFill="1" applyBorder="1" applyAlignment="1">
      <alignment horizontal="center"/>
    </xf>
    <xf numFmtId="0" fontId="64" fillId="0" borderId="0" xfId="0" applyFont="1" applyAlignment="1">
      <alignment vertical="center"/>
    </xf>
    <xf numFmtId="0" fontId="67" fillId="0" borderId="0" xfId="0" applyFont="1" applyAlignment="1">
      <alignment vertical="center"/>
    </xf>
    <xf numFmtId="0" fontId="64" fillId="0" borderId="0" xfId="0" applyFont="1" applyAlignment="1">
      <alignment horizontal="right" vertical="center"/>
    </xf>
    <xf numFmtId="0" fontId="63" fillId="0" borderId="0" xfId="0" applyFont="1" applyFill="1" applyAlignment="1">
      <alignment vertical="center"/>
    </xf>
    <xf numFmtId="0" fontId="11" fillId="0" borderId="21" xfId="0" applyFont="1" applyBorder="1" applyAlignment="1">
      <alignment vertical="center"/>
    </xf>
    <xf numFmtId="164" fontId="62" fillId="0" borderId="3" xfId="0" applyNumberFormat="1" applyFont="1" applyBorder="1" applyAlignment="1">
      <alignment horizontal="center" vertical="center"/>
    </xf>
    <xf numFmtId="164" fontId="62" fillId="0" borderId="35" xfId="0" applyNumberFormat="1" applyFont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68" fillId="0" borderId="37" xfId="0" applyFont="1" applyFill="1" applyBorder="1" applyAlignment="1">
      <alignment horizontal="left" vertical="center"/>
    </xf>
    <xf numFmtId="0" fontId="11" fillId="0" borderId="2" xfId="0" applyFont="1" applyBorder="1" applyAlignment="1">
      <alignment vertical="center"/>
    </xf>
    <xf numFmtId="0" fontId="6" fillId="0" borderId="2" xfId="0" applyFont="1" applyBorder="1"/>
    <xf numFmtId="0" fontId="0" fillId="0" borderId="32" xfId="0" applyBorder="1"/>
    <xf numFmtId="0" fontId="2" fillId="9" borderId="2" xfId="0" applyFont="1" applyFill="1" applyBorder="1" applyAlignment="1">
      <alignment horizontal="center" vertical="center"/>
    </xf>
    <xf numFmtId="164" fontId="2" fillId="0" borderId="32" xfId="0" applyNumberFormat="1" applyFont="1" applyBorder="1" applyAlignment="1">
      <alignment horizontal="center" vertical="center"/>
    </xf>
    <xf numFmtId="0" fontId="1" fillId="0" borderId="47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>
      <alignment vertical="center"/>
    </xf>
    <xf numFmtId="3" fontId="0" fillId="0" borderId="0" xfId="0" applyNumberFormat="1" applyBorder="1" applyAlignment="1">
      <alignment horizontal="right" vertical="center"/>
    </xf>
    <xf numFmtId="3" fontId="10" fillId="0" borderId="0" xfId="0" applyNumberFormat="1" applyFont="1" applyFill="1" applyBorder="1" applyAlignment="1">
      <alignment horizontal="right" vertical="center"/>
    </xf>
    <xf numFmtId="0" fontId="9" fillId="0" borderId="0" xfId="0" applyFont="1" applyAlignment="1">
      <alignment horizontal="left" vertical="center" indent="2"/>
    </xf>
    <xf numFmtId="0" fontId="9" fillId="0" borderId="0" xfId="0" applyFont="1" applyFill="1" applyAlignment="1">
      <alignment horizontal="lef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18" xfId="0" applyFont="1" applyFill="1" applyBorder="1" applyAlignment="1">
      <alignment horizontal="left" vertical="center" indent="1"/>
    </xf>
    <xf numFmtId="0" fontId="1" fillId="0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8" xfId="0" applyFont="1" applyFill="1" applyBorder="1" applyAlignment="1">
      <alignment horizontal="right" vertical="center"/>
    </xf>
    <xf numFmtId="0" fontId="0" fillId="8" borderId="2" xfId="0" applyFill="1" applyBorder="1" applyAlignment="1" applyProtection="1">
      <alignment horizontal="center" vertical="center"/>
      <protection locked="0"/>
    </xf>
    <xf numFmtId="2" fontId="9" fillId="0" borderId="0" xfId="0" applyNumberFormat="1" applyFont="1" applyBorder="1" applyAlignment="1">
      <alignment horizontal="right" vertical="center"/>
    </xf>
    <xf numFmtId="0" fontId="2" fillId="0" borderId="2" xfId="4" applyFont="1" applyBorder="1" applyAlignment="1">
      <alignment horizontal="center" vertical="center"/>
    </xf>
    <xf numFmtId="0" fontId="13" fillId="2" borderId="2" xfId="4" applyFont="1" applyFill="1" applyBorder="1" applyAlignment="1">
      <alignment horizontal="center" vertical="center"/>
    </xf>
    <xf numFmtId="0" fontId="1" fillId="0" borderId="1" xfId="4" applyBorder="1" applyAlignment="1">
      <alignment vertical="center"/>
    </xf>
    <xf numFmtId="0" fontId="13" fillId="2" borderId="2" xfId="4" applyFont="1" applyFill="1" applyBorder="1" applyAlignment="1">
      <alignment vertical="center"/>
    </xf>
    <xf numFmtId="1" fontId="1" fillId="3" borderId="20" xfId="2" applyNumberFormat="1" applyFill="1" applyBorder="1" applyAlignment="1" applyProtection="1">
      <alignment vertical="center"/>
      <protection locked="0"/>
    </xf>
    <xf numFmtId="9" fontId="1" fillId="3" borderId="2" xfId="2" applyFill="1" applyBorder="1" applyAlignment="1" applyProtection="1">
      <alignment horizontal="center" vertical="center"/>
      <protection locked="0"/>
    </xf>
    <xf numFmtId="0" fontId="6" fillId="0" borderId="6" xfId="4" applyFont="1" applyBorder="1" applyAlignment="1">
      <alignment vertical="center"/>
    </xf>
    <xf numFmtId="0" fontId="11" fillId="0" borderId="7" xfId="4" applyFont="1" applyBorder="1" applyAlignment="1">
      <alignment vertical="center"/>
    </xf>
    <xf numFmtId="0" fontId="20" fillId="0" borderId="3" xfId="4" applyFont="1" applyBorder="1" applyAlignment="1">
      <alignment horizontal="right" vertical="center"/>
    </xf>
    <xf numFmtId="49" fontId="59" fillId="5" borderId="2" xfId="3" applyNumberFormat="1" applyFont="1" applyFill="1" applyBorder="1" applyAlignment="1">
      <alignment horizontal="center" vertical="center"/>
    </xf>
    <xf numFmtId="3" fontId="9" fillId="0" borderId="0" xfId="0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1" fillId="0" borderId="18" xfId="0" applyFont="1" applyBorder="1" applyAlignment="1">
      <alignment horizontal="right" vertical="center"/>
    </xf>
    <xf numFmtId="0" fontId="1" fillId="0" borderId="0" xfId="0" applyFont="1" applyAlignment="1">
      <alignment vertical="center"/>
    </xf>
    <xf numFmtId="1" fontId="10" fillId="0" borderId="0" xfId="0" applyNumberFormat="1" applyFont="1" applyBorder="1" applyAlignment="1">
      <alignment vertical="center"/>
    </xf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4" fontId="0" fillId="0" borderId="0" xfId="1" applyFont="1" applyBorder="1" applyAlignment="1">
      <alignment vertical="center"/>
    </xf>
    <xf numFmtId="0" fontId="11" fillId="8" borderId="0" xfId="0" applyFont="1" applyFill="1"/>
    <xf numFmtId="0" fontId="0" fillId="8" borderId="0" xfId="0" applyFill="1"/>
    <xf numFmtId="0" fontId="2" fillId="8" borderId="0" xfId="0" applyFont="1" applyFill="1"/>
    <xf numFmtId="164" fontId="2" fillId="8" borderId="0" xfId="0" applyNumberFormat="1" applyFont="1" applyFill="1" applyAlignment="1">
      <alignment horizontal="center"/>
    </xf>
    <xf numFmtId="0" fontId="1" fillId="5" borderId="2" xfId="0" applyFont="1" applyFill="1" applyBorder="1" applyAlignment="1">
      <alignment horizontal="center" vertical="center"/>
    </xf>
    <xf numFmtId="3" fontId="0" fillId="3" borderId="40" xfId="0" applyNumberFormat="1" applyFill="1" applyBorder="1" applyAlignment="1" applyProtection="1">
      <alignment horizontal="center" vertical="center"/>
      <protection locked="0"/>
    </xf>
    <xf numFmtId="0" fontId="1" fillId="10" borderId="32" xfId="0" applyFont="1" applyFill="1" applyBorder="1" applyAlignment="1">
      <alignment horizontal="center" vertical="center"/>
    </xf>
    <xf numFmtId="2" fontId="62" fillId="0" borderId="41" xfId="0" applyNumberFormat="1" applyFont="1" applyBorder="1" applyAlignment="1">
      <alignment horizontal="center" wrapText="1"/>
    </xf>
    <xf numFmtId="0" fontId="69" fillId="0" borderId="2" xfId="0" applyFont="1" applyFill="1" applyBorder="1" applyAlignment="1">
      <alignment horizontal="center" vertical="center"/>
    </xf>
    <xf numFmtId="164" fontId="62" fillId="0" borderId="2" xfId="0" applyNumberFormat="1" applyFont="1" applyBorder="1" applyAlignment="1">
      <alignment horizontal="center" vertical="center"/>
    </xf>
    <xf numFmtId="2" fontId="62" fillId="0" borderId="2" xfId="0" applyNumberFormat="1" applyFont="1" applyBorder="1" applyAlignment="1">
      <alignment horizontal="center" vertical="center"/>
    </xf>
    <xf numFmtId="164" fontId="62" fillId="0" borderId="12" xfId="0" applyNumberFormat="1" applyFont="1" applyBorder="1" applyAlignment="1">
      <alignment horizontal="center" vertical="center"/>
    </xf>
    <xf numFmtId="164" fontId="62" fillId="0" borderId="20" xfId="0" applyNumberFormat="1" applyFont="1" applyBorder="1" applyAlignment="1">
      <alignment horizontal="center" vertical="center"/>
    </xf>
    <xf numFmtId="164" fontId="62" fillId="0" borderId="13" xfId="0" applyNumberFormat="1" applyFont="1" applyBorder="1" applyAlignment="1">
      <alignment horizontal="center" vertical="center"/>
    </xf>
    <xf numFmtId="164" fontId="62" fillId="0" borderId="23" xfId="0" applyNumberFormat="1" applyFont="1" applyBorder="1" applyAlignment="1">
      <alignment horizontal="center" vertical="center"/>
    </xf>
    <xf numFmtId="164" fontId="62" fillId="0" borderId="11" xfId="0" applyNumberFormat="1" applyFont="1" applyBorder="1" applyAlignment="1">
      <alignment horizontal="center" vertical="center"/>
    </xf>
    <xf numFmtId="164" fontId="62" fillId="0" borderId="63" xfId="0" applyNumberFormat="1" applyFont="1" applyBorder="1" applyAlignment="1">
      <alignment horizontal="center" vertical="center"/>
    </xf>
    <xf numFmtId="0" fontId="11" fillId="8" borderId="11" xfId="0" applyFont="1" applyFill="1" applyBorder="1" applyAlignment="1">
      <alignment vertical="center"/>
    </xf>
    <xf numFmtId="0" fontId="2" fillId="8" borderId="62" xfId="0" applyFont="1" applyFill="1" applyBorder="1" applyAlignment="1">
      <alignment horizontal="center" vertical="center"/>
    </xf>
    <xf numFmtId="0" fontId="2" fillId="8" borderId="63" xfId="0" applyFont="1" applyFill="1" applyBorder="1" applyAlignment="1">
      <alignment horizontal="center" vertical="center"/>
    </xf>
    <xf numFmtId="164" fontId="62" fillId="8" borderId="11" xfId="0" applyNumberFormat="1" applyFont="1" applyFill="1" applyBorder="1" applyAlignment="1">
      <alignment horizontal="center" vertical="center"/>
    </xf>
    <xf numFmtId="164" fontId="62" fillId="8" borderId="63" xfId="0" applyNumberFormat="1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vertical="center"/>
    </xf>
    <xf numFmtId="0" fontId="2" fillId="8" borderId="22" xfId="0" applyFont="1" applyFill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/>
    </xf>
    <xf numFmtId="164" fontId="62" fillId="8" borderId="13" xfId="0" applyNumberFormat="1" applyFont="1" applyFill="1" applyBorder="1" applyAlignment="1">
      <alignment horizontal="center" vertical="center"/>
    </xf>
    <xf numFmtId="164" fontId="62" fillId="8" borderId="23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left" vertical="center" indent="2"/>
    </xf>
    <xf numFmtId="0" fontId="0" fillId="0" borderId="29" xfId="0" applyBorder="1" applyAlignment="1">
      <alignment horizontal="left" vertical="center" indent="3"/>
    </xf>
    <xf numFmtId="0" fontId="0" fillId="0" borderId="16" xfId="0" applyBorder="1" applyAlignment="1">
      <alignment horizontal="left" vertical="center" indent="3"/>
    </xf>
    <xf numFmtId="0" fontId="10" fillId="0" borderId="29" xfId="0" applyFont="1" applyFill="1" applyBorder="1" applyAlignment="1">
      <alignment horizontal="left" vertical="center"/>
    </xf>
    <xf numFmtId="0" fontId="0" fillId="0" borderId="18" xfId="0" applyBorder="1" applyAlignment="1">
      <alignment horizontal="left" vertical="center" indent="2"/>
    </xf>
    <xf numFmtId="0" fontId="0" fillId="0" borderId="16" xfId="0" applyFill="1" applyBorder="1" applyAlignment="1">
      <alignment horizontal="left" vertical="center" indent="2"/>
    </xf>
    <xf numFmtId="0" fontId="0" fillId="0" borderId="21" xfId="0" applyFill="1" applyBorder="1" applyAlignment="1">
      <alignment horizontal="right" vertical="center"/>
    </xf>
    <xf numFmtId="0" fontId="33" fillId="0" borderId="18" xfId="0" applyFont="1" applyFill="1" applyBorder="1" applyAlignment="1">
      <alignment horizontal="left" vertical="center" indent="1"/>
    </xf>
    <xf numFmtId="0" fontId="1" fillId="9" borderId="63" xfId="0" applyFont="1" applyFill="1" applyBorder="1" applyAlignment="1" applyProtection="1">
      <alignment horizontal="center" vertical="center"/>
      <protection locked="0"/>
    </xf>
    <xf numFmtId="3" fontId="1" fillId="10" borderId="40" xfId="0" applyNumberFormat="1" applyFon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0" fillId="3" borderId="40" xfId="0" applyFill="1" applyBorder="1" applyAlignment="1" applyProtection="1">
      <alignment horizontal="center" vertical="center"/>
      <protection locked="0"/>
    </xf>
    <xf numFmtId="0" fontId="38" fillId="0" borderId="10" xfId="0" applyFont="1" applyBorder="1" applyAlignment="1">
      <alignment horizontal="center" vertical="center"/>
    </xf>
    <xf numFmtId="0" fontId="11" fillId="7" borderId="0" xfId="0" applyFont="1" applyFill="1" applyAlignment="1" applyProtection="1">
      <alignment horizontal="left" vertical="center"/>
      <protection locked="0"/>
    </xf>
    <xf numFmtId="2" fontId="1" fillId="8" borderId="2" xfId="0" applyNumberFormat="1" applyFont="1" applyFill="1" applyBorder="1" applyAlignment="1" applyProtection="1">
      <alignment horizontal="center" vertical="center"/>
      <protection locked="0"/>
    </xf>
    <xf numFmtId="0" fontId="1" fillId="8" borderId="40" xfId="0" applyFont="1" applyFill="1" applyBorder="1" applyAlignment="1" applyProtection="1">
      <alignment horizontal="center" vertical="center"/>
      <protection locked="0"/>
    </xf>
    <xf numFmtId="1" fontId="9" fillId="0" borderId="0" xfId="0" applyNumberFormat="1" applyFont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9" fillId="0" borderId="27" xfId="0" applyFont="1" applyBorder="1" applyAlignment="1">
      <alignment horizontal="right" vertical="center"/>
    </xf>
    <xf numFmtId="3" fontId="0" fillId="0" borderId="27" xfId="0" applyNumberFormat="1" applyBorder="1" applyAlignment="1">
      <alignment vertical="center"/>
    </xf>
    <xf numFmtId="168" fontId="3" fillId="0" borderId="27" xfId="1" applyNumberFormat="1" applyFont="1" applyBorder="1" applyAlignment="1">
      <alignment vertical="center"/>
    </xf>
    <xf numFmtId="0" fontId="9" fillId="0" borderId="27" xfId="0" applyFont="1" applyFill="1" applyBorder="1" applyAlignment="1">
      <alignment horizontal="left" vertical="center" indent="2"/>
    </xf>
    <xf numFmtId="0" fontId="1" fillId="0" borderId="0" xfId="4" applyBorder="1" applyAlignment="1">
      <alignment horizontal="left" vertical="center" indent="1"/>
    </xf>
    <xf numFmtId="2" fontId="1" fillId="0" borderId="18" xfId="4" applyNumberFormat="1" applyBorder="1" applyAlignment="1">
      <alignment horizontal="right" vertical="center"/>
    </xf>
    <xf numFmtId="0" fontId="10" fillId="0" borderId="0" xfId="4" applyFont="1" applyBorder="1" applyAlignment="1">
      <alignment horizontal="left" vertical="center" indent="3"/>
    </xf>
    <xf numFmtId="0" fontId="10" fillId="0" borderId="0" xfId="4" applyFont="1" applyAlignment="1">
      <alignment horizontal="left" vertical="center" indent="3"/>
    </xf>
    <xf numFmtId="0" fontId="25" fillId="0" borderId="0" xfId="4" applyFont="1" applyAlignment="1">
      <alignment horizontal="left" vertical="center"/>
    </xf>
    <xf numFmtId="0" fontId="6" fillId="0" borderId="0" xfId="4" applyFont="1" applyBorder="1" applyAlignment="1">
      <alignment vertical="center"/>
    </xf>
    <xf numFmtId="0" fontId="1" fillId="0" borderId="0" xfId="4"/>
    <xf numFmtId="0" fontId="1" fillId="0" borderId="0" xfId="4" applyBorder="1"/>
    <xf numFmtId="0" fontId="10" fillId="0" borderId="0" xfId="4" applyFont="1" applyAlignment="1">
      <alignment vertical="center"/>
    </xf>
    <xf numFmtId="0" fontId="10" fillId="0" borderId="0" xfId="4" applyFont="1" applyAlignment="1">
      <alignment horizontal="right" vertical="center"/>
    </xf>
    <xf numFmtId="0" fontId="1" fillId="0" borderId="31" xfId="4" applyBorder="1" applyAlignment="1">
      <alignment vertical="center"/>
    </xf>
    <xf numFmtId="0" fontId="1" fillId="0" borderId="0" xfId="4" applyBorder="1" applyAlignment="1">
      <alignment vertical="center"/>
    </xf>
    <xf numFmtId="0" fontId="1" fillId="0" borderId="0" xfId="4" applyAlignment="1">
      <alignment horizontal="right" vertical="center"/>
    </xf>
    <xf numFmtId="0" fontId="1" fillId="0" borderId="18" xfId="4" applyBorder="1" applyAlignment="1">
      <alignment vertical="center"/>
    </xf>
    <xf numFmtId="0" fontId="1" fillId="0" borderId="18" xfId="4" applyBorder="1" applyAlignment="1">
      <alignment horizontal="right" vertical="center"/>
    </xf>
    <xf numFmtId="0" fontId="1" fillId="0" borderId="18" xfId="4" quotePrefix="1" applyBorder="1" applyAlignment="1">
      <alignment horizontal="right" vertical="center"/>
    </xf>
    <xf numFmtId="2" fontId="1" fillId="0" borderId="18" xfId="4" applyNumberFormat="1" applyBorder="1" applyAlignment="1">
      <alignment vertical="center"/>
    </xf>
    <xf numFmtId="3" fontId="1" fillId="0" borderId="18" xfId="4" applyNumberFormat="1" applyBorder="1" applyAlignment="1">
      <alignment vertical="center"/>
    </xf>
    <xf numFmtId="164" fontId="1" fillId="0" borderId="0" xfId="4" applyNumberFormat="1" applyAlignment="1">
      <alignment vertical="center"/>
    </xf>
    <xf numFmtId="3" fontId="1" fillId="0" borderId="0" xfId="4" applyNumberFormat="1" applyAlignment="1">
      <alignment vertical="center"/>
    </xf>
    <xf numFmtId="0" fontId="1" fillId="0" borderId="0" xfId="4" applyFill="1" applyAlignment="1">
      <alignment vertical="center"/>
    </xf>
    <xf numFmtId="0" fontId="10" fillId="0" borderId="0" xfId="4" applyFont="1" applyBorder="1" applyAlignment="1">
      <alignment horizontal="right" vertical="center"/>
    </xf>
    <xf numFmtId="2" fontId="1" fillId="0" borderId="0" xfId="4" applyNumberFormat="1" applyFill="1" applyAlignment="1">
      <alignment vertical="center"/>
    </xf>
    <xf numFmtId="4" fontId="1" fillId="0" borderId="18" xfId="4" applyNumberFormat="1" applyBorder="1" applyAlignment="1">
      <alignment vertical="center"/>
    </xf>
    <xf numFmtId="1" fontId="1" fillId="0" borderId="0" xfId="4" applyNumberFormat="1" applyBorder="1" applyAlignment="1">
      <alignment vertical="center"/>
    </xf>
    <xf numFmtId="0" fontId="10" fillId="0" borderId="33" xfId="4" applyFont="1" applyBorder="1" applyAlignment="1">
      <alignment vertical="center"/>
    </xf>
    <xf numFmtId="0" fontId="4" fillId="0" borderId="31" xfId="4" applyFont="1" applyBorder="1" applyAlignment="1">
      <alignment horizontal="center" vertical="center"/>
    </xf>
    <xf numFmtId="0" fontId="4" fillId="0" borderId="36" xfId="4" applyFont="1" applyBorder="1" applyAlignment="1">
      <alignment horizontal="center" vertical="center"/>
    </xf>
    <xf numFmtId="0" fontId="10" fillId="0" borderId="0" xfId="4" applyFont="1" applyBorder="1" applyAlignment="1">
      <alignment vertical="center"/>
    </xf>
    <xf numFmtId="0" fontId="1" fillId="0" borderId="0" xfId="4" applyBorder="1" applyAlignment="1">
      <alignment horizontal="center" vertical="center"/>
    </xf>
    <xf numFmtId="0" fontId="70" fillId="0" borderId="0" xfId="0" applyFont="1" applyAlignment="1">
      <alignment vertical="center"/>
    </xf>
    <xf numFmtId="164" fontId="70" fillId="0" borderId="0" xfId="0" applyNumberFormat="1" applyFont="1" applyBorder="1" applyAlignment="1">
      <alignment vertical="center"/>
    </xf>
    <xf numFmtId="2" fontId="70" fillId="0" borderId="0" xfId="0" applyNumberFormat="1" applyFont="1" applyFill="1" applyBorder="1" applyAlignment="1">
      <alignment vertical="center"/>
    </xf>
    <xf numFmtId="164" fontId="70" fillId="0" borderId="0" xfId="0" applyNumberFormat="1" applyFont="1" applyAlignment="1">
      <alignment vertical="center"/>
    </xf>
    <xf numFmtId="0" fontId="1" fillId="0" borderId="19" xfId="0" applyFont="1" applyBorder="1" applyAlignment="1">
      <alignment horizontal="left" vertical="center"/>
    </xf>
    <xf numFmtId="0" fontId="18" fillId="0" borderId="21" xfId="0" applyFont="1" applyFill="1" applyBorder="1" applyAlignment="1">
      <alignment vertical="center"/>
    </xf>
    <xf numFmtId="0" fontId="38" fillId="0" borderId="21" xfId="0" applyFont="1" applyFill="1" applyBorder="1" applyAlignment="1">
      <alignment horizontal="center" vertical="center"/>
    </xf>
    <xf numFmtId="49" fontId="0" fillId="3" borderId="20" xfId="0" applyNumberForma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3" fontId="10" fillId="0" borderId="65" xfId="0" applyNumberFormat="1" applyFont="1" applyFill="1" applyBorder="1" applyAlignment="1">
      <alignment horizontal="center" vertical="center"/>
    </xf>
    <xf numFmtId="0" fontId="71" fillId="12" borderId="64" xfId="0" applyFont="1" applyFill="1" applyBorder="1" applyAlignment="1">
      <alignment horizontal="center" vertical="center"/>
    </xf>
    <xf numFmtId="49" fontId="71" fillId="12" borderId="16" xfId="0" applyNumberFormat="1" applyFont="1" applyFill="1" applyBorder="1" applyAlignment="1" applyProtection="1">
      <alignment horizontal="center" vertical="center"/>
      <protection locked="0"/>
    </xf>
    <xf numFmtId="0" fontId="71" fillId="12" borderId="0" xfId="0" applyFont="1" applyFill="1" applyBorder="1" applyAlignment="1">
      <alignment horizontal="center" vertical="center"/>
    </xf>
    <xf numFmtId="0" fontId="72" fillId="12" borderId="0" xfId="0" applyFont="1" applyFill="1" applyBorder="1" applyAlignment="1">
      <alignment horizontal="right" vertical="center"/>
    </xf>
    <xf numFmtId="1" fontId="1" fillId="3" borderId="20" xfId="2" applyNumberFormat="1" applyFill="1" applyBorder="1" applyAlignment="1" applyProtection="1">
      <alignment horizontal="center" vertical="center"/>
      <protection locked="0"/>
    </xf>
    <xf numFmtId="9" fontId="2" fillId="0" borderId="0" xfId="0" applyNumberFormat="1" applyFont="1" applyBorder="1" applyAlignment="1">
      <alignment horizontal="center" vertical="center"/>
    </xf>
    <xf numFmtId="0" fontId="73" fillId="0" borderId="0" xfId="0" applyFont="1" applyAlignment="1">
      <alignment vertical="center"/>
    </xf>
    <xf numFmtId="0" fontId="73" fillId="0" borderId="0" xfId="0" applyFont="1" applyAlignment="1">
      <alignment horizontal="right" vertical="center"/>
    </xf>
    <xf numFmtId="3" fontId="73" fillId="0" borderId="0" xfId="0" applyNumberFormat="1" applyFont="1" applyAlignment="1">
      <alignment vertical="center"/>
    </xf>
    <xf numFmtId="3" fontId="73" fillId="0" borderId="0" xfId="0" applyNumberFormat="1" applyFont="1" applyAlignment="1">
      <alignment horizontal="right" vertical="center"/>
    </xf>
    <xf numFmtId="0" fontId="73" fillId="0" borderId="0" xfId="0" applyFont="1" applyBorder="1" applyAlignment="1">
      <alignment vertical="center"/>
    </xf>
    <xf numFmtId="0" fontId="73" fillId="0" borderId="0" xfId="0" applyFont="1" applyBorder="1" applyAlignment="1">
      <alignment horizontal="right" vertical="center"/>
    </xf>
    <xf numFmtId="3" fontId="73" fillId="0" borderId="0" xfId="0" applyNumberFormat="1" applyFont="1" applyBorder="1" applyAlignment="1">
      <alignment vertical="center"/>
    </xf>
    <xf numFmtId="4" fontId="0" fillId="0" borderId="0" xfId="0" applyNumberFormat="1" applyAlignment="1">
      <alignment vertical="center"/>
    </xf>
    <xf numFmtId="0" fontId="10" fillId="7" borderId="0" xfId="0" applyFont="1" applyFill="1" applyAlignment="1" applyProtection="1">
      <alignment horizontal="left" vertical="center"/>
      <protection locked="0"/>
    </xf>
    <xf numFmtId="0" fontId="9" fillId="7" borderId="0" xfId="0" applyFont="1" applyFill="1" applyAlignment="1">
      <alignment horizontal="right" vertical="center"/>
    </xf>
    <xf numFmtId="0" fontId="9" fillId="7" borderId="0" xfId="0" applyFont="1" applyFill="1" applyAlignment="1">
      <alignment vertical="center"/>
    </xf>
    <xf numFmtId="0" fontId="10" fillId="0" borderId="0" xfId="0" applyFont="1" applyFill="1" applyAlignment="1">
      <alignment horizontal="left" vertical="center" indent="2"/>
    </xf>
    <xf numFmtId="0" fontId="1" fillId="0" borderId="0" xfId="0" applyFont="1" applyAlignment="1">
      <alignment horizontal="left" vertical="center" indent="2"/>
    </xf>
    <xf numFmtId="0" fontId="1" fillId="0" borderId="18" xfId="0" applyFont="1" applyBorder="1" applyAlignment="1">
      <alignment horizontal="left" vertical="center" indent="2"/>
    </xf>
    <xf numFmtId="0" fontId="1" fillId="0" borderId="37" xfId="0" applyFont="1" applyBorder="1" applyAlignment="1">
      <alignment horizontal="left" vertical="center" indent="1"/>
    </xf>
    <xf numFmtId="49" fontId="71" fillId="12" borderId="0" xfId="0" applyNumberFormat="1" applyFont="1" applyFill="1" applyBorder="1" applyAlignment="1" applyProtection="1">
      <alignment horizontal="center" vertical="center"/>
      <protection locked="0"/>
    </xf>
    <xf numFmtId="2" fontId="1" fillId="3" borderId="39" xfId="0" applyNumberFormat="1" applyFont="1" applyFill="1" applyBorder="1" applyAlignment="1">
      <alignment horizontal="center" vertical="center"/>
    </xf>
    <xf numFmtId="49" fontId="1" fillId="8" borderId="62" xfId="0" applyNumberFormat="1" applyFont="1" applyFill="1" applyBorder="1" applyAlignment="1" applyProtection="1">
      <alignment horizontal="center" vertical="center"/>
      <protection locked="0"/>
    </xf>
    <xf numFmtId="49" fontId="1" fillId="8" borderId="3" xfId="0" applyNumberFormat="1" applyFont="1" applyFill="1" applyBorder="1" applyAlignment="1" applyProtection="1">
      <alignment horizontal="center" vertical="center"/>
      <protection locked="0"/>
    </xf>
    <xf numFmtId="0" fontId="1" fillId="8" borderId="3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3" fontId="1" fillId="8" borderId="39" xfId="0" applyNumberFormat="1" applyFont="1" applyFill="1" applyBorder="1" applyAlignment="1">
      <alignment horizontal="center" vertical="center"/>
    </xf>
    <xf numFmtId="49" fontId="1" fillId="8" borderId="2" xfId="0" applyNumberFormat="1" applyFont="1" applyFill="1" applyBorder="1" applyAlignment="1" applyProtection="1">
      <alignment horizontal="center" vertical="center"/>
      <protection locked="0"/>
    </xf>
    <xf numFmtId="49" fontId="1" fillId="8" borderId="5" xfId="0" applyNumberFormat="1" applyFont="1" applyFill="1" applyBorder="1" applyAlignment="1" applyProtection="1">
      <alignment horizontal="center" vertical="center"/>
      <protection locked="0"/>
    </xf>
    <xf numFmtId="3" fontId="1" fillId="8" borderId="20" xfId="0" applyNumberFormat="1" applyFont="1" applyFill="1" applyBorder="1" applyAlignment="1">
      <alignment horizontal="center" vertical="center"/>
    </xf>
    <xf numFmtId="3" fontId="9" fillId="0" borderId="18" xfId="0" applyNumberFormat="1" applyFont="1" applyBorder="1" applyAlignment="1">
      <alignment horizontal="right" vertical="center"/>
    </xf>
    <xf numFmtId="0" fontId="64" fillId="0" borderId="0" xfId="0" applyFont="1" applyAlignment="1">
      <alignment horizontal="right"/>
    </xf>
    <xf numFmtId="0" fontId="1" fillId="8" borderId="3" xfId="0" applyNumberFormat="1" applyFont="1" applyFill="1" applyBorder="1" applyAlignment="1" applyProtection="1">
      <alignment horizontal="center" vertical="center"/>
      <protection locked="0"/>
    </xf>
    <xf numFmtId="0" fontId="1" fillId="8" borderId="5" xfId="0" applyNumberFormat="1" applyFont="1" applyFill="1" applyBorder="1" applyAlignment="1" applyProtection="1">
      <alignment horizontal="center" vertical="center"/>
      <protection locked="0"/>
    </xf>
    <xf numFmtId="0" fontId="12" fillId="8" borderId="75" xfId="0" applyFont="1" applyFill="1" applyBorder="1" applyAlignment="1">
      <alignment horizontal="center" wrapText="1"/>
    </xf>
    <xf numFmtId="9" fontId="12" fillId="8" borderId="72" xfId="0" applyNumberFormat="1" applyFont="1" applyFill="1" applyBorder="1" applyAlignment="1">
      <alignment horizontal="center" wrapText="1"/>
    </xf>
    <xf numFmtId="164" fontId="12" fillId="8" borderId="42" xfId="0" applyNumberFormat="1" applyFont="1" applyFill="1" applyBorder="1" applyAlignment="1">
      <alignment horizontal="center" wrapText="1"/>
    </xf>
    <xf numFmtId="164" fontId="12" fillId="8" borderId="69" xfId="0" applyNumberFormat="1" applyFont="1" applyFill="1" applyBorder="1" applyAlignment="1">
      <alignment horizontal="center" wrapText="1"/>
    </xf>
    <xf numFmtId="164" fontId="12" fillId="8" borderId="72" xfId="0" applyNumberFormat="1" applyFont="1" applyFill="1" applyBorder="1" applyAlignment="1">
      <alignment horizontal="center" wrapText="1"/>
    </xf>
    <xf numFmtId="164" fontId="12" fillId="8" borderId="58" xfId="0" applyNumberFormat="1" applyFont="1" applyFill="1" applyBorder="1" applyAlignment="1">
      <alignment horizontal="center" wrapText="1"/>
    </xf>
    <xf numFmtId="0" fontId="12" fillId="8" borderId="2" xfId="0" applyFont="1" applyFill="1" applyBorder="1" applyAlignment="1">
      <alignment horizontal="center" wrapText="1"/>
    </xf>
    <xf numFmtId="9" fontId="12" fillId="8" borderId="21" xfId="0" applyNumberFormat="1" applyFont="1" applyFill="1" applyBorder="1" applyAlignment="1">
      <alignment horizontal="center" wrapText="1"/>
    </xf>
    <xf numFmtId="164" fontId="12" fillId="8" borderId="29" xfId="0" applyNumberFormat="1" applyFont="1" applyFill="1" applyBorder="1" applyAlignment="1">
      <alignment horizontal="center" wrapText="1"/>
    </xf>
    <xf numFmtId="164" fontId="12" fillId="8" borderId="12" xfId="0" applyNumberFormat="1" applyFont="1" applyFill="1" applyBorder="1" applyAlignment="1">
      <alignment horizontal="center" wrapText="1"/>
    </xf>
    <xf numFmtId="164" fontId="12" fillId="8" borderId="21" xfId="0" applyNumberFormat="1" applyFont="1" applyFill="1" applyBorder="1" applyAlignment="1">
      <alignment horizontal="center" wrapText="1"/>
    </xf>
    <xf numFmtId="164" fontId="12" fillId="8" borderId="40" xfId="0" applyNumberFormat="1" applyFont="1" applyFill="1" applyBorder="1" applyAlignment="1">
      <alignment horizontal="center" wrapText="1"/>
    </xf>
    <xf numFmtId="0" fontId="12" fillId="8" borderId="60" xfId="0" applyFont="1" applyFill="1" applyBorder="1" applyAlignment="1">
      <alignment horizontal="center" wrapText="1"/>
    </xf>
    <xf numFmtId="9" fontId="12" fillId="8" borderId="35" xfId="0" applyNumberFormat="1" applyFont="1" applyFill="1" applyBorder="1" applyAlignment="1">
      <alignment horizontal="center" wrapText="1"/>
    </xf>
    <xf numFmtId="164" fontId="12" fillId="8" borderId="0" xfId="0" applyNumberFormat="1" applyFont="1" applyFill="1" applyBorder="1" applyAlignment="1">
      <alignment horizontal="center" wrapText="1"/>
    </xf>
    <xf numFmtId="164" fontId="12" fillId="8" borderId="61" xfId="0" applyNumberFormat="1" applyFont="1" applyFill="1" applyBorder="1" applyAlignment="1">
      <alignment horizontal="center" wrapText="1"/>
    </xf>
    <xf numFmtId="164" fontId="12" fillId="8" borderId="35" xfId="0" applyNumberFormat="1" applyFont="1" applyFill="1" applyBorder="1" applyAlignment="1">
      <alignment horizontal="center" wrapText="1"/>
    </xf>
    <xf numFmtId="164" fontId="12" fillId="8" borderId="10" xfId="0" applyNumberFormat="1" applyFont="1" applyFill="1" applyBorder="1" applyAlignment="1">
      <alignment horizontal="center" wrapText="1"/>
    </xf>
    <xf numFmtId="0" fontId="12" fillId="8" borderId="4" xfId="0" applyFont="1" applyFill="1" applyBorder="1" applyAlignment="1">
      <alignment horizontal="center" wrapText="1"/>
    </xf>
    <xf numFmtId="9" fontId="12" fillId="8" borderId="1" xfId="0" applyNumberFormat="1" applyFont="1" applyFill="1" applyBorder="1" applyAlignment="1">
      <alignment horizontal="center" wrapText="1"/>
    </xf>
    <xf numFmtId="164" fontId="12" fillId="8" borderId="16" xfId="0" applyNumberFormat="1" applyFont="1" applyFill="1" applyBorder="1" applyAlignment="1">
      <alignment horizontal="center" wrapText="1"/>
    </xf>
    <xf numFmtId="164" fontId="12" fillId="8" borderId="76" xfId="0" applyNumberFormat="1" applyFont="1" applyFill="1" applyBorder="1" applyAlignment="1">
      <alignment horizontal="center" wrapText="1"/>
    </xf>
    <xf numFmtId="164" fontId="12" fillId="8" borderId="1" xfId="0" applyNumberFormat="1" applyFont="1" applyFill="1" applyBorder="1" applyAlignment="1">
      <alignment horizontal="center" wrapText="1"/>
    </xf>
    <xf numFmtId="164" fontId="12" fillId="8" borderId="65" xfId="0" applyNumberFormat="1" applyFont="1" applyFill="1" applyBorder="1" applyAlignment="1">
      <alignment horizontal="center" wrapText="1"/>
    </xf>
    <xf numFmtId="0" fontId="12" fillId="8" borderId="22" xfId="0" applyFont="1" applyFill="1" applyBorder="1" applyAlignment="1">
      <alignment horizontal="center" wrapText="1"/>
    </xf>
    <xf numFmtId="9" fontId="12" fillId="8" borderId="25" xfId="0" applyNumberFormat="1" applyFont="1" applyFill="1" applyBorder="1" applyAlignment="1">
      <alignment horizontal="center" wrapText="1"/>
    </xf>
    <xf numFmtId="164" fontId="12" fillId="8" borderId="30" xfId="0" applyNumberFormat="1" applyFont="1" applyFill="1" applyBorder="1" applyAlignment="1">
      <alignment horizontal="center" wrapText="1"/>
    </xf>
    <xf numFmtId="164" fontId="12" fillId="8" borderId="13" xfId="0" applyNumberFormat="1" applyFont="1" applyFill="1" applyBorder="1" applyAlignment="1">
      <alignment horizontal="center" wrapText="1"/>
    </xf>
    <xf numFmtId="164" fontId="12" fillId="8" borderId="25" xfId="0" applyNumberFormat="1" applyFont="1" applyFill="1" applyBorder="1" applyAlignment="1">
      <alignment horizontal="center" wrapText="1"/>
    </xf>
    <xf numFmtId="164" fontId="12" fillId="8" borderId="34" xfId="0" applyNumberFormat="1" applyFont="1" applyFill="1" applyBorder="1" applyAlignment="1">
      <alignment horizontal="center" wrapText="1"/>
    </xf>
    <xf numFmtId="0" fontId="12" fillId="8" borderId="56" xfId="0" applyFont="1" applyFill="1" applyBorder="1" applyAlignment="1">
      <alignment horizontal="center" wrapText="1"/>
    </xf>
    <xf numFmtId="9" fontId="12" fillId="8" borderId="55" xfId="0" applyNumberFormat="1" applyFont="1" applyFill="1" applyBorder="1" applyAlignment="1">
      <alignment horizontal="center" wrapText="1"/>
    </xf>
    <xf numFmtId="164" fontId="12" fillId="8" borderId="27" xfId="0" applyNumberFormat="1" applyFont="1" applyFill="1" applyBorder="1" applyAlignment="1">
      <alignment horizontal="center" wrapText="1"/>
    </xf>
    <xf numFmtId="164" fontId="12" fillId="8" borderId="59" xfId="0" applyNumberFormat="1" applyFont="1" applyFill="1" applyBorder="1" applyAlignment="1">
      <alignment horizontal="center" wrapText="1"/>
    </xf>
    <xf numFmtId="164" fontId="12" fillId="8" borderId="55" xfId="0" applyNumberFormat="1" applyFont="1" applyFill="1" applyBorder="1" applyAlignment="1">
      <alignment horizontal="center" wrapText="1"/>
    </xf>
    <xf numFmtId="164" fontId="12" fillId="8" borderId="48" xfId="0" applyNumberFormat="1" applyFont="1" applyFill="1" applyBorder="1" applyAlignment="1">
      <alignment horizontal="center" wrapText="1"/>
    </xf>
    <xf numFmtId="9" fontId="62" fillId="0" borderId="72" xfId="0" applyNumberFormat="1" applyFont="1" applyBorder="1" applyAlignment="1">
      <alignment horizontal="center" wrapText="1"/>
    </xf>
    <xf numFmtId="164" fontId="62" fillId="0" borderId="42" xfId="0" applyNumberFormat="1" applyFont="1" applyBorder="1" applyAlignment="1">
      <alignment horizontal="center" wrapText="1"/>
    </xf>
    <xf numFmtId="164" fontId="62" fillId="0" borderId="69" xfId="0" applyNumberFormat="1" applyFont="1" applyBorder="1" applyAlignment="1">
      <alignment horizontal="center" wrapText="1"/>
    </xf>
    <xf numFmtId="164" fontId="62" fillId="0" borderId="72" xfId="0" applyNumberFormat="1" applyFont="1" applyBorder="1" applyAlignment="1">
      <alignment horizontal="center" wrapText="1"/>
    </xf>
    <xf numFmtId="164" fontId="62" fillId="0" borderId="58" xfId="0" applyNumberFormat="1" applyFont="1" applyBorder="1" applyAlignment="1">
      <alignment horizontal="center" wrapText="1"/>
    </xf>
    <xf numFmtId="9" fontId="62" fillId="0" borderId="21" xfId="0" applyNumberFormat="1" applyFont="1" applyBorder="1" applyAlignment="1">
      <alignment horizontal="center" wrapText="1"/>
    </xf>
    <xf numFmtId="164" fontId="62" fillId="0" borderId="29" xfId="0" applyNumberFormat="1" applyFont="1" applyBorder="1" applyAlignment="1">
      <alignment horizontal="center" wrapText="1"/>
    </xf>
    <xf numFmtId="164" fontId="62" fillId="0" borderId="12" xfId="0" applyNumberFormat="1" applyFont="1" applyBorder="1" applyAlignment="1">
      <alignment horizontal="center" wrapText="1"/>
    </xf>
    <xf numFmtId="164" fontId="62" fillId="0" borderId="21" xfId="0" applyNumberFormat="1" applyFont="1" applyBorder="1" applyAlignment="1">
      <alignment horizontal="center" wrapText="1"/>
    </xf>
    <xf numFmtId="164" fontId="62" fillId="0" borderId="40" xfId="0" applyNumberFormat="1" applyFont="1" applyBorder="1" applyAlignment="1">
      <alignment horizontal="center" wrapText="1"/>
    </xf>
    <xf numFmtId="9" fontId="62" fillId="0" borderId="35" xfId="0" applyNumberFormat="1" applyFont="1" applyBorder="1" applyAlignment="1">
      <alignment horizontal="center" wrapText="1"/>
    </xf>
    <xf numFmtId="164" fontId="62" fillId="0" borderId="0" xfId="0" applyNumberFormat="1" applyFont="1" applyBorder="1" applyAlignment="1">
      <alignment horizontal="center" wrapText="1"/>
    </xf>
    <xf numFmtId="164" fontId="62" fillId="0" borderId="61" xfId="0" applyNumberFormat="1" applyFont="1" applyBorder="1" applyAlignment="1">
      <alignment horizontal="center" wrapText="1"/>
    </xf>
    <xf numFmtId="164" fontId="62" fillId="0" borderId="35" xfId="0" applyNumberFormat="1" applyFont="1" applyBorder="1" applyAlignment="1">
      <alignment horizontal="center" wrapText="1"/>
    </xf>
    <xf numFmtId="164" fontId="62" fillId="0" borderId="10" xfId="0" applyNumberFormat="1" applyFont="1" applyBorder="1" applyAlignment="1">
      <alignment horizontal="center" wrapText="1"/>
    </xf>
    <xf numFmtId="9" fontId="62" fillId="0" borderId="25" xfId="0" applyNumberFormat="1" applyFont="1" applyBorder="1" applyAlignment="1">
      <alignment horizontal="center" wrapText="1"/>
    </xf>
    <xf numFmtId="164" fontId="62" fillId="0" borderId="30" xfId="0" applyNumberFormat="1" applyFont="1" applyBorder="1" applyAlignment="1">
      <alignment horizontal="center" wrapText="1"/>
    </xf>
    <xf numFmtId="164" fontId="62" fillId="0" borderId="13" xfId="0" applyNumberFormat="1" applyFont="1" applyBorder="1" applyAlignment="1">
      <alignment horizontal="center" wrapText="1"/>
    </xf>
    <xf numFmtId="164" fontId="62" fillId="0" borderId="25" xfId="0" applyNumberFormat="1" applyFont="1" applyBorder="1" applyAlignment="1">
      <alignment horizontal="center" wrapText="1"/>
    </xf>
    <xf numFmtId="164" fontId="62" fillId="0" borderId="34" xfId="0" applyNumberFormat="1" applyFont="1" applyBorder="1" applyAlignment="1">
      <alignment horizontal="center" wrapText="1"/>
    </xf>
    <xf numFmtId="2" fontId="0" fillId="0" borderId="0" xfId="0" applyNumberFormat="1" applyAlignment="1">
      <alignment horizontal="right" vertical="center"/>
    </xf>
    <xf numFmtId="2" fontId="70" fillId="0" borderId="0" xfId="0" applyNumberFormat="1" applyFont="1" applyBorder="1" applyAlignment="1">
      <alignment vertical="center"/>
    </xf>
    <xf numFmtId="0" fontId="10" fillId="0" borderId="18" xfId="0" applyFont="1" applyFill="1" applyBorder="1" applyAlignment="1">
      <alignment horizontal="right" vertical="center"/>
    </xf>
    <xf numFmtId="0" fontId="1" fillId="0" borderId="0" xfId="0" quotePrefix="1" applyFont="1" applyFill="1" applyAlignment="1">
      <alignment horizontal="right" vertical="center"/>
    </xf>
    <xf numFmtId="164" fontId="9" fillId="5" borderId="15" xfId="0" applyNumberFormat="1" applyFont="1" applyFill="1" applyBorder="1" applyAlignment="1">
      <alignment horizontal="center" vertical="center"/>
    </xf>
    <xf numFmtId="164" fontId="70" fillId="0" borderId="0" xfId="0" applyNumberFormat="1" applyFont="1" applyFill="1" applyAlignment="1">
      <alignment vertical="center"/>
    </xf>
    <xf numFmtId="164" fontId="10" fillId="0" borderId="0" xfId="0" applyNumberFormat="1" applyFont="1" applyAlignment="1">
      <alignment vertical="center"/>
    </xf>
    <xf numFmtId="164" fontId="1" fillId="0" borderId="0" xfId="0" applyNumberFormat="1" applyFont="1" applyAlignment="1">
      <alignment vertical="center"/>
    </xf>
    <xf numFmtId="3" fontId="73" fillId="0" borderId="0" xfId="0" applyNumberFormat="1" applyFont="1" applyBorder="1" applyAlignment="1">
      <alignment horizontal="right" vertical="center"/>
    </xf>
    <xf numFmtId="0" fontId="10" fillId="0" borderId="27" xfId="0" applyFont="1" applyBorder="1" applyAlignment="1">
      <alignment horizontal="right" vertical="center"/>
    </xf>
    <xf numFmtId="3" fontId="1" fillId="0" borderId="18" xfId="0" applyNumberFormat="1" applyFont="1" applyBorder="1" applyAlignment="1">
      <alignment vertical="center"/>
    </xf>
    <xf numFmtId="2" fontId="1" fillId="0" borderId="18" xfId="0" applyNumberFormat="1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164" fontId="9" fillId="0" borderId="18" xfId="0" applyNumberFormat="1" applyFont="1" applyBorder="1" applyAlignment="1">
      <alignment vertical="center"/>
    </xf>
    <xf numFmtId="2" fontId="1" fillId="0" borderId="0" xfId="0" quotePrefix="1" applyNumberFormat="1" applyFont="1" applyBorder="1" applyAlignment="1">
      <alignment horizontal="right" vertical="center"/>
    </xf>
    <xf numFmtId="1" fontId="10" fillId="0" borderId="36" xfId="0" applyNumberFormat="1" applyFont="1" applyBorder="1" applyAlignment="1">
      <alignment vertical="center"/>
    </xf>
    <xf numFmtId="0" fontId="1" fillId="0" borderId="0" xfId="0" applyFont="1"/>
    <xf numFmtId="0" fontId="1" fillId="8" borderId="2" xfId="0" applyFont="1" applyFill="1" applyBorder="1" applyAlignment="1">
      <alignment horizontal="center" vertical="center"/>
    </xf>
    <xf numFmtId="0" fontId="1" fillId="3" borderId="40" xfId="0" applyNumberFormat="1" applyFont="1" applyFill="1" applyBorder="1" applyAlignment="1" applyProtection="1">
      <alignment horizontal="center" vertical="center"/>
      <protection locked="0"/>
    </xf>
    <xf numFmtId="0" fontId="10" fillId="10" borderId="37" xfId="0" applyFont="1" applyFill="1" applyBorder="1" applyAlignment="1">
      <alignment vertical="center"/>
    </xf>
    <xf numFmtId="0" fontId="10" fillId="0" borderId="29" xfId="0" applyFont="1" applyBorder="1" applyAlignment="1">
      <alignment horizontal="right" vertical="center"/>
    </xf>
    <xf numFmtId="3" fontId="5" fillId="0" borderId="20" xfId="0" applyNumberFormat="1" applyFont="1" applyBorder="1" applyAlignment="1">
      <alignment vertical="center"/>
    </xf>
    <xf numFmtId="168" fontId="76" fillId="0" borderId="78" xfId="1" applyNumberFormat="1" applyFont="1" applyBorder="1" applyAlignment="1">
      <alignment vertical="center"/>
    </xf>
    <xf numFmtId="0" fontId="75" fillId="0" borderId="0" xfId="0" applyFont="1" applyAlignment="1">
      <alignment vertical="center"/>
    </xf>
    <xf numFmtId="0" fontId="0" fillId="0" borderId="29" xfId="0" applyBorder="1" applyAlignment="1">
      <alignment horizontal="center" vertical="center"/>
    </xf>
    <xf numFmtId="171" fontId="0" fillId="10" borderId="18" xfId="0" applyNumberForma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71" fontId="0" fillId="0" borderId="0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4" fontId="0" fillId="0" borderId="0" xfId="1" applyFont="1" applyAlignment="1">
      <alignment vertical="center"/>
    </xf>
    <xf numFmtId="44" fontId="0" fillId="0" borderId="27" xfId="1" applyFont="1" applyBorder="1" applyAlignment="1">
      <alignment vertical="center"/>
    </xf>
    <xf numFmtId="44" fontId="0" fillId="0" borderId="45" xfId="0" applyNumberFormat="1" applyBorder="1" applyAlignment="1">
      <alignment vertical="center"/>
    </xf>
    <xf numFmtId="0" fontId="65" fillId="12" borderId="0" xfId="0" applyFont="1" applyFill="1" applyAlignment="1">
      <alignment horizontal="center" vertical="center"/>
    </xf>
    <xf numFmtId="0" fontId="0" fillId="0" borderId="28" xfId="0" applyBorder="1" applyAlignment="1">
      <alignment vertical="center"/>
    </xf>
    <xf numFmtId="0" fontId="10" fillId="0" borderId="28" xfId="0" applyFont="1" applyBorder="1" applyAlignment="1">
      <alignment horizontal="right" vertical="center" indent="1"/>
    </xf>
    <xf numFmtId="44" fontId="0" fillId="0" borderId="28" xfId="1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37" xfId="0" applyFont="1" applyBorder="1" applyAlignment="1">
      <alignment horizontal="right" vertical="center" indent="1"/>
    </xf>
    <xf numFmtId="0" fontId="1" fillId="8" borderId="20" xfId="0" applyFont="1" applyFill="1" applyBorder="1" applyAlignment="1" applyProtection="1">
      <alignment horizontal="center" vertical="center"/>
      <protection locked="0"/>
    </xf>
    <xf numFmtId="0" fontId="1" fillId="8" borderId="4" xfId="0" applyFont="1" applyFill="1" applyBorder="1" applyAlignment="1">
      <alignment horizontal="center" vertical="center"/>
    </xf>
    <xf numFmtId="166" fontId="0" fillId="0" borderId="18" xfId="0" applyNumberFormat="1" applyBorder="1" applyAlignment="1">
      <alignment vertical="center"/>
    </xf>
    <xf numFmtId="0" fontId="65" fillId="12" borderId="32" xfId="0" applyFont="1" applyFill="1" applyBorder="1" applyAlignment="1" applyProtection="1">
      <alignment horizontal="right" vertical="center" indent="1"/>
      <protection locked="0"/>
    </xf>
    <xf numFmtId="0" fontId="6" fillId="0" borderId="29" xfId="0" applyFont="1" applyFill="1" applyBorder="1" applyAlignment="1">
      <alignment horizontal="right" vertical="center"/>
    </xf>
    <xf numFmtId="0" fontId="6" fillId="0" borderId="29" xfId="0" applyFont="1" applyFill="1" applyBorder="1" applyAlignment="1">
      <alignment vertical="center"/>
    </xf>
    <xf numFmtId="0" fontId="6" fillId="0" borderId="21" xfId="0" applyFont="1" applyFill="1" applyBorder="1" applyAlignment="1">
      <alignment vertical="center"/>
    </xf>
    <xf numFmtId="0" fontId="77" fillId="0" borderId="0" xfId="0" applyFont="1" applyAlignment="1">
      <alignment horizontal="right" vertical="center"/>
    </xf>
    <xf numFmtId="164" fontId="6" fillId="0" borderId="29" xfId="0" applyNumberFormat="1" applyFont="1" applyFill="1" applyBorder="1" applyAlignment="1">
      <alignment horizontal="right" vertical="center"/>
    </xf>
    <xf numFmtId="0" fontId="10" fillId="7" borderId="30" xfId="0" applyFont="1" applyFill="1" applyBorder="1" applyAlignment="1">
      <alignment horizontal="left" vertical="center"/>
    </xf>
    <xf numFmtId="0" fontId="0" fillId="7" borderId="30" xfId="0" applyFill="1" applyBorder="1" applyAlignment="1">
      <alignment vertical="center"/>
    </xf>
    <xf numFmtId="0" fontId="10" fillId="0" borderId="32" xfId="0" applyFont="1" applyFill="1" applyBorder="1" applyAlignment="1">
      <alignment horizontal="left" vertical="center"/>
    </xf>
    <xf numFmtId="3" fontId="10" fillId="0" borderId="21" xfId="0" applyNumberFormat="1" applyFont="1" applyBorder="1" applyAlignment="1">
      <alignment vertical="center"/>
    </xf>
    <xf numFmtId="44" fontId="10" fillId="0" borderId="0" xfId="1" applyFont="1" applyAlignment="1">
      <alignment vertical="center"/>
    </xf>
    <xf numFmtId="44" fontId="10" fillId="0" borderId="27" xfId="1" applyFont="1" applyBorder="1" applyAlignment="1">
      <alignment vertical="center"/>
    </xf>
    <xf numFmtId="44" fontId="10" fillId="0" borderId="27" xfId="0" applyNumberFormat="1" applyFont="1" applyBorder="1" applyAlignment="1">
      <alignment vertical="center"/>
    </xf>
    <xf numFmtId="2" fontId="62" fillId="8" borderId="41" xfId="0" applyNumberFormat="1" applyFont="1" applyFill="1" applyBorder="1" applyAlignment="1">
      <alignment horizontal="center" wrapText="1"/>
    </xf>
    <xf numFmtId="2" fontId="62" fillId="0" borderId="41" xfId="0" applyNumberFormat="1" applyFont="1" applyBorder="1" applyAlignment="1">
      <alignment horizontal="center" vertical="center" wrapText="1"/>
    </xf>
    <xf numFmtId="2" fontId="23" fillId="8" borderId="41" xfId="0" applyNumberFormat="1" applyFont="1" applyFill="1" applyBorder="1" applyAlignment="1">
      <alignment horizontal="center" vertical="center" wrapText="1"/>
    </xf>
    <xf numFmtId="171" fontId="23" fillId="8" borderId="41" xfId="0" applyNumberFormat="1" applyFont="1" applyFill="1" applyBorder="1" applyAlignment="1">
      <alignment horizontal="center" vertical="center" wrapText="1"/>
    </xf>
    <xf numFmtId="164" fontId="2" fillId="0" borderId="21" xfId="0" applyNumberFormat="1" applyFont="1" applyBorder="1" applyAlignment="1">
      <alignment horizontal="center" vertical="center" wrapText="1"/>
    </xf>
    <xf numFmtId="164" fontId="2" fillId="0" borderId="25" xfId="0" applyNumberFormat="1" applyFont="1" applyBorder="1" applyAlignment="1">
      <alignment horizontal="center" vertical="center" wrapText="1"/>
    </xf>
    <xf numFmtId="49" fontId="6" fillId="10" borderId="2" xfId="0" applyNumberFormat="1" applyFont="1" applyFill="1" applyBorder="1" applyAlignment="1">
      <alignment horizontal="center" vertical="center" wrapText="1"/>
    </xf>
    <xf numFmtId="0" fontId="78" fillId="0" borderId="41" xfId="0" applyFont="1" applyBorder="1" applyAlignment="1">
      <alignment horizontal="center" vertical="center" wrapText="1"/>
    </xf>
    <xf numFmtId="0" fontId="79" fillId="0" borderId="0" xfId="0" applyFont="1" applyAlignment="1">
      <alignment horizontal="left" vertical="center"/>
    </xf>
    <xf numFmtId="0" fontId="2" fillId="0" borderId="16" xfId="0" applyFont="1" applyFill="1" applyBorder="1"/>
    <xf numFmtId="3" fontId="70" fillId="0" borderId="0" xfId="0" applyNumberFormat="1" applyFont="1" applyAlignment="1">
      <alignment vertical="center"/>
    </xf>
    <xf numFmtId="0" fontId="0" fillId="10" borderId="2" xfId="0" applyFill="1" applyBorder="1" applyAlignment="1">
      <alignment horizontal="center" vertical="center"/>
    </xf>
    <xf numFmtId="2" fontId="0" fillId="10" borderId="20" xfId="0" applyNumberFormat="1" applyFill="1" applyBorder="1" applyAlignment="1">
      <alignment horizontal="center" vertical="center"/>
    </xf>
    <xf numFmtId="166" fontId="70" fillId="0" borderId="0" xfId="0" applyNumberFormat="1" applyFont="1" applyAlignment="1">
      <alignment vertical="center"/>
    </xf>
    <xf numFmtId="0" fontId="1" fillId="0" borderId="19" xfId="0" applyFont="1" applyFill="1" applyBorder="1" applyAlignment="1">
      <alignment horizontal="left" vertical="center"/>
    </xf>
    <xf numFmtId="164" fontId="0" fillId="3" borderId="20" xfId="0" applyNumberFormat="1" applyFill="1" applyBorder="1" applyAlignment="1">
      <alignment horizontal="center" vertical="center"/>
    </xf>
    <xf numFmtId="0" fontId="1" fillId="14" borderId="63" xfId="0" applyFont="1" applyFill="1" applyBorder="1" applyAlignment="1" applyProtection="1">
      <alignment horizontal="center" vertical="center"/>
      <protection locked="0"/>
    </xf>
    <xf numFmtId="0" fontId="1" fillId="14" borderId="20" xfId="0" applyFont="1" applyFill="1" applyBorder="1" applyAlignment="1" applyProtection="1">
      <alignment horizontal="center" vertical="center"/>
      <protection locked="0"/>
    </xf>
    <xf numFmtId="3" fontId="1" fillId="14" borderId="20" xfId="0" applyNumberFormat="1" applyFont="1" applyFill="1" applyBorder="1" applyAlignment="1" applyProtection="1">
      <alignment horizontal="center" vertical="center"/>
      <protection locked="0"/>
    </xf>
    <xf numFmtId="0" fontId="1" fillId="14" borderId="40" xfId="0" applyNumberFormat="1" applyFont="1" applyFill="1" applyBorder="1" applyAlignment="1" applyProtection="1">
      <alignment horizontal="center" vertical="center"/>
      <protection locked="0"/>
    </xf>
    <xf numFmtId="3" fontId="0" fillId="14" borderId="20" xfId="0" applyNumberFormat="1" applyFill="1" applyBorder="1" applyAlignment="1" applyProtection="1">
      <alignment horizontal="center" vertical="center"/>
      <protection locked="0"/>
    </xf>
    <xf numFmtId="3" fontId="1" fillId="14" borderId="40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0" fillId="14" borderId="20" xfId="0" applyFill="1" applyBorder="1" applyAlignment="1" applyProtection="1">
      <alignment horizontal="center" vertical="center"/>
      <protection locked="0"/>
    </xf>
    <xf numFmtId="0" fontId="0" fillId="14" borderId="40" xfId="0" applyFill="1" applyBorder="1" applyAlignment="1" applyProtection="1">
      <alignment horizontal="center" vertical="center"/>
      <protection locked="0"/>
    </xf>
    <xf numFmtId="0" fontId="10" fillId="14" borderId="20" xfId="0" applyFont="1" applyFill="1" applyBorder="1" applyAlignment="1" applyProtection="1">
      <alignment horizontal="center" vertical="center"/>
      <protection locked="0"/>
    </xf>
    <xf numFmtId="0" fontId="1" fillId="14" borderId="39" xfId="0" applyFont="1" applyFill="1" applyBorder="1" applyAlignment="1" applyProtection="1">
      <alignment horizontal="center" vertical="center"/>
      <protection locked="0"/>
    </xf>
    <xf numFmtId="0" fontId="1" fillId="14" borderId="40" xfId="0" applyFont="1" applyFill="1" applyBorder="1" applyAlignment="1" applyProtection="1">
      <alignment horizontal="center" vertical="center"/>
      <protection locked="0"/>
    </xf>
    <xf numFmtId="2" fontId="1" fillId="14" borderId="2" xfId="0" applyNumberFormat="1" applyFont="1" applyFill="1" applyBorder="1" applyAlignment="1" applyProtection="1">
      <alignment horizontal="center" vertical="center"/>
      <protection locked="0"/>
    </xf>
    <xf numFmtId="0" fontId="1" fillId="14" borderId="4" xfId="0" applyFont="1" applyFill="1" applyBorder="1" applyAlignment="1">
      <alignment horizontal="center" vertical="center"/>
    </xf>
    <xf numFmtId="0" fontId="1" fillId="14" borderId="47" xfId="0" applyNumberFormat="1" applyFont="1" applyFill="1" applyBorder="1" applyAlignment="1" applyProtection="1">
      <alignment horizontal="center" vertical="center"/>
      <protection locked="0"/>
    </xf>
    <xf numFmtId="49" fontId="1" fillId="14" borderId="20" xfId="0" applyNumberFormat="1" applyFont="1" applyFill="1" applyBorder="1" applyAlignment="1" applyProtection="1">
      <alignment horizontal="center" vertical="center"/>
      <protection locked="0"/>
    </xf>
    <xf numFmtId="49" fontId="0" fillId="14" borderId="20" xfId="0" applyNumberFormat="1" applyFill="1" applyBorder="1" applyAlignment="1" applyProtection="1">
      <alignment horizontal="center" vertical="center"/>
      <protection locked="0"/>
    </xf>
    <xf numFmtId="3" fontId="0" fillId="14" borderId="39" xfId="0" applyNumberFormat="1" applyFill="1" applyBorder="1" applyAlignment="1" applyProtection="1">
      <alignment vertical="center"/>
      <protection locked="0"/>
    </xf>
    <xf numFmtId="3" fontId="0" fillId="14" borderId="47" xfId="0" applyNumberFormat="1" applyFill="1" applyBorder="1" applyAlignment="1" applyProtection="1">
      <alignment vertical="center"/>
      <protection locked="0"/>
    </xf>
    <xf numFmtId="2" fontId="0" fillId="14" borderId="47" xfId="0" applyNumberFormat="1" applyFill="1" applyBorder="1" applyAlignment="1" applyProtection="1">
      <alignment vertical="center"/>
      <protection locked="0"/>
    </xf>
    <xf numFmtId="1" fontId="1" fillId="14" borderId="20" xfId="2" applyNumberFormat="1" applyFill="1" applyBorder="1" applyAlignment="1" applyProtection="1">
      <alignment vertical="center"/>
      <protection locked="0"/>
    </xf>
    <xf numFmtId="9" fontId="1" fillId="14" borderId="2" xfId="2" applyFill="1" applyBorder="1" applyAlignment="1" applyProtection="1">
      <alignment horizontal="center" vertical="center"/>
      <protection locked="0"/>
    </xf>
    <xf numFmtId="0" fontId="10" fillId="14" borderId="39" xfId="0" applyFont="1" applyFill="1" applyBorder="1" applyAlignment="1" applyProtection="1">
      <alignment horizontal="center" vertical="center"/>
      <protection locked="0"/>
    </xf>
    <xf numFmtId="3" fontId="0" fillId="14" borderId="2" xfId="0" applyNumberFormat="1" applyFill="1" applyBorder="1" applyAlignment="1">
      <alignment horizontal="left" vertical="center" indent="2"/>
    </xf>
    <xf numFmtId="3" fontId="0" fillId="14" borderId="2" xfId="0" applyNumberFormat="1" applyFill="1" applyBorder="1" applyAlignment="1" applyProtection="1">
      <alignment horizontal="left" vertical="center" indent="2"/>
      <protection locked="0"/>
    </xf>
    <xf numFmtId="3" fontId="0" fillId="14" borderId="2" xfId="0" applyNumberFormat="1" applyFill="1" applyBorder="1" applyAlignment="1" applyProtection="1">
      <alignment horizontal="center" vertical="center"/>
      <protection locked="0"/>
    </xf>
    <xf numFmtId="172" fontId="0" fillId="14" borderId="32" xfId="0" applyNumberFormat="1" applyFill="1" applyBorder="1" applyAlignment="1" applyProtection="1">
      <alignment horizontal="center" vertical="center"/>
      <protection locked="0"/>
    </xf>
    <xf numFmtId="3" fontId="58" fillId="14" borderId="49" xfId="0" applyNumberFormat="1" applyFont="1" applyFill="1" applyBorder="1" applyAlignment="1">
      <alignment horizontal="center" vertical="center"/>
    </xf>
    <xf numFmtId="3" fontId="10" fillId="14" borderId="39" xfId="0" applyNumberFormat="1" applyFont="1" applyFill="1" applyBorder="1" applyAlignment="1" applyProtection="1">
      <alignment horizontal="center" vertical="center"/>
      <protection locked="0"/>
    </xf>
    <xf numFmtId="0" fontId="0" fillId="14" borderId="32" xfId="0" applyFill="1" applyBorder="1" applyAlignment="1" applyProtection="1">
      <alignment horizontal="center" vertical="center"/>
      <protection locked="0"/>
    </xf>
    <xf numFmtId="0" fontId="0" fillId="14" borderId="2" xfId="0" applyFill="1" applyBorder="1" applyAlignment="1" applyProtection="1">
      <alignment horizontal="center" vertical="center"/>
      <protection locked="0"/>
    </xf>
    <xf numFmtId="3" fontId="0" fillId="14" borderId="4" xfId="0" applyNumberFormat="1" applyFill="1" applyBorder="1" applyAlignment="1" applyProtection="1">
      <alignment horizontal="center" vertical="center"/>
      <protection locked="0"/>
    </xf>
    <xf numFmtId="0" fontId="46" fillId="14" borderId="45" xfId="0" applyFont="1" applyFill="1" applyBorder="1" applyAlignment="1">
      <alignment horizontal="center" vertical="center"/>
    </xf>
    <xf numFmtId="0" fontId="0" fillId="14" borderId="5" xfId="0" applyFill="1" applyBorder="1" applyAlignment="1" applyProtection="1">
      <alignment horizontal="center" vertical="center"/>
      <protection locked="0"/>
    </xf>
    <xf numFmtId="3" fontId="5" fillId="14" borderId="65" xfId="0" applyNumberFormat="1" applyFont="1" applyFill="1" applyBorder="1" applyAlignment="1" applyProtection="1">
      <alignment horizontal="center" vertical="center"/>
      <protection locked="0"/>
    </xf>
    <xf numFmtId="0" fontId="5" fillId="14" borderId="20" xfId="0" applyFont="1" applyFill="1" applyBorder="1" applyAlignment="1" applyProtection="1">
      <alignment horizontal="center" vertical="center"/>
      <protection locked="0"/>
    </xf>
    <xf numFmtId="0" fontId="9" fillId="14" borderId="2" xfId="0" applyFont="1" applyFill="1" applyBorder="1" applyAlignment="1" applyProtection="1">
      <alignment horizontal="center" vertical="center"/>
      <protection locked="0"/>
    </xf>
    <xf numFmtId="0" fontId="1" fillId="14" borderId="2" xfId="0" applyFont="1" applyFill="1" applyBorder="1" applyAlignment="1" applyProtection="1">
      <alignment horizontal="center" vertical="center"/>
      <protection locked="0"/>
    </xf>
    <xf numFmtId="0" fontId="3" fillId="0" borderId="2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4" fillId="0" borderId="32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58" xfId="0" applyFont="1" applyBorder="1" applyAlignment="1">
      <alignment horizontal="center"/>
    </xf>
    <xf numFmtId="0" fontId="13" fillId="2" borderId="32" xfId="0" applyFont="1" applyFill="1" applyBorder="1" applyAlignment="1">
      <alignment horizontal="center"/>
    </xf>
    <xf numFmtId="0" fontId="13" fillId="2" borderId="21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58" xfId="0" applyFont="1" applyBorder="1" applyAlignment="1">
      <alignment horizontal="center"/>
    </xf>
    <xf numFmtId="0" fontId="11" fillId="0" borderId="37" xfId="0" applyFont="1" applyBorder="1" applyAlignment="1">
      <alignment horizontal="center"/>
    </xf>
    <xf numFmtId="0" fontId="11" fillId="0" borderId="47" xfId="0" applyFont="1" applyBorder="1" applyAlignment="1">
      <alignment horizontal="center"/>
    </xf>
    <xf numFmtId="0" fontId="11" fillId="0" borderId="71" xfId="0" applyFont="1" applyBorder="1" applyAlignment="1">
      <alignment horizontal="center"/>
    </xf>
    <xf numFmtId="0" fontId="11" fillId="0" borderId="42" xfId="0" applyFont="1" applyBorder="1" applyAlignment="1">
      <alignment horizontal="center"/>
    </xf>
    <xf numFmtId="0" fontId="7" fillId="2" borderId="42" xfId="0" applyFont="1" applyFill="1" applyBorder="1" applyAlignment="1">
      <alignment horizontal="center"/>
    </xf>
    <xf numFmtId="0" fontId="7" fillId="2" borderId="58" xfId="0" applyFont="1" applyFill="1" applyBorder="1" applyAlignment="1">
      <alignment horizontal="center"/>
    </xf>
    <xf numFmtId="0" fontId="6" fillId="9" borderId="17" xfId="0" applyFont="1" applyFill="1" applyBorder="1" applyAlignment="1">
      <alignment horizontal="center" vertical="center" wrapText="1"/>
    </xf>
    <xf numFmtId="0" fontId="6" fillId="9" borderId="28" xfId="0" applyFont="1" applyFill="1" applyBorder="1" applyAlignment="1">
      <alignment horizontal="center" vertical="center" wrapText="1"/>
    </xf>
    <xf numFmtId="0" fontId="6" fillId="9" borderId="38" xfId="0" applyFont="1" applyFill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0" borderId="29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11" fillId="10" borderId="17" xfId="0" applyFont="1" applyFill="1" applyBorder="1" applyAlignment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2" borderId="62" xfId="0" applyFont="1" applyFill="1" applyBorder="1" applyAlignment="1">
      <alignment horizontal="center" vertical="center" wrapText="1"/>
    </xf>
    <xf numFmtId="0" fontId="7" fillId="2" borderId="63" xfId="0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7" fillId="2" borderId="28" xfId="0" applyFont="1" applyFill="1" applyBorder="1" applyAlignment="1">
      <alignment horizontal="center" vertical="center" wrapText="1"/>
    </xf>
    <xf numFmtId="0" fontId="7" fillId="2" borderId="38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center"/>
    </xf>
    <xf numFmtId="0" fontId="11" fillId="0" borderId="62" xfId="0" applyFont="1" applyBorder="1" applyAlignment="1">
      <alignment horizontal="center"/>
    </xf>
    <xf numFmtId="0" fontId="11" fillId="0" borderId="63" xfId="0" applyFont="1" applyBorder="1" applyAlignment="1">
      <alignment horizontal="center"/>
    </xf>
    <xf numFmtId="0" fontId="11" fillId="0" borderId="70" xfId="0" applyFont="1" applyBorder="1" applyAlignment="1">
      <alignment horizontal="center"/>
    </xf>
    <xf numFmtId="0" fontId="11" fillId="0" borderId="67" xfId="0" applyFont="1" applyBorder="1" applyAlignment="1">
      <alignment horizontal="center"/>
    </xf>
    <xf numFmtId="0" fontId="11" fillId="0" borderId="68" xfId="0" applyFont="1" applyBorder="1" applyAlignment="1">
      <alignment horizontal="center"/>
    </xf>
    <xf numFmtId="0" fontId="10" fillId="8" borderId="69" xfId="0" applyFont="1" applyFill="1" applyBorder="1" applyAlignment="1">
      <alignment horizontal="center" vertical="center" textRotation="90"/>
    </xf>
    <xf numFmtId="0" fontId="10" fillId="8" borderId="61" xfId="0" applyFont="1" applyFill="1" applyBorder="1" applyAlignment="1">
      <alignment horizontal="center" vertical="center" textRotation="90"/>
    </xf>
    <xf numFmtId="0" fontId="10" fillId="8" borderId="59" xfId="0" applyFont="1" applyFill="1" applyBorder="1" applyAlignment="1">
      <alignment horizontal="center" vertical="center" textRotation="90"/>
    </xf>
    <xf numFmtId="0" fontId="13" fillId="2" borderId="17" xfId="0" applyFont="1" applyFill="1" applyBorder="1" applyAlignment="1">
      <alignment horizontal="center" wrapText="1"/>
    </xf>
    <xf numFmtId="0" fontId="13" fillId="2" borderId="28" xfId="0" applyFont="1" applyFill="1" applyBorder="1" applyAlignment="1">
      <alignment horizontal="center" wrapText="1"/>
    </xf>
    <xf numFmtId="0" fontId="13" fillId="2" borderId="38" xfId="0" applyFont="1" applyFill="1" applyBorder="1" applyAlignment="1">
      <alignment horizontal="center" wrapText="1"/>
    </xf>
    <xf numFmtId="0" fontId="10" fillId="0" borderId="69" xfId="0" applyFont="1" applyBorder="1" applyAlignment="1">
      <alignment horizontal="center" vertical="center" textRotation="90"/>
    </xf>
    <xf numFmtId="0" fontId="10" fillId="0" borderId="61" xfId="0" applyFont="1" applyBorder="1" applyAlignment="1">
      <alignment horizontal="center" vertical="center" textRotation="90"/>
    </xf>
    <xf numFmtId="0" fontId="10" fillId="0" borderId="59" xfId="0" applyFont="1" applyBorder="1" applyAlignment="1">
      <alignment horizontal="center" vertical="center" textRotation="90"/>
    </xf>
    <xf numFmtId="0" fontId="11" fillId="0" borderId="8" xfId="0" applyFont="1" applyFill="1" applyBorder="1" applyAlignment="1">
      <alignment horizontal="center" wrapText="1"/>
    </xf>
    <xf numFmtId="0" fontId="11" fillId="0" borderId="42" xfId="0" applyFont="1" applyFill="1" applyBorder="1" applyAlignment="1">
      <alignment horizontal="center" wrapText="1"/>
    </xf>
    <xf numFmtId="0" fontId="11" fillId="0" borderId="58" xfId="0" applyFont="1" applyFill="1" applyBorder="1" applyAlignment="1">
      <alignment horizontal="center" wrapText="1"/>
    </xf>
    <xf numFmtId="0" fontId="1" fillId="10" borderId="18" xfId="0" applyFont="1" applyFill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9" fontId="8" fillId="3" borderId="33" xfId="2" applyFont="1" applyFill="1" applyBorder="1" applyAlignment="1">
      <alignment horizontal="center"/>
    </xf>
    <xf numFmtId="9" fontId="8" fillId="3" borderId="36" xfId="2" applyFont="1" applyFill="1" applyBorder="1" applyAlignment="1">
      <alignment horizontal="center"/>
    </xf>
    <xf numFmtId="0" fontId="10" fillId="0" borderId="32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33" fillId="3" borderId="18" xfId="0" applyFont="1" applyFill="1" applyBorder="1" applyAlignment="1" applyProtection="1">
      <alignment horizontal="left" vertical="center" indent="1"/>
      <protection locked="0"/>
    </xf>
    <xf numFmtId="0" fontId="33" fillId="3" borderId="47" xfId="0" applyFont="1" applyFill="1" applyBorder="1" applyAlignment="1" applyProtection="1">
      <alignment horizontal="left" vertical="center" indent="1"/>
      <protection locked="0"/>
    </xf>
    <xf numFmtId="0" fontId="44" fillId="3" borderId="6" xfId="0" applyFont="1" applyFill="1" applyBorder="1" applyAlignment="1" applyProtection="1">
      <alignment horizontal="left" vertical="center"/>
      <protection locked="0"/>
    </xf>
    <xf numFmtId="0" fontId="44" fillId="3" borderId="65" xfId="0" applyFont="1" applyFill="1" applyBorder="1" applyAlignment="1" applyProtection="1">
      <alignment horizontal="left" vertical="center"/>
      <protection locked="0"/>
    </xf>
    <xf numFmtId="0" fontId="10" fillId="10" borderId="33" xfId="0" applyFont="1" applyFill="1" applyBorder="1" applyAlignment="1">
      <alignment horizontal="center" vertical="center"/>
    </xf>
    <xf numFmtId="0" fontId="10" fillId="10" borderId="31" xfId="0" applyFont="1" applyFill="1" applyBorder="1" applyAlignment="1">
      <alignment horizontal="center" vertical="center"/>
    </xf>
    <xf numFmtId="0" fontId="10" fillId="10" borderId="36" xfId="0" applyFont="1" applyFill="1" applyBorder="1" applyAlignment="1">
      <alignment horizontal="center" vertical="center"/>
    </xf>
    <xf numFmtId="0" fontId="10" fillId="13" borderId="33" xfId="0" applyFont="1" applyFill="1" applyBorder="1" applyAlignment="1">
      <alignment horizontal="center" vertical="center"/>
    </xf>
    <xf numFmtId="0" fontId="10" fillId="13" borderId="31" xfId="0" applyFont="1" applyFill="1" applyBorder="1" applyAlignment="1">
      <alignment horizontal="center" vertical="center"/>
    </xf>
    <xf numFmtId="0" fontId="10" fillId="13" borderId="36" xfId="0" applyFont="1" applyFill="1" applyBorder="1" applyAlignment="1">
      <alignment horizontal="center" vertical="center"/>
    </xf>
    <xf numFmtId="0" fontId="44" fillId="14" borderId="6" xfId="0" applyFont="1" applyFill="1" applyBorder="1" applyAlignment="1" applyProtection="1">
      <alignment horizontal="left" vertical="center"/>
      <protection locked="0"/>
    </xf>
    <xf numFmtId="0" fontId="44" fillId="14" borderId="65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>
      <alignment horizontal="center"/>
    </xf>
    <xf numFmtId="0" fontId="10" fillId="3" borderId="33" xfId="0" applyFont="1" applyFill="1" applyBorder="1" applyAlignment="1">
      <alignment horizontal="center"/>
    </xf>
    <xf numFmtId="0" fontId="10" fillId="3" borderId="36" xfId="0" applyFont="1" applyFill="1" applyBorder="1" applyAlignment="1">
      <alignment horizontal="center"/>
    </xf>
    <xf numFmtId="0" fontId="11" fillId="3" borderId="37" xfId="0" applyFont="1" applyFill="1" applyBorder="1" applyAlignment="1">
      <alignment horizontal="left" vertical="center" indent="1"/>
    </xf>
    <xf numFmtId="0" fontId="11" fillId="3" borderId="18" xfId="0" applyFont="1" applyFill="1" applyBorder="1" applyAlignment="1">
      <alignment horizontal="left" vertical="center" indent="1"/>
    </xf>
    <xf numFmtId="0" fontId="11" fillId="3" borderId="47" xfId="0" applyFont="1" applyFill="1" applyBorder="1" applyAlignment="1">
      <alignment horizontal="left" vertical="center" indent="1"/>
    </xf>
  </cellXfs>
  <cellStyles count="5">
    <cellStyle name="Currency" xfId="1" builtinId="4"/>
    <cellStyle name="Normal" xfId="0" builtinId="0"/>
    <cellStyle name="Normal 2" xfId="4"/>
    <cellStyle name="Normal_KEANE CHECKLIST (DE)" xfId="3"/>
    <cellStyle name="Percent" xfId="2" builtinId="5"/>
  </cellStyles>
  <dxfs count="384"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indexed="41"/>
        </patternFill>
      </fill>
    </dxf>
    <dxf>
      <font>
        <b/>
        <i val="0"/>
        <color theme="1"/>
      </font>
    </dxf>
    <dxf>
      <fill>
        <patternFill>
          <bgColor indexed="43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indexed="41"/>
        </patternFill>
      </fill>
    </dxf>
    <dxf>
      <font>
        <b/>
        <i val="0"/>
        <color theme="1"/>
      </font>
    </dxf>
    <dxf>
      <fill>
        <patternFill>
          <bgColor indexed="43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indexed="41"/>
        </patternFill>
      </fill>
    </dxf>
    <dxf>
      <font>
        <b/>
        <i val="0"/>
        <color theme="1"/>
      </font>
    </dxf>
    <dxf>
      <fill>
        <patternFill>
          <bgColor indexed="43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indexed="41"/>
        </patternFill>
      </fill>
    </dxf>
    <dxf>
      <font>
        <b/>
        <i val="0"/>
        <color theme="1"/>
      </font>
    </dxf>
    <dxf>
      <fill>
        <patternFill>
          <bgColor indexed="43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indexed="41"/>
        </patternFill>
      </fill>
    </dxf>
    <dxf>
      <font>
        <b/>
        <i val="0"/>
        <color theme="1"/>
      </font>
    </dxf>
    <dxf>
      <fill>
        <patternFill>
          <bgColor indexed="43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indexed="43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/>
        <i val="0"/>
        <color theme="1"/>
      </font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</dxfs>
  <tableStyles count="0" defaultTableStyle="TableStyleMedium9" defaultPivotStyle="PivotStyleLight16"/>
  <colors>
    <mruColors>
      <color rgb="FFCCFFFF"/>
      <color rgb="FFFFFF99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9"/>
  <sheetViews>
    <sheetView zoomScaleNormal="100" workbookViewId="0"/>
  </sheetViews>
  <sheetFormatPr defaultRowHeight="12.75" x14ac:dyDescent="0.2"/>
  <cols>
    <col min="1" max="1" width="11.42578125" style="834" customWidth="1"/>
    <col min="2" max="2" width="39.7109375" style="2" customWidth="1"/>
    <col min="3" max="3" width="16.28515625" style="996" customWidth="1"/>
    <col min="4" max="4" width="13.42578125" style="2" bestFit="1" customWidth="1"/>
    <col min="5" max="5" width="21.7109375" style="2" bestFit="1" customWidth="1"/>
    <col min="6" max="16384" width="9.140625" style="2"/>
  </cols>
  <sheetData>
    <row r="1" spans="1:5" s="994" customFormat="1" ht="24" x14ac:dyDescent="0.2">
      <c r="A1" s="997" t="s">
        <v>1630</v>
      </c>
      <c r="B1" s="997" t="s">
        <v>1858</v>
      </c>
      <c r="C1" s="997" t="s">
        <v>1974</v>
      </c>
      <c r="D1" s="997" t="s">
        <v>1975</v>
      </c>
      <c r="E1" s="997" t="s">
        <v>1809</v>
      </c>
    </row>
    <row r="2" spans="1:5" s="814" customFormat="1" x14ac:dyDescent="0.2">
      <c r="A2" s="1008" t="s">
        <v>1992</v>
      </c>
      <c r="B2" s="1009"/>
      <c r="C2" s="1017"/>
      <c r="D2" s="1017" t="s">
        <v>2104</v>
      </c>
      <c r="E2" s="1477" t="s">
        <v>2297</v>
      </c>
    </row>
    <row r="3" spans="1:5" s="814" customFormat="1" x14ac:dyDescent="0.2">
      <c r="A3" s="1010" t="s">
        <v>1989</v>
      </c>
      <c r="B3" s="1223" t="s">
        <v>2296</v>
      </c>
      <c r="C3" s="1017"/>
      <c r="D3" s="1017"/>
      <c r="E3" s="1017"/>
    </row>
    <row r="4" spans="1:5" s="814" customFormat="1" x14ac:dyDescent="0.2">
      <c r="A4" s="1010" t="s">
        <v>1990</v>
      </c>
      <c r="B4" s="1011">
        <v>40603</v>
      </c>
      <c r="C4" s="1017"/>
      <c r="D4" s="1240" t="s">
        <v>2144</v>
      </c>
      <c r="E4" s="1017"/>
    </row>
    <row r="5" spans="1:5" s="814" customFormat="1" x14ac:dyDescent="0.2">
      <c r="A5" s="1012" t="s">
        <v>1024</v>
      </c>
      <c r="B5" s="1011" t="s">
        <v>2292</v>
      </c>
      <c r="C5" s="1017"/>
      <c r="D5" s="1017"/>
      <c r="E5" s="1017"/>
    </row>
    <row r="6" spans="1:5" s="814" customFormat="1" ht="24" x14ac:dyDescent="0.2">
      <c r="A6" s="1013" t="s">
        <v>1991</v>
      </c>
      <c r="B6" s="1014" t="s">
        <v>2293</v>
      </c>
      <c r="C6" s="1017"/>
      <c r="D6" s="1017"/>
      <c r="E6" s="1017"/>
    </row>
    <row r="7" spans="1:5" s="814" customFormat="1" x14ac:dyDescent="0.2">
      <c r="A7" s="1015"/>
      <c r="B7" s="1016"/>
      <c r="C7" s="1016"/>
      <c r="D7" s="1016"/>
      <c r="E7" s="1016"/>
    </row>
    <row r="8" spans="1:5" x14ac:dyDescent="0.2">
      <c r="A8" s="1007" t="s">
        <v>1993</v>
      </c>
      <c r="B8" s="1001"/>
      <c r="C8" s="999"/>
      <c r="D8" s="998"/>
      <c r="E8" s="1000"/>
    </row>
    <row r="9" spans="1:5" x14ac:dyDescent="0.2">
      <c r="A9" s="51">
        <v>70</v>
      </c>
      <c r="B9" s="1025" t="s">
        <v>1838</v>
      </c>
      <c r="C9" s="1020" t="s">
        <v>2009</v>
      </c>
      <c r="D9" s="1027">
        <v>40179</v>
      </c>
      <c r="E9" s="1002" t="s">
        <v>1807</v>
      </c>
    </row>
    <row r="10" spans="1:5" x14ac:dyDescent="0.2">
      <c r="A10" s="51">
        <v>71</v>
      </c>
      <c r="B10" s="1026" t="s">
        <v>1881</v>
      </c>
      <c r="C10" s="1020" t="s">
        <v>2009</v>
      </c>
      <c r="D10" s="1027">
        <v>40179</v>
      </c>
      <c r="E10" s="1002" t="s">
        <v>1807</v>
      </c>
    </row>
    <row r="11" spans="1:5" x14ac:dyDescent="0.2">
      <c r="A11" s="51">
        <v>71</v>
      </c>
      <c r="B11" s="1026" t="s">
        <v>1839</v>
      </c>
      <c r="C11" s="1020" t="s">
        <v>2009</v>
      </c>
      <c r="D11" s="1027">
        <v>40179</v>
      </c>
      <c r="E11" s="1002" t="s">
        <v>1807</v>
      </c>
    </row>
    <row r="12" spans="1:5" x14ac:dyDescent="0.2">
      <c r="A12" s="51">
        <v>72</v>
      </c>
      <c r="B12" s="1026" t="s">
        <v>1840</v>
      </c>
      <c r="C12" s="1020" t="s">
        <v>2009</v>
      </c>
      <c r="D12" s="1027">
        <v>40179</v>
      </c>
      <c r="E12" s="1002" t="s">
        <v>1807</v>
      </c>
    </row>
    <row r="13" spans="1:5" x14ac:dyDescent="0.2">
      <c r="A13" s="1006">
        <v>75</v>
      </c>
      <c r="B13" s="1024" t="s">
        <v>2013</v>
      </c>
      <c r="C13" s="1023"/>
      <c r="D13" s="1027"/>
      <c r="E13" s="1003"/>
    </row>
    <row r="14" spans="1:5" x14ac:dyDescent="0.2">
      <c r="A14" s="51" t="s">
        <v>2002</v>
      </c>
      <c r="B14" s="1025" t="s">
        <v>1097</v>
      </c>
      <c r="C14" s="1020" t="s">
        <v>2003</v>
      </c>
      <c r="D14" s="1027">
        <v>39753</v>
      </c>
      <c r="E14" s="1002" t="s">
        <v>1807</v>
      </c>
    </row>
    <row r="15" spans="1:5" x14ac:dyDescent="0.2">
      <c r="A15" s="1006">
        <v>82</v>
      </c>
      <c r="B15" s="1024" t="s">
        <v>2014</v>
      </c>
      <c r="C15" s="1023"/>
      <c r="D15" s="1027"/>
      <c r="E15" s="1003"/>
    </row>
    <row r="16" spans="1:5" ht="25.5" x14ac:dyDescent="0.2">
      <c r="A16" s="1006">
        <v>83</v>
      </c>
      <c r="B16" s="1024" t="s">
        <v>2015</v>
      </c>
      <c r="C16" s="1023"/>
      <c r="D16" s="1027"/>
      <c r="E16" s="1003"/>
    </row>
    <row r="17" spans="1:5" ht="25.5" x14ac:dyDescent="0.2">
      <c r="A17" s="51">
        <v>85</v>
      </c>
      <c r="B17" s="1026" t="s">
        <v>2010</v>
      </c>
      <c r="C17" s="1020" t="s">
        <v>2009</v>
      </c>
      <c r="D17" s="1027">
        <v>40179</v>
      </c>
      <c r="E17" s="1002" t="s">
        <v>2001</v>
      </c>
    </row>
    <row r="18" spans="1:5" x14ac:dyDescent="0.2">
      <c r="A18" s="51" t="s">
        <v>2011</v>
      </c>
      <c r="B18" s="1026" t="s">
        <v>2012</v>
      </c>
      <c r="C18" s="1020" t="s">
        <v>1969</v>
      </c>
      <c r="D18" s="1027" t="s">
        <v>2008</v>
      </c>
      <c r="E18" s="1002" t="s">
        <v>1807</v>
      </c>
    </row>
    <row r="19" spans="1:5" x14ac:dyDescent="0.2">
      <c r="A19" s="51" t="s">
        <v>2006</v>
      </c>
      <c r="B19" s="1025" t="s">
        <v>2007</v>
      </c>
      <c r="C19" s="1020" t="s">
        <v>2005</v>
      </c>
      <c r="D19" s="1027">
        <v>36892</v>
      </c>
      <c r="E19" s="1002" t="s">
        <v>1807</v>
      </c>
    </row>
    <row r="20" spans="1:5" x14ac:dyDescent="0.2">
      <c r="A20" s="1006"/>
      <c r="B20" s="1024"/>
      <c r="C20" s="1023"/>
      <c r="D20" s="1028"/>
      <c r="E20" s="1003"/>
    </row>
    <row r="21" spans="1:5" x14ac:dyDescent="0.2">
      <c r="A21" s="1007" t="s">
        <v>2004</v>
      </c>
      <c r="B21" s="1001"/>
      <c r="C21" s="999"/>
      <c r="D21" s="1029"/>
      <c r="E21" s="1000"/>
    </row>
    <row r="22" spans="1:5" x14ac:dyDescent="0.2">
      <c r="A22" s="51">
        <v>38</v>
      </c>
      <c r="B22" s="1026" t="s">
        <v>2024</v>
      </c>
      <c r="C22" s="1022" t="s">
        <v>2005</v>
      </c>
      <c r="D22" s="1027">
        <v>39753</v>
      </c>
      <c r="E22" s="1002" t="s">
        <v>1807</v>
      </c>
    </row>
    <row r="23" spans="1:5" x14ac:dyDescent="0.2">
      <c r="A23" s="1006" t="s">
        <v>1984</v>
      </c>
      <c r="B23" s="1024" t="s">
        <v>1849</v>
      </c>
      <c r="C23" s="1023" t="s">
        <v>1976</v>
      </c>
      <c r="D23" s="1027">
        <v>40179</v>
      </c>
      <c r="E23" s="1003" t="s">
        <v>1807</v>
      </c>
    </row>
    <row r="24" spans="1:5" x14ac:dyDescent="0.2">
      <c r="A24" s="1006" t="s">
        <v>1985</v>
      </c>
      <c r="B24" s="1024" t="s">
        <v>1851</v>
      </c>
      <c r="C24" s="1023" t="s">
        <v>1976</v>
      </c>
      <c r="D24" s="1027">
        <v>40179</v>
      </c>
      <c r="E24" s="1003" t="s">
        <v>1847</v>
      </c>
    </row>
    <row r="25" spans="1:5" x14ac:dyDescent="0.2">
      <c r="A25" s="1006" t="s">
        <v>1983</v>
      </c>
      <c r="B25" s="1024" t="s">
        <v>1640</v>
      </c>
      <c r="C25" s="1019" t="s">
        <v>1976</v>
      </c>
      <c r="D25" s="1027">
        <v>40179</v>
      </c>
      <c r="E25" s="1003" t="s">
        <v>1847</v>
      </c>
    </row>
    <row r="26" spans="1:5" x14ac:dyDescent="0.2">
      <c r="A26" s="1006" t="s">
        <v>1982</v>
      </c>
      <c r="B26" s="1024" t="s">
        <v>1848</v>
      </c>
      <c r="C26" s="1023" t="s">
        <v>1976</v>
      </c>
      <c r="D26" s="1027">
        <v>40179</v>
      </c>
      <c r="E26" s="1003" t="s">
        <v>1847</v>
      </c>
    </row>
    <row r="27" spans="1:5" x14ac:dyDescent="0.2">
      <c r="A27" s="1006" t="s">
        <v>1988</v>
      </c>
      <c r="B27" s="1024" t="s">
        <v>1853</v>
      </c>
      <c r="C27" s="1023" t="s">
        <v>1976</v>
      </c>
      <c r="D27" s="1027">
        <v>40179</v>
      </c>
      <c r="E27" s="1003" t="s">
        <v>1847</v>
      </c>
    </row>
    <row r="28" spans="1:5" x14ac:dyDescent="0.2">
      <c r="A28" s="51" t="s">
        <v>1977</v>
      </c>
      <c r="B28" s="1026" t="s">
        <v>908</v>
      </c>
      <c r="C28" s="1022" t="s">
        <v>1976</v>
      </c>
      <c r="D28" s="1027">
        <v>40179</v>
      </c>
      <c r="E28" s="1002" t="s">
        <v>1807</v>
      </c>
    </row>
    <row r="29" spans="1:5" ht="16.5" customHeight="1" x14ac:dyDescent="0.2">
      <c r="A29" s="51" t="s">
        <v>2025</v>
      </c>
      <c r="B29" s="1026" t="s">
        <v>2028</v>
      </c>
      <c r="C29" s="1022"/>
      <c r="D29" s="1027"/>
      <c r="E29" s="1002"/>
    </row>
    <row r="30" spans="1:5" x14ac:dyDescent="0.2">
      <c r="A30" s="51" t="s">
        <v>2026</v>
      </c>
      <c r="B30" s="1026" t="s">
        <v>2027</v>
      </c>
      <c r="C30" s="1022"/>
      <c r="D30" s="1027"/>
      <c r="E30" s="1002"/>
    </row>
    <row r="31" spans="1:5" x14ac:dyDescent="0.2">
      <c r="A31" s="1006">
        <v>54</v>
      </c>
      <c r="B31" s="1024" t="s">
        <v>2016</v>
      </c>
      <c r="C31" s="1019"/>
      <c r="D31" s="1027">
        <v>39753</v>
      </c>
      <c r="E31" s="1003" t="s">
        <v>1807</v>
      </c>
    </row>
    <row r="32" spans="1:5" x14ac:dyDescent="0.2">
      <c r="A32" s="1006" t="s">
        <v>2017</v>
      </c>
      <c r="B32" s="1024" t="s">
        <v>2018</v>
      </c>
      <c r="C32" s="1019"/>
      <c r="D32" s="1027" t="s">
        <v>2019</v>
      </c>
      <c r="E32" s="1003"/>
    </row>
    <row r="33" spans="1:5" x14ac:dyDescent="0.2">
      <c r="A33" s="1006">
        <v>67</v>
      </c>
      <c r="B33" s="1024" t="s">
        <v>1852</v>
      </c>
      <c r="C33" s="1019" t="s">
        <v>1976</v>
      </c>
      <c r="D33" s="1027">
        <v>40179</v>
      </c>
      <c r="E33" s="1003" t="s">
        <v>1847</v>
      </c>
    </row>
    <row r="34" spans="1:5" ht="25.5" x14ac:dyDescent="0.2">
      <c r="A34" s="1006">
        <v>66</v>
      </c>
      <c r="B34" s="1024" t="s">
        <v>1854</v>
      </c>
      <c r="C34" s="1019" t="s">
        <v>1976</v>
      </c>
      <c r="D34" s="1027">
        <v>40179</v>
      </c>
      <c r="E34" s="1003" t="s">
        <v>1807</v>
      </c>
    </row>
    <row r="35" spans="1:5" x14ac:dyDescent="0.2">
      <c r="A35" s="1006"/>
      <c r="B35" s="1024"/>
      <c r="C35" s="1023"/>
      <c r="D35" s="1028"/>
      <c r="E35" s="1003"/>
    </row>
    <row r="36" spans="1:5" x14ac:dyDescent="0.2">
      <c r="A36" s="1007" t="s">
        <v>675</v>
      </c>
      <c r="B36" s="1001"/>
      <c r="C36" s="999"/>
      <c r="D36" s="1029"/>
      <c r="E36" s="1000"/>
    </row>
    <row r="37" spans="1:5" x14ac:dyDescent="0.2">
      <c r="A37" s="1006" t="s">
        <v>1978</v>
      </c>
      <c r="B37" s="1024" t="s">
        <v>1841</v>
      </c>
      <c r="C37" s="1019" t="s">
        <v>1976</v>
      </c>
      <c r="D37" s="1027">
        <v>40179</v>
      </c>
      <c r="E37" s="1003" t="s">
        <v>1807</v>
      </c>
    </row>
    <row r="38" spans="1:5" x14ac:dyDescent="0.2">
      <c r="A38" s="1006" t="s">
        <v>1986</v>
      </c>
      <c r="B38" s="1024" t="s">
        <v>1844</v>
      </c>
      <c r="C38" s="1023" t="s">
        <v>1976</v>
      </c>
      <c r="D38" s="1027">
        <v>40179</v>
      </c>
      <c r="E38" s="1003" t="s">
        <v>1807</v>
      </c>
    </row>
    <row r="39" spans="1:5" x14ac:dyDescent="0.2">
      <c r="A39" s="1006" t="s">
        <v>1979</v>
      </c>
      <c r="B39" s="1024" t="s">
        <v>1842</v>
      </c>
      <c r="C39" s="1023" t="s">
        <v>1976</v>
      </c>
      <c r="D39" s="1027">
        <v>40179</v>
      </c>
      <c r="E39" s="1003" t="s">
        <v>1807</v>
      </c>
    </row>
    <row r="40" spans="1:5" x14ac:dyDescent="0.2">
      <c r="A40" s="1006" t="s">
        <v>1981</v>
      </c>
      <c r="B40" s="1024" t="s">
        <v>1846</v>
      </c>
      <c r="C40" s="1023" t="s">
        <v>1976</v>
      </c>
      <c r="D40" s="1027">
        <v>40179</v>
      </c>
      <c r="E40" s="1003" t="s">
        <v>1807</v>
      </c>
    </row>
    <row r="41" spans="1:5" x14ac:dyDescent="0.2">
      <c r="A41" s="1006" t="s">
        <v>1987</v>
      </c>
      <c r="B41" s="1024" t="s">
        <v>1845</v>
      </c>
      <c r="C41" s="1019" t="s">
        <v>1976</v>
      </c>
      <c r="D41" s="1027">
        <v>40179</v>
      </c>
      <c r="E41" s="1003" t="s">
        <v>1807</v>
      </c>
    </row>
    <row r="42" spans="1:5" x14ac:dyDescent="0.2">
      <c r="A42" s="1006" t="s">
        <v>1980</v>
      </c>
      <c r="B42" s="1024" t="s">
        <v>1843</v>
      </c>
      <c r="C42" s="1019" t="s">
        <v>1976</v>
      </c>
      <c r="D42" s="1027">
        <v>40179</v>
      </c>
      <c r="E42" s="1003" t="s">
        <v>1807</v>
      </c>
    </row>
    <row r="43" spans="1:5" x14ac:dyDescent="0.2">
      <c r="A43" s="1006"/>
      <c r="B43" s="1024"/>
      <c r="C43" s="1023"/>
      <c r="D43" s="1028"/>
      <c r="E43" s="1003"/>
    </row>
    <row r="44" spans="1:5" x14ac:dyDescent="0.2">
      <c r="A44" s="1007" t="s">
        <v>1994</v>
      </c>
      <c r="B44" s="1001"/>
      <c r="C44" s="999"/>
      <c r="D44" s="1029"/>
      <c r="E44" s="1000"/>
    </row>
    <row r="45" spans="1:5" x14ac:dyDescent="0.2">
      <c r="A45" s="1018" t="s">
        <v>1995</v>
      </c>
      <c r="B45" s="1025" t="s">
        <v>1996</v>
      </c>
      <c r="C45" s="1021" t="s">
        <v>1999</v>
      </c>
      <c r="D45" s="1027">
        <v>40490</v>
      </c>
      <c r="E45" s="1005"/>
    </row>
    <row r="46" spans="1:5" x14ac:dyDescent="0.2">
      <c r="A46" s="1018" t="s">
        <v>1997</v>
      </c>
      <c r="B46" s="1025" t="s">
        <v>1998</v>
      </c>
      <c r="C46" s="1021" t="s">
        <v>1999</v>
      </c>
      <c r="D46" s="1027">
        <v>40238</v>
      </c>
      <c r="E46" s="1005"/>
    </row>
    <row r="47" spans="1:5" x14ac:dyDescent="0.2">
      <c r="A47" s="876"/>
      <c r="B47" s="995"/>
      <c r="C47" s="1021"/>
      <c r="D47" s="1027"/>
      <c r="E47" s="1005"/>
    </row>
    <row r="48" spans="1:5" x14ac:dyDescent="0.2">
      <c r="A48" s="1007" t="s">
        <v>2000</v>
      </c>
      <c r="B48" s="1001"/>
      <c r="C48" s="999"/>
      <c r="D48" s="1029"/>
      <c r="E48" s="1000"/>
    </row>
    <row r="49" spans="1:5" x14ac:dyDescent="0.2">
      <c r="A49" s="1006" t="s">
        <v>1808</v>
      </c>
      <c r="B49" s="1024" t="s">
        <v>1855</v>
      </c>
      <c r="C49" s="1023" t="s">
        <v>1970</v>
      </c>
      <c r="D49" s="1028" t="s">
        <v>1856</v>
      </c>
      <c r="E49" s="1003" t="s">
        <v>1807</v>
      </c>
    </row>
    <row r="50" spans="1:5" x14ac:dyDescent="0.2">
      <c r="A50" s="1006" t="s">
        <v>1808</v>
      </c>
      <c r="B50" s="1024" t="s">
        <v>954</v>
      </c>
      <c r="C50" s="1019" t="s">
        <v>1806</v>
      </c>
      <c r="D50" s="1028"/>
      <c r="E50" s="1003" t="s">
        <v>1806</v>
      </c>
    </row>
    <row r="51" spans="1:5" x14ac:dyDescent="0.2">
      <c r="A51" s="51" t="s">
        <v>1805</v>
      </c>
      <c r="B51" s="1026" t="s">
        <v>2020</v>
      </c>
      <c r="C51" s="1022" t="s">
        <v>1969</v>
      </c>
      <c r="D51" s="1027" t="s">
        <v>1806</v>
      </c>
      <c r="E51" s="1002" t="s">
        <v>1807</v>
      </c>
    </row>
    <row r="52" spans="1:5" x14ac:dyDescent="0.2">
      <c r="A52" s="876"/>
      <c r="B52" s="1030" t="s">
        <v>2021</v>
      </c>
      <c r="C52" s="1031" t="s">
        <v>2022</v>
      </c>
      <c r="D52" s="1032" t="s">
        <v>2023</v>
      </c>
      <c r="E52" s="1005"/>
    </row>
    <row r="53" spans="1:5" x14ac:dyDescent="0.2">
      <c r="A53" s="876"/>
      <c r="B53" s="1018" t="s">
        <v>1862</v>
      </c>
      <c r="C53" s="1004">
        <v>1.79</v>
      </c>
      <c r="D53" s="18">
        <v>0.45</v>
      </c>
      <c r="E53" s="1005"/>
    </row>
    <row r="54" spans="1:5" x14ac:dyDescent="0.2">
      <c r="A54" s="876"/>
      <c r="B54" s="1018" t="s">
        <v>1860</v>
      </c>
      <c r="C54" s="1004">
        <v>1.79</v>
      </c>
      <c r="D54" s="18">
        <v>1</v>
      </c>
      <c r="E54" s="1005"/>
    </row>
    <row r="55" spans="1:5" x14ac:dyDescent="0.2">
      <c r="A55" s="876"/>
      <c r="B55" s="1018" t="s">
        <v>1859</v>
      </c>
      <c r="C55" s="1004">
        <v>1.79</v>
      </c>
      <c r="D55" s="18">
        <v>1</v>
      </c>
      <c r="E55" s="1005"/>
    </row>
    <row r="56" spans="1:5" x14ac:dyDescent="0.2">
      <c r="A56" s="876"/>
      <c r="B56" s="1018" t="s">
        <v>1861</v>
      </c>
      <c r="C56" s="1004">
        <v>1.79</v>
      </c>
      <c r="D56" s="18">
        <v>0.64</v>
      </c>
      <c r="E56" s="1005"/>
    </row>
    <row r="57" spans="1:5" x14ac:dyDescent="0.2">
      <c r="A57" s="876"/>
      <c r="B57" s="995"/>
      <c r="C57" s="1021"/>
      <c r="D57" s="1027"/>
      <c r="E57" s="1005"/>
    </row>
    <row r="58" spans="1:5" x14ac:dyDescent="0.2">
      <c r="A58" s="1018" t="s">
        <v>1808</v>
      </c>
      <c r="B58" s="1025" t="s">
        <v>2030</v>
      </c>
      <c r="C58" s="1004" t="s">
        <v>2029</v>
      </c>
      <c r="D58" s="1027" t="s">
        <v>1806</v>
      </c>
      <c r="E58" s="1003" t="s">
        <v>1807</v>
      </c>
    </row>
    <row r="59" spans="1:5" x14ac:dyDescent="0.2">
      <c r="A59" s="876"/>
      <c r="B59" s="995"/>
      <c r="C59" s="1021"/>
      <c r="D59" s="1027"/>
      <c r="E59" s="1005"/>
    </row>
  </sheetData>
  <sortState ref="A17:E19">
    <sortCondition ref="A17"/>
  </sortState>
  <phoneticPr fontId="2" type="noConversion"/>
  <printOptions horizontalCentered="1"/>
  <pageMargins left="0.55000000000000004" right="0.45" top="0.5" bottom="0.5" header="0.25" footer="0.25"/>
  <pageSetup scale="8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42"/>
  <sheetViews>
    <sheetView topLeftCell="A5" zoomScaleNormal="100" workbookViewId="0">
      <selection activeCell="G33" sqref="G33:H35"/>
    </sheetView>
  </sheetViews>
  <sheetFormatPr defaultRowHeight="12.75" x14ac:dyDescent="0.2"/>
  <cols>
    <col min="1" max="1" width="18.42578125" customWidth="1"/>
    <col min="2" max="2" width="12.140625" customWidth="1"/>
    <col min="3" max="3" width="14.85546875" customWidth="1"/>
    <col min="4" max="4" width="11.7109375" customWidth="1"/>
    <col min="5" max="5" width="10.140625" customWidth="1"/>
    <col min="6" max="6" width="20.5703125" customWidth="1"/>
    <col min="7" max="7" width="9" customWidth="1"/>
    <col min="8" max="8" width="13.85546875" customWidth="1"/>
    <col min="9" max="9" width="6.140625" customWidth="1"/>
    <col min="10" max="10" width="16" customWidth="1"/>
    <col min="11" max="11" width="12.140625" customWidth="1"/>
    <col min="12" max="12" width="13" customWidth="1"/>
    <col min="13" max="13" width="11.42578125" customWidth="1"/>
    <col min="14" max="14" width="13.42578125" customWidth="1"/>
    <col min="15" max="15" width="12.42578125" customWidth="1"/>
    <col min="16" max="16" width="12.5703125" customWidth="1"/>
    <col min="17" max="17" width="5.28515625" style="102" customWidth="1"/>
    <col min="18" max="18" width="16.28515625" style="102" customWidth="1"/>
    <col min="19" max="19" width="11.85546875" style="102" customWidth="1"/>
    <col min="20" max="20" width="11.140625" style="102" customWidth="1"/>
    <col min="21" max="21" width="10.140625" style="102" customWidth="1"/>
    <col min="22" max="22" width="9.140625" style="102"/>
    <col min="23" max="23" width="16.7109375" customWidth="1"/>
    <col min="24" max="24" width="13.7109375" customWidth="1"/>
    <col min="25" max="25" width="14" customWidth="1"/>
    <col min="26" max="26" width="14.140625" customWidth="1"/>
    <col min="27" max="27" width="5.28515625" customWidth="1"/>
    <col min="28" max="28" width="17.7109375" customWidth="1"/>
    <col min="29" max="29" width="11.42578125" customWidth="1"/>
    <col min="30" max="30" width="10.7109375" customWidth="1"/>
    <col min="31" max="31" width="11.7109375" customWidth="1"/>
    <col min="32" max="32" width="21.5703125" customWidth="1"/>
    <col min="34" max="34" width="10.85546875" customWidth="1"/>
    <col min="35" max="35" width="10.28515625" customWidth="1"/>
    <col min="36" max="36" width="11" customWidth="1"/>
    <col min="38" max="38" width="5" customWidth="1"/>
    <col min="39" max="39" width="18.28515625" customWidth="1"/>
    <col min="40" max="41" width="9.5703125" customWidth="1"/>
  </cols>
  <sheetData>
    <row r="1" spans="1:38" ht="15.75" thickBot="1" x14ac:dyDescent="0.25">
      <c r="A1" s="1" t="s">
        <v>1857</v>
      </c>
      <c r="B1" s="2"/>
      <c r="C1" s="1525" t="s">
        <v>2292</v>
      </c>
      <c r="D1" s="1525"/>
      <c r="E1" s="1083" t="s">
        <v>2032</v>
      </c>
      <c r="F1" s="1084" t="s">
        <v>2294</v>
      </c>
      <c r="I1" s="2"/>
      <c r="J1" s="246" t="s">
        <v>2232</v>
      </c>
      <c r="R1" s="5" t="s">
        <v>1880</v>
      </c>
      <c r="S1"/>
      <c r="T1"/>
      <c r="U1"/>
      <c r="V1" s="4"/>
      <c r="W1" s="5" t="s">
        <v>1885</v>
      </c>
      <c r="AB1" s="224" t="s">
        <v>32</v>
      </c>
      <c r="AC1" s="2"/>
      <c r="AD1" s="2"/>
      <c r="AF1" s="54" t="s">
        <v>1034</v>
      </c>
    </row>
    <row r="2" spans="1:38" x14ac:dyDescent="0.2">
      <c r="A2" s="2"/>
      <c r="B2" s="2"/>
      <c r="C2" s="2"/>
      <c r="D2" s="2"/>
      <c r="E2" s="174" t="s">
        <v>993</v>
      </c>
      <c r="I2" s="177"/>
      <c r="K2" s="1358" t="s">
        <v>2234</v>
      </c>
      <c r="R2" s="285" t="s">
        <v>1213</v>
      </c>
      <c r="S2"/>
      <c r="T2"/>
      <c r="U2"/>
      <c r="V2" s="4"/>
      <c r="W2" s="285" t="s">
        <v>1214</v>
      </c>
      <c r="AB2" s="225" t="s">
        <v>992</v>
      </c>
      <c r="AC2" s="2"/>
      <c r="AD2" s="171"/>
      <c r="AF2" s="377" t="s">
        <v>1058</v>
      </c>
      <c r="AH2" s="206"/>
    </row>
    <row r="3" spans="1:38" x14ac:dyDescent="0.2">
      <c r="A3" s="132" t="s">
        <v>1858</v>
      </c>
      <c r="B3" s="132" t="s">
        <v>1859</v>
      </c>
      <c r="C3" s="132" t="s">
        <v>1860</v>
      </c>
      <c r="D3" s="132" t="s">
        <v>1861</v>
      </c>
      <c r="E3" s="173" t="s">
        <v>1862</v>
      </c>
      <c r="I3" s="180"/>
      <c r="J3" s="241" t="s">
        <v>2233</v>
      </c>
      <c r="K3" s="241" t="s">
        <v>1876</v>
      </c>
      <c r="R3" s="19" t="s">
        <v>1881</v>
      </c>
      <c r="S3" s="12" t="s">
        <v>1206</v>
      </c>
      <c r="T3" s="12" t="s">
        <v>1207</v>
      </c>
      <c r="U3" s="7" t="s">
        <v>1884</v>
      </c>
      <c r="V3" s="127"/>
      <c r="W3" s="19" t="s">
        <v>1881</v>
      </c>
      <c r="X3" s="12" t="s">
        <v>1206</v>
      </c>
      <c r="Y3" s="12" t="s">
        <v>1207</v>
      </c>
      <c r="Z3" s="7" t="s">
        <v>1884</v>
      </c>
      <c r="AB3" s="172" t="s">
        <v>991</v>
      </c>
      <c r="AC3" s="57" t="s">
        <v>33</v>
      </c>
      <c r="AD3" s="58" t="s">
        <v>34</v>
      </c>
      <c r="AF3" s="54" t="s">
        <v>1035</v>
      </c>
      <c r="AL3" s="75"/>
    </row>
    <row r="4" spans="1:38" x14ac:dyDescent="0.2">
      <c r="A4" s="133" t="s">
        <v>1863</v>
      </c>
      <c r="B4" s="1478" t="s">
        <v>2298</v>
      </c>
      <c r="C4" s="1478" t="s">
        <v>2298</v>
      </c>
      <c r="D4" s="1478" t="s">
        <v>2298</v>
      </c>
      <c r="E4" s="1474" t="s">
        <v>1900</v>
      </c>
      <c r="I4" s="178"/>
      <c r="J4" s="24">
        <v>90</v>
      </c>
      <c r="K4" s="14">
        <v>1</v>
      </c>
      <c r="Q4" s="178"/>
      <c r="R4" s="20" t="s">
        <v>1882</v>
      </c>
      <c r="S4" s="13">
        <v>1</v>
      </c>
      <c r="T4" s="13">
        <v>2</v>
      </c>
      <c r="U4" s="11">
        <v>3</v>
      </c>
      <c r="V4" s="128"/>
      <c r="W4" s="20" t="s">
        <v>1882</v>
      </c>
      <c r="X4" s="13">
        <v>1</v>
      </c>
      <c r="Y4" s="13">
        <v>2</v>
      </c>
      <c r="Z4" s="11">
        <v>3</v>
      </c>
      <c r="AB4" s="61" t="s">
        <v>19</v>
      </c>
      <c r="AC4" s="62" t="s">
        <v>35</v>
      </c>
      <c r="AD4" s="63" t="s">
        <v>36</v>
      </c>
      <c r="AF4" s="9" t="s">
        <v>1036</v>
      </c>
      <c r="AG4" s="9" t="s">
        <v>1037</v>
      </c>
      <c r="AH4" s="9" t="s">
        <v>1876</v>
      </c>
      <c r="AL4" s="75"/>
    </row>
    <row r="5" spans="1:38" x14ac:dyDescent="0.2">
      <c r="A5" s="133" t="s">
        <v>911</v>
      </c>
      <c r="B5" s="134">
        <v>40544</v>
      </c>
      <c r="C5" s="134">
        <v>40544</v>
      </c>
      <c r="D5" s="134">
        <v>40544</v>
      </c>
      <c r="E5" s="1474" t="s">
        <v>1900</v>
      </c>
      <c r="I5" s="179"/>
      <c r="J5" s="24">
        <v>100</v>
      </c>
      <c r="K5" s="14">
        <v>0.95</v>
      </c>
      <c r="Q5" s="179"/>
      <c r="R5" s="166" t="s">
        <v>1883</v>
      </c>
      <c r="S5" s="16">
        <v>2.2799999999999998</v>
      </c>
      <c r="T5" s="16">
        <v>2.4300000000000002</v>
      </c>
      <c r="U5" s="16">
        <v>2.08</v>
      </c>
      <c r="V5" s="129"/>
      <c r="W5" s="166" t="s">
        <v>1883</v>
      </c>
      <c r="X5" s="16">
        <v>2.0699999999999998</v>
      </c>
      <c r="Y5" s="16">
        <v>2.21</v>
      </c>
      <c r="Z5" s="16">
        <v>1.89</v>
      </c>
      <c r="AB5" s="44">
        <v>1</v>
      </c>
      <c r="AC5" s="1242">
        <v>0.88</v>
      </c>
      <c r="AD5" s="1242">
        <v>0.9</v>
      </c>
      <c r="AF5" s="38">
        <v>1</v>
      </c>
      <c r="AG5" s="205" t="s">
        <v>1038</v>
      </c>
      <c r="AH5" s="42">
        <v>0.94</v>
      </c>
      <c r="AL5" s="75"/>
    </row>
    <row r="6" spans="1:38" x14ac:dyDescent="0.2">
      <c r="A6" s="133" t="s">
        <v>1864</v>
      </c>
      <c r="B6" s="134"/>
      <c r="C6" s="134"/>
      <c r="D6" s="134"/>
      <c r="E6" s="1474" t="s">
        <v>1900</v>
      </c>
      <c r="I6" s="179"/>
      <c r="Q6" s="179"/>
      <c r="R6" s="167">
        <v>50</v>
      </c>
      <c r="S6" s="17">
        <v>0.89</v>
      </c>
      <c r="T6" s="17">
        <v>1.05</v>
      </c>
      <c r="U6" s="17">
        <v>0.85</v>
      </c>
      <c r="V6" s="129"/>
      <c r="W6" s="167">
        <v>50</v>
      </c>
      <c r="X6" s="17">
        <v>0.81</v>
      </c>
      <c r="Y6" s="17">
        <v>0.95</v>
      </c>
      <c r="Z6" s="17">
        <v>0.77</v>
      </c>
      <c r="AB6" s="44">
        <v>2</v>
      </c>
      <c r="AC6" s="1242">
        <v>0.92</v>
      </c>
      <c r="AD6" s="1242">
        <v>0.94</v>
      </c>
      <c r="AF6" s="38">
        <v>2</v>
      </c>
      <c r="AG6" s="205" t="s">
        <v>1039</v>
      </c>
      <c r="AH6" s="42">
        <v>0.94</v>
      </c>
      <c r="AL6" s="75"/>
    </row>
    <row r="7" spans="1:38" x14ac:dyDescent="0.2">
      <c r="A7" s="133" t="s">
        <v>916</v>
      </c>
      <c r="B7" s="1472">
        <v>1.38</v>
      </c>
      <c r="C7" s="1472">
        <v>0.9</v>
      </c>
      <c r="D7" s="1472">
        <v>0.66</v>
      </c>
      <c r="E7" s="1473" t="s">
        <v>1900</v>
      </c>
      <c r="F7" s="176"/>
      <c r="I7" s="176"/>
      <c r="J7" s="246" t="s">
        <v>1671</v>
      </c>
      <c r="Q7" s="176"/>
      <c r="R7" s="167">
        <v>60</v>
      </c>
      <c r="S7" s="17">
        <v>0.79</v>
      </c>
      <c r="T7" s="18">
        <v>0.89</v>
      </c>
      <c r="U7" s="18">
        <v>0.75</v>
      </c>
      <c r="V7" s="130"/>
      <c r="W7" s="167">
        <v>60</v>
      </c>
      <c r="X7" s="17">
        <v>0.72</v>
      </c>
      <c r="Y7" s="18">
        <v>0.81</v>
      </c>
      <c r="Z7" s="18">
        <v>0.68</v>
      </c>
      <c r="AB7" s="44">
        <v>3</v>
      </c>
      <c r="AC7" s="1242">
        <v>0.96</v>
      </c>
      <c r="AD7" s="1242">
        <v>0.97</v>
      </c>
      <c r="AF7" s="38">
        <v>3</v>
      </c>
      <c r="AG7" s="205" t="s">
        <v>1040</v>
      </c>
      <c r="AH7" s="42">
        <v>0.94</v>
      </c>
      <c r="AL7" s="457"/>
    </row>
    <row r="8" spans="1:38" x14ac:dyDescent="0.2">
      <c r="A8" s="133" t="s">
        <v>1866</v>
      </c>
      <c r="B8" s="1472">
        <v>1.9</v>
      </c>
      <c r="C8" s="1472">
        <v>1.9</v>
      </c>
      <c r="D8" s="1472">
        <v>1.9</v>
      </c>
      <c r="E8" s="1473" t="s">
        <v>1900</v>
      </c>
      <c r="F8" s="176"/>
      <c r="G8" s="116"/>
      <c r="H8" s="495"/>
      <c r="I8" s="176"/>
      <c r="J8" s="5" t="s">
        <v>1672</v>
      </c>
      <c r="M8" s="5" t="s">
        <v>183</v>
      </c>
      <c r="Q8" s="176"/>
      <c r="R8" s="167">
        <v>70</v>
      </c>
      <c r="S8" s="17">
        <v>0.75</v>
      </c>
      <c r="T8" s="18">
        <v>0.85</v>
      </c>
      <c r="U8" s="18">
        <v>0.69</v>
      </c>
      <c r="V8" s="130"/>
      <c r="W8" s="167">
        <v>70</v>
      </c>
      <c r="X8" s="17">
        <v>0.68</v>
      </c>
      <c r="Y8" s="18">
        <v>0.77</v>
      </c>
      <c r="Z8" s="18">
        <v>0.63</v>
      </c>
      <c r="AB8" s="44">
        <v>4</v>
      </c>
      <c r="AC8" s="1242">
        <v>0.98</v>
      </c>
      <c r="AD8" s="1242">
        <v>0.98</v>
      </c>
      <c r="AF8" s="38">
        <v>4</v>
      </c>
      <c r="AG8" s="205" t="s">
        <v>1041</v>
      </c>
      <c r="AH8" s="42">
        <v>0.97</v>
      </c>
      <c r="AL8" s="457"/>
    </row>
    <row r="9" spans="1:38" x14ac:dyDescent="0.2">
      <c r="A9" s="133" t="s">
        <v>1865</v>
      </c>
      <c r="B9" s="135"/>
      <c r="C9" s="135"/>
      <c r="D9" s="135"/>
      <c r="E9" s="1473" t="s">
        <v>1900</v>
      </c>
      <c r="F9" s="176"/>
      <c r="G9" s="176"/>
      <c r="H9" s="176"/>
      <c r="I9" s="176"/>
      <c r="J9" s="170" t="s">
        <v>1673</v>
      </c>
      <c r="K9" s="290">
        <v>0.1</v>
      </c>
      <c r="Q9" s="176"/>
      <c r="R9" s="167">
        <v>80</v>
      </c>
      <c r="S9" s="17">
        <v>0.69</v>
      </c>
      <c r="T9" s="18">
        <v>0.79</v>
      </c>
      <c r="U9" s="18">
        <v>0.65</v>
      </c>
      <c r="V9" s="130"/>
      <c r="W9" s="167">
        <v>80</v>
      </c>
      <c r="X9" s="17">
        <v>0.63</v>
      </c>
      <c r="Y9" s="18">
        <v>0.72</v>
      </c>
      <c r="Z9" s="18">
        <v>0.59</v>
      </c>
      <c r="AB9" s="44">
        <v>5</v>
      </c>
      <c r="AC9" s="1242">
        <v>1</v>
      </c>
      <c r="AD9" s="1242">
        <v>1</v>
      </c>
      <c r="AF9" s="38">
        <v>5</v>
      </c>
      <c r="AG9" s="205" t="s">
        <v>1042</v>
      </c>
      <c r="AH9" s="42">
        <v>0.97</v>
      </c>
      <c r="AL9" s="457"/>
    </row>
    <row r="10" spans="1:38" x14ac:dyDescent="0.2">
      <c r="A10" s="175"/>
      <c r="B10" s="176"/>
      <c r="C10" s="176"/>
      <c r="D10" s="176"/>
      <c r="E10" s="176"/>
      <c r="F10" s="176"/>
      <c r="G10" s="176"/>
      <c r="H10" s="176"/>
      <c r="I10" s="176"/>
      <c r="J10" s="981" t="s">
        <v>1674</v>
      </c>
      <c r="K10" s="982">
        <v>5.2999999999999999E-2</v>
      </c>
      <c r="L10" s="983" t="s">
        <v>1622</v>
      </c>
      <c r="Q10" s="176"/>
      <c r="R10" s="167">
        <v>90</v>
      </c>
      <c r="S10" s="17">
        <v>0.65</v>
      </c>
      <c r="T10" s="18">
        <v>0.75</v>
      </c>
      <c r="U10" s="18">
        <v>0.59</v>
      </c>
      <c r="V10" s="4"/>
      <c r="W10" s="167">
        <v>90</v>
      </c>
      <c r="X10" s="17">
        <v>0.59</v>
      </c>
      <c r="Y10" s="18">
        <v>0.68</v>
      </c>
      <c r="Z10" s="18">
        <v>0.54</v>
      </c>
      <c r="AB10" s="44">
        <v>6</v>
      </c>
      <c r="AC10" s="1242">
        <v>1.06</v>
      </c>
      <c r="AD10" s="1242">
        <v>1.05</v>
      </c>
      <c r="AF10" s="38">
        <v>6</v>
      </c>
      <c r="AG10" s="205" t="s">
        <v>1043</v>
      </c>
      <c r="AH10" s="42">
        <v>0.97</v>
      </c>
      <c r="AL10" s="457"/>
    </row>
    <row r="11" spans="1:38" x14ac:dyDescent="0.2">
      <c r="A11" s="53" t="s">
        <v>1971</v>
      </c>
      <c r="B11" s="53"/>
      <c r="C11" s="4"/>
      <c r="D11" s="4"/>
      <c r="E11" s="4"/>
      <c r="F11" s="174" t="s">
        <v>994</v>
      </c>
      <c r="G11" s="176"/>
      <c r="H11" s="2"/>
      <c r="I11" s="2"/>
      <c r="M11" s="5" t="s">
        <v>1682</v>
      </c>
      <c r="Q11" s="2"/>
      <c r="R11" s="167">
        <v>100</v>
      </c>
      <c r="S11" s="17">
        <v>0.59</v>
      </c>
      <c r="T11" s="18">
        <v>0.69</v>
      </c>
      <c r="U11" s="18">
        <v>0.55000000000000004</v>
      </c>
      <c r="V11" s="4"/>
      <c r="W11" s="167">
        <v>100</v>
      </c>
      <c r="X11" s="17">
        <v>0.54</v>
      </c>
      <c r="Y11" s="18">
        <v>0.63</v>
      </c>
      <c r="Z11" s="18">
        <v>0.5</v>
      </c>
      <c r="AB11" s="44">
        <v>7</v>
      </c>
      <c r="AC11" s="1242">
        <v>1.18</v>
      </c>
      <c r="AD11" s="1242">
        <v>1.1399999999999999</v>
      </c>
      <c r="AF11" s="38">
        <v>7</v>
      </c>
      <c r="AG11" s="205" t="s">
        <v>1044</v>
      </c>
      <c r="AH11" s="42">
        <v>0.97</v>
      </c>
    </row>
    <row r="12" spans="1:38" x14ac:dyDescent="0.2">
      <c r="A12" s="181" t="s">
        <v>1858</v>
      </c>
      <c r="B12" s="132" t="s">
        <v>937</v>
      </c>
      <c r="C12" s="132" t="s">
        <v>1859</v>
      </c>
      <c r="D12" s="132" t="s">
        <v>1860</v>
      </c>
      <c r="E12" s="132" t="s">
        <v>1861</v>
      </c>
      <c r="F12" s="132" t="s">
        <v>1862</v>
      </c>
      <c r="G12" s="176"/>
      <c r="H12" s="2"/>
      <c r="I12" s="2"/>
      <c r="J12" s="5" t="s">
        <v>1155</v>
      </c>
      <c r="M12" s="170" t="s">
        <v>1681</v>
      </c>
      <c r="N12" s="547">
        <v>10000</v>
      </c>
      <c r="Q12" s="2"/>
      <c r="R12" s="167">
        <v>125</v>
      </c>
      <c r="S12" s="17">
        <v>0.55000000000000004</v>
      </c>
      <c r="T12" s="18">
        <v>0.65</v>
      </c>
      <c r="U12" s="18">
        <v>0.5</v>
      </c>
      <c r="V12" s="4"/>
      <c r="W12" s="167">
        <v>125</v>
      </c>
      <c r="X12" s="17">
        <v>0.5</v>
      </c>
      <c r="Y12" s="18">
        <v>0.59</v>
      </c>
      <c r="Z12" s="18">
        <v>0.45</v>
      </c>
      <c r="AB12" s="44">
        <v>8</v>
      </c>
      <c r="AC12" s="1242">
        <v>1.3</v>
      </c>
      <c r="AD12" s="1242">
        <v>1.24</v>
      </c>
      <c r="AF12" s="38">
        <v>8</v>
      </c>
      <c r="AG12" s="205" t="s">
        <v>1045</v>
      </c>
      <c r="AH12" s="42">
        <v>0.99</v>
      </c>
    </row>
    <row r="13" spans="1:38" x14ac:dyDescent="0.2">
      <c r="A13" s="131" t="s">
        <v>924</v>
      </c>
      <c r="B13" s="164" t="s">
        <v>18</v>
      </c>
      <c r="C13" s="1239">
        <v>0.6</v>
      </c>
      <c r="D13" s="1239">
        <v>0.55000000000000004</v>
      </c>
      <c r="E13" s="1239">
        <v>0.45</v>
      </c>
      <c r="F13" s="1471" t="s">
        <v>1900</v>
      </c>
      <c r="G13" s="176"/>
      <c r="H13" s="2"/>
      <c r="I13" s="2"/>
      <c r="J13" s="170" t="s">
        <v>1156</v>
      </c>
      <c r="K13" s="1173">
        <v>0.15</v>
      </c>
      <c r="M13" s="170"/>
      <c r="N13" s="206" t="s">
        <v>1566</v>
      </c>
      <c r="Q13" s="2"/>
      <c r="V13" s="4"/>
      <c r="AB13" s="44" t="s">
        <v>2031</v>
      </c>
      <c r="AC13" s="1242">
        <v>1.42</v>
      </c>
      <c r="AD13" s="1242">
        <v>1.34</v>
      </c>
      <c r="AF13" s="38">
        <v>9</v>
      </c>
      <c r="AG13" s="205" t="s">
        <v>1054</v>
      </c>
      <c r="AH13" s="42">
        <v>0.99</v>
      </c>
    </row>
    <row r="14" spans="1:38" x14ac:dyDescent="0.2">
      <c r="A14" s="131" t="s">
        <v>925</v>
      </c>
      <c r="B14" s="164" t="s">
        <v>880</v>
      </c>
      <c r="C14" s="1239">
        <v>0.6</v>
      </c>
      <c r="D14" s="1239">
        <v>0.55000000000000004</v>
      </c>
      <c r="E14" s="1239">
        <v>0.45</v>
      </c>
      <c r="F14" s="1471" t="s">
        <v>1900</v>
      </c>
      <c r="G14" s="176"/>
      <c r="H14" s="2"/>
      <c r="I14" s="2"/>
      <c r="J14" s="170" t="s">
        <v>179</v>
      </c>
      <c r="K14" s="1173">
        <v>0.85</v>
      </c>
      <c r="M14" s="241" t="s">
        <v>1677</v>
      </c>
      <c r="N14" s="241" t="s">
        <v>1876</v>
      </c>
      <c r="Q14" s="2"/>
      <c r="V14" s="4"/>
      <c r="AB14" s="44">
        <v>9</v>
      </c>
      <c r="AC14" s="1242">
        <v>1.42</v>
      </c>
      <c r="AD14" s="1242">
        <v>1.34</v>
      </c>
      <c r="AF14" s="38">
        <v>10</v>
      </c>
      <c r="AG14" s="205" t="s">
        <v>1055</v>
      </c>
      <c r="AH14" s="42">
        <v>1</v>
      </c>
    </row>
    <row r="15" spans="1:38" x14ac:dyDescent="0.2">
      <c r="A15" s="131" t="s">
        <v>926</v>
      </c>
      <c r="B15" s="164" t="s">
        <v>83</v>
      </c>
      <c r="C15" s="1239">
        <v>0.6</v>
      </c>
      <c r="D15" s="1239">
        <v>0.55000000000000004</v>
      </c>
      <c r="E15" s="1239">
        <v>0.45</v>
      </c>
      <c r="F15" s="1471" t="s">
        <v>1900</v>
      </c>
      <c r="G15" s="176"/>
      <c r="H15" s="2"/>
      <c r="I15" s="2"/>
      <c r="J15" s="5" t="s">
        <v>1675</v>
      </c>
      <c r="M15" s="24" t="s">
        <v>1006</v>
      </c>
      <c r="N15" s="1145">
        <v>0.5</v>
      </c>
      <c r="R15" s="5" t="s">
        <v>1886</v>
      </c>
      <c r="S15"/>
      <c r="T15"/>
      <c r="U15" s="4"/>
      <c r="V15" s="4"/>
      <c r="W15" s="5" t="s">
        <v>1892</v>
      </c>
      <c r="AB15" s="44">
        <v>10</v>
      </c>
      <c r="AC15" s="1242">
        <v>1.72</v>
      </c>
      <c r="AD15" s="1242">
        <v>1.58</v>
      </c>
      <c r="AF15" s="38">
        <v>99</v>
      </c>
      <c r="AG15" s="205" t="s">
        <v>1056</v>
      </c>
      <c r="AH15" s="42">
        <v>1</v>
      </c>
    </row>
    <row r="16" spans="1:38" x14ac:dyDescent="0.2">
      <c r="A16" s="131" t="s">
        <v>929</v>
      </c>
      <c r="B16" s="164" t="s">
        <v>965</v>
      </c>
      <c r="C16" s="1239">
        <v>0.6</v>
      </c>
      <c r="D16" s="1239">
        <v>0.55000000000000004</v>
      </c>
      <c r="E16" s="1239">
        <v>0.45</v>
      </c>
      <c r="F16" s="1471" t="s">
        <v>1900</v>
      </c>
      <c r="G16" s="176"/>
      <c r="H16" s="2"/>
      <c r="I16" s="2"/>
      <c r="J16" s="170" t="s">
        <v>1676</v>
      </c>
      <c r="K16" s="547">
        <v>1000</v>
      </c>
      <c r="M16" s="24" t="s">
        <v>1007</v>
      </c>
      <c r="N16" s="1145">
        <v>0.01</v>
      </c>
      <c r="R16" s="375" t="s">
        <v>1240</v>
      </c>
      <c r="S16" s="376" t="s">
        <v>1858</v>
      </c>
      <c r="T16" s="376" t="s">
        <v>1876</v>
      </c>
      <c r="U16" s="4"/>
      <c r="V16" s="4"/>
      <c r="W16" s="286" t="s">
        <v>1212</v>
      </c>
      <c r="X16" s="9" t="s">
        <v>901</v>
      </c>
      <c r="Y16" s="9" t="s">
        <v>1893</v>
      </c>
      <c r="Z16" s="9" t="s">
        <v>1894</v>
      </c>
    </row>
    <row r="17" spans="1:34" x14ac:dyDescent="0.2">
      <c r="A17" s="131" t="s">
        <v>930</v>
      </c>
      <c r="B17" s="164" t="s">
        <v>2139</v>
      </c>
      <c r="C17" s="1239">
        <v>0.6</v>
      </c>
      <c r="D17" s="1239">
        <v>0.55000000000000004</v>
      </c>
      <c r="E17" s="1239">
        <v>0.45</v>
      </c>
      <c r="F17" s="1471" t="s">
        <v>1900</v>
      </c>
      <c r="G17" s="176"/>
      <c r="J17" s="170"/>
      <c r="K17" s="206" t="s">
        <v>726</v>
      </c>
      <c r="M17" s="24" t="s">
        <v>894</v>
      </c>
      <c r="N17" s="1145">
        <v>0.01</v>
      </c>
      <c r="R17" s="373">
        <v>1</v>
      </c>
      <c r="S17" s="373" t="s">
        <v>1888</v>
      </c>
      <c r="T17" s="374">
        <v>1.1000000000000001</v>
      </c>
      <c r="U17" s="4"/>
      <c r="V17" s="4"/>
      <c r="W17" s="23" t="s">
        <v>1895</v>
      </c>
      <c r="X17" s="22">
        <v>1</v>
      </c>
      <c r="Y17" s="22">
        <v>1.35</v>
      </c>
      <c r="Z17" s="22">
        <v>1.26</v>
      </c>
      <c r="AB17" s="5" t="s">
        <v>673</v>
      </c>
    </row>
    <row r="18" spans="1:34" x14ac:dyDescent="0.2">
      <c r="A18" s="131" t="s">
        <v>931</v>
      </c>
      <c r="B18" s="164" t="s">
        <v>1869</v>
      </c>
      <c r="C18" s="1239">
        <v>0.6</v>
      </c>
      <c r="D18" s="1239">
        <v>0.55000000000000004</v>
      </c>
      <c r="E18" s="1239">
        <v>0.45</v>
      </c>
      <c r="F18" s="1471" t="s">
        <v>1900</v>
      </c>
      <c r="G18" s="176"/>
      <c r="J18" s="241" t="s">
        <v>1677</v>
      </c>
      <c r="K18" s="241" t="s">
        <v>1876</v>
      </c>
      <c r="M18" s="24" t="s">
        <v>1678</v>
      </c>
      <c r="N18" s="1145">
        <v>0.75</v>
      </c>
      <c r="R18" s="373">
        <v>2</v>
      </c>
      <c r="S18" s="373" t="s">
        <v>1887</v>
      </c>
      <c r="T18" s="374">
        <v>1.1499999999999999</v>
      </c>
      <c r="V18" s="4"/>
      <c r="W18" s="23" t="s">
        <v>1896</v>
      </c>
      <c r="X18" s="22">
        <v>2</v>
      </c>
      <c r="Y18" s="22">
        <v>2.0299999999999998</v>
      </c>
      <c r="Z18" s="22">
        <v>1.85</v>
      </c>
      <c r="AB18" s="170" t="s">
        <v>674</v>
      </c>
      <c r="AC18" s="170"/>
      <c r="AD18" s="290">
        <v>0.7</v>
      </c>
    </row>
    <row r="19" spans="1:34" x14ac:dyDescent="0.2">
      <c r="A19" s="131" t="s">
        <v>932</v>
      </c>
      <c r="B19" s="164" t="s">
        <v>966</v>
      </c>
      <c r="C19" s="1239">
        <v>0.6</v>
      </c>
      <c r="D19" s="1239">
        <v>0.55000000000000004</v>
      </c>
      <c r="E19" s="1239">
        <v>0.45</v>
      </c>
      <c r="F19" s="1471" t="s">
        <v>1900</v>
      </c>
      <c r="G19" s="176"/>
      <c r="J19" s="24" t="s">
        <v>1006</v>
      </c>
      <c r="K19" s="1145">
        <v>0.5</v>
      </c>
      <c r="R19"/>
      <c r="S19"/>
      <c r="T19"/>
      <c r="V19" s="4"/>
      <c r="W19" s="23" t="s">
        <v>1897</v>
      </c>
      <c r="X19" s="22">
        <v>3</v>
      </c>
      <c r="Y19" s="22">
        <v>1.04</v>
      </c>
      <c r="Z19" s="22">
        <v>0.95</v>
      </c>
      <c r="AB19" s="170" t="s">
        <v>670</v>
      </c>
      <c r="AC19" s="170"/>
      <c r="AD19" s="290">
        <v>0.75</v>
      </c>
    </row>
    <row r="20" spans="1:34" x14ac:dyDescent="0.2">
      <c r="A20" s="131" t="s">
        <v>933</v>
      </c>
      <c r="B20" s="164" t="s">
        <v>967</v>
      </c>
      <c r="C20" s="1239">
        <v>0.6</v>
      </c>
      <c r="D20" s="1239">
        <v>0.55000000000000004</v>
      </c>
      <c r="E20" s="1239">
        <v>0.45</v>
      </c>
      <c r="F20" s="1471" t="s">
        <v>1900</v>
      </c>
      <c r="G20" s="176"/>
      <c r="J20" s="24" t="s">
        <v>1007</v>
      </c>
      <c r="K20" s="1145">
        <v>6.0000000000000001E-3</v>
      </c>
      <c r="R20" s="5" t="s">
        <v>1889</v>
      </c>
      <c r="S20"/>
      <c r="T20"/>
      <c r="V20" s="4"/>
    </row>
    <row r="21" spans="1:34" ht="13.5" thickBot="1" x14ac:dyDescent="0.25">
      <c r="A21" s="131" t="s">
        <v>934</v>
      </c>
      <c r="B21" s="164" t="s">
        <v>968</v>
      </c>
      <c r="C21" s="1239">
        <v>0.6</v>
      </c>
      <c r="D21" s="1239">
        <v>0.55000000000000004</v>
      </c>
      <c r="E21" s="1239">
        <v>0.45</v>
      </c>
      <c r="F21" s="1471" t="s">
        <v>1900</v>
      </c>
      <c r="G21" s="176"/>
      <c r="J21" s="24" t="s">
        <v>894</v>
      </c>
      <c r="K21" s="1145">
        <v>6.0000000000000001E-3</v>
      </c>
      <c r="M21" s="224" t="s">
        <v>1879</v>
      </c>
      <c r="N21" s="2"/>
      <c r="O21" s="2"/>
      <c r="R21" s="9" t="s">
        <v>1890</v>
      </c>
      <c r="S21" s="9" t="s">
        <v>1876</v>
      </c>
      <c r="T21" s="285" t="s">
        <v>1211</v>
      </c>
      <c r="U21" s="4"/>
      <c r="V21" s="4"/>
      <c r="W21" s="5" t="s">
        <v>1898</v>
      </c>
    </row>
    <row r="22" spans="1:34" x14ac:dyDescent="0.2">
      <c r="A22" s="131" t="s">
        <v>935</v>
      </c>
      <c r="B22" s="164" t="s">
        <v>888</v>
      </c>
      <c r="C22" s="1239">
        <v>0.6</v>
      </c>
      <c r="D22" s="1239">
        <v>0.55000000000000004</v>
      </c>
      <c r="E22" s="1239">
        <v>0.45</v>
      </c>
      <c r="F22" s="1471" t="s">
        <v>1900</v>
      </c>
      <c r="G22" s="176"/>
      <c r="J22" s="24" t="s">
        <v>1678</v>
      </c>
      <c r="K22" s="1145">
        <v>0.75</v>
      </c>
      <c r="O22" s="174" t="s">
        <v>1101</v>
      </c>
      <c r="R22" s="44">
        <v>60</v>
      </c>
      <c r="S22" s="15">
        <v>1.1000000000000001</v>
      </c>
      <c r="T22"/>
      <c r="U22" s="4"/>
      <c r="V22" s="4"/>
      <c r="W22" s="25"/>
      <c r="X22" s="1537" t="s">
        <v>2</v>
      </c>
      <c r="Y22" s="1538"/>
      <c r="Z22" s="1539"/>
      <c r="AB22" s="656" t="s">
        <v>376</v>
      </c>
    </row>
    <row r="23" spans="1:34" ht="13.5" thickBot="1" x14ac:dyDescent="0.25">
      <c r="A23" s="131" t="s">
        <v>936</v>
      </c>
      <c r="B23" s="164" t="s">
        <v>30</v>
      </c>
      <c r="C23" s="1239">
        <v>0.6</v>
      </c>
      <c r="D23" s="1239">
        <v>0.55000000000000004</v>
      </c>
      <c r="E23" s="1239">
        <v>0.45</v>
      </c>
      <c r="F23" s="1471" t="s">
        <v>1900</v>
      </c>
      <c r="G23" s="176"/>
      <c r="M23" s="807"/>
      <c r="N23" s="1529" t="s">
        <v>1105</v>
      </c>
      <c r="O23" s="1530"/>
      <c r="R23" s="44">
        <v>90</v>
      </c>
      <c r="S23" s="15">
        <v>1.1499999999999999</v>
      </c>
      <c r="T23"/>
      <c r="U23" s="4"/>
      <c r="V23" s="4"/>
      <c r="W23" s="28" t="s">
        <v>1899</v>
      </c>
      <c r="X23" s="28" t="s">
        <v>3</v>
      </c>
      <c r="Y23" s="10" t="s">
        <v>4</v>
      </c>
      <c r="Z23" s="27" t="s">
        <v>5</v>
      </c>
      <c r="AB23" s="5" t="s">
        <v>378</v>
      </c>
      <c r="AF23" s="5" t="s">
        <v>382</v>
      </c>
    </row>
    <row r="24" spans="1:34" x14ac:dyDescent="0.2">
      <c r="A24" s="175"/>
      <c r="B24" s="176"/>
      <c r="C24" s="176"/>
      <c r="D24" s="176"/>
      <c r="E24" s="176"/>
      <c r="F24" s="176"/>
      <c r="G24" s="176"/>
      <c r="J24" s="5" t="s">
        <v>1679</v>
      </c>
      <c r="M24" s="50" t="s">
        <v>1634</v>
      </c>
      <c r="N24" s="52">
        <v>1</v>
      </c>
      <c r="O24" s="52">
        <v>3</v>
      </c>
      <c r="Q24" s="4"/>
      <c r="R24" s="44">
        <v>120</v>
      </c>
      <c r="S24" s="15">
        <v>1.2</v>
      </c>
      <c r="T24"/>
      <c r="U24" s="4"/>
      <c r="V24" s="4"/>
      <c r="W24" s="165" t="s">
        <v>9</v>
      </c>
      <c r="X24" s="29" t="s">
        <v>6</v>
      </c>
      <c r="Y24" s="407">
        <v>1.27</v>
      </c>
      <c r="Z24" s="408">
        <v>1.1299999999999999</v>
      </c>
      <c r="AB24" s="285" t="s">
        <v>381</v>
      </c>
      <c r="AF24" s="285" t="s">
        <v>387</v>
      </c>
    </row>
    <row r="25" spans="1:34" x14ac:dyDescent="0.2">
      <c r="A25" s="53" t="s">
        <v>1867</v>
      </c>
      <c r="B25" s="2"/>
      <c r="C25" s="2"/>
      <c r="D25" s="174" t="s">
        <v>1115</v>
      </c>
      <c r="E25" s="176"/>
      <c r="F25" s="2"/>
      <c r="G25" s="2"/>
      <c r="H25" s="174" t="s">
        <v>995</v>
      </c>
      <c r="K25" s="206" t="s">
        <v>727</v>
      </c>
      <c r="M25" s="44">
        <v>2</v>
      </c>
      <c r="N25" s="1045">
        <v>0.01</v>
      </c>
      <c r="O25" s="1045">
        <v>0.03</v>
      </c>
      <c r="Q25" s="4"/>
      <c r="R25" s="44">
        <v>150</v>
      </c>
      <c r="S25" s="15">
        <v>1.3</v>
      </c>
      <c r="T25"/>
      <c r="U25" s="4"/>
      <c r="V25" s="4"/>
      <c r="W25" s="140" t="s">
        <v>1210</v>
      </c>
      <c r="X25" s="30" t="s">
        <v>7</v>
      </c>
      <c r="Y25" s="17">
        <v>1.1299999999999999</v>
      </c>
      <c r="Z25" s="409">
        <v>1.04</v>
      </c>
      <c r="AB25" s="807"/>
      <c r="AC25" s="1542" t="s">
        <v>1531</v>
      </c>
      <c r="AD25" s="1542"/>
      <c r="AF25" s="806"/>
      <c r="AG25" s="1544" t="s">
        <v>386</v>
      </c>
      <c r="AH25" s="1544"/>
    </row>
    <row r="26" spans="1:34" ht="13.5" thickBot="1" x14ac:dyDescent="0.25">
      <c r="A26" s="183" t="s">
        <v>1109</v>
      </c>
      <c r="B26" s="109" t="s">
        <v>1012</v>
      </c>
      <c r="C26" s="109"/>
      <c r="D26" s="109" t="s">
        <v>1114</v>
      </c>
      <c r="E26" s="176"/>
      <c r="F26" s="239" t="s">
        <v>2098</v>
      </c>
      <c r="G26" s="103"/>
      <c r="H26" s="104"/>
      <c r="J26" s="241" t="s">
        <v>1680</v>
      </c>
      <c r="K26" s="241" t="s">
        <v>1876</v>
      </c>
      <c r="M26" s="44">
        <v>4</v>
      </c>
      <c r="N26" s="1045">
        <v>0.02</v>
      </c>
      <c r="O26" s="1045">
        <v>0.06</v>
      </c>
      <c r="Q26" s="4"/>
      <c r="R26" s="44">
        <v>180</v>
      </c>
      <c r="S26" s="15">
        <v>1.4</v>
      </c>
      <c r="T26"/>
      <c r="U26" s="4"/>
      <c r="V26" s="4"/>
      <c r="W26" s="287" t="s">
        <v>1215</v>
      </c>
      <c r="X26" s="31" t="s">
        <v>8</v>
      </c>
      <c r="Y26" s="410">
        <v>0.95</v>
      </c>
      <c r="Z26" s="411">
        <v>0.9</v>
      </c>
      <c r="AB26" s="801" t="s">
        <v>377</v>
      </c>
      <c r="AC26" s="802">
        <v>1</v>
      </c>
      <c r="AD26" s="802">
        <v>2</v>
      </c>
      <c r="AF26" s="805"/>
      <c r="AG26" s="1543" t="s">
        <v>385</v>
      </c>
      <c r="AH26" s="1543"/>
    </row>
    <row r="27" spans="1:34" x14ac:dyDescent="0.2">
      <c r="A27" s="184" t="s">
        <v>1870</v>
      </c>
      <c r="B27" s="44">
        <v>1</v>
      </c>
      <c r="C27" s="44"/>
      <c r="D27" s="44">
        <v>0.315</v>
      </c>
      <c r="E27" s="176"/>
      <c r="F27" s="109" t="s">
        <v>900</v>
      </c>
      <c r="G27" s="109" t="s">
        <v>901</v>
      </c>
      <c r="H27" s="109" t="s">
        <v>902</v>
      </c>
      <c r="J27" s="548">
        <v>1000</v>
      </c>
      <c r="K27" s="1174">
        <v>1</v>
      </c>
      <c r="M27" s="44">
        <v>6</v>
      </c>
      <c r="N27" s="1045">
        <v>0.03</v>
      </c>
      <c r="O27" s="1045">
        <v>0.09</v>
      </c>
      <c r="Q27" s="4"/>
      <c r="R27" s="44">
        <v>270</v>
      </c>
      <c r="S27" s="15">
        <v>1.45</v>
      </c>
      <c r="T27"/>
      <c r="V27" s="4"/>
      <c r="W27" s="140" t="s">
        <v>1209</v>
      </c>
      <c r="X27" s="32" t="s">
        <v>6</v>
      </c>
      <c r="Y27" s="16">
        <v>1.84</v>
      </c>
      <c r="Z27" s="412">
        <v>1.71</v>
      </c>
      <c r="AB27" s="23" t="s">
        <v>380</v>
      </c>
      <c r="AC27" s="628">
        <v>1.4E-2</v>
      </c>
      <c r="AD27" s="628">
        <v>1E-3</v>
      </c>
      <c r="AF27" s="801" t="s">
        <v>383</v>
      </c>
      <c r="AG27" s="802" t="s">
        <v>901</v>
      </c>
      <c r="AH27" s="802" t="s">
        <v>1876</v>
      </c>
    </row>
    <row r="28" spans="1:34" x14ac:dyDescent="0.2">
      <c r="A28" s="184" t="s">
        <v>1871</v>
      </c>
      <c r="B28" s="44">
        <v>2</v>
      </c>
      <c r="C28" s="44"/>
      <c r="D28" s="44">
        <v>0.315</v>
      </c>
      <c r="E28" s="176"/>
      <c r="F28" s="406" t="s">
        <v>2299</v>
      </c>
      <c r="G28" s="44">
        <v>1</v>
      </c>
      <c r="H28" s="1241">
        <v>1</v>
      </c>
      <c r="J28" s="548">
        <v>2500</v>
      </c>
      <c r="K28" s="1174">
        <v>0.97</v>
      </c>
      <c r="M28" s="44">
        <v>8</v>
      </c>
      <c r="N28" s="1045">
        <v>0.04</v>
      </c>
      <c r="O28" s="1045">
        <v>0.12</v>
      </c>
      <c r="Q28" s="4"/>
      <c r="R28" s="44">
        <v>365</v>
      </c>
      <c r="S28" s="15">
        <v>1.5</v>
      </c>
      <c r="T28"/>
      <c r="V28" s="4"/>
      <c r="W28" s="284"/>
      <c r="X28" s="30" t="s">
        <v>7</v>
      </c>
      <c r="Y28" s="17">
        <v>1.71</v>
      </c>
      <c r="Z28" s="409">
        <v>1.53</v>
      </c>
      <c r="AB28" s="23" t="s">
        <v>379</v>
      </c>
      <c r="AC28" s="628">
        <v>1.4999999999999999E-2</v>
      </c>
      <c r="AD28" s="628">
        <v>1E-3</v>
      </c>
      <c r="AF28" s="23" t="s">
        <v>2302</v>
      </c>
      <c r="AG28" s="803">
        <v>1</v>
      </c>
      <c r="AH28" s="804">
        <v>0.1</v>
      </c>
    </row>
    <row r="29" spans="1:34" ht="13.5" thickBot="1" x14ac:dyDescent="0.25">
      <c r="A29" s="184" t="s">
        <v>1872</v>
      </c>
      <c r="B29" s="44">
        <v>3</v>
      </c>
      <c r="C29" s="44"/>
      <c r="D29" s="44">
        <v>0.315</v>
      </c>
      <c r="E29" s="176"/>
      <c r="J29" s="548">
        <v>5000</v>
      </c>
      <c r="K29" s="1174">
        <v>0.95</v>
      </c>
      <c r="M29" s="44">
        <v>10</v>
      </c>
      <c r="N29" s="1045">
        <v>0.05</v>
      </c>
      <c r="O29" s="1045">
        <v>0.15</v>
      </c>
      <c r="Q29" s="4"/>
      <c r="R29" s="44">
        <v>450</v>
      </c>
      <c r="S29" s="15">
        <v>1.55</v>
      </c>
      <c r="T29"/>
      <c r="V29" s="4"/>
      <c r="W29" s="287" t="s">
        <v>1216</v>
      </c>
      <c r="X29" s="31" t="s">
        <v>8</v>
      </c>
      <c r="Y29" s="410">
        <v>1.4</v>
      </c>
      <c r="Z29" s="411">
        <v>1.31</v>
      </c>
      <c r="AB29" s="808" t="s">
        <v>390</v>
      </c>
      <c r="AF29" s="23" t="s">
        <v>384</v>
      </c>
      <c r="AG29" s="803">
        <v>2</v>
      </c>
      <c r="AH29" s="804">
        <v>0.5</v>
      </c>
    </row>
    <row r="30" spans="1:34" x14ac:dyDescent="0.2">
      <c r="A30" s="184" t="s">
        <v>1113</v>
      </c>
      <c r="B30" s="44">
        <v>4</v>
      </c>
      <c r="C30" s="44"/>
      <c r="D30" s="44">
        <v>0.315</v>
      </c>
      <c r="E30" s="176"/>
      <c r="F30" s="2"/>
      <c r="G30" s="2"/>
      <c r="H30" s="174" t="s">
        <v>2099</v>
      </c>
      <c r="J30" s="548">
        <v>10000</v>
      </c>
      <c r="K30" s="1174">
        <v>0.9</v>
      </c>
      <c r="M30" s="44">
        <v>12</v>
      </c>
      <c r="N30" s="1045">
        <v>0.06</v>
      </c>
      <c r="O30" s="1045">
        <v>0.18</v>
      </c>
      <c r="Q30" s="4"/>
      <c r="R30" s="44">
        <v>540</v>
      </c>
      <c r="S30" s="15">
        <v>1.6</v>
      </c>
      <c r="T30"/>
      <c r="V30" s="4"/>
      <c r="W30" s="140" t="s">
        <v>10</v>
      </c>
      <c r="X30" s="32" t="s">
        <v>6</v>
      </c>
      <c r="Y30" s="16">
        <v>1.1299999999999999</v>
      </c>
      <c r="Z30" s="412">
        <v>1.04</v>
      </c>
      <c r="AB30" s="808" t="s">
        <v>391</v>
      </c>
    </row>
    <row r="31" spans="1:34" x14ac:dyDescent="0.2">
      <c r="A31" s="184" t="s">
        <v>1873</v>
      </c>
      <c r="B31" s="44">
        <v>5</v>
      </c>
      <c r="C31" s="44"/>
      <c r="D31" s="44">
        <v>0.42499999999999999</v>
      </c>
      <c r="E31" s="176"/>
      <c r="F31" s="1196" t="s">
        <v>2100</v>
      </c>
      <c r="G31" s="995"/>
      <c r="H31" s="995"/>
      <c r="J31" s="548">
        <v>25000</v>
      </c>
      <c r="K31" s="1174">
        <v>0.75</v>
      </c>
      <c r="M31" s="44" t="s">
        <v>1009</v>
      </c>
      <c r="N31" s="1045">
        <v>0.01</v>
      </c>
      <c r="O31" s="1045">
        <v>0.03</v>
      </c>
      <c r="P31" s="176"/>
      <c r="Q31" s="4"/>
      <c r="R31" s="44">
        <v>630</v>
      </c>
      <c r="S31" s="15">
        <v>1.65</v>
      </c>
      <c r="T31"/>
      <c r="V31" s="4"/>
      <c r="W31" s="140" t="s">
        <v>1208</v>
      </c>
      <c r="X31" s="30" t="s">
        <v>7</v>
      </c>
      <c r="Y31" s="17">
        <v>1.04</v>
      </c>
      <c r="Z31" s="409">
        <v>0.95</v>
      </c>
      <c r="AF31" s="1232" t="s">
        <v>762</v>
      </c>
      <c r="AG31" s="1233"/>
      <c r="AH31" s="1233"/>
    </row>
    <row r="32" spans="1:34" ht="13.5" thickBot="1" x14ac:dyDescent="0.25">
      <c r="A32" s="184" t="s">
        <v>1874</v>
      </c>
      <c r="B32" s="44">
        <v>6</v>
      </c>
      <c r="C32" s="44"/>
      <c r="D32" s="44">
        <v>0.42499999999999999</v>
      </c>
      <c r="E32" s="176"/>
      <c r="F32" s="109" t="s">
        <v>900</v>
      </c>
      <c r="G32" s="109" t="s">
        <v>901</v>
      </c>
      <c r="H32" s="109" t="s">
        <v>902</v>
      </c>
      <c r="J32" s="548">
        <v>50001</v>
      </c>
      <c r="K32" s="1154" t="s">
        <v>2064</v>
      </c>
      <c r="M32" s="5" t="s">
        <v>1104</v>
      </c>
      <c r="N32" s="102"/>
      <c r="O32" s="2"/>
      <c r="P32" s="2"/>
      <c r="Q32" s="4"/>
      <c r="R32" s="44">
        <v>730</v>
      </c>
      <c r="S32" s="15">
        <v>1.7</v>
      </c>
      <c r="T32"/>
      <c r="V32" s="4"/>
      <c r="W32" s="287" t="s">
        <v>1217</v>
      </c>
      <c r="X32" s="31" t="s">
        <v>8</v>
      </c>
      <c r="Y32" s="410">
        <v>0.86</v>
      </c>
      <c r="Z32" s="411">
        <v>0.77</v>
      </c>
      <c r="AB32" s="285" t="s">
        <v>2303</v>
      </c>
      <c r="AF32" s="1234" t="s">
        <v>763</v>
      </c>
      <c r="AG32" s="1233"/>
      <c r="AH32" s="1235">
        <v>0.99</v>
      </c>
    </row>
    <row r="33" spans="1:34" x14ac:dyDescent="0.2">
      <c r="A33" s="184" t="s">
        <v>2033</v>
      </c>
      <c r="B33" s="44">
        <v>7</v>
      </c>
      <c r="C33" s="44"/>
      <c r="D33" s="44">
        <v>0.42499999999999999</v>
      </c>
      <c r="E33" s="176"/>
      <c r="F33" s="406" t="s">
        <v>2300</v>
      </c>
      <c r="G33" s="44">
        <v>1</v>
      </c>
      <c r="H33" s="441">
        <v>1.0720000000000001</v>
      </c>
      <c r="P33" s="2"/>
      <c r="Q33" s="4"/>
      <c r="R33" s="45" t="s">
        <v>1891</v>
      </c>
      <c r="S33" s="46"/>
      <c r="T33"/>
      <c r="V33" s="4"/>
      <c r="AB33" s="806"/>
      <c r="AC33" s="1544" t="s">
        <v>2304</v>
      </c>
      <c r="AD33" s="1544"/>
      <c r="AF33" s="1234" t="s">
        <v>764</v>
      </c>
      <c r="AG33" s="1233"/>
      <c r="AH33" s="1235">
        <v>0.998</v>
      </c>
    </row>
    <row r="34" spans="1:34" x14ac:dyDescent="0.2">
      <c r="A34" s="184" t="s">
        <v>2034</v>
      </c>
      <c r="B34" s="44">
        <v>8</v>
      </c>
      <c r="C34" s="44"/>
      <c r="D34" s="44">
        <v>0.42499999999999999</v>
      </c>
      <c r="F34" s="406" t="s">
        <v>2301</v>
      </c>
      <c r="G34" s="44">
        <v>2</v>
      </c>
      <c r="H34" s="441">
        <v>1.1499999999999999</v>
      </c>
      <c r="J34" s="5" t="s">
        <v>1700</v>
      </c>
      <c r="N34" s="5" t="s">
        <v>1626</v>
      </c>
      <c r="O34" s="550"/>
      <c r="P34" s="2"/>
      <c r="Q34" s="4"/>
      <c r="V34" s="4"/>
      <c r="AB34" s="805"/>
      <c r="AC34" s="1543" t="s">
        <v>2305</v>
      </c>
      <c r="AD34" s="1543"/>
    </row>
    <row r="35" spans="1:34" x14ac:dyDescent="0.2">
      <c r="A35" s="184" t="s">
        <v>2035</v>
      </c>
      <c r="B35" s="44">
        <v>9</v>
      </c>
      <c r="C35" s="44"/>
      <c r="D35" s="44">
        <v>0.42499999999999999</v>
      </c>
      <c r="F35" s="406" t="s">
        <v>384</v>
      </c>
      <c r="G35" s="44">
        <v>3</v>
      </c>
      <c r="H35" s="441">
        <v>1</v>
      </c>
      <c r="J35" s="555" t="s">
        <v>1701</v>
      </c>
      <c r="L35" s="1153">
        <v>0.52800000000000002</v>
      </c>
      <c r="M35" s="555"/>
      <c r="N35" s="829" t="s">
        <v>1627</v>
      </c>
      <c r="O35" s="550"/>
      <c r="P35" s="2"/>
      <c r="Q35" s="4"/>
      <c r="V35" s="4"/>
      <c r="AB35" s="801" t="s">
        <v>383</v>
      </c>
      <c r="AC35" s="802" t="s">
        <v>901</v>
      </c>
      <c r="AD35" s="802" t="s">
        <v>1876</v>
      </c>
    </row>
    <row r="36" spans="1:34" x14ac:dyDescent="0.2">
      <c r="A36" s="175"/>
      <c r="B36" s="176"/>
      <c r="C36" s="176"/>
      <c r="D36" s="176"/>
      <c r="M36" s="555"/>
      <c r="N36" s="829" t="s">
        <v>1628</v>
      </c>
      <c r="O36" s="550"/>
      <c r="P36" s="2"/>
      <c r="Q36" s="4"/>
      <c r="R36" s="5" t="s">
        <v>1556</v>
      </c>
      <c r="U36"/>
      <c r="V36" s="4"/>
      <c r="W36" s="5" t="s">
        <v>11</v>
      </c>
      <c r="X36" s="102"/>
      <c r="AB36" s="23" t="s">
        <v>2302</v>
      </c>
      <c r="AC36" s="803">
        <v>1</v>
      </c>
      <c r="AD36" s="804">
        <v>0.1</v>
      </c>
    </row>
    <row r="37" spans="1:34" ht="13.5" thickBot="1" x14ac:dyDescent="0.25">
      <c r="A37" s="199" t="s">
        <v>1106</v>
      </c>
      <c r="D37" s="174" t="s">
        <v>1112</v>
      </c>
      <c r="J37" s="5" t="s">
        <v>1688</v>
      </c>
      <c r="M37" s="206" t="s">
        <v>236</v>
      </c>
      <c r="Q37" s="4"/>
      <c r="R37" s="285" t="s">
        <v>1557</v>
      </c>
      <c r="S37" s="39"/>
      <c r="T37" s="425"/>
      <c r="U37" s="425"/>
      <c r="V37" s="4"/>
      <c r="W37" s="285" t="s">
        <v>1245</v>
      </c>
      <c r="X37" s="102"/>
      <c r="AB37" s="23" t="s">
        <v>384</v>
      </c>
      <c r="AC37" s="803">
        <v>2</v>
      </c>
      <c r="AD37" s="804">
        <v>0.4</v>
      </c>
    </row>
    <row r="38" spans="1:34" x14ac:dyDescent="0.2">
      <c r="A38" s="240" t="s">
        <v>1109</v>
      </c>
      <c r="B38" s="241" t="s">
        <v>1037</v>
      </c>
      <c r="C38" s="241" t="s">
        <v>1110</v>
      </c>
      <c r="D38" s="242" t="s">
        <v>1111</v>
      </c>
      <c r="F38" s="224" t="s">
        <v>1247</v>
      </c>
      <c r="G38" s="2"/>
      <c r="H38" s="102"/>
      <c r="J38" s="551"/>
      <c r="K38" s="1534" t="s">
        <v>1677</v>
      </c>
      <c r="L38" s="1535"/>
      <c r="M38" s="1536"/>
      <c r="R38" s="419" t="s">
        <v>1560</v>
      </c>
      <c r="S38" s="421"/>
      <c r="T38" s="420" t="s">
        <v>1636</v>
      </c>
      <c r="U38" s="418" t="s">
        <v>1637</v>
      </c>
      <c r="W38" s="9" t="s">
        <v>1635</v>
      </c>
      <c r="X38" s="9" t="s">
        <v>1876</v>
      </c>
      <c r="AB38" s="1480" t="s">
        <v>2306</v>
      </c>
    </row>
    <row r="39" spans="1:34" ht="13.5" thickBot="1" x14ac:dyDescent="0.25">
      <c r="A39" s="243" t="s">
        <v>1870</v>
      </c>
      <c r="B39" s="24">
        <v>1</v>
      </c>
      <c r="C39" s="24">
        <v>0.92</v>
      </c>
      <c r="D39" s="244">
        <v>0.93</v>
      </c>
      <c r="F39" s="98" t="s">
        <v>1248</v>
      </c>
      <c r="G39" s="2"/>
      <c r="H39" s="102"/>
      <c r="J39" s="552" t="s">
        <v>1685</v>
      </c>
      <c r="K39" s="305" t="s">
        <v>1006</v>
      </c>
      <c r="L39" s="789" t="s">
        <v>1007</v>
      </c>
      <c r="M39" s="790" t="s">
        <v>894</v>
      </c>
      <c r="R39" s="416" t="s">
        <v>1590</v>
      </c>
      <c r="S39" s="37" t="s">
        <v>1883</v>
      </c>
      <c r="T39" s="37">
        <v>0</v>
      </c>
      <c r="U39" s="37">
        <v>0</v>
      </c>
      <c r="W39" s="33">
        <v>0</v>
      </c>
      <c r="X39" s="34">
        <v>1.1200000000000001</v>
      </c>
      <c r="AB39" s="601"/>
    </row>
    <row r="40" spans="1:34" x14ac:dyDescent="0.2">
      <c r="A40" s="243" t="s">
        <v>1871</v>
      </c>
      <c r="B40" s="24">
        <v>2</v>
      </c>
      <c r="C40" s="24">
        <v>0.93</v>
      </c>
      <c r="D40" s="244">
        <v>0.86</v>
      </c>
      <c r="F40" s="51" t="s">
        <v>879</v>
      </c>
      <c r="G40" s="184" t="s">
        <v>859</v>
      </c>
      <c r="H40" s="297"/>
      <c r="J40" s="791">
        <v>1000</v>
      </c>
      <c r="K40" s="1146">
        <v>2.7</v>
      </c>
      <c r="L40" s="1144">
        <v>3.165</v>
      </c>
      <c r="M40" s="1147">
        <v>3.165</v>
      </c>
      <c r="O40" s="550"/>
      <c r="P40" s="2"/>
      <c r="R40" s="416" t="s">
        <v>1558</v>
      </c>
      <c r="S40" s="37" t="s">
        <v>1131</v>
      </c>
      <c r="T40" s="37">
        <v>9.5000000000000001E-2</v>
      </c>
      <c r="U40" s="37">
        <v>4.3999999999999997E-2</v>
      </c>
      <c r="W40" s="33">
        <v>90</v>
      </c>
      <c r="X40" s="34">
        <v>1.06</v>
      </c>
      <c r="AB40" s="985" t="s">
        <v>1972</v>
      </c>
    </row>
    <row r="41" spans="1:34" x14ac:dyDescent="0.2">
      <c r="A41" s="243" t="s">
        <v>1872</v>
      </c>
      <c r="B41" s="24">
        <v>3</v>
      </c>
      <c r="C41" s="24">
        <v>0.77</v>
      </c>
      <c r="D41" s="244">
        <v>0.91</v>
      </c>
      <c r="E41" s="116"/>
      <c r="F41" s="51" t="s">
        <v>83</v>
      </c>
      <c r="G41" s="184" t="s">
        <v>860</v>
      </c>
      <c r="H41" s="297"/>
      <c r="J41" s="791">
        <v>5000</v>
      </c>
      <c r="K41" s="1148">
        <v>4.3209999999999997</v>
      </c>
      <c r="L41" s="1145">
        <v>5.2750000000000004</v>
      </c>
      <c r="M41" s="1149">
        <v>5.2750000000000004</v>
      </c>
      <c r="P41" s="2"/>
      <c r="R41" s="416" t="s">
        <v>1559</v>
      </c>
      <c r="S41" s="37" t="s">
        <v>1007</v>
      </c>
      <c r="T41" s="37">
        <v>0.17299999999999999</v>
      </c>
      <c r="U41" s="37">
        <v>0.19900000000000001</v>
      </c>
      <c r="W41" s="33">
        <v>180</v>
      </c>
      <c r="X41" s="34">
        <v>1</v>
      </c>
      <c r="Y41" s="842"/>
      <c r="AB41" s="170" t="s">
        <v>760</v>
      </c>
    </row>
    <row r="42" spans="1:34" x14ac:dyDescent="0.2">
      <c r="A42" s="243" t="s">
        <v>1107</v>
      </c>
      <c r="B42" s="24">
        <v>4</v>
      </c>
      <c r="C42" s="24">
        <v>0.81</v>
      </c>
      <c r="D42" s="244">
        <v>0.83</v>
      </c>
      <c r="E42" s="199"/>
      <c r="F42" s="51" t="s">
        <v>880</v>
      </c>
      <c r="G42" s="184" t="s">
        <v>861</v>
      </c>
      <c r="H42" s="297"/>
      <c r="J42" s="791">
        <v>10000</v>
      </c>
      <c r="K42" s="1148">
        <v>5.4009999999999998</v>
      </c>
      <c r="L42" s="1145">
        <v>6.8579999999999997</v>
      </c>
      <c r="M42" s="1149">
        <v>6.8579999999999997</v>
      </c>
      <c r="AB42" s="170" t="s">
        <v>761</v>
      </c>
    </row>
    <row r="43" spans="1:34" ht="13.5" thickBot="1" x14ac:dyDescent="0.25">
      <c r="A43" s="243" t="s">
        <v>1108</v>
      </c>
      <c r="B43" s="24">
        <v>5</v>
      </c>
      <c r="C43" s="24">
        <v>0.84</v>
      </c>
      <c r="D43" s="244">
        <v>0.87</v>
      </c>
      <c r="E43" s="199"/>
      <c r="F43" s="51" t="s">
        <v>881</v>
      </c>
      <c r="G43" s="184" t="s">
        <v>862</v>
      </c>
      <c r="H43" s="297"/>
      <c r="J43" s="792" t="s">
        <v>1686</v>
      </c>
      <c r="K43" s="1150">
        <v>0.54</v>
      </c>
      <c r="L43" s="1151">
        <v>1.0549999999999999</v>
      </c>
      <c r="M43" s="1152">
        <v>1.0549999999999999</v>
      </c>
      <c r="O43" s="550"/>
      <c r="P43" s="2"/>
    </row>
    <row r="44" spans="1:34" x14ac:dyDescent="0.2">
      <c r="A44" s="243" t="s">
        <v>1874</v>
      </c>
      <c r="B44" s="24">
        <v>6</v>
      </c>
      <c r="C44" s="24">
        <v>0.84</v>
      </c>
      <c r="D44" s="244">
        <v>0.87</v>
      </c>
      <c r="F44" s="51" t="s">
        <v>1868</v>
      </c>
      <c r="G44" s="184" t="s">
        <v>863</v>
      </c>
      <c r="H44" s="297"/>
      <c r="J44" s="831"/>
      <c r="K44" s="832"/>
      <c r="L44" s="832"/>
      <c r="M44" s="832"/>
      <c r="O44" s="550"/>
      <c r="P44" s="2"/>
      <c r="R44" s="5" t="s">
        <v>1551</v>
      </c>
      <c r="W44" s="5" t="s">
        <v>12</v>
      </c>
      <c r="AB44" s="1433"/>
    </row>
    <row r="45" spans="1:34" x14ac:dyDescent="0.2">
      <c r="A45" s="915" t="s">
        <v>1476</v>
      </c>
      <c r="D45" s="176"/>
      <c r="E45" s="176"/>
      <c r="F45" s="51" t="s">
        <v>31</v>
      </c>
      <c r="G45" s="184" t="s">
        <v>864</v>
      </c>
      <c r="H45" s="297"/>
      <c r="J45" s="5" t="s">
        <v>1687</v>
      </c>
      <c r="L45" s="832"/>
      <c r="M45" s="832"/>
      <c r="P45" s="2"/>
      <c r="R45" s="285" t="s">
        <v>1553</v>
      </c>
      <c r="S45" s="39"/>
      <c r="T45" s="291"/>
      <c r="W45" s="285" t="s">
        <v>1548</v>
      </c>
    </row>
    <row r="46" spans="1:34" x14ac:dyDescent="0.2">
      <c r="A46" s="914" t="s">
        <v>1477</v>
      </c>
      <c r="C46" s="1186">
        <v>5.9999999999999995E-4</v>
      </c>
      <c r="D46" s="177" t="s">
        <v>2059</v>
      </c>
      <c r="E46" s="53"/>
      <c r="F46" s="51" t="s">
        <v>882</v>
      </c>
      <c r="G46" s="184" t="s">
        <v>865</v>
      </c>
      <c r="H46" s="297"/>
      <c r="J46" s="549" t="s">
        <v>1683</v>
      </c>
      <c r="K46" s="550">
        <v>1.25</v>
      </c>
      <c r="L46" s="832"/>
      <c r="M46" s="832"/>
      <c r="P46" s="2"/>
      <c r="R46" s="416" t="s">
        <v>1552</v>
      </c>
      <c r="S46" s="37">
        <v>2</v>
      </c>
      <c r="T46" s="37">
        <v>0.67</v>
      </c>
      <c r="W46" s="19" t="s">
        <v>1881</v>
      </c>
      <c r="X46" s="1540" t="s">
        <v>1</v>
      </c>
      <c r="Y46" s="1541"/>
    </row>
    <row r="47" spans="1:34" x14ac:dyDescent="0.2">
      <c r="F47" s="51" t="s">
        <v>883</v>
      </c>
      <c r="G47" s="184" t="s">
        <v>866</v>
      </c>
      <c r="H47" s="297"/>
      <c r="J47" s="549" t="s">
        <v>1684</v>
      </c>
      <c r="K47" s="550">
        <v>1.1499999999999999</v>
      </c>
      <c r="L47" s="832"/>
      <c r="M47" s="832"/>
      <c r="P47" s="2"/>
      <c r="R47" s="416" t="s">
        <v>1271</v>
      </c>
      <c r="S47" s="37">
        <v>3</v>
      </c>
      <c r="T47" s="37">
        <v>0.63</v>
      </c>
      <c r="W47" s="20" t="s">
        <v>1882</v>
      </c>
      <c r="X47" s="13" t="s">
        <v>4</v>
      </c>
      <c r="Y47" s="13" t="s">
        <v>5</v>
      </c>
    </row>
    <row r="48" spans="1:34" ht="13.5" thickBot="1" x14ac:dyDescent="0.25">
      <c r="A48" s="840" t="s">
        <v>1629</v>
      </c>
      <c r="B48" s="839"/>
      <c r="C48" s="839"/>
      <c r="D48" s="841"/>
      <c r="F48" s="51" t="s">
        <v>884</v>
      </c>
      <c r="G48" s="184" t="s">
        <v>867</v>
      </c>
      <c r="H48" s="297"/>
      <c r="J48" s="833" t="s">
        <v>1625</v>
      </c>
      <c r="K48" s="832"/>
      <c r="L48" s="832"/>
      <c r="M48" s="832"/>
      <c r="N48" s="829"/>
      <c r="O48" s="550"/>
      <c r="P48" s="2"/>
      <c r="W48" s="298">
        <v>50</v>
      </c>
      <c r="X48" s="17">
        <v>1.35</v>
      </c>
      <c r="Y48" s="17">
        <v>1.26</v>
      </c>
    </row>
    <row r="49" spans="1:25" x14ac:dyDescent="0.2">
      <c r="A49" s="98" t="s">
        <v>858</v>
      </c>
      <c r="B49" s="324" t="s">
        <v>833</v>
      </c>
      <c r="C49" s="225" t="s">
        <v>1033</v>
      </c>
      <c r="D49" s="21"/>
      <c r="F49" s="51" t="s">
        <v>885</v>
      </c>
      <c r="G49" s="184" t="s">
        <v>868</v>
      </c>
      <c r="H49" s="297"/>
      <c r="J49" s="831"/>
      <c r="K49" s="832"/>
      <c r="L49" s="832"/>
      <c r="M49" s="832"/>
      <c r="O49" s="550"/>
      <c r="P49" s="2"/>
      <c r="W49" s="298">
        <v>60</v>
      </c>
      <c r="X49" s="17">
        <v>1.17</v>
      </c>
      <c r="Y49" s="18">
        <v>1.08</v>
      </c>
    </row>
    <row r="50" spans="1:25" x14ac:dyDescent="0.2">
      <c r="A50" s="2"/>
      <c r="B50" s="324" t="s">
        <v>857</v>
      </c>
      <c r="C50" s="226" t="s">
        <v>836</v>
      </c>
      <c r="D50" s="835" t="s">
        <v>1006</v>
      </c>
      <c r="F50" s="51" t="s">
        <v>886</v>
      </c>
      <c r="G50" s="184" t="s">
        <v>869</v>
      </c>
      <c r="H50" s="297"/>
      <c r="J50" s="5" t="s">
        <v>1702</v>
      </c>
      <c r="R50" s="5" t="s">
        <v>13</v>
      </c>
      <c r="S50"/>
      <c r="T50"/>
      <c r="W50" s="298">
        <v>70</v>
      </c>
      <c r="X50" s="17">
        <v>1.08</v>
      </c>
      <c r="Y50" s="18">
        <v>0.99</v>
      </c>
    </row>
    <row r="51" spans="1:25" x14ac:dyDescent="0.2">
      <c r="A51" s="2"/>
      <c r="B51" s="324"/>
      <c r="C51" s="227" t="s">
        <v>837</v>
      </c>
      <c r="D51" s="836" t="s">
        <v>1007</v>
      </c>
      <c r="F51" s="51" t="s">
        <v>887</v>
      </c>
      <c r="G51" s="184" t="s">
        <v>870</v>
      </c>
      <c r="H51" s="297"/>
      <c r="J51" s="5" t="s">
        <v>1703</v>
      </c>
      <c r="P51" s="174" t="s">
        <v>1382</v>
      </c>
      <c r="R51" s="285" t="s">
        <v>1249</v>
      </c>
      <c r="S51"/>
      <c r="T51"/>
      <c r="W51" s="298">
        <v>80</v>
      </c>
      <c r="X51" s="17">
        <v>1.04</v>
      </c>
      <c r="Y51" s="18">
        <v>0.95</v>
      </c>
    </row>
    <row r="52" spans="1:25" x14ac:dyDescent="0.2">
      <c r="A52" s="1187" t="s">
        <v>2096</v>
      </c>
      <c r="B52" s="324" t="s">
        <v>1900</v>
      </c>
      <c r="C52" s="228" t="s">
        <v>838</v>
      </c>
      <c r="D52" s="179" t="s">
        <v>894</v>
      </c>
      <c r="F52" s="51" t="s">
        <v>888</v>
      </c>
      <c r="G52" s="184" t="s">
        <v>871</v>
      </c>
      <c r="H52" s="297"/>
      <c r="J52" s="109" t="s">
        <v>1704</v>
      </c>
      <c r="K52" s="109"/>
      <c r="L52" s="109" t="s">
        <v>1012</v>
      </c>
      <c r="M52" s="109" t="s">
        <v>1013</v>
      </c>
      <c r="N52" s="109" t="s">
        <v>837</v>
      </c>
      <c r="O52" s="109" t="s">
        <v>838</v>
      </c>
      <c r="P52" s="109" t="s">
        <v>1594</v>
      </c>
      <c r="R52" s="36" t="s">
        <v>14</v>
      </c>
      <c r="S52" s="452"/>
      <c r="T52" s="35"/>
      <c r="W52" s="298">
        <v>90</v>
      </c>
      <c r="X52" s="17">
        <v>0.95</v>
      </c>
      <c r="Y52" s="18">
        <v>0.9</v>
      </c>
    </row>
    <row r="53" spans="1:25" x14ac:dyDescent="0.2">
      <c r="A53" s="1187"/>
      <c r="B53" s="324"/>
      <c r="C53" s="170" t="s">
        <v>1594</v>
      </c>
      <c r="D53" s="324" t="s">
        <v>1678</v>
      </c>
      <c r="F53" s="51" t="s">
        <v>889</v>
      </c>
      <c r="G53" s="184" t="s">
        <v>872</v>
      </c>
      <c r="H53" s="297"/>
      <c r="J53" s="556" t="s">
        <v>1705</v>
      </c>
      <c r="K53" s="24">
        <v>1</v>
      </c>
      <c r="L53" s="1154">
        <v>3.7999999999999999E-2</v>
      </c>
      <c r="M53" s="1154">
        <v>1.0999999999999999E-2</v>
      </c>
      <c r="N53" s="1154">
        <v>6.0000000000000001E-3</v>
      </c>
      <c r="O53" s="1154">
        <v>6.0000000000000001E-3</v>
      </c>
      <c r="P53" s="1155">
        <v>1.0999999999999999E-2</v>
      </c>
      <c r="R53" s="13" t="s">
        <v>15</v>
      </c>
      <c r="S53" s="13" t="s">
        <v>1858</v>
      </c>
      <c r="T53" s="11" t="s">
        <v>1876</v>
      </c>
      <c r="W53" s="298">
        <v>100</v>
      </c>
      <c r="X53" s="17">
        <v>0.9</v>
      </c>
      <c r="Y53" s="18">
        <v>0.81</v>
      </c>
    </row>
    <row r="54" spans="1:25" x14ac:dyDescent="0.2">
      <c r="A54" s="1187" t="s">
        <v>2101</v>
      </c>
      <c r="B54" s="1199"/>
      <c r="F54" s="51" t="s">
        <v>890</v>
      </c>
      <c r="G54" s="184" t="s">
        <v>873</v>
      </c>
      <c r="H54" s="297"/>
      <c r="J54" s="556" t="s">
        <v>1706</v>
      </c>
      <c r="K54" s="24">
        <v>2</v>
      </c>
      <c r="L54" s="1154">
        <v>3.7999999999999999E-2</v>
      </c>
      <c r="M54" s="1154">
        <v>1.0999999999999999E-2</v>
      </c>
      <c r="N54" s="1154">
        <v>6.0000000000000001E-3</v>
      </c>
      <c r="O54" s="1154">
        <v>2.1000000000000001E-2</v>
      </c>
      <c r="P54" s="1155">
        <v>1.0999999999999999E-2</v>
      </c>
      <c r="R54" s="448">
        <v>35</v>
      </c>
      <c r="S54" s="24" t="s">
        <v>1642</v>
      </c>
      <c r="T54" s="449">
        <v>1.9019999999999999</v>
      </c>
      <c r="W54" s="298">
        <v>125</v>
      </c>
      <c r="X54" s="17">
        <v>0.81</v>
      </c>
      <c r="Y54" s="18">
        <v>0.72</v>
      </c>
    </row>
    <row r="55" spans="1:25" x14ac:dyDescent="0.2">
      <c r="B55" s="21"/>
      <c r="C55" s="98" t="s">
        <v>1784</v>
      </c>
      <c r="F55" s="51" t="s">
        <v>30</v>
      </c>
      <c r="G55" s="184" t="s">
        <v>874</v>
      </c>
      <c r="H55" s="297"/>
      <c r="J55" s="556" t="s">
        <v>1707</v>
      </c>
      <c r="K55" s="24">
        <v>3</v>
      </c>
      <c r="L55" s="1145">
        <v>7.4999999999999997E-2</v>
      </c>
      <c r="M55" s="1145" t="s">
        <v>1900</v>
      </c>
      <c r="N55" s="1145">
        <v>0.01</v>
      </c>
      <c r="O55" s="1145">
        <v>0.01</v>
      </c>
      <c r="P55" s="1156">
        <v>2.1999999999999999E-2</v>
      </c>
      <c r="R55" s="450">
        <v>40</v>
      </c>
      <c r="S55" s="24" t="s">
        <v>1643</v>
      </c>
      <c r="T55" s="451">
        <v>2</v>
      </c>
    </row>
    <row r="56" spans="1:25" x14ac:dyDescent="0.2">
      <c r="A56" s="98" t="s">
        <v>979</v>
      </c>
      <c r="B56" s="21"/>
      <c r="C56" s="116" t="s">
        <v>1502</v>
      </c>
      <c r="D56" s="635">
        <v>1</v>
      </c>
      <c r="F56" s="51" t="s">
        <v>891</v>
      </c>
      <c r="G56" s="184" t="s">
        <v>875</v>
      </c>
      <c r="H56" s="297"/>
      <c r="J56" s="556" t="s">
        <v>1708</v>
      </c>
      <c r="K56" s="24">
        <v>4</v>
      </c>
      <c r="L56" s="1145">
        <v>7.4999999999999997E-2</v>
      </c>
      <c r="M56" s="1145" t="s">
        <v>1900</v>
      </c>
      <c r="N56" s="1145">
        <v>0.01</v>
      </c>
      <c r="O56" s="1145">
        <v>4.2000000000000003E-2</v>
      </c>
      <c r="P56" s="1156">
        <v>2.1999999999999999E-2</v>
      </c>
      <c r="R56" s="450">
        <v>100</v>
      </c>
      <c r="S56" s="24" t="s">
        <v>1644</v>
      </c>
      <c r="T56" s="451">
        <v>4</v>
      </c>
    </row>
    <row r="57" spans="1:25" x14ac:dyDescent="0.2">
      <c r="A57" s="170" t="s">
        <v>981</v>
      </c>
      <c r="B57" s="635" t="s">
        <v>980</v>
      </c>
      <c r="C57" s="116" t="s">
        <v>933</v>
      </c>
      <c r="D57" s="635">
        <v>2</v>
      </c>
      <c r="F57" s="51" t="s">
        <v>892</v>
      </c>
      <c r="G57" s="184" t="s">
        <v>876</v>
      </c>
      <c r="H57" s="297"/>
    </row>
    <row r="58" spans="1:25" x14ac:dyDescent="0.2">
      <c r="A58" s="170" t="s">
        <v>982</v>
      </c>
      <c r="B58" s="635" t="s">
        <v>984</v>
      </c>
      <c r="C58" s="116" t="s">
        <v>1532</v>
      </c>
      <c r="D58" s="635">
        <v>3</v>
      </c>
      <c r="F58" s="51" t="s">
        <v>893</v>
      </c>
      <c r="G58" s="184" t="s">
        <v>877</v>
      </c>
      <c r="H58" s="297"/>
      <c r="J58" s="5" t="s">
        <v>1709</v>
      </c>
      <c r="P58" s="174" t="s">
        <v>1383</v>
      </c>
      <c r="R58" s="5" t="s">
        <v>1620</v>
      </c>
      <c r="S58"/>
    </row>
    <row r="59" spans="1:25" x14ac:dyDescent="0.2">
      <c r="A59" s="170" t="s">
        <v>983</v>
      </c>
      <c r="B59" s="635" t="s">
        <v>985</v>
      </c>
      <c r="C59" s="116" t="s">
        <v>1268</v>
      </c>
      <c r="D59" s="635">
        <v>4</v>
      </c>
      <c r="F59" s="51" t="s">
        <v>894</v>
      </c>
      <c r="G59" s="184" t="s">
        <v>878</v>
      </c>
      <c r="H59" s="297"/>
      <c r="J59" s="109" t="s">
        <v>1704</v>
      </c>
      <c r="K59" s="109"/>
      <c r="L59" s="109" t="s">
        <v>1012</v>
      </c>
      <c r="M59" s="109" t="s">
        <v>1013</v>
      </c>
      <c r="N59" s="109" t="s">
        <v>837</v>
      </c>
      <c r="O59" s="109" t="s">
        <v>838</v>
      </c>
      <c r="P59" s="109" t="s">
        <v>1594</v>
      </c>
      <c r="R59" s="829" t="s">
        <v>1621</v>
      </c>
      <c r="S59" s="830">
        <v>2500</v>
      </c>
    </row>
    <row r="60" spans="1:25" x14ac:dyDescent="0.2">
      <c r="F60" s="51" t="s">
        <v>895</v>
      </c>
      <c r="G60" s="184" t="s">
        <v>1973</v>
      </c>
      <c r="H60" s="297"/>
      <c r="J60" s="556" t="s">
        <v>1705</v>
      </c>
      <c r="K60" s="24">
        <v>1</v>
      </c>
      <c r="L60" s="1154">
        <v>8.0000000000000002E-3</v>
      </c>
      <c r="M60" s="1154">
        <v>6.0000000000000001E-3</v>
      </c>
      <c r="N60" s="1154">
        <v>6.0000000000000001E-3</v>
      </c>
      <c r="O60" s="1154">
        <v>6.0000000000000001E-3</v>
      </c>
      <c r="P60" s="1155">
        <v>3.4000000000000002E-2</v>
      </c>
      <c r="R60"/>
      <c r="S60"/>
    </row>
    <row r="61" spans="1:25" x14ac:dyDescent="0.2">
      <c r="A61" s="98" t="s">
        <v>1003</v>
      </c>
      <c r="C61" s="98" t="s">
        <v>1711</v>
      </c>
      <c r="D61" s="21"/>
      <c r="F61" s="51" t="s">
        <v>896</v>
      </c>
      <c r="G61" s="184" t="s">
        <v>1883</v>
      </c>
      <c r="H61" s="297"/>
      <c r="J61" s="556" t="s">
        <v>1706</v>
      </c>
      <c r="K61" s="24">
        <v>2</v>
      </c>
      <c r="L61" s="1154">
        <v>8.0000000000000002E-3</v>
      </c>
      <c r="M61" s="1154">
        <v>6.0000000000000001E-3</v>
      </c>
      <c r="N61" s="1154">
        <v>6.0000000000000001E-3</v>
      </c>
      <c r="O61" s="1154">
        <v>2.1000000000000001E-2</v>
      </c>
      <c r="P61" s="1155">
        <v>3.4000000000000002E-2</v>
      </c>
      <c r="R61" s="202" t="s">
        <v>1624</v>
      </c>
      <c r="S61"/>
    </row>
    <row r="62" spans="1:25" x14ac:dyDescent="0.2">
      <c r="A62" s="182" t="s">
        <v>1004</v>
      </c>
      <c r="B62" s="635">
        <v>1</v>
      </c>
      <c r="C62" s="112" t="s">
        <v>1568</v>
      </c>
      <c r="D62" s="635">
        <v>2</v>
      </c>
      <c r="O62" s="177"/>
      <c r="P62" s="2"/>
    </row>
    <row r="63" spans="1:25" x14ac:dyDescent="0.2">
      <c r="A63" s="182" t="s">
        <v>1005</v>
      </c>
      <c r="B63" s="635">
        <v>2</v>
      </c>
      <c r="C63" s="112" t="s">
        <v>1569</v>
      </c>
      <c r="D63" s="635">
        <v>3</v>
      </c>
      <c r="F63" s="920" t="s">
        <v>1578</v>
      </c>
      <c r="J63" s="5" t="s">
        <v>948</v>
      </c>
      <c r="N63" s="170" t="s">
        <v>848</v>
      </c>
      <c r="O63" s="201"/>
      <c r="P63" s="2"/>
    </row>
    <row r="64" spans="1:25" x14ac:dyDescent="0.2">
      <c r="B64" s="21"/>
      <c r="C64" s="112" t="s">
        <v>1007</v>
      </c>
      <c r="D64" s="635">
        <v>4</v>
      </c>
      <c r="F64" s="98" t="s">
        <v>1579</v>
      </c>
      <c r="J64" s="170" t="s">
        <v>849</v>
      </c>
      <c r="N64" s="170"/>
      <c r="P64" s="174" t="s">
        <v>851</v>
      </c>
    </row>
    <row r="65" spans="1:25" x14ac:dyDescent="0.2">
      <c r="A65" s="197" t="s">
        <v>996</v>
      </c>
      <c r="B65" s="635"/>
      <c r="C65" s="112" t="s">
        <v>894</v>
      </c>
      <c r="D65" s="635">
        <v>5</v>
      </c>
      <c r="F65" s="921" t="s">
        <v>1858</v>
      </c>
      <c r="G65" s="922" t="s">
        <v>1037</v>
      </c>
      <c r="H65" s="923" t="s">
        <v>1576</v>
      </c>
      <c r="L65" s="174" t="s">
        <v>852</v>
      </c>
      <c r="N65" s="599" t="s">
        <v>846</v>
      </c>
      <c r="O65" s="109" t="s">
        <v>844</v>
      </c>
      <c r="P65" s="109" t="s">
        <v>1876</v>
      </c>
      <c r="Y65" s="39"/>
    </row>
    <row r="66" spans="1:25" x14ac:dyDescent="0.2">
      <c r="A66" s="198" t="s">
        <v>19</v>
      </c>
      <c r="B66" s="837" t="s">
        <v>83</v>
      </c>
      <c r="C66" s="112" t="s">
        <v>1678</v>
      </c>
      <c r="D66" s="635">
        <v>6</v>
      </c>
      <c r="F66" s="243" t="s">
        <v>1577</v>
      </c>
      <c r="G66" s="924" t="s">
        <v>30</v>
      </c>
      <c r="H66" s="24">
        <v>25</v>
      </c>
      <c r="J66" s="599" t="s">
        <v>845</v>
      </c>
      <c r="K66" s="109" t="s">
        <v>844</v>
      </c>
      <c r="L66" s="109" t="s">
        <v>1876</v>
      </c>
      <c r="N66" s="23" t="s">
        <v>1007</v>
      </c>
      <c r="O66" s="37">
        <v>1</v>
      </c>
      <c r="P66" s="1145">
        <v>0.04</v>
      </c>
      <c r="Y66" s="39"/>
    </row>
    <row r="67" spans="1:25" x14ac:dyDescent="0.2">
      <c r="A67" s="198" t="s">
        <v>912</v>
      </c>
      <c r="B67" s="837" t="s">
        <v>30</v>
      </c>
      <c r="F67" s="243" t="s">
        <v>861</v>
      </c>
      <c r="G67" s="924" t="s">
        <v>880</v>
      </c>
      <c r="H67" s="24">
        <v>50</v>
      </c>
      <c r="J67" s="23" t="s">
        <v>841</v>
      </c>
      <c r="K67" s="37">
        <v>1</v>
      </c>
      <c r="L67" s="1145">
        <v>0.56200000000000006</v>
      </c>
      <c r="N67" s="23" t="s">
        <v>894</v>
      </c>
      <c r="O67" s="37">
        <v>2</v>
      </c>
      <c r="P67" s="1145">
        <v>5.2999999999999999E-2</v>
      </c>
    </row>
    <row r="68" spans="1:25" x14ac:dyDescent="0.2">
      <c r="A68" s="198" t="s">
        <v>913</v>
      </c>
      <c r="B68" s="837" t="s">
        <v>82</v>
      </c>
      <c r="C68" s="98" t="s">
        <v>2190</v>
      </c>
      <c r="D68" s="21"/>
      <c r="F68" s="243" t="s">
        <v>869</v>
      </c>
      <c r="G68" s="924" t="s">
        <v>886</v>
      </c>
      <c r="H68" s="24">
        <v>150</v>
      </c>
      <c r="J68" s="23" t="s">
        <v>842</v>
      </c>
      <c r="K68" s="37">
        <v>2</v>
      </c>
      <c r="L68" s="1145">
        <v>0.83099999999999996</v>
      </c>
      <c r="N68" s="23" t="s">
        <v>1678</v>
      </c>
      <c r="O68" s="37">
        <v>3</v>
      </c>
      <c r="P68" s="1145">
        <v>6.0000000000000001E-3</v>
      </c>
    </row>
    <row r="69" spans="1:25" x14ac:dyDescent="0.2">
      <c r="A69" s="198" t="s">
        <v>914</v>
      </c>
      <c r="B69" s="837" t="s">
        <v>903</v>
      </c>
      <c r="C69" s="1331" t="s">
        <v>2191</v>
      </c>
      <c r="D69" s="635">
        <v>90</v>
      </c>
      <c r="J69" s="23" t="s">
        <v>843</v>
      </c>
      <c r="K69" s="37">
        <v>3</v>
      </c>
      <c r="L69" s="1145">
        <v>2.1999999999999999E-2</v>
      </c>
      <c r="N69" s="601"/>
      <c r="O69" s="600"/>
      <c r="P69" s="602"/>
      <c r="Y69" s="8"/>
    </row>
    <row r="70" spans="1:25" x14ac:dyDescent="0.2">
      <c r="A70" s="198"/>
      <c r="B70" s="837"/>
      <c r="C70" s="1331" t="s">
        <v>2192</v>
      </c>
      <c r="D70" s="635">
        <v>100</v>
      </c>
      <c r="J70" s="604" t="s">
        <v>1013</v>
      </c>
      <c r="K70" s="605">
        <v>4</v>
      </c>
      <c r="L70" s="1157">
        <v>6.0000000000000001E-3</v>
      </c>
      <c r="M70" s="2"/>
      <c r="P70" s="174" t="s">
        <v>853</v>
      </c>
      <c r="Y70" s="8"/>
    </row>
    <row r="71" spans="1:25" x14ac:dyDescent="0.2">
      <c r="A71" s="98" t="s">
        <v>1070</v>
      </c>
      <c r="B71" s="21"/>
      <c r="M71" s="2"/>
      <c r="N71" s="1531" t="s">
        <v>847</v>
      </c>
      <c r="O71" s="1532"/>
      <c r="P71" s="1533"/>
      <c r="Y71" s="8"/>
    </row>
    <row r="72" spans="1:25" x14ac:dyDescent="0.2">
      <c r="A72" s="182" t="s">
        <v>1072</v>
      </c>
      <c r="B72" s="635">
        <v>1</v>
      </c>
      <c r="J72" s="2"/>
      <c r="K72" s="2"/>
      <c r="L72" s="2"/>
      <c r="M72" s="2"/>
      <c r="N72" s="1158" t="s">
        <v>850</v>
      </c>
      <c r="O72" s="1159">
        <v>1</v>
      </c>
      <c r="P72" s="1160">
        <v>0.13</v>
      </c>
      <c r="Y72" s="8"/>
    </row>
    <row r="73" spans="1:25" x14ac:dyDescent="0.2">
      <c r="A73" s="182" t="s">
        <v>1071</v>
      </c>
      <c r="B73" s="635">
        <v>2</v>
      </c>
      <c r="F73" s="1197" t="s">
        <v>1631</v>
      </c>
      <c r="G73" s="1198"/>
      <c r="H73" s="253"/>
      <c r="K73" s="2"/>
      <c r="L73" s="2"/>
      <c r="M73" s="2"/>
      <c r="N73" s="1161" t="s">
        <v>846</v>
      </c>
      <c r="O73" s="1162">
        <v>2</v>
      </c>
      <c r="P73" s="1163">
        <v>0.1</v>
      </c>
      <c r="Y73" s="830"/>
    </row>
    <row r="74" spans="1:25" x14ac:dyDescent="0.2">
      <c r="B74" s="21"/>
      <c r="F74" s="436" t="s">
        <v>1858</v>
      </c>
      <c r="G74" s="241" t="s">
        <v>1630</v>
      </c>
      <c r="H74" s="241" t="s">
        <v>1876</v>
      </c>
      <c r="O74" s="2"/>
      <c r="R74" s="60" t="s">
        <v>1593</v>
      </c>
      <c r="W74" s="43" t="s">
        <v>17</v>
      </c>
      <c r="Y74" s="8"/>
    </row>
    <row r="75" spans="1:25" x14ac:dyDescent="0.2">
      <c r="A75" s="98" t="s">
        <v>1788</v>
      </c>
      <c r="B75" s="834"/>
      <c r="F75" s="23" t="s">
        <v>1015</v>
      </c>
      <c r="G75" s="24" t="s">
        <v>2061</v>
      </c>
      <c r="H75" s="1174">
        <v>0.95</v>
      </c>
      <c r="L75" s="427"/>
      <c r="O75" s="2"/>
      <c r="R75" s="5" t="s">
        <v>1595</v>
      </c>
      <c r="W75" s="285" t="s">
        <v>1554</v>
      </c>
      <c r="Y75" s="8"/>
    </row>
    <row r="76" spans="1:25" x14ac:dyDescent="0.2">
      <c r="A76" s="170" t="s">
        <v>1785</v>
      </c>
      <c r="B76" s="324">
        <v>1</v>
      </c>
      <c r="F76" s="23" t="s">
        <v>1096</v>
      </c>
      <c r="G76" s="24" t="s">
        <v>2062</v>
      </c>
      <c r="H76" s="1174">
        <v>1.05</v>
      </c>
      <c r="L76" s="427"/>
      <c r="O76" s="2"/>
      <c r="R76" s="202" t="s">
        <v>1268</v>
      </c>
      <c r="S76" s="554">
        <v>1.2</v>
      </c>
      <c r="W76" s="9" t="s">
        <v>1597</v>
      </c>
      <c r="X76" s="9" t="s">
        <v>1876</v>
      </c>
      <c r="Y76" s="8"/>
    </row>
    <row r="77" spans="1:25" x14ac:dyDescent="0.2">
      <c r="A77" s="288" t="s">
        <v>1786</v>
      </c>
      <c r="B77" s="324">
        <v>2</v>
      </c>
      <c r="F77" s="23" t="s">
        <v>2142</v>
      </c>
      <c r="G77" s="24" t="s">
        <v>2141</v>
      </c>
      <c r="H77" s="1174">
        <v>0.8</v>
      </c>
      <c r="R77" s="170" t="s">
        <v>1594</v>
      </c>
      <c r="S77" s="554">
        <v>2</v>
      </c>
      <c r="W77" s="24">
        <v>60</v>
      </c>
      <c r="X77" s="14">
        <v>1.1499999999999999</v>
      </c>
      <c r="Y77" s="8"/>
    </row>
    <row r="78" spans="1:25" x14ac:dyDescent="0.2">
      <c r="A78" s="170" t="s">
        <v>1787</v>
      </c>
      <c r="B78" s="324">
        <v>3</v>
      </c>
      <c r="F78" s="23" t="s">
        <v>2143</v>
      </c>
      <c r="G78" s="24" t="s">
        <v>2141</v>
      </c>
      <c r="H78" s="1174">
        <v>0.65</v>
      </c>
      <c r="W78" s="24">
        <v>90</v>
      </c>
      <c r="X78" s="14">
        <v>1.2</v>
      </c>
      <c r="Y78" s="8"/>
    </row>
    <row r="79" spans="1:25" x14ac:dyDescent="0.2">
      <c r="A79" s="170" t="s">
        <v>1804</v>
      </c>
      <c r="B79" s="324">
        <v>4</v>
      </c>
      <c r="F79" s="23" t="s">
        <v>1226</v>
      </c>
      <c r="G79" s="24" t="s">
        <v>1632</v>
      </c>
      <c r="H79" s="14">
        <v>1.1000000000000001</v>
      </c>
      <c r="R79" s="5" t="s">
        <v>1596</v>
      </c>
      <c r="S79"/>
      <c r="T79"/>
      <c r="W79" s="24">
        <v>180</v>
      </c>
      <c r="X79" s="14">
        <v>1.3</v>
      </c>
      <c r="Y79" s="8"/>
    </row>
    <row r="80" spans="1:25" x14ac:dyDescent="0.2">
      <c r="B80" s="21"/>
      <c r="F80" s="23" t="s">
        <v>1231</v>
      </c>
      <c r="G80" s="24"/>
      <c r="H80" s="14">
        <v>1.06</v>
      </c>
      <c r="J80" s="5" t="s">
        <v>741</v>
      </c>
      <c r="P80" s="40"/>
      <c r="R80" s="285" t="s">
        <v>1600</v>
      </c>
      <c r="S80"/>
      <c r="T80"/>
      <c r="Y80" s="8"/>
    </row>
    <row r="81" spans="1:25" ht="13.5" thickBot="1" x14ac:dyDescent="0.25">
      <c r="A81" s="98" t="s">
        <v>1219</v>
      </c>
      <c r="B81" s="834"/>
      <c r="D81" s="2"/>
      <c r="F81" s="23" t="s">
        <v>1654</v>
      </c>
      <c r="G81" s="24"/>
      <c r="H81" s="14">
        <v>1.25</v>
      </c>
      <c r="J81" s="5"/>
      <c r="L81" s="206" t="s">
        <v>757</v>
      </c>
      <c r="P81" s="41"/>
      <c r="R81" s="428" t="s">
        <v>1598</v>
      </c>
      <c r="S81" s="429"/>
      <c r="T81" s="430" t="s">
        <v>1876</v>
      </c>
      <c r="Y81" s="8"/>
    </row>
    <row r="82" spans="1:25" x14ac:dyDescent="0.2">
      <c r="A82" s="170" t="s">
        <v>1221</v>
      </c>
      <c r="B82" s="324">
        <v>1</v>
      </c>
      <c r="D82" s="3"/>
      <c r="F82" s="23" t="s">
        <v>1655</v>
      </c>
      <c r="G82" s="24"/>
      <c r="H82" s="14">
        <v>0.25</v>
      </c>
      <c r="J82" s="844" t="s">
        <v>754</v>
      </c>
      <c r="K82" s="137"/>
      <c r="L82" s="845"/>
      <c r="N82" s="285"/>
      <c r="O82" s="206" t="s">
        <v>782</v>
      </c>
      <c r="P82" s="41"/>
      <c r="R82" s="431" t="s">
        <v>1599</v>
      </c>
      <c r="S82" s="432"/>
      <c r="T82" s="434">
        <v>1.05</v>
      </c>
      <c r="Y82" s="8"/>
    </row>
    <row r="83" spans="1:25" x14ac:dyDescent="0.2">
      <c r="A83" s="288" t="s">
        <v>1220</v>
      </c>
      <c r="B83" s="324">
        <v>2</v>
      </c>
      <c r="D83" s="114"/>
      <c r="F83" s="23" t="s">
        <v>1656</v>
      </c>
      <c r="G83" s="24"/>
      <c r="H83" s="14">
        <v>0.5</v>
      </c>
      <c r="J83" s="846" t="s">
        <v>755</v>
      </c>
      <c r="K83" s="847"/>
      <c r="L83" s="854" t="s">
        <v>19</v>
      </c>
      <c r="N83" s="241" t="s">
        <v>19</v>
      </c>
      <c r="O83" s="241" t="s">
        <v>1037</v>
      </c>
      <c r="P83" s="41"/>
      <c r="R83" s="45" t="s">
        <v>1883</v>
      </c>
      <c r="S83" s="433"/>
      <c r="T83" s="435">
        <v>1.1100000000000001</v>
      </c>
      <c r="Y83" s="8"/>
    </row>
    <row r="84" spans="1:25" x14ac:dyDescent="0.2">
      <c r="A84" s="170" t="s">
        <v>1884</v>
      </c>
      <c r="B84" s="324">
        <v>3</v>
      </c>
      <c r="D84" s="112"/>
      <c r="F84" s="23" t="s">
        <v>1564</v>
      </c>
      <c r="G84" s="24"/>
      <c r="H84" s="14">
        <v>0.3</v>
      </c>
      <c r="J84" s="848" t="s">
        <v>742</v>
      </c>
      <c r="K84" s="432"/>
      <c r="L84" s="852">
        <v>1</v>
      </c>
      <c r="N84" s="22">
        <v>1</v>
      </c>
      <c r="O84" s="22" t="s">
        <v>775</v>
      </c>
      <c r="Y84" s="8"/>
    </row>
    <row r="85" spans="1:25" x14ac:dyDescent="0.2">
      <c r="B85" s="21"/>
      <c r="D85" s="112"/>
      <c r="F85" s="23" t="s">
        <v>1565</v>
      </c>
      <c r="G85" s="24"/>
      <c r="H85" s="14">
        <v>1.25</v>
      </c>
      <c r="J85" s="848" t="s">
        <v>743</v>
      </c>
      <c r="K85" s="432"/>
      <c r="L85" s="852">
        <v>1</v>
      </c>
      <c r="N85" s="22">
        <v>2</v>
      </c>
      <c r="O85" s="22" t="s">
        <v>776</v>
      </c>
      <c r="R85" s="5" t="s">
        <v>1601</v>
      </c>
      <c r="S85"/>
      <c r="T85"/>
      <c r="U85"/>
      <c r="V85"/>
      <c r="X85" s="177"/>
      <c r="Y85" s="8"/>
    </row>
    <row r="86" spans="1:25" x14ac:dyDescent="0.2">
      <c r="A86" s="98" t="s">
        <v>1591</v>
      </c>
      <c r="B86" s="21"/>
      <c r="D86" s="112"/>
      <c r="F86" s="23" t="s">
        <v>1159</v>
      </c>
      <c r="G86" s="24" t="s">
        <v>1633</v>
      </c>
      <c r="H86" s="14">
        <v>0.5</v>
      </c>
      <c r="J86" s="848" t="s">
        <v>744</v>
      </c>
      <c r="K86" s="432"/>
      <c r="L86" s="852">
        <v>1</v>
      </c>
      <c r="N86" s="22">
        <v>3</v>
      </c>
      <c r="O86" s="22" t="s">
        <v>777</v>
      </c>
      <c r="R86" s="285" t="s">
        <v>1645</v>
      </c>
      <c r="S86"/>
      <c r="T86" s="1526" t="s">
        <v>1603</v>
      </c>
      <c r="U86" s="1527"/>
      <c r="V86" s="1527"/>
      <c r="W86" s="1527"/>
      <c r="X86" s="1528"/>
      <c r="Y86" s="8"/>
    </row>
    <row r="87" spans="1:25" x14ac:dyDescent="0.2">
      <c r="A87" s="424" t="s">
        <v>1590</v>
      </c>
      <c r="B87" s="176" t="s">
        <v>1883</v>
      </c>
      <c r="C87" s="2"/>
      <c r="D87" s="112"/>
      <c r="F87" s="23" t="s">
        <v>756</v>
      </c>
      <c r="G87" s="24" t="s">
        <v>2063</v>
      </c>
      <c r="H87" s="1174">
        <v>1.4</v>
      </c>
      <c r="J87" s="848" t="s">
        <v>745</v>
      </c>
      <c r="K87" s="432"/>
      <c r="L87" s="852">
        <v>1</v>
      </c>
      <c r="N87" s="843"/>
      <c r="O87" s="843"/>
      <c r="R87" s="436" t="s">
        <v>1602</v>
      </c>
      <c r="S87" s="437"/>
      <c r="T87" s="438" t="s">
        <v>1012</v>
      </c>
      <c r="U87" s="438" t="s">
        <v>1013</v>
      </c>
      <c r="V87" s="438" t="s">
        <v>837</v>
      </c>
      <c r="W87" s="438" t="s">
        <v>838</v>
      </c>
      <c r="X87" s="439" t="s">
        <v>1594</v>
      </c>
      <c r="Y87" s="8"/>
    </row>
    <row r="88" spans="1:25" x14ac:dyDescent="0.2">
      <c r="A88" s="202" t="s">
        <v>1558</v>
      </c>
      <c r="B88" s="838" t="s">
        <v>1131</v>
      </c>
      <c r="D88" s="112"/>
      <c r="G88" s="635"/>
      <c r="J88" s="848" t="s">
        <v>708</v>
      </c>
      <c r="K88" s="432"/>
      <c r="L88" s="852">
        <v>1</v>
      </c>
      <c r="R88" s="416" t="s">
        <v>1604</v>
      </c>
      <c r="S88" s="24">
        <v>1</v>
      </c>
      <c r="T88" s="440">
        <v>2.1999999999999999E-2</v>
      </c>
      <c r="U88" s="440">
        <v>1.0999999999999999E-2</v>
      </c>
      <c r="V88" s="440">
        <v>6.0000000000000001E-3</v>
      </c>
      <c r="W88" s="440">
        <v>1.9E-2</v>
      </c>
      <c r="X88" s="441">
        <v>2.8000000000000001E-2</v>
      </c>
      <c r="Y88" s="8"/>
    </row>
    <row r="89" spans="1:25" x14ac:dyDescent="0.2">
      <c r="A89" s="424" t="s">
        <v>1559</v>
      </c>
      <c r="B89" s="838" t="s">
        <v>1007</v>
      </c>
      <c r="D89" s="112"/>
      <c r="G89" s="635"/>
      <c r="J89" s="848" t="s">
        <v>752</v>
      </c>
      <c r="K89" s="432"/>
      <c r="L89" s="852">
        <v>2</v>
      </c>
      <c r="O89" s="765" t="s">
        <v>783</v>
      </c>
      <c r="R89" s="416" t="s">
        <v>1605</v>
      </c>
      <c r="S89" s="24">
        <v>2</v>
      </c>
      <c r="T89" s="440">
        <v>4.3999999999999997E-2</v>
      </c>
      <c r="U89" s="440">
        <v>4.3999999999999997E-2</v>
      </c>
      <c r="V89" s="440">
        <v>0.01</v>
      </c>
      <c r="W89" s="440">
        <v>2.9000000000000001E-2</v>
      </c>
      <c r="X89" s="441">
        <v>5.6000000000000001E-2</v>
      </c>
      <c r="Y89" s="8"/>
    </row>
    <row r="90" spans="1:25" x14ac:dyDescent="0.2">
      <c r="D90" s="2"/>
      <c r="G90" s="635"/>
      <c r="J90" s="848" t="s">
        <v>746</v>
      </c>
      <c r="K90" s="432"/>
      <c r="L90" s="852">
        <v>2</v>
      </c>
      <c r="N90" s="867" t="s">
        <v>785</v>
      </c>
      <c r="O90" s="241" t="s">
        <v>784</v>
      </c>
      <c r="R90" s="416" t="s">
        <v>1606</v>
      </c>
      <c r="S90" s="24">
        <v>3</v>
      </c>
      <c r="T90" s="440">
        <v>1.0999999999999999E-2</v>
      </c>
      <c r="U90" s="440">
        <v>2.7E-2</v>
      </c>
      <c r="V90" s="440">
        <v>0.01</v>
      </c>
      <c r="W90" s="440">
        <v>5.2999999999999999E-2</v>
      </c>
      <c r="X90" s="441">
        <v>5.6000000000000001E-2</v>
      </c>
      <c r="Y90" s="8"/>
    </row>
    <row r="91" spans="1:25" x14ac:dyDescent="0.2">
      <c r="A91" s="98" t="s">
        <v>1591</v>
      </c>
      <c r="D91" s="2"/>
      <c r="G91" s="635"/>
      <c r="J91" s="848" t="s">
        <v>747</v>
      </c>
      <c r="K91" s="432"/>
      <c r="L91" s="852">
        <v>2</v>
      </c>
      <c r="N91" s="868" t="s">
        <v>778</v>
      </c>
      <c r="O91" s="22">
        <v>2</v>
      </c>
      <c r="Y91" s="6"/>
    </row>
    <row r="92" spans="1:25" x14ac:dyDescent="0.2">
      <c r="A92" s="424" t="s">
        <v>1590</v>
      </c>
      <c r="B92" s="176" t="s">
        <v>1883</v>
      </c>
      <c r="D92" s="2"/>
      <c r="G92" s="635"/>
      <c r="J92" s="848" t="s">
        <v>751</v>
      </c>
      <c r="K92" s="432"/>
      <c r="L92" s="852">
        <v>2</v>
      </c>
      <c r="N92" s="868" t="s">
        <v>779</v>
      </c>
      <c r="O92" s="22">
        <v>3</v>
      </c>
      <c r="Y92" s="39"/>
    </row>
    <row r="93" spans="1:25" x14ac:dyDescent="0.2">
      <c r="A93" s="202" t="s">
        <v>1558</v>
      </c>
      <c r="B93" s="838" t="s">
        <v>1131</v>
      </c>
      <c r="D93" s="2"/>
      <c r="J93" s="848" t="s">
        <v>748</v>
      </c>
      <c r="K93" s="432"/>
      <c r="L93" s="852">
        <v>2</v>
      </c>
      <c r="N93" s="868" t="s">
        <v>776</v>
      </c>
      <c r="O93" s="22">
        <v>4</v>
      </c>
      <c r="R93" s="224" t="s">
        <v>1649</v>
      </c>
      <c r="S93"/>
      <c r="T93"/>
      <c r="U93"/>
      <c r="V93"/>
    </row>
    <row r="94" spans="1:25" ht="13.5" thickBot="1" x14ac:dyDescent="0.25">
      <c r="A94" s="424" t="s">
        <v>1559</v>
      </c>
      <c r="B94" s="838" t="s">
        <v>1007</v>
      </c>
      <c r="D94" s="2"/>
      <c r="J94" s="848" t="s">
        <v>753</v>
      </c>
      <c r="K94" s="432"/>
      <c r="L94" s="852">
        <v>3</v>
      </c>
      <c r="N94" s="868" t="s">
        <v>780</v>
      </c>
      <c r="O94" s="22">
        <v>5</v>
      </c>
      <c r="R94" s="197" t="s">
        <v>1779</v>
      </c>
      <c r="S94"/>
      <c r="T94"/>
      <c r="U94"/>
      <c r="V94"/>
    </row>
    <row r="95" spans="1:25" x14ac:dyDescent="0.2">
      <c r="A95" s="116"/>
      <c r="B95" s="200"/>
      <c r="D95" s="2"/>
      <c r="J95" s="848" t="s">
        <v>749</v>
      </c>
      <c r="K95" s="432"/>
      <c r="L95" s="852">
        <v>3</v>
      </c>
      <c r="N95" s="868" t="s">
        <v>781</v>
      </c>
      <c r="O95" s="22">
        <v>6</v>
      </c>
      <c r="R95" s="460" t="s">
        <v>1651</v>
      </c>
      <c r="S95" s="1551" t="s">
        <v>1652</v>
      </c>
      <c r="T95" s="1552"/>
      <c r="U95" s="1552"/>
      <c r="V95" s="1552"/>
      <c r="W95" s="1552"/>
      <c r="X95" s="1552"/>
      <c r="Y95" s="363" t="s">
        <v>1653</v>
      </c>
    </row>
    <row r="96" spans="1:25" x14ac:dyDescent="0.2">
      <c r="A96" s="98" t="s">
        <v>1236</v>
      </c>
      <c r="B96" s="834"/>
      <c r="D96" s="2"/>
      <c r="J96" s="848" t="s">
        <v>1183</v>
      </c>
      <c r="K96" s="432"/>
      <c r="L96" s="852">
        <v>3</v>
      </c>
      <c r="R96" s="461" t="s">
        <v>1650</v>
      </c>
      <c r="S96" s="468">
        <v>25</v>
      </c>
      <c r="T96" s="469">
        <v>50</v>
      </c>
      <c r="U96" s="469">
        <v>100</v>
      </c>
      <c r="V96" s="469">
        <v>200</v>
      </c>
      <c r="W96" s="469">
        <v>500</v>
      </c>
      <c r="X96" s="469">
        <v>1000</v>
      </c>
      <c r="Y96" s="469">
        <v>1001</v>
      </c>
    </row>
    <row r="97" spans="1:25" ht="13.5" thickBot="1" x14ac:dyDescent="0.25">
      <c r="A97" s="170" t="s">
        <v>837</v>
      </c>
      <c r="B97" s="324">
        <v>1</v>
      </c>
      <c r="D97" s="2"/>
      <c r="J97" s="849" t="s">
        <v>750</v>
      </c>
      <c r="K97" s="850"/>
      <c r="L97" s="853">
        <v>3</v>
      </c>
      <c r="R97" s="470">
        <v>1</v>
      </c>
      <c r="S97" s="458">
        <v>0.106</v>
      </c>
      <c r="T97" s="458">
        <v>0.11600000000000001</v>
      </c>
      <c r="U97" s="458">
        <v>0.126</v>
      </c>
      <c r="V97" s="458">
        <v>0.13800000000000001</v>
      </c>
      <c r="W97" s="458">
        <v>0.14799999999999999</v>
      </c>
      <c r="X97" s="458">
        <v>0.158</v>
      </c>
      <c r="Y97" s="464">
        <v>0.01</v>
      </c>
    </row>
    <row r="98" spans="1:25" x14ac:dyDescent="0.2">
      <c r="A98" s="170" t="s">
        <v>1237</v>
      </c>
      <c r="B98" s="324">
        <v>2</v>
      </c>
      <c r="D98" s="2"/>
      <c r="J98" s="707"/>
      <c r="K98" s="707"/>
      <c r="L98" s="40"/>
      <c r="R98" s="471">
        <v>501</v>
      </c>
      <c r="S98" s="462">
        <v>8.5000000000000006E-2</v>
      </c>
      <c r="T98" s="462">
        <v>9.5000000000000001E-2</v>
      </c>
      <c r="U98" s="462">
        <v>0.106</v>
      </c>
      <c r="V98" s="462">
        <v>0.11600000000000001</v>
      </c>
      <c r="W98" s="462">
        <v>0.126</v>
      </c>
      <c r="X98" s="462">
        <v>0.13800000000000001</v>
      </c>
      <c r="Y98" s="465">
        <v>0.01</v>
      </c>
    </row>
    <row r="99" spans="1:25" x14ac:dyDescent="0.2">
      <c r="A99" s="170" t="s">
        <v>1238</v>
      </c>
      <c r="B99" s="324">
        <v>3</v>
      </c>
      <c r="D99" s="2"/>
      <c r="J99" s="707"/>
      <c r="K99" s="707"/>
      <c r="L99" s="40"/>
      <c r="R99" s="470">
        <v>1001</v>
      </c>
      <c r="S99" s="459">
        <v>2.5999999999999999E-2</v>
      </c>
      <c r="T99" s="459">
        <v>3.2000000000000001E-2</v>
      </c>
      <c r="U99" s="459">
        <v>3.6999999999999998E-2</v>
      </c>
      <c r="V99" s="459">
        <v>4.2000000000000003E-2</v>
      </c>
      <c r="W99" s="459">
        <v>4.7E-2</v>
      </c>
      <c r="X99" s="459">
        <v>5.2999999999999999E-2</v>
      </c>
      <c r="Y99" s="466">
        <v>6.0000000000000001E-3</v>
      </c>
    </row>
    <row r="100" spans="1:25" x14ac:dyDescent="0.2">
      <c r="D100" s="2"/>
      <c r="J100" s="865" t="s">
        <v>774</v>
      </c>
      <c r="K100" s="707"/>
      <c r="L100" s="40"/>
      <c r="R100" s="471">
        <v>5001</v>
      </c>
      <c r="S100" s="462">
        <v>0.01</v>
      </c>
      <c r="T100" s="462">
        <v>1.2E-2</v>
      </c>
      <c r="U100" s="462">
        <v>1.4999999999999999E-2</v>
      </c>
      <c r="V100" s="462">
        <v>1.7000000000000001E-2</v>
      </c>
      <c r="W100" s="462">
        <v>1.9E-2</v>
      </c>
      <c r="X100" s="462">
        <v>2.1000000000000001E-2</v>
      </c>
      <c r="Y100" s="465">
        <v>2E-3</v>
      </c>
    </row>
    <row r="101" spans="1:25" ht="13.5" thickBot="1" x14ac:dyDescent="0.25">
      <c r="A101" s="98" t="s">
        <v>1506</v>
      </c>
      <c r="B101" s="21"/>
      <c r="D101" s="2"/>
      <c r="J101" s="869" t="s">
        <v>786</v>
      </c>
      <c r="R101" s="472">
        <v>15001</v>
      </c>
      <c r="S101" s="463">
        <v>6.0000000000000001E-3</v>
      </c>
      <c r="T101" s="463">
        <v>7.0000000000000001E-3</v>
      </c>
      <c r="U101" s="463">
        <v>8.0000000000000002E-3</v>
      </c>
      <c r="V101" s="463">
        <v>8.0000000000000002E-3</v>
      </c>
      <c r="W101" s="463">
        <v>8.9999999999999993E-3</v>
      </c>
      <c r="X101" s="463">
        <v>0.01</v>
      </c>
      <c r="Y101" s="467">
        <v>1E-3</v>
      </c>
    </row>
    <row r="102" spans="1:25" x14ac:dyDescent="0.2">
      <c r="A102" s="116" t="s">
        <v>1525</v>
      </c>
      <c r="B102" s="324">
        <v>1</v>
      </c>
      <c r="D102" s="2"/>
      <c r="J102" s="861"/>
      <c r="K102" s="1547" t="s">
        <v>766</v>
      </c>
      <c r="L102" s="1548"/>
      <c r="M102" s="363" t="s">
        <v>768</v>
      </c>
      <c r="N102" s="1547" t="s">
        <v>771</v>
      </c>
      <c r="O102" s="1548"/>
      <c r="U102"/>
    </row>
    <row r="103" spans="1:25" x14ac:dyDescent="0.2">
      <c r="A103" s="116" t="s">
        <v>1526</v>
      </c>
      <c r="B103" s="324">
        <v>2</v>
      </c>
      <c r="D103" s="2"/>
      <c r="J103" s="866" t="s">
        <v>773</v>
      </c>
      <c r="K103" s="1549" t="s">
        <v>767</v>
      </c>
      <c r="L103" s="1550"/>
      <c r="M103" s="857" t="s">
        <v>769</v>
      </c>
      <c r="N103" s="1549" t="s">
        <v>770</v>
      </c>
      <c r="O103" s="1550"/>
      <c r="U103"/>
    </row>
    <row r="104" spans="1:25" x14ac:dyDescent="0.2">
      <c r="A104" s="116" t="s">
        <v>1527</v>
      </c>
      <c r="B104" s="324">
        <v>3</v>
      </c>
      <c r="D104" s="2"/>
      <c r="J104" s="862"/>
      <c r="K104" s="1545" t="s">
        <v>772</v>
      </c>
      <c r="L104" s="1546"/>
      <c r="M104" s="860"/>
      <c r="N104" s="1545" t="s">
        <v>772</v>
      </c>
      <c r="O104" s="1546"/>
      <c r="R104" s="5" t="s">
        <v>1124</v>
      </c>
      <c r="S104"/>
      <c r="T104"/>
      <c r="U104"/>
      <c r="V104"/>
    </row>
    <row r="105" spans="1:25" x14ac:dyDescent="0.2">
      <c r="A105" s="116" t="s">
        <v>1528</v>
      </c>
      <c r="B105" s="112">
        <v>4</v>
      </c>
      <c r="D105" s="2"/>
      <c r="J105" s="851"/>
      <c r="K105" s="858" t="s">
        <v>765</v>
      </c>
      <c r="L105" s="859" t="s">
        <v>1762</v>
      </c>
      <c r="M105" s="854"/>
      <c r="N105" s="858" t="s">
        <v>765</v>
      </c>
      <c r="O105" s="859" t="s">
        <v>1762</v>
      </c>
      <c r="R105" s="197" t="s">
        <v>1132</v>
      </c>
      <c r="S105"/>
      <c r="T105"/>
      <c r="U105" s="197" t="s">
        <v>1168</v>
      </c>
      <c r="V105"/>
    </row>
    <row r="106" spans="1:25" x14ac:dyDescent="0.2">
      <c r="A106" s="381" t="s">
        <v>1529</v>
      </c>
      <c r="B106" s="384">
        <v>5</v>
      </c>
      <c r="D106" s="2"/>
      <c r="J106" s="863">
        <v>1</v>
      </c>
      <c r="K106" s="1164">
        <v>0.65900000000000003</v>
      </c>
      <c r="L106" s="1165">
        <v>0.92300000000000004</v>
      </c>
      <c r="M106" s="1166">
        <v>0.39600000000000002</v>
      </c>
      <c r="N106" s="1164">
        <v>0.92300000000000004</v>
      </c>
      <c r="O106" s="1165">
        <v>1.1870000000000001</v>
      </c>
      <c r="R106" s="9" t="s">
        <v>1125</v>
      </c>
      <c r="S106" s="9" t="s">
        <v>1876</v>
      </c>
      <c r="T106"/>
      <c r="U106" s="24">
        <v>1</v>
      </c>
      <c r="V106" s="252" t="s">
        <v>1120</v>
      </c>
      <c r="W106" s="253"/>
    </row>
    <row r="107" spans="1:25" x14ac:dyDescent="0.2">
      <c r="A107" s="381" t="s">
        <v>1530</v>
      </c>
      <c r="B107" s="384">
        <v>6</v>
      </c>
      <c r="D107" s="2"/>
      <c r="J107" s="863">
        <v>2</v>
      </c>
      <c r="K107" s="1167">
        <v>0.79100000000000004</v>
      </c>
      <c r="L107" s="1165">
        <v>1.0549999999999999</v>
      </c>
      <c r="M107" s="1166">
        <v>0.42199999999999999</v>
      </c>
      <c r="N107" s="1164">
        <v>1.0549999999999999</v>
      </c>
      <c r="O107" s="1165">
        <v>1.319</v>
      </c>
      <c r="R107" s="24">
        <v>80</v>
      </c>
      <c r="S107" s="14">
        <v>1</v>
      </c>
      <c r="T107"/>
      <c r="U107" s="24">
        <v>2</v>
      </c>
      <c r="V107" s="252" t="s">
        <v>1129</v>
      </c>
      <c r="W107" s="253"/>
    </row>
    <row r="108" spans="1:25" ht="13.5" thickBot="1" x14ac:dyDescent="0.25">
      <c r="B108" s="21"/>
      <c r="D108" s="2"/>
      <c r="J108" s="864">
        <v>3</v>
      </c>
      <c r="K108" s="1168">
        <v>0.92300000000000004</v>
      </c>
      <c r="L108" s="1169">
        <v>1.3720000000000001</v>
      </c>
      <c r="M108" s="1170">
        <v>0.47499999999999998</v>
      </c>
      <c r="N108" s="1171">
        <v>1.2130000000000001</v>
      </c>
      <c r="O108" s="1169">
        <v>1.6619999999999999</v>
      </c>
      <c r="R108" s="24">
        <v>90</v>
      </c>
      <c r="S108" s="14">
        <v>0.95</v>
      </c>
      <c r="T108"/>
      <c r="U108" s="24">
        <v>3</v>
      </c>
      <c r="V108" s="252" t="s">
        <v>1130</v>
      </c>
      <c r="W108" s="253"/>
    </row>
    <row r="109" spans="1:25" x14ac:dyDescent="0.2">
      <c r="A109" s="98" t="s">
        <v>758</v>
      </c>
      <c r="B109" s="21"/>
      <c r="D109" s="2"/>
      <c r="J109" s="1172" t="s">
        <v>1623</v>
      </c>
      <c r="K109" s="202"/>
      <c r="R109" s="24">
        <v>100</v>
      </c>
      <c r="S109" s="14">
        <v>0.9</v>
      </c>
      <c r="T109"/>
      <c r="U109" s="251">
        <v>4</v>
      </c>
      <c r="V109" s="249" t="s">
        <v>1171</v>
      </c>
      <c r="W109" s="250"/>
    </row>
    <row r="110" spans="1:25" x14ac:dyDescent="0.2">
      <c r="A110" s="381" t="s">
        <v>1617</v>
      </c>
      <c r="B110" s="384">
        <v>1</v>
      </c>
      <c r="D110" s="2"/>
      <c r="K110" s="202"/>
      <c r="R110"/>
      <c r="S110"/>
      <c r="T110"/>
      <c r="U110"/>
      <c r="V110"/>
    </row>
    <row r="111" spans="1:25" x14ac:dyDescent="0.2">
      <c r="A111" s="381" t="s">
        <v>1618</v>
      </c>
      <c r="B111" s="384">
        <v>2</v>
      </c>
      <c r="D111" s="2"/>
      <c r="R111"/>
      <c r="S111"/>
      <c r="T111"/>
      <c r="U111"/>
      <c r="V111"/>
    </row>
    <row r="112" spans="1:25" x14ac:dyDescent="0.2">
      <c r="A112" s="381" t="s">
        <v>1619</v>
      </c>
      <c r="B112" s="384">
        <v>3</v>
      </c>
      <c r="D112" s="2"/>
      <c r="R112" s="246" t="s">
        <v>1126</v>
      </c>
      <c r="S112"/>
      <c r="T112"/>
      <c r="U112"/>
      <c r="V112"/>
    </row>
    <row r="113" spans="1:24" x14ac:dyDescent="0.2">
      <c r="B113" s="21"/>
      <c r="D113" s="2"/>
      <c r="R113" s="197" t="s">
        <v>1169</v>
      </c>
      <c r="S113"/>
      <c r="T113"/>
      <c r="U113"/>
      <c r="V113"/>
    </row>
    <row r="114" spans="1:24" x14ac:dyDescent="0.2">
      <c r="A114" s="285" t="s">
        <v>664</v>
      </c>
      <c r="B114" s="21"/>
      <c r="D114" s="2"/>
      <c r="R114" s="5" t="s">
        <v>1127</v>
      </c>
      <c r="S114"/>
      <c r="T114"/>
      <c r="U114" s="2"/>
      <c r="V114" s="2"/>
    </row>
    <row r="115" spans="1:24" x14ac:dyDescent="0.2">
      <c r="A115" s="170" t="s">
        <v>665</v>
      </c>
      <c r="B115" s="324">
        <v>1</v>
      </c>
      <c r="D115" s="2"/>
      <c r="R115" s="9" t="s">
        <v>901</v>
      </c>
      <c r="S115" s="9" t="s">
        <v>1037</v>
      </c>
      <c r="T115" s="254" t="s">
        <v>1858</v>
      </c>
      <c r="U115" s="9" t="s">
        <v>1131</v>
      </c>
      <c r="V115" s="9" t="s">
        <v>1128</v>
      </c>
    </row>
    <row r="116" spans="1:24" x14ac:dyDescent="0.2">
      <c r="A116" s="170" t="s">
        <v>666</v>
      </c>
      <c r="B116" s="324">
        <v>2</v>
      </c>
      <c r="D116" s="2"/>
      <c r="R116" s="24">
        <v>1</v>
      </c>
      <c r="S116" s="255" t="s">
        <v>1116</v>
      </c>
      <c r="T116" s="23" t="s">
        <v>1120</v>
      </c>
      <c r="U116" s="256">
        <v>0.32700000000000001</v>
      </c>
      <c r="V116" s="257">
        <v>0.16300000000000001</v>
      </c>
    </row>
    <row r="117" spans="1:24" x14ac:dyDescent="0.2">
      <c r="A117" s="170" t="s">
        <v>667</v>
      </c>
      <c r="B117" s="324">
        <v>3</v>
      </c>
      <c r="D117" s="2"/>
      <c r="R117" s="24">
        <v>2</v>
      </c>
      <c r="S117" s="255" t="s">
        <v>1117</v>
      </c>
      <c r="T117" s="23" t="s">
        <v>1121</v>
      </c>
      <c r="U117" s="256">
        <v>0.36</v>
      </c>
      <c r="V117" s="257">
        <v>0.17799999999999999</v>
      </c>
    </row>
    <row r="118" spans="1:24" x14ac:dyDescent="0.2">
      <c r="R118" s="24">
        <v>3</v>
      </c>
      <c r="S118" s="255" t="s">
        <v>1118</v>
      </c>
      <c r="T118" s="23" t="s">
        <v>1122</v>
      </c>
      <c r="U118" s="256">
        <v>0.76300000000000001</v>
      </c>
      <c r="V118" s="257">
        <v>0.379</v>
      </c>
    </row>
    <row r="119" spans="1:24" x14ac:dyDescent="0.2">
      <c r="A119" s="285" t="s">
        <v>2106</v>
      </c>
      <c r="R119" s="24">
        <v>4</v>
      </c>
      <c r="S119" s="255" t="s">
        <v>1119</v>
      </c>
      <c r="T119" s="23" t="s">
        <v>1123</v>
      </c>
      <c r="U119" s="256">
        <v>0.79600000000000004</v>
      </c>
      <c r="V119" s="257">
        <v>0.39400000000000002</v>
      </c>
    </row>
    <row r="120" spans="1:24" x14ac:dyDescent="0.2">
      <c r="A120" s="1202" t="s">
        <v>2111</v>
      </c>
      <c r="R120"/>
      <c r="S120"/>
      <c r="T120"/>
      <c r="U120"/>
      <c r="V120"/>
    </row>
    <row r="121" spans="1:24" x14ac:dyDescent="0.2">
      <c r="A121" s="1202" t="s">
        <v>2107</v>
      </c>
      <c r="R121" s="5" t="s">
        <v>1463</v>
      </c>
      <c r="S121"/>
      <c r="T121"/>
      <c r="U121"/>
      <c r="V121" s="224" t="s">
        <v>1465</v>
      </c>
      <c r="W121" s="2"/>
      <c r="X121" s="8"/>
    </row>
    <row r="122" spans="1:24" x14ac:dyDescent="0.2">
      <c r="A122" s="1202" t="s">
        <v>2108</v>
      </c>
      <c r="R122" s="197" t="s">
        <v>1464</v>
      </c>
      <c r="S122"/>
      <c r="T122"/>
      <c r="U122"/>
      <c r="V122" s="553" t="s">
        <v>1032</v>
      </c>
      <c r="W122" s="174"/>
      <c r="X122" s="1142" t="s">
        <v>2060</v>
      </c>
    </row>
    <row r="123" spans="1:24" x14ac:dyDescent="0.2">
      <c r="A123" s="1202" t="s">
        <v>2109</v>
      </c>
      <c r="D123" s="2"/>
      <c r="R123" s="9" t="s">
        <v>1125</v>
      </c>
      <c r="S123" s="9" t="s">
        <v>1876</v>
      </c>
      <c r="T123"/>
      <c r="U123"/>
      <c r="V123" s="109" t="s">
        <v>1001</v>
      </c>
      <c r="W123" s="109" t="s">
        <v>1269</v>
      </c>
      <c r="X123" s="109" t="s">
        <v>1111</v>
      </c>
    </row>
    <row r="124" spans="1:24" x14ac:dyDescent="0.2">
      <c r="A124" s="1202" t="s">
        <v>2110</v>
      </c>
      <c r="D124" s="2"/>
      <c r="R124" s="24">
        <v>80</v>
      </c>
      <c r="S124" s="14">
        <v>1</v>
      </c>
      <c r="T124"/>
      <c r="U124"/>
      <c r="V124" s="44" t="s">
        <v>1014</v>
      </c>
      <c r="W124" s="1045">
        <v>3.7999999999999999E-2</v>
      </c>
      <c r="X124" s="1045">
        <v>0.05</v>
      </c>
    </row>
    <row r="125" spans="1:24" x14ac:dyDescent="0.2">
      <c r="D125" s="2"/>
      <c r="R125" s="24">
        <v>90</v>
      </c>
      <c r="S125" s="14">
        <v>0.95</v>
      </c>
      <c r="T125"/>
      <c r="U125"/>
      <c r="V125" s="44" t="s">
        <v>18</v>
      </c>
      <c r="W125" s="1045">
        <v>4.2000000000000003E-2</v>
      </c>
      <c r="X125" s="1045">
        <v>5.6000000000000001E-2</v>
      </c>
    </row>
    <row r="126" spans="1:24" x14ac:dyDescent="0.2">
      <c r="A126" s="285" t="s">
        <v>2260</v>
      </c>
      <c r="R126" s="24">
        <v>100</v>
      </c>
      <c r="S126" s="14">
        <v>0.9</v>
      </c>
      <c r="T126"/>
      <c r="U126"/>
      <c r="V126" s="44" t="s">
        <v>1002</v>
      </c>
      <c r="W126" s="1045">
        <v>5.5E-2</v>
      </c>
      <c r="X126" s="1045">
        <v>6.6000000000000003E-2</v>
      </c>
    </row>
    <row r="127" spans="1:24" x14ac:dyDescent="0.2">
      <c r="A127" s="1202" t="s">
        <v>2261</v>
      </c>
      <c r="R127"/>
      <c r="S127"/>
      <c r="T127"/>
      <c r="U127"/>
      <c r="V127" s="44" t="s">
        <v>28</v>
      </c>
      <c r="W127" s="1045">
        <v>6.7000000000000004E-2</v>
      </c>
      <c r="X127" s="1045">
        <v>7.6999999999999999E-2</v>
      </c>
    </row>
    <row r="128" spans="1:24" x14ac:dyDescent="0.2">
      <c r="A128" s="1202" t="s">
        <v>2262</v>
      </c>
      <c r="V128" s="1141" t="s">
        <v>2314</v>
      </c>
    </row>
    <row r="129" spans="1:4" x14ac:dyDescent="0.2">
      <c r="A129" s="1202" t="s">
        <v>2263</v>
      </c>
    </row>
    <row r="130" spans="1:4" x14ac:dyDescent="0.2">
      <c r="A130" s="1202" t="s">
        <v>2264</v>
      </c>
    </row>
    <row r="131" spans="1:4" x14ac:dyDescent="0.2">
      <c r="A131" s="1202" t="s">
        <v>2265</v>
      </c>
    </row>
    <row r="132" spans="1:4" x14ac:dyDescent="0.2">
      <c r="D132" s="2"/>
    </row>
    <row r="133" spans="1:4" x14ac:dyDescent="0.2">
      <c r="D133" s="2"/>
    </row>
    <row r="134" spans="1:4" x14ac:dyDescent="0.2">
      <c r="D134" s="113"/>
    </row>
    <row r="135" spans="1:4" x14ac:dyDescent="0.2">
      <c r="D135" s="115"/>
    </row>
    <row r="136" spans="1:4" x14ac:dyDescent="0.2">
      <c r="D136" s="112"/>
    </row>
    <row r="137" spans="1:4" x14ac:dyDescent="0.2">
      <c r="D137" s="112"/>
    </row>
    <row r="138" spans="1:4" x14ac:dyDescent="0.2">
      <c r="D138" s="112"/>
    </row>
    <row r="139" spans="1:4" x14ac:dyDescent="0.2">
      <c r="D139" s="112"/>
    </row>
    <row r="140" spans="1:4" x14ac:dyDescent="0.2">
      <c r="D140" s="112"/>
    </row>
    <row r="141" spans="1:4" x14ac:dyDescent="0.2">
      <c r="D141" s="112"/>
    </row>
    <row r="142" spans="1:4" x14ac:dyDescent="0.2">
      <c r="D142" s="112"/>
    </row>
  </sheetData>
  <mergeCells count="19">
    <mergeCell ref="AC25:AD25"/>
    <mergeCell ref="AG26:AH26"/>
    <mergeCell ref="AG25:AH25"/>
    <mergeCell ref="K104:L104"/>
    <mergeCell ref="N104:O104"/>
    <mergeCell ref="K102:L102"/>
    <mergeCell ref="K103:L103"/>
    <mergeCell ref="N102:O102"/>
    <mergeCell ref="N103:O103"/>
    <mergeCell ref="S95:X95"/>
    <mergeCell ref="AC33:AD33"/>
    <mergeCell ref="AC34:AD34"/>
    <mergeCell ref="C1:D1"/>
    <mergeCell ref="T86:X86"/>
    <mergeCell ref="N23:O23"/>
    <mergeCell ref="N71:P71"/>
    <mergeCell ref="K38:M38"/>
    <mergeCell ref="X22:Z22"/>
    <mergeCell ref="X46:Y46"/>
  </mergeCells>
  <phoneticPr fontId="2" type="noConversion"/>
  <pageMargins left="0.5" right="0.5" top="0.5" bottom="0.5" header="0.25" footer="0.25"/>
  <pageSetup scale="77" orientation="portrait" r:id="rId1"/>
  <headerFooter alignWithMargins="0">
    <oddHeader>&amp;C&amp;9&amp;F</oddHeader>
    <oddFooter>&amp;L&amp;"Arial,Bold"&amp;8Printed: &amp;"Arial,Regular"&amp;D, &amp;T&amp;C&amp;8&amp;A&amp;R&amp;8&amp;P / &amp;N</oddFooter>
  </headerFooter>
  <rowBreaks count="1" manualBreakCount="1">
    <brk id="73" max="16383" man="1"/>
  </rowBreaks>
  <colBreaks count="3" manualBreakCount="3">
    <brk id="17" max="1048575" man="1"/>
    <brk id="27" max="1048575" man="1"/>
    <brk id="37" max="7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48"/>
  <sheetViews>
    <sheetView zoomScaleNormal="100" workbookViewId="0">
      <selection activeCell="I31" sqref="I31"/>
    </sheetView>
  </sheetViews>
  <sheetFormatPr defaultRowHeight="12.75" x14ac:dyDescent="0.2"/>
  <cols>
    <col min="1" max="1" width="13.140625" style="229" customWidth="1"/>
    <col min="2" max="2" width="12.7109375" style="229" customWidth="1"/>
    <col min="3" max="3" width="10.85546875" style="229" customWidth="1"/>
    <col min="4" max="4" width="6.28515625" style="229" customWidth="1"/>
    <col min="5" max="5" width="11.28515625" style="229" customWidth="1"/>
    <col min="6" max="13" width="8.42578125" style="229" customWidth="1"/>
    <col min="14" max="14" width="9.140625" style="229"/>
    <col min="15" max="15" width="11.140625" style="229" customWidth="1"/>
    <col min="16" max="16384" width="9.140625" style="229"/>
  </cols>
  <sheetData>
    <row r="1" spans="1:18" ht="13.5" thickBot="1" x14ac:dyDescent="0.25">
      <c r="A1" s="53" t="s">
        <v>1877</v>
      </c>
      <c r="B1" s="2"/>
      <c r="E1" s="43" t="s">
        <v>1263</v>
      </c>
      <c r="M1" s="237" t="s">
        <v>1262</v>
      </c>
      <c r="O1" s="43" t="s">
        <v>1490</v>
      </c>
    </row>
    <row r="2" spans="1:18" ht="12.75" customHeight="1" thickBot="1" x14ac:dyDescent="0.25">
      <c r="A2" s="98"/>
      <c r="B2" s="177"/>
      <c r="E2" s="304" t="s">
        <v>1261</v>
      </c>
      <c r="F2" s="1553" t="s">
        <v>1097</v>
      </c>
      <c r="G2" s="1553"/>
      <c r="H2" s="1553"/>
      <c r="I2" s="1553"/>
      <c r="J2" s="1553"/>
      <c r="K2" s="1553"/>
      <c r="L2" s="1553"/>
      <c r="M2" s="1554"/>
      <c r="R2" s="237" t="s">
        <v>1494</v>
      </c>
    </row>
    <row r="3" spans="1:18" ht="13.5" thickBot="1" x14ac:dyDescent="0.25">
      <c r="A3" s="97" t="s">
        <v>1010</v>
      </c>
      <c r="B3" s="234" t="s">
        <v>1876</v>
      </c>
      <c r="E3" s="305" t="s">
        <v>1260</v>
      </c>
      <c r="F3" s="306">
        <v>500</v>
      </c>
      <c r="G3" s="306">
        <v>1000</v>
      </c>
      <c r="H3" s="306">
        <v>3000</v>
      </c>
      <c r="I3" s="306">
        <v>5000</v>
      </c>
      <c r="J3" s="306">
        <v>10000</v>
      </c>
      <c r="K3" s="306">
        <v>25000</v>
      </c>
      <c r="L3" s="306">
        <v>50000</v>
      </c>
      <c r="M3" s="307">
        <v>75000</v>
      </c>
      <c r="O3" s="363" t="s">
        <v>1493</v>
      </c>
      <c r="P3" s="1552" t="s">
        <v>1491</v>
      </c>
      <c r="Q3" s="1552"/>
      <c r="R3" s="1548"/>
    </row>
    <row r="4" spans="1:18" ht="13.5" thickBot="1" x14ac:dyDescent="0.25">
      <c r="A4" s="110">
        <v>2500</v>
      </c>
      <c r="B4" s="232">
        <v>0.97</v>
      </c>
      <c r="E4" s="309">
        <v>1</v>
      </c>
      <c r="F4" s="303">
        <v>1</v>
      </c>
      <c r="G4" s="312">
        <v>0.88</v>
      </c>
      <c r="H4" s="312">
        <v>0.87</v>
      </c>
      <c r="I4" s="312">
        <v>0.8</v>
      </c>
      <c r="J4" s="313">
        <v>0.79</v>
      </c>
      <c r="K4" s="313">
        <v>0.75</v>
      </c>
      <c r="L4" s="313">
        <v>0.73</v>
      </c>
      <c r="M4" s="314">
        <v>0.72</v>
      </c>
      <c r="O4" s="370" t="s">
        <v>1260</v>
      </c>
      <c r="P4" s="371">
        <v>0.01</v>
      </c>
      <c r="Q4" s="371">
        <v>0.02</v>
      </c>
      <c r="R4" s="372">
        <v>0.05</v>
      </c>
    </row>
    <row r="5" spans="1:18" ht="12.75" customHeight="1" x14ac:dyDescent="0.2">
      <c r="A5" s="110">
        <v>5000</v>
      </c>
      <c r="B5" s="232">
        <v>0.95</v>
      </c>
      <c r="E5" s="309">
        <v>16.7</v>
      </c>
      <c r="F5" s="231">
        <v>1</v>
      </c>
      <c r="G5" s="230">
        <v>0.88</v>
      </c>
      <c r="H5" s="313">
        <v>0.87</v>
      </c>
      <c r="I5" s="313">
        <v>0.8</v>
      </c>
      <c r="J5" s="313">
        <v>0.79</v>
      </c>
      <c r="K5" s="313">
        <v>0.75</v>
      </c>
      <c r="L5" s="313">
        <v>0.73</v>
      </c>
      <c r="M5" s="314">
        <v>0.72</v>
      </c>
      <c r="O5" s="366">
        <v>20</v>
      </c>
      <c r="P5" s="367">
        <v>0.93</v>
      </c>
      <c r="Q5" s="368">
        <v>0.87</v>
      </c>
      <c r="R5" s="369">
        <v>0.72</v>
      </c>
    </row>
    <row r="6" spans="1:18" ht="12.75" customHeight="1" x14ac:dyDescent="0.2">
      <c r="A6" s="110">
        <v>10000</v>
      </c>
      <c r="B6" s="232">
        <v>0.9</v>
      </c>
      <c r="E6" s="310">
        <v>25.001999999999999</v>
      </c>
      <c r="F6" s="231">
        <v>1</v>
      </c>
      <c r="G6" s="230">
        <v>0.93</v>
      </c>
      <c r="H6" s="230">
        <v>0.87</v>
      </c>
      <c r="I6" s="313">
        <v>0.8</v>
      </c>
      <c r="J6" s="313">
        <v>0.79</v>
      </c>
      <c r="K6" s="313">
        <v>0.75</v>
      </c>
      <c r="L6" s="313">
        <v>0.73</v>
      </c>
      <c r="M6" s="314">
        <v>0.72</v>
      </c>
      <c r="O6" s="364">
        <v>50</v>
      </c>
      <c r="P6" s="361">
        <v>0.93</v>
      </c>
      <c r="Q6" s="357">
        <v>0.87</v>
      </c>
      <c r="R6" s="358">
        <v>0.72</v>
      </c>
    </row>
    <row r="7" spans="1:18" x14ac:dyDescent="0.2">
      <c r="A7" s="110">
        <v>25000</v>
      </c>
      <c r="B7" s="232">
        <v>0.75</v>
      </c>
      <c r="E7" s="310">
        <v>37.6</v>
      </c>
      <c r="F7" s="231">
        <v>1</v>
      </c>
      <c r="G7" s="230">
        <v>0.93</v>
      </c>
      <c r="H7" s="230">
        <v>0.9</v>
      </c>
      <c r="I7" s="230">
        <v>0.8</v>
      </c>
      <c r="J7" s="313">
        <v>0.79</v>
      </c>
      <c r="K7" s="313">
        <v>0.75</v>
      </c>
      <c r="L7" s="313">
        <v>0.73</v>
      </c>
      <c r="M7" s="314">
        <v>0.72</v>
      </c>
      <c r="O7" s="364">
        <v>100.002</v>
      </c>
      <c r="P7" s="361">
        <v>0.87</v>
      </c>
      <c r="Q7" s="357">
        <v>0.75</v>
      </c>
      <c r="R7" s="358">
        <v>0.56000000000000005</v>
      </c>
    </row>
    <row r="8" spans="1:18" x14ac:dyDescent="0.2">
      <c r="A8" s="111">
        <v>50000</v>
      </c>
      <c r="B8" s="233" t="s">
        <v>1878</v>
      </c>
      <c r="E8" s="310">
        <v>51</v>
      </c>
      <c r="F8" s="231">
        <v>1</v>
      </c>
      <c r="G8" s="230">
        <v>0.95</v>
      </c>
      <c r="H8" s="230">
        <v>0.9</v>
      </c>
      <c r="I8" s="230">
        <v>0.86</v>
      </c>
      <c r="J8" s="313">
        <v>0.79</v>
      </c>
      <c r="K8" s="313">
        <v>0.75</v>
      </c>
      <c r="L8" s="313">
        <v>0.73</v>
      </c>
      <c r="M8" s="314">
        <v>0.72</v>
      </c>
      <c r="O8" s="364">
        <v>250.00200000000001</v>
      </c>
      <c r="P8" s="361">
        <v>0.71</v>
      </c>
      <c r="Q8" s="357">
        <v>0.57999999999999996</v>
      </c>
      <c r="R8" s="358">
        <v>0.43</v>
      </c>
    </row>
    <row r="9" spans="1:18" ht="12.75" customHeight="1" x14ac:dyDescent="0.2">
      <c r="A9" s="98" t="s">
        <v>839</v>
      </c>
      <c r="E9" s="310">
        <v>75.001999999999995</v>
      </c>
      <c r="F9" s="231">
        <v>1</v>
      </c>
      <c r="G9" s="230">
        <v>0.96</v>
      </c>
      <c r="H9" s="230">
        <v>0.93</v>
      </c>
      <c r="I9" s="230">
        <v>0.86</v>
      </c>
      <c r="J9" s="230">
        <v>0.79</v>
      </c>
      <c r="K9" s="313">
        <v>0.75</v>
      </c>
      <c r="L9" s="313">
        <v>0.73</v>
      </c>
      <c r="M9" s="314">
        <v>0.72</v>
      </c>
      <c r="O9" s="364">
        <v>1001.002</v>
      </c>
      <c r="P9" s="361">
        <v>0.6</v>
      </c>
      <c r="Q9" s="357">
        <v>0.48</v>
      </c>
      <c r="R9" s="358">
        <v>0.37</v>
      </c>
    </row>
    <row r="10" spans="1:18" ht="12.75" customHeight="1" x14ac:dyDescent="0.2">
      <c r="E10" s="310">
        <v>100.002</v>
      </c>
      <c r="F10" s="315">
        <v>1</v>
      </c>
      <c r="G10" s="230">
        <v>0.96</v>
      </c>
      <c r="H10" s="230">
        <v>0.93</v>
      </c>
      <c r="I10" s="230">
        <v>0.9</v>
      </c>
      <c r="J10" s="230">
        <v>0.83</v>
      </c>
      <c r="K10" s="313">
        <v>0.75</v>
      </c>
      <c r="L10" s="313">
        <v>0.73</v>
      </c>
      <c r="M10" s="314">
        <v>0.72</v>
      </c>
      <c r="O10" s="364">
        <v>2500.002</v>
      </c>
      <c r="P10" s="361">
        <v>0.47</v>
      </c>
      <c r="Q10" s="357">
        <v>0.39</v>
      </c>
      <c r="R10" s="358">
        <v>0.31</v>
      </c>
    </row>
    <row r="11" spans="1:18" ht="13.5" thickBot="1" x14ac:dyDescent="0.25">
      <c r="A11" s="176"/>
      <c r="B11" s="176"/>
      <c r="C11" s="177" t="s">
        <v>1008</v>
      </c>
      <c r="E11" s="310">
        <v>150.00200000000001</v>
      </c>
      <c r="F11" s="315">
        <v>1</v>
      </c>
      <c r="G11" s="313">
        <v>0.96</v>
      </c>
      <c r="H11" s="230">
        <v>0.94</v>
      </c>
      <c r="I11" s="230">
        <v>0.9</v>
      </c>
      <c r="J11" s="230">
        <v>0.83</v>
      </c>
      <c r="K11" s="230">
        <v>0.75</v>
      </c>
      <c r="L11" s="313">
        <v>0.73</v>
      </c>
      <c r="M11" s="314">
        <v>0.72</v>
      </c>
      <c r="O11" s="365">
        <v>10000</v>
      </c>
      <c r="P11" s="362">
        <v>0.47</v>
      </c>
      <c r="Q11" s="359">
        <v>0.39</v>
      </c>
      <c r="R11" s="360">
        <v>0.31</v>
      </c>
    </row>
    <row r="12" spans="1:18" x14ac:dyDescent="0.2">
      <c r="A12" s="345" t="s">
        <v>1030</v>
      </c>
      <c r="B12" s="346"/>
      <c r="C12" s="339"/>
      <c r="E12" s="310">
        <v>250.00200000000001</v>
      </c>
      <c r="F12" s="315">
        <v>1</v>
      </c>
      <c r="G12" s="313">
        <v>0.96</v>
      </c>
      <c r="H12" s="230">
        <v>0.94</v>
      </c>
      <c r="I12" s="230">
        <v>0.93</v>
      </c>
      <c r="J12" s="230">
        <v>0.88</v>
      </c>
      <c r="K12" s="230">
        <v>0.8</v>
      </c>
      <c r="L12" s="313">
        <v>0.73</v>
      </c>
      <c r="M12" s="314">
        <v>0.72</v>
      </c>
    </row>
    <row r="13" spans="1:18" ht="12.75" customHeight="1" x14ac:dyDescent="0.2">
      <c r="A13" s="345" t="s">
        <v>1875</v>
      </c>
      <c r="B13" s="347"/>
      <c r="C13" s="348" t="s">
        <v>1876</v>
      </c>
      <c r="E13" s="310">
        <v>301</v>
      </c>
      <c r="F13" s="315">
        <v>1</v>
      </c>
      <c r="G13" s="313">
        <v>0.96</v>
      </c>
      <c r="H13" s="230">
        <v>0.95</v>
      </c>
      <c r="I13" s="230">
        <v>0.93</v>
      </c>
      <c r="J13" s="230">
        <v>0.88</v>
      </c>
      <c r="K13" s="230">
        <v>0.8</v>
      </c>
      <c r="L13" s="230">
        <v>0.73</v>
      </c>
      <c r="M13" s="314">
        <v>0.72</v>
      </c>
    </row>
    <row r="14" spans="1:18" ht="12.75" customHeight="1" x14ac:dyDescent="0.2">
      <c r="A14" s="349" t="s">
        <v>1006</v>
      </c>
      <c r="B14" s="349" t="s">
        <v>836</v>
      </c>
      <c r="C14" s="350">
        <v>1.05</v>
      </c>
      <c r="E14" s="310">
        <v>501</v>
      </c>
      <c r="F14" s="315">
        <v>1</v>
      </c>
      <c r="G14" s="313">
        <v>0.96</v>
      </c>
      <c r="H14" s="313">
        <v>0.95</v>
      </c>
      <c r="I14" s="230">
        <v>0.94</v>
      </c>
      <c r="J14" s="230">
        <v>0.9</v>
      </c>
      <c r="K14" s="230">
        <v>0.83</v>
      </c>
      <c r="L14" s="230">
        <v>0.75</v>
      </c>
      <c r="M14" s="314">
        <v>0.72</v>
      </c>
    </row>
    <row r="15" spans="1:18" x14ac:dyDescent="0.2">
      <c r="A15" s="349" t="s">
        <v>1007</v>
      </c>
      <c r="B15" s="349" t="s">
        <v>837</v>
      </c>
      <c r="C15" s="350">
        <v>1.05</v>
      </c>
      <c r="E15" s="310">
        <v>714.3</v>
      </c>
      <c r="F15" s="315">
        <v>1</v>
      </c>
      <c r="G15" s="313">
        <v>0.96</v>
      </c>
      <c r="H15" s="313">
        <v>0.95</v>
      </c>
      <c r="I15" s="313">
        <v>0.94</v>
      </c>
      <c r="J15" s="230">
        <v>0.9</v>
      </c>
      <c r="K15" s="230">
        <v>0.83</v>
      </c>
      <c r="L15" s="230">
        <v>0.8</v>
      </c>
      <c r="M15" s="308">
        <v>0.72</v>
      </c>
    </row>
    <row r="16" spans="1:18" x14ac:dyDescent="0.2">
      <c r="A16" s="351" t="s">
        <v>894</v>
      </c>
      <c r="B16" s="349" t="s">
        <v>838</v>
      </c>
      <c r="C16" s="350">
        <v>1.1000000000000001</v>
      </c>
      <c r="E16" s="310">
        <v>750.00199999999995</v>
      </c>
      <c r="F16" s="315">
        <v>1</v>
      </c>
      <c r="G16" s="313">
        <v>0.96</v>
      </c>
      <c r="H16" s="313">
        <v>0.95</v>
      </c>
      <c r="I16" s="313">
        <v>0.94</v>
      </c>
      <c r="J16" s="230">
        <v>0.9</v>
      </c>
      <c r="K16" s="230">
        <v>0.83</v>
      </c>
      <c r="L16" s="230">
        <v>0.8</v>
      </c>
      <c r="M16" s="308">
        <v>0.74</v>
      </c>
    </row>
    <row r="17" spans="1:13" ht="12.75" customHeight="1" x14ac:dyDescent="0.2">
      <c r="A17" s="352" t="s">
        <v>1009</v>
      </c>
      <c r="B17" s="352" t="s">
        <v>1011</v>
      </c>
      <c r="C17" s="353">
        <v>1.1000000000000001</v>
      </c>
      <c r="E17" s="310">
        <v>834</v>
      </c>
      <c r="F17" s="315">
        <v>1</v>
      </c>
      <c r="G17" s="313">
        <v>0.96</v>
      </c>
      <c r="H17" s="313">
        <v>0.95</v>
      </c>
      <c r="I17" s="313">
        <v>0.94</v>
      </c>
      <c r="J17" s="230">
        <v>0.9</v>
      </c>
      <c r="K17" s="230">
        <v>0.86</v>
      </c>
      <c r="L17" s="230">
        <v>0.8</v>
      </c>
      <c r="M17" s="308">
        <v>0.74</v>
      </c>
    </row>
    <row r="18" spans="1:13" ht="12.75" customHeight="1" x14ac:dyDescent="0.2">
      <c r="A18" s="116"/>
      <c r="B18" s="116"/>
      <c r="C18" s="344"/>
      <c r="E18" s="310">
        <v>1001</v>
      </c>
      <c r="F18" s="315">
        <v>1</v>
      </c>
      <c r="G18" s="313">
        <v>0.96</v>
      </c>
      <c r="H18" s="313">
        <v>0.95</v>
      </c>
      <c r="I18" s="313">
        <v>0.94</v>
      </c>
      <c r="J18" s="230">
        <v>0.92</v>
      </c>
      <c r="K18" s="230">
        <v>0.86</v>
      </c>
      <c r="L18" s="230">
        <v>0.8</v>
      </c>
      <c r="M18" s="308">
        <v>0.74</v>
      </c>
    </row>
    <row r="19" spans="1:13" x14ac:dyDescent="0.2">
      <c r="A19" s="116" t="s">
        <v>1461</v>
      </c>
      <c r="B19" s="116"/>
      <c r="C19" s="344"/>
      <c r="E19" s="310">
        <v>1072</v>
      </c>
      <c r="F19" s="315">
        <v>1</v>
      </c>
      <c r="G19" s="313">
        <v>0.96</v>
      </c>
      <c r="H19" s="313">
        <v>0.95</v>
      </c>
      <c r="I19" s="313">
        <v>0.94</v>
      </c>
      <c r="J19" s="313">
        <v>0.92</v>
      </c>
      <c r="K19" s="230">
        <v>0.86</v>
      </c>
      <c r="L19" s="230">
        <v>0.8</v>
      </c>
      <c r="M19" s="308">
        <v>0.78</v>
      </c>
    </row>
    <row r="20" spans="1:13" x14ac:dyDescent="0.2">
      <c r="A20" s="245">
        <v>1.05</v>
      </c>
      <c r="B20" s="354" t="s">
        <v>1462</v>
      </c>
      <c r="C20" s="344"/>
      <c r="E20" s="310">
        <v>1251</v>
      </c>
      <c r="F20" s="315">
        <v>1</v>
      </c>
      <c r="G20" s="313">
        <v>0.96</v>
      </c>
      <c r="H20" s="313">
        <v>0.95</v>
      </c>
      <c r="I20" s="313">
        <v>0.94</v>
      </c>
      <c r="J20" s="313">
        <v>0.92</v>
      </c>
      <c r="K20" s="230">
        <v>0.87</v>
      </c>
      <c r="L20" s="230">
        <v>0.82</v>
      </c>
      <c r="M20" s="308">
        <v>0.78</v>
      </c>
    </row>
    <row r="21" spans="1:13" x14ac:dyDescent="0.2">
      <c r="E21" s="309">
        <v>1667</v>
      </c>
      <c r="F21" s="315">
        <v>1</v>
      </c>
      <c r="G21" s="313">
        <v>0.96</v>
      </c>
      <c r="H21" s="313">
        <v>0.95</v>
      </c>
      <c r="I21" s="313">
        <v>0.94</v>
      </c>
      <c r="J21" s="313">
        <v>0.92</v>
      </c>
      <c r="K21" s="313">
        <v>0.87</v>
      </c>
      <c r="L21" s="230">
        <v>0.83</v>
      </c>
      <c r="M21" s="308">
        <v>0.78</v>
      </c>
    </row>
    <row r="22" spans="1:13" ht="12.75" customHeight="1" x14ac:dyDescent="0.2">
      <c r="A22" s="199" t="s">
        <v>1265</v>
      </c>
      <c r="E22" s="310">
        <v>1876</v>
      </c>
      <c r="F22" s="315">
        <v>1</v>
      </c>
      <c r="G22" s="313">
        <v>0.96</v>
      </c>
      <c r="H22" s="313">
        <v>0.95</v>
      </c>
      <c r="I22" s="313">
        <v>0.94</v>
      </c>
      <c r="J22" s="313">
        <v>0.92</v>
      </c>
      <c r="K22" s="313">
        <v>0.87</v>
      </c>
      <c r="L22" s="230">
        <v>0.83</v>
      </c>
      <c r="M22" s="308">
        <v>0.8</v>
      </c>
    </row>
    <row r="23" spans="1:13" ht="12.75" customHeight="1" thickBot="1" x14ac:dyDescent="0.25">
      <c r="A23" s="320">
        <v>250</v>
      </c>
      <c r="E23" s="311">
        <v>10001</v>
      </c>
      <c r="F23" s="316">
        <v>1</v>
      </c>
      <c r="G23" s="317">
        <v>0.96</v>
      </c>
      <c r="H23" s="317">
        <v>0.95</v>
      </c>
      <c r="I23" s="317">
        <v>0.94</v>
      </c>
      <c r="J23" s="317">
        <v>0.92</v>
      </c>
      <c r="K23" s="317">
        <v>0.87</v>
      </c>
      <c r="L23" s="317">
        <v>0.83</v>
      </c>
      <c r="M23" s="318">
        <v>0.8</v>
      </c>
    </row>
    <row r="24" spans="1:13" x14ac:dyDescent="0.2">
      <c r="A24" s="320">
        <v>500</v>
      </c>
    </row>
    <row r="25" spans="1:13" x14ac:dyDescent="0.2">
      <c r="A25" s="320">
        <v>1000</v>
      </c>
    </row>
    <row r="26" spans="1:13" ht="13.5" thickBot="1" x14ac:dyDescent="0.25">
      <c r="A26" s="320">
        <v>3000</v>
      </c>
      <c r="E26" s="43" t="s">
        <v>1263</v>
      </c>
      <c r="M26" s="237" t="s">
        <v>1264</v>
      </c>
    </row>
    <row r="27" spans="1:13" ht="12.75" customHeight="1" x14ac:dyDescent="0.2">
      <c r="A27" s="320">
        <v>5000</v>
      </c>
      <c r="E27" s="304" t="s">
        <v>1261</v>
      </c>
      <c r="F27" s="1553" t="s">
        <v>1097</v>
      </c>
      <c r="G27" s="1553"/>
      <c r="H27" s="1553"/>
      <c r="I27" s="1553"/>
      <c r="J27" s="1553"/>
      <c r="K27" s="1553"/>
      <c r="L27" s="1553"/>
      <c r="M27" s="1554"/>
    </row>
    <row r="28" spans="1:13" ht="12.75" customHeight="1" thickBot="1" x14ac:dyDescent="0.25">
      <c r="A28" s="320">
        <v>10000</v>
      </c>
      <c r="E28" s="305" t="s">
        <v>1260</v>
      </c>
      <c r="F28" s="306">
        <v>500</v>
      </c>
      <c r="G28" s="306">
        <v>1000</v>
      </c>
      <c r="H28" s="306">
        <v>3000</v>
      </c>
      <c r="I28" s="306">
        <v>5000</v>
      </c>
      <c r="J28" s="306">
        <v>10000</v>
      </c>
      <c r="K28" s="306">
        <v>25000</v>
      </c>
      <c r="L28" s="306">
        <v>50000</v>
      </c>
      <c r="M28" s="307">
        <v>75000</v>
      </c>
    </row>
    <row r="29" spans="1:13" x14ac:dyDescent="0.2">
      <c r="A29" s="320">
        <v>25000</v>
      </c>
      <c r="E29" s="309">
        <v>1</v>
      </c>
      <c r="F29" s="303">
        <v>1</v>
      </c>
      <c r="G29" s="312">
        <v>0.8</v>
      </c>
      <c r="H29" s="312">
        <v>0.77</v>
      </c>
      <c r="I29" s="312">
        <v>0.74</v>
      </c>
      <c r="J29" s="313">
        <v>0.72</v>
      </c>
      <c r="K29" s="313">
        <v>0.66</v>
      </c>
      <c r="L29" s="313">
        <v>0.62</v>
      </c>
      <c r="M29" s="314">
        <v>0.61</v>
      </c>
    </row>
    <row r="30" spans="1:13" x14ac:dyDescent="0.2">
      <c r="A30" s="320">
        <v>50000</v>
      </c>
      <c r="E30" s="309">
        <v>16.7</v>
      </c>
      <c r="F30" s="231">
        <v>1</v>
      </c>
      <c r="G30" s="230">
        <v>0.8</v>
      </c>
      <c r="H30" s="313">
        <v>0.77</v>
      </c>
      <c r="I30" s="313">
        <v>0.74</v>
      </c>
      <c r="J30" s="313">
        <v>0.72</v>
      </c>
      <c r="K30" s="313">
        <v>0.66</v>
      </c>
      <c r="L30" s="313">
        <v>0.62</v>
      </c>
      <c r="M30" s="314">
        <v>0.61</v>
      </c>
    </row>
    <row r="31" spans="1:13" x14ac:dyDescent="0.2">
      <c r="A31" s="320">
        <v>75000</v>
      </c>
      <c r="E31" s="310">
        <v>25.001999999999999</v>
      </c>
      <c r="F31" s="231">
        <v>1</v>
      </c>
      <c r="G31" s="230">
        <v>0.82</v>
      </c>
      <c r="H31" s="230">
        <v>0.77</v>
      </c>
      <c r="I31" s="313">
        <v>0.74</v>
      </c>
      <c r="J31" s="313">
        <v>0.72</v>
      </c>
      <c r="K31" s="313">
        <v>0.66</v>
      </c>
      <c r="L31" s="313">
        <v>0.62</v>
      </c>
      <c r="M31" s="314">
        <v>0.61</v>
      </c>
    </row>
    <row r="32" spans="1:13" ht="12.75" customHeight="1" x14ac:dyDescent="0.2">
      <c r="E32" s="310">
        <v>37.6</v>
      </c>
      <c r="F32" s="231">
        <v>1</v>
      </c>
      <c r="G32" s="230">
        <v>0.82</v>
      </c>
      <c r="H32" s="230">
        <v>0.78</v>
      </c>
      <c r="I32" s="230">
        <v>0.74</v>
      </c>
      <c r="J32" s="313">
        <v>0.72</v>
      </c>
      <c r="K32" s="313">
        <v>0.66</v>
      </c>
      <c r="L32" s="313">
        <v>0.62</v>
      </c>
      <c r="M32" s="314">
        <v>0.61</v>
      </c>
    </row>
    <row r="33" spans="5:13" ht="12.75" customHeight="1" x14ac:dyDescent="0.2">
      <c r="E33" s="310">
        <v>51</v>
      </c>
      <c r="F33" s="231">
        <v>1</v>
      </c>
      <c r="G33" s="230">
        <v>0.83</v>
      </c>
      <c r="H33" s="230">
        <v>0.78</v>
      </c>
      <c r="I33" s="230">
        <v>0.75</v>
      </c>
      <c r="J33" s="313">
        <v>0.72</v>
      </c>
      <c r="K33" s="313">
        <v>0.66</v>
      </c>
      <c r="L33" s="313">
        <v>0.62</v>
      </c>
      <c r="M33" s="314">
        <v>0.61</v>
      </c>
    </row>
    <row r="34" spans="5:13" x14ac:dyDescent="0.2">
      <c r="E34" s="310">
        <v>75.001999999999995</v>
      </c>
      <c r="F34" s="231">
        <v>1</v>
      </c>
      <c r="G34" s="230">
        <v>0.83</v>
      </c>
      <c r="H34" s="230">
        <v>0.79</v>
      </c>
      <c r="I34" s="230">
        <v>0.75</v>
      </c>
      <c r="J34" s="230">
        <v>0.72</v>
      </c>
      <c r="K34" s="313">
        <v>0.66</v>
      </c>
      <c r="L34" s="313">
        <v>0.62</v>
      </c>
      <c r="M34" s="314">
        <v>0.61</v>
      </c>
    </row>
    <row r="35" spans="5:13" x14ac:dyDescent="0.2">
      <c r="E35" s="310">
        <v>100.002</v>
      </c>
      <c r="F35" s="315">
        <v>1</v>
      </c>
      <c r="G35" s="230">
        <v>0.84</v>
      </c>
      <c r="H35" s="230">
        <v>0.79</v>
      </c>
      <c r="I35" s="230">
        <v>0.76</v>
      </c>
      <c r="J35" s="230">
        <v>0.73</v>
      </c>
      <c r="K35" s="313">
        <v>0.66</v>
      </c>
      <c r="L35" s="313">
        <v>0.62</v>
      </c>
      <c r="M35" s="314">
        <v>0.61</v>
      </c>
    </row>
    <row r="36" spans="5:13" x14ac:dyDescent="0.2">
      <c r="E36" s="310">
        <v>150.00200000000001</v>
      </c>
      <c r="F36" s="315">
        <v>1</v>
      </c>
      <c r="G36" s="313">
        <v>0.84</v>
      </c>
      <c r="H36" s="230">
        <v>0.8</v>
      </c>
      <c r="I36" s="230">
        <v>0.76</v>
      </c>
      <c r="J36" s="230">
        <v>0.73</v>
      </c>
      <c r="K36" s="230">
        <v>0.66</v>
      </c>
      <c r="L36" s="313">
        <v>0.62</v>
      </c>
      <c r="M36" s="314">
        <v>0.61</v>
      </c>
    </row>
    <row r="37" spans="5:13" ht="12.75" customHeight="1" x14ac:dyDescent="0.2">
      <c r="E37" s="310">
        <v>250.00200000000001</v>
      </c>
      <c r="F37" s="315">
        <v>1</v>
      </c>
      <c r="G37" s="313">
        <v>0.84</v>
      </c>
      <c r="H37" s="230">
        <v>0.8</v>
      </c>
      <c r="I37" s="230">
        <v>0.77</v>
      </c>
      <c r="J37" s="230">
        <v>0.74</v>
      </c>
      <c r="K37" s="230">
        <v>0.67</v>
      </c>
      <c r="L37" s="313">
        <v>0.62</v>
      </c>
      <c r="M37" s="314">
        <v>0.61</v>
      </c>
    </row>
    <row r="38" spans="5:13" x14ac:dyDescent="0.2">
      <c r="E38" s="310">
        <v>301</v>
      </c>
      <c r="F38" s="315">
        <v>1</v>
      </c>
      <c r="G38" s="313">
        <v>0.84</v>
      </c>
      <c r="H38" s="230">
        <v>0.81</v>
      </c>
      <c r="I38" s="230">
        <v>0.77</v>
      </c>
      <c r="J38" s="230">
        <v>0.74</v>
      </c>
      <c r="K38" s="230">
        <v>0.67</v>
      </c>
      <c r="L38" s="230">
        <v>0.62</v>
      </c>
      <c r="M38" s="314">
        <v>0.61</v>
      </c>
    </row>
    <row r="39" spans="5:13" x14ac:dyDescent="0.2">
      <c r="E39" s="310">
        <v>501</v>
      </c>
      <c r="F39" s="315">
        <v>1</v>
      </c>
      <c r="G39" s="313">
        <v>0.84</v>
      </c>
      <c r="H39" s="313">
        <v>0.81</v>
      </c>
      <c r="I39" s="230">
        <v>0.78</v>
      </c>
      <c r="J39" s="230">
        <v>0.75</v>
      </c>
      <c r="K39" s="230">
        <v>0.68</v>
      </c>
      <c r="L39" s="230">
        <v>0.63</v>
      </c>
      <c r="M39" s="314">
        <v>0.61</v>
      </c>
    </row>
    <row r="40" spans="5:13" x14ac:dyDescent="0.2">
      <c r="E40" s="310">
        <v>714.3</v>
      </c>
      <c r="F40" s="315">
        <v>1</v>
      </c>
      <c r="G40" s="313">
        <v>0.84</v>
      </c>
      <c r="H40" s="313">
        <v>0.81</v>
      </c>
      <c r="I40" s="313">
        <v>0.78</v>
      </c>
      <c r="J40" s="230">
        <v>0.75</v>
      </c>
      <c r="K40" s="230">
        <v>0.68</v>
      </c>
      <c r="L40" s="230">
        <v>0.64</v>
      </c>
      <c r="M40" s="308">
        <v>0.61</v>
      </c>
    </row>
    <row r="41" spans="5:13" x14ac:dyDescent="0.2">
      <c r="E41" s="310">
        <v>750.00199999999995</v>
      </c>
      <c r="F41" s="315">
        <v>1</v>
      </c>
      <c r="G41" s="313">
        <v>0.84</v>
      </c>
      <c r="H41" s="313">
        <v>0.81</v>
      </c>
      <c r="I41" s="313">
        <v>0.78</v>
      </c>
      <c r="J41" s="230">
        <v>0.75</v>
      </c>
      <c r="K41" s="230">
        <v>0.68</v>
      </c>
      <c r="L41" s="230">
        <v>0.64</v>
      </c>
      <c r="M41" s="308">
        <v>0.62</v>
      </c>
    </row>
    <row r="42" spans="5:13" x14ac:dyDescent="0.2">
      <c r="E42" s="310">
        <v>834</v>
      </c>
      <c r="F42" s="315">
        <v>1</v>
      </c>
      <c r="G42" s="313">
        <v>0.84</v>
      </c>
      <c r="H42" s="313">
        <v>0.81</v>
      </c>
      <c r="I42" s="313">
        <v>0.78</v>
      </c>
      <c r="J42" s="230">
        <v>0.75</v>
      </c>
      <c r="K42" s="230">
        <v>0.69</v>
      </c>
      <c r="L42" s="230">
        <v>0.64</v>
      </c>
      <c r="M42" s="308">
        <v>0.62</v>
      </c>
    </row>
    <row r="43" spans="5:13" x14ac:dyDescent="0.2">
      <c r="E43" s="310">
        <v>1001</v>
      </c>
      <c r="F43" s="315">
        <v>1</v>
      </c>
      <c r="G43" s="313">
        <v>0.84</v>
      </c>
      <c r="H43" s="313">
        <v>0.81</v>
      </c>
      <c r="I43" s="313">
        <v>0.78</v>
      </c>
      <c r="J43" s="230">
        <v>0.76</v>
      </c>
      <c r="K43" s="230">
        <v>0.69</v>
      </c>
      <c r="L43" s="230">
        <v>0.64</v>
      </c>
      <c r="M43" s="308">
        <v>0.62</v>
      </c>
    </row>
    <row r="44" spans="5:13" x14ac:dyDescent="0.2">
      <c r="E44" s="310">
        <v>1072</v>
      </c>
      <c r="F44" s="315">
        <v>1</v>
      </c>
      <c r="G44" s="313">
        <v>0.84</v>
      </c>
      <c r="H44" s="313">
        <v>0.81</v>
      </c>
      <c r="I44" s="313">
        <v>0.78</v>
      </c>
      <c r="J44" s="313">
        <v>0.76</v>
      </c>
      <c r="K44" s="230">
        <v>0.69</v>
      </c>
      <c r="L44" s="230">
        <v>0.64</v>
      </c>
      <c r="M44" s="308">
        <v>0.63</v>
      </c>
    </row>
    <row r="45" spans="5:13" x14ac:dyDescent="0.2">
      <c r="E45" s="310">
        <v>1251</v>
      </c>
      <c r="F45" s="315">
        <v>1</v>
      </c>
      <c r="G45" s="313">
        <v>0.84</v>
      </c>
      <c r="H45" s="313">
        <v>0.81</v>
      </c>
      <c r="I45" s="313">
        <v>0.78</v>
      </c>
      <c r="J45" s="313">
        <v>0.76</v>
      </c>
      <c r="K45" s="230">
        <v>0.7</v>
      </c>
      <c r="L45" s="230">
        <v>0.65</v>
      </c>
      <c r="M45" s="308">
        <v>0.63</v>
      </c>
    </row>
    <row r="46" spans="5:13" x14ac:dyDescent="0.2">
      <c r="E46" s="309">
        <v>1667</v>
      </c>
      <c r="F46" s="315">
        <v>1</v>
      </c>
      <c r="G46" s="313">
        <v>0.84</v>
      </c>
      <c r="H46" s="313">
        <v>0.81</v>
      </c>
      <c r="I46" s="313">
        <v>0.78</v>
      </c>
      <c r="J46" s="313">
        <v>0.76</v>
      </c>
      <c r="K46" s="313">
        <v>0.7</v>
      </c>
      <c r="L46" s="230">
        <v>0.66</v>
      </c>
      <c r="M46" s="308">
        <v>0.63</v>
      </c>
    </row>
    <row r="47" spans="5:13" x14ac:dyDescent="0.2">
      <c r="E47" s="310">
        <v>1876</v>
      </c>
      <c r="F47" s="315">
        <v>1</v>
      </c>
      <c r="G47" s="313">
        <v>0.84</v>
      </c>
      <c r="H47" s="313">
        <v>0.81</v>
      </c>
      <c r="I47" s="313">
        <v>0.78</v>
      </c>
      <c r="J47" s="313">
        <v>0.76</v>
      </c>
      <c r="K47" s="313">
        <v>0.7</v>
      </c>
      <c r="L47" s="230">
        <v>0.66</v>
      </c>
      <c r="M47" s="308">
        <v>0.64</v>
      </c>
    </row>
    <row r="48" spans="5:13" ht="13.5" thickBot="1" x14ac:dyDescent="0.25">
      <c r="E48" s="311">
        <v>10001</v>
      </c>
      <c r="F48" s="316">
        <v>1</v>
      </c>
      <c r="G48" s="317">
        <v>0.84</v>
      </c>
      <c r="H48" s="317">
        <v>0.81</v>
      </c>
      <c r="I48" s="317">
        <v>0.78</v>
      </c>
      <c r="J48" s="317">
        <v>0.76</v>
      </c>
      <c r="K48" s="317">
        <v>0.7</v>
      </c>
      <c r="L48" s="317">
        <v>0.66</v>
      </c>
      <c r="M48" s="318">
        <v>0.64</v>
      </c>
    </row>
  </sheetData>
  <mergeCells count="3">
    <mergeCell ref="F2:M2"/>
    <mergeCell ref="F27:M27"/>
    <mergeCell ref="P3:R3"/>
  </mergeCells>
  <phoneticPr fontId="2" type="noConversion"/>
  <pageMargins left="0.5" right="0.5" top="0.5" bottom="0.5" header="0.25" footer="0.25"/>
  <pageSetup orientation="portrait" r:id="rId1"/>
  <headerFooter alignWithMargins="0">
    <oddHeader>&amp;R&amp;8&amp;F</oddHeader>
    <oddFooter>&amp;L&amp;"Arial,Bold"&amp;8Printed: &amp;"Arial,Regular"&amp;D, &amp;T&amp;C&amp;8&amp;A&amp;R&amp;8&amp;P / &amp;N</oddFooter>
  </headerFooter>
  <colBreaks count="2" manualBreakCount="2">
    <brk id="4" max="1048575" man="1"/>
    <brk id="13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N113"/>
  <sheetViews>
    <sheetView topLeftCell="AR7" zoomScaleNormal="100" zoomScaleSheetLayoutView="85" workbookViewId="0">
      <selection activeCell="BA15" sqref="BA15"/>
    </sheetView>
  </sheetViews>
  <sheetFormatPr defaultRowHeight="12.75" x14ac:dyDescent="0.2"/>
  <cols>
    <col min="1" max="3" width="9.140625" style="73"/>
    <col min="4" max="6" width="9.140625" style="2"/>
    <col min="7" max="7" width="10.140625" style="2" customWidth="1"/>
    <col min="8" max="11" width="9.140625" style="2"/>
    <col min="12" max="12" width="10" style="2" customWidth="1"/>
    <col min="13" max="13" width="10.140625" style="2" customWidth="1"/>
    <col min="14" max="15" width="9.140625" style="2"/>
    <col min="16" max="16" width="6.140625" style="2" customWidth="1"/>
    <col min="17" max="17" width="13.5703125" style="2" customWidth="1"/>
    <col min="18" max="19" width="9.140625" style="2"/>
    <col min="20" max="21" width="9.5703125" style="2" customWidth="1"/>
    <col min="22" max="23" width="9.28515625" style="2" bestFit="1" customWidth="1"/>
    <col min="24" max="24" width="5.5703125" style="2" customWidth="1"/>
    <col min="25" max="25" width="11.140625" style="2" customWidth="1"/>
    <col min="26" max="26" width="60.28515625" style="2" customWidth="1"/>
    <col min="27" max="27" width="9.140625" style="2"/>
    <col min="28" max="28" width="8.42578125" style="2" customWidth="1"/>
    <col min="29" max="29" width="40.5703125" style="2" customWidth="1"/>
    <col min="30" max="30" width="8.42578125" style="2" customWidth="1"/>
    <col min="31" max="32" width="9.28515625" style="2" bestFit="1" customWidth="1"/>
    <col min="33" max="33" width="9.140625" style="2"/>
    <col min="34" max="34" width="9.28515625" style="2" bestFit="1" customWidth="1"/>
    <col min="35" max="35" width="3.5703125" style="2" customWidth="1"/>
    <col min="36" max="36" width="23.140625" style="2" customWidth="1"/>
    <col min="37" max="37" width="12.42578125" style="2" customWidth="1"/>
    <col min="38" max="38" width="13.28515625" style="2" customWidth="1"/>
    <col min="39" max="39" width="10.85546875" style="2" customWidth="1"/>
    <col min="40" max="40" width="11" style="2" customWidth="1"/>
    <col min="41" max="41" width="5.5703125" style="266" customWidth="1"/>
    <col min="42" max="42" width="15.5703125" style="2" customWidth="1"/>
    <col min="43" max="43" width="12.85546875" style="2" customWidth="1"/>
    <col min="44" max="44" width="14.140625" style="2" customWidth="1"/>
    <col min="45" max="45" width="8.7109375" style="2" customWidth="1"/>
    <col min="46" max="46" width="11.140625" style="2" customWidth="1"/>
    <col min="47" max="52" width="9.140625" style="2"/>
    <col min="53" max="53" width="14.42578125" style="2" bestFit="1" customWidth="1"/>
    <col min="54" max="54" width="15.140625" style="2" customWidth="1"/>
    <col min="55" max="55" width="16.5703125" style="2" customWidth="1"/>
    <col min="56" max="56" width="4" style="2" customWidth="1"/>
    <col min="57" max="57" width="14.5703125" style="2" customWidth="1"/>
    <col min="58" max="63" width="9.140625" style="2"/>
    <col min="64" max="65" width="14.42578125" style="2" customWidth="1"/>
    <col min="66" max="66" width="14.7109375" style="2" customWidth="1"/>
    <col min="67" max="16384" width="9.140625" style="2"/>
  </cols>
  <sheetData>
    <row r="1" spans="1:66" ht="13.5" thickBot="1" x14ac:dyDescent="0.25">
      <c r="A1" s="55" t="s">
        <v>54</v>
      </c>
      <c r="B1" s="55"/>
      <c r="C1" s="55"/>
      <c r="Y1" s="60" t="s">
        <v>2295</v>
      </c>
      <c r="AB1" s="60" t="s">
        <v>1158</v>
      </c>
      <c r="AC1" s="60"/>
      <c r="AJ1" s="55" t="s">
        <v>1499</v>
      </c>
      <c r="AP1" s="224" t="s">
        <v>2068</v>
      </c>
      <c r="AT1" s="82" t="s">
        <v>2039</v>
      </c>
      <c r="AU1" s="834"/>
      <c r="AV1" s="834"/>
      <c r="AW1" s="834"/>
      <c r="AX1" s="834"/>
      <c r="AY1" s="834"/>
      <c r="AZ1" s="834"/>
      <c r="BC1" s="1121" t="s">
        <v>2040</v>
      </c>
      <c r="BE1" s="82" t="s">
        <v>2041</v>
      </c>
    </row>
    <row r="2" spans="1:66" ht="13.5" thickBot="1" x14ac:dyDescent="0.25">
      <c r="A2" s="262" t="s">
        <v>1272</v>
      </c>
      <c r="B2" s="56"/>
      <c r="C2" s="56"/>
      <c r="O2" s="171" t="s">
        <v>990</v>
      </c>
      <c r="Y2" s="60"/>
      <c r="AB2" s="98" t="s">
        <v>1460</v>
      </c>
      <c r="AC2" s="98"/>
      <c r="AJ2" s="224" t="s">
        <v>1500</v>
      </c>
      <c r="AP2" s="1188" t="s">
        <v>2069</v>
      </c>
      <c r="AR2" s="1189" t="s">
        <v>2070</v>
      </c>
      <c r="AT2" s="1122" t="s">
        <v>2057</v>
      </c>
      <c r="AU2" s="834"/>
      <c r="AV2" s="834"/>
      <c r="AW2" s="834"/>
      <c r="AX2" s="834"/>
      <c r="AY2" s="834"/>
      <c r="AZ2" s="834"/>
      <c r="BE2" s="1122" t="s">
        <v>2058</v>
      </c>
    </row>
    <row r="3" spans="1:66" ht="12.75" customHeight="1" thickBot="1" x14ac:dyDescent="0.3">
      <c r="A3" s="59"/>
      <c r="B3" s="59"/>
      <c r="C3" s="59"/>
      <c r="D3" s="1565" t="s">
        <v>55</v>
      </c>
      <c r="E3" s="1566"/>
      <c r="F3" s="1566"/>
      <c r="G3" s="1566"/>
      <c r="H3" s="1566"/>
      <c r="I3" s="1567"/>
      <c r="J3" s="1573" t="s">
        <v>56</v>
      </c>
      <c r="K3" s="1573"/>
      <c r="L3" s="1573"/>
      <c r="M3" s="1573"/>
      <c r="N3" s="1573"/>
      <c r="O3" s="1574"/>
      <c r="Q3" s="60" t="s">
        <v>367</v>
      </c>
      <c r="W3" s="171" t="s">
        <v>986</v>
      </c>
      <c r="X3" s="171"/>
      <c r="Y3" s="76" t="s">
        <v>57</v>
      </c>
      <c r="Z3" s="77" t="s">
        <v>1858</v>
      </c>
      <c r="AB3" s="337"/>
      <c r="AC3" s="578"/>
      <c r="AD3" s="1547" t="s">
        <v>1274</v>
      </c>
      <c r="AE3" s="1552"/>
      <c r="AF3" s="1548"/>
      <c r="AG3" s="584"/>
      <c r="AH3" s="329"/>
      <c r="AJ3" s="497" t="s">
        <v>1790</v>
      </c>
      <c r="AK3" s="103"/>
      <c r="AL3" s="1191"/>
      <c r="AN3" s="383"/>
      <c r="AO3" s="6"/>
      <c r="AP3" s="240" t="s">
        <v>1534</v>
      </c>
      <c r="AQ3" s="109" t="s">
        <v>901</v>
      </c>
      <c r="AR3" s="109" t="s">
        <v>1876</v>
      </c>
      <c r="AS3" s="383"/>
      <c r="AT3" s="1123"/>
      <c r="AU3" s="1555" t="s">
        <v>2042</v>
      </c>
      <c r="AV3" s="1556"/>
      <c r="AW3" s="1556"/>
      <c r="AX3" s="1556"/>
      <c r="AY3" s="1556"/>
      <c r="AZ3" s="1557"/>
      <c r="BA3" s="1124" t="s">
        <v>2043</v>
      </c>
      <c r="BB3" s="1124" t="s">
        <v>2044</v>
      </c>
      <c r="BC3" s="1124" t="s">
        <v>2045</v>
      </c>
      <c r="BE3" s="1123"/>
      <c r="BF3" s="1555" t="s">
        <v>2046</v>
      </c>
      <c r="BG3" s="1556"/>
      <c r="BH3" s="1556"/>
      <c r="BI3" s="1556"/>
      <c r="BJ3" s="1556"/>
      <c r="BK3" s="1557"/>
      <c r="BL3" s="1124" t="s">
        <v>2043</v>
      </c>
      <c r="BM3" s="1124" t="s">
        <v>2044</v>
      </c>
      <c r="BN3" s="1124" t="s">
        <v>2045</v>
      </c>
    </row>
    <row r="4" spans="1:66" ht="23.25" thickBot="1" x14ac:dyDescent="0.3">
      <c r="A4" s="64" t="s">
        <v>42</v>
      </c>
      <c r="B4" s="64" t="s">
        <v>1648</v>
      </c>
      <c r="C4" s="1118" t="s">
        <v>2037</v>
      </c>
      <c r="D4" s="65" t="s">
        <v>1870</v>
      </c>
      <c r="E4" s="66" t="s">
        <v>37</v>
      </c>
      <c r="F4" s="66" t="s">
        <v>38</v>
      </c>
      <c r="G4" s="66" t="s">
        <v>39</v>
      </c>
      <c r="H4" s="66" t="s">
        <v>40</v>
      </c>
      <c r="I4" s="67" t="s">
        <v>41</v>
      </c>
      <c r="J4" s="68" t="s">
        <v>1870</v>
      </c>
      <c r="K4" s="66" t="s">
        <v>37</v>
      </c>
      <c r="L4" s="66" t="s">
        <v>38</v>
      </c>
      <c r="M4" s="66" t="s">
        <v>39</v>
      </c>
      <c r="N4" s="66" t="s">
        <v>40</v>
      </c>
      <c r="O4" s="67" t="s">
        <v>41</v>
      </c>
      <c r="Q4" s="69" t="s">
        <v>18</v>
      </c>
      <c r="R4" s="66" t="s">
        <v>1870</v>
      </c>
      <c r="S4" s="66" t="s">
        <v>360</v>
      </c>
      <c r="T4" s="66" t="s">
        <v>361</v>
      </c>
      <c r="U4" s="66" t="s">
        <v>362</v>
      </c>
      <c r="V4" s="66" t="s">
        <v>40</v>
      </c>
      <c r="W4" s="70" t="s">
        <v>41</v>
      </c>
      <c r="X4" s="180"/>
      <c r="Y4" s="78" t="s">
        <v>43</v>
      </c>
      <c r="Z4" s="75" t="s">
        <v>1471</v>
      </c>
      <c r="AB4" s="338"/>
      <c r="AC4" s="579"/>
      <c r="AD4" s="589" t="s">
        <v>1275</v>
      </c>
      <c r="AE4" s="590" t="s">
        <v>1276</v>
      </c>
      <c r="AF4" s="591" t="s">
        <v>1277</v>
      </c>
      <c r="AG4" s="1571" t="s">
        <v>1278</v>
      </c>
      <c r="AH4" s="1572"/>
      <c r="AJ4" s="379" t="s">
        <v>1858</v>
      </c>
      <c r="AK4" s="380"/>
      <c r="AL4" s="1044" t="s">
        <v>1031</v>
      </c>
      <c r="AN4" s="114"/>
      <c r="AO4" s="114"/>
      <c r="AP4" s="406" t="s">
        <v>1540</v>
      </c>
      <c r="AQ4" s="44">
        <v>1</v>
      </c>
      <c r="AR4" s="1045">
        <v>0.86</v>
      </c>
      <c r="AS4" s="114"/>
      <c r="AT4" s="1125" t="s">
        <v>2047</v>
      </c>
      <c r="AU4" s="1558" t="s">
        <v>2048</v>
      </c>
      <c r="AV4" s="1559"/>
      <c r="AW4" s="1559"/>
      <c r="AX4" s="1559"/>
      <c r="AY4" s="1559"/>
      <c r="AZ4" s="1560"/>
      <c r="BA4" s="1126" t="s">
        <v>2049</v>
      </c>
      <c r="BB4" s="1126" t="s">
        <v>2050</v>
      </c>
      <c r="BC4" s="1126" t="s">
        <v>2051</v>
      </c>
      <c r="BE4" s="1125" t="s">
        <v>2047</v>
      </c>
      <c r="BF4" s="1558" t="s">
        <v>2048</v>
      </c>
      <c r="BG4" s="1559"/>
      <c r="BH4" s="1559"/>
      <c r="BI4" s="1559"/>
      <c r="BJ4" s="1559"/>
      <c r="BK4" s="1560"/>
      <c r="BL4" s="1126" t="s">
        <v>2052</v>
      </c>
      <c r="BM4" s="1126" t="s">
        <v>2053</v>
      </c>
      <c r="BN4" s="1126" t="s">
        <v>2054</v>
      </c>
    </row>
    <row r="5" spans="1:66" ht="13.5" thickBot="1" x14ac:dyDescent="0.25">
      <c r="A5" s="269"/>
      <c r="B5" s="269"/>
      <c r="C5" s="269"/>
      <c r="D5" s="65" t="s">
        <v>997</v>
      </c>
      <c r="E5" s="66" t="s">
        <v>21</v>
      </c>
      <c r="F5" s="66" t="s">
        <v>22</v>
      </c>
      <c r="G5" s="66" t="s">
        <v>24</v>
      </c>
      <c r="H5" s="66" t="s">
        <v>26</v>
      </c>
      <c r="I5" s="71" t="s">
        <v>998</v>
      </c>
      <c r="J5" s="68" t="s">
        <v>20</v>
      </c>
      <c r="K5" s="66" t="s">
        <v>999</v>
      </c>
      <c r="L5" s="66" t="s">
        <v>23</v>
      </c>
      <c r="M5" s="66" t="s">
        <v>25</v>
      </c>
      <c r="N5" s="66" t="s">
        <v>27</v>
      </c>
      <c r="O5" s="71" t="s">
        <v>1000</v>
      </c>
      <c r="Q5" s="47" t="s">
        <v>57</v>
      </c>
      <c r="R5" s="66">
        <v>1</v>
      </c>
      <c r="S5" s="66">
        <v>2</v>
      </c>
      <c r="T5" s="66">
        <v>3</v>
      </c>
      <c r="U5" s="66">
        <v>4</v>
      </c>
      <c r="V5" s="66">
        <v>5</v>
      </c>
      <c r="W5" s="66">
        <v>6</v>
      </c>
      <c r="X5" s="221"/>
      <c r="Y5" s="78" t="s">
        <v>44</v>
      </c>
      <c r="Z5" s="75" t="s">
        <v>1468</v>
      </c>
      <c r="AB5" s="580" t="s">
        <v>1279</v>
      </c>
      <c r="AC5" s="340" t="s">
        <v>1858</v>
      </c>
      <c r="AD5" s="330" t="s">
        <v>1280</v>
      </c>
      <c r="AE5" s="331" t="s">
        <v>1281</v>
      </c>
      <c r="AF5" s="333" t="s">
        <v>1282</v>
      </c>
      <c r="AG5" s="332" t="s">
        <v>1001</v>
      </c>
      <c r="AH5" s="595" t="s">
        <v>1283</v>
      </c>
      <c r="AJ5" s="48" t="s">
        <v>1072</v>
      </c>
      <c r="AK5" s="112">
        <v>1</v>
      </c>
      <c r="AL5" s="1193">
        <v>4.8000000000000001E-2</v>
      </c>
      <c r="AN5" s="384"/>
      <c r="AO5" s="384"/>
      <c r="AP5" s="406" t="s">
        <v>1541</v>
      </c>
      <c r="AQ5" s="44">
        <v>2</v>
      </c>
      <c r="AR5" s="1045">
        <v>0.92</v>
      </c>
      <c r="AS5" s="384"/>
      <c r="AT5" s="1127" t="s">
        <v>2055</v>
      </c>
      <c r="AU5" s="1128">
        <v>1</v>
      </c>
      <c r="AV5" s="1129">
        <v>2</v>
      </c>
      <c r="AW5" s="1129">
        <v>3</v>
      </c>
      <c r="AX5" s="1129">
        <v>4</v>
      </c>
      <c r="AY5" s="1129">
        <v>5</v>
      </c>
      <c r="AZ5" s="1130">
        <v>6</v>
      </c>
      <c r="BA5" s="1131" t="s">
        <v>2056</v>
      </c>
      <c r="BB5" s="1131" t="s">
        <v>1007</v>
      </c>
      <c r="BC5" s="1131" t="s">
        <v>894</v>
      </c>
      <c r="BE5" s="1127" t="s">
        <v>2055</v>
      </c>
      <c r="BF5" s="1128">
        <v>1</v>
      </c>
      <c r="BG5" s="1129">
        <v>2</v>
      </c>
      <c r="BH5" s="1129">
        <v>3</v>
      </c>
      <c r="BI5" s="1129">
        <v>4</v>
      </c>
      <c r="BJ5" s="1129">
        <v>5</v>
      </c>
      <c r="BK5" s="1130">
        <v>6</v>
      </c>
      <c r="BL5" s="1131" t="s">
        <v>2056</v>
      </c>
      <c r="BM5" s="1131" t="s">
        <v>1007</v>
      </c>
      <c r="BN5" s="1131" t="s">
        <v>894</v>
      </c>
    </row>
    <row r="6" spans="1:66" ht="12.75" customHeight="1" x14ac:dyDescent="0.2">
      <c r="A6" s="64" t="s">
        <v>43</v>
      </c>
      <c r="B6" s="64" t="s">
        <v>18</v>
      </c>
      <c r="C6" s="64">
        <v>6</v>
      </c>
      <c r="D6" s="1033">
        <v>0.13700000000000001</v>
      </c>
      <c r="E6" s="1034">
        <v>0.124</v>
      </c>
      <c r="F6" s="1034">
        <v>0.11</v>
      </c>
      <c r="G6" s="1034">
        <v>8.8999999999999996E-2</v>
      </c>
      <c r="H6" s="1034">
        <v>8.2000000000000003E-2</v>
      </c>
      <c r="I6" s="1035">
        <v>8.2000000000000003E-2</v>
      </c>
      <c r="J6" s="1475">
        <v>0.13800000000000001</v>
      </c>
      <c r="K6" s="1034">
        <v>0.125</v>
      </c>
      <c r="L6" s="1034">
        <v>0.11799999999999999</v>
      </c>
      <c r="M6" s="1034">
        <v>0.104</v>
      </c>
      <c r="N6" s="1034">
        <v>9.7000000000000003E-2</v>
      </c>
      <c r="O6" s="1035">
        <v>9.7000000000000003E-2</v>
      </c>
      <c r="Q6" s="72" t="s">
        <v>59</v>
      </c>
      <c r="R6" s="1034">
        <v>0.78700000000000003</v>
      </c>
      <c r="S6" s="1034">
        <v>0.70799999999999996</v>
      </c>
      <c r="T6" s="1034">
        <v>0.67</v>
      </c>
      <c r="U6" s="1034">
        <v>0.59099999999999997</v>
      </c>
      <c r="V6" s="1034">
        <v>0.55000000000000004</v>
      </c>
      <c r="W6" s="1034">
        <v>0.55000000000000004</v>
      </c>
      <c r="X6" s="222"/>
      <c r="Y6" s="78" t="s">
        <v>45</v>
      </c>
      <c r="Z6" s="75" t="s">
        <v>799</v>
      </c>
      <c r="AB6" s="581" t="s">
        <v>1284</v>
      </c>
      <c r="AC6" s="341" t="s">
        <v>1285</v>
      </c>
      <c r="AD6" s="1175">
        <v>4.3999999999999997E-2</v>
      </c>
      <c r="AE6" s="1176">
        <v>4.3999999999999997E-2</v>
      </c>
      <c r="AF6" s="1177">
        <v>4.3999999999999997E-2</v>
      </c>
      <c r="AG6" s="592" t="s">
        <v>18</v>
      </c>
      <c r="AH6" s="334">
        <v>1</v>
      </c>
      <c r="AJ6" s="49" t="s">
        <v>1071</v>
      </c>
      <c r="AK6" s="378">
        <v>2</v>
      </c>
      <c r="AL6" s="1192">
        <v>0.94</v>
      </c>
      <c r="AN6" s="384"/>
      <c r="AO6" s="384"/>
      <c r="AP6" s="406" t="s">
        <v>1542</v>
      </c>
      <c r="AQ6" s="44">
        <v>3</v>
      </c>
      <c r="AR6" s="1045">
        <v>0.97</v>
      </c>
      <c r="AS6" s="384"/>
      <c r="AT6" s="1132">
        <v>1</v>
      </c>
      <c r="AU6" s="1033">
        <v>1.1719999999999999</v>
      </c>
      <c r="AV6" s="1034">
        <v>1.1719999999999999</v>
      </c>
      <c r="AW6" s="1034">
        <v>1.1719999999999999</v>
      </c>
      <c r="AX6" s="1034">
        <v>1.258</v>
      </c>
      <c r="AY6" s="1034">
        <v>1.258</v>
      </c>
      <c r="AZ6" s="1035">
        <v>1.258</v>
      </c>
      <c r="BA6" s="1133">
        <v>1.5129999999999999</v>
      </c>
      <c r="BB6" s="1133">
        <v>1.4530000000000001</v>
      </c>
      <c r="BC6" s="1133">
        <v>1.4530000000000001</v>
      </c>
      <c r="BE6" s="1132">
        <v>1</v>
      </c>
      <c r="BF6" s="1033">
        <v>1.2849999999999999</v>
      </c>
      <c r="BG6" s="1034">
        <v>1.2849999999999999</v>
      </c>
      <c r="BH6" s="1034">
        <v>1.2849999999999999</v>
      </c>
      <c r="BI6" s="1034">
        <v>1.327</v>
      </c>
      <c r="BJ6" s="1034">
        <v>1.327</v>
      </c>
      <c r="BK6" s="1035">
        <v>1.327</v>
      </c>
      <c r="BL6" s="1133">
        <v>1.4870000000000001</v>
      </c>
      <c r="BM6" s="1133">
        <v>1.728</v>
      </c>
      <c r="BN6" s="1133">
        <v>1.728</v>
      </c>
    </row>
    <row r="7" spans="1:66" ht="12.75" customHeight="1" x14ac:dyDescent="0.2">
      <c r="A7" s="64" t="s">
        <v>44</v>
      </c>
      <c r="B7" s="64" t="s">
        <v>18</v>
      </c>
      <c r="C7" s="64">
        <v>6</v>
      </c>
      <c r="D7" s="1033">
        <v>0.13700000000000001</v>
      </c>
      <c r="E7" s="1034">
        <v>0.124</v>
      </c>
      <c r="F7" s="1034">
        <v>0.11</v>
      </c>
      <c r="G7" s="1034">
        <v>8.8999999999999996E-2</v>
      </c>
      <c r="H7" s="1034">
        <v>8.2000000000000003E-2</v>
      </c>
      <c r="I7" s="1035">
        <v>8.2000000000000003E-2</v>
      </c>
      <c r="J7" s="1475">
        <v>0.13800000000000001</v>
      </c>
      <c r="K7" s="1034">
        <v>0.125</v>
      </c>
      <c r="L7" s="1034">
        <v>0.11799999999999999</v>
      </c>
      <c r="M7" s="1034">
        <v>0.104</v>
      </c>
      <c r="N7" s="1034">
        <v>9.7000000000000003E-2</v>
      </c>
      <c r="O7" s="1035">
        <v>9.7000000000000003E-2</v>
      </c>
      <c r="Q7" s="72" t="s">
        <v>60</v>
      </c>
      <c r="R7" s="1034">
        <v>0.78700000000000003</v>
      </c>
      <c r="S7" s="1034">
        <v>0.70799999999999996</v>
      </c>
      <c r="T7" s="1034">
        <v>0.67</v>
      </c>
      <c r="U7" s="1034">
        <v>0.59099999999999997</v>
      </c>
      <c r="V7" s="1034">
        <v>0.55000000000000004</v>
      </c>
      <c r="W7" s="1034">
        <v>0.55000000000000004</v>
      </c>
      <c r="X7" s="222"/>
      <c r="Y7" s="78" t="s">
        <v>46</v>
      </c>
      <c r="Z7" s="75" t="s">
        <v>1466</v>
      </c>
      <c r="AB7" s="582" t="s">
        <v>1286</v>
      </c>
      <c r="AC7" s="342" t="s">
        <v>1287</v>
      </c>
      <c r="AD7" s="1178">
        <v>0.26</v>
      </c>
      <c r="AE7" s="603">
        <v>0.34</v>
      </c>
      <c r="AF7" s="1179">
        <v>0.42099999999999999</v>
      </c>
      <c r="AG7" s="593" t="s">
        <v>28</v>
      </c>
      <c r="AH7" s="335">
        <v>1</v>
      </c>
      <c r="AN7" s="266"/>
      <c r="AP7" s="1190" t="s">
        <v>2071</v>
      </c>
      <c r="AQ7" s="266"/>
      <c r="AR7" s="266"/>
      <c r="AS7" s="266"/>
      <c r="AT7" s="1132">
        <v>50000</v>
      </c>
      <c r="AU7" s="1033">
        <v>1.1719999999999999</v>
      </c>
      <c r="AV7" s="1034">
        <v>1.1719999999999999</v>
      </c>
      <c r="AW7" s="1034">
        <v>1.1719999999999999</v>
      </c>
      <c r="AX7" s="1034">
        <v>1.258</v>
      </c>
      <c r="AY7" s="1034">
        <v>1.258</v>
      </c>
      <c r="AZ7" s="1035">
        <v>1.258</v>
      </c>
      <c r="BA7" s="1133">
        <v>1.5129999999999999</v>
      </c>
      <c r="BB7" s="1133">
        <v>1.4530000000000001</v>
      </c>
      <c r="BC7" s="1133">
        <v>1.4530000000000001</v>
      </c>
      <c r="BE7" s="1132">
        <v>10000</v>
      </c>
      <c r="BF7" s="1033">
        <v>1.2849999999999999</v>
      </c>
      <c r="BG7" s="1034">
        <v>1.2849999999999999</v>
      </c>
      <c r="BH7" s="1034">
        <v>1.2849999999999999</v>
      </c>
      <c r="BI7" s="1034">
        <v>1.327</v>
      </c>
      <c r="BJ7" s="1034">
        <v>1.327</v>
      </c>
      <c r="BK7" s="1035">
        <v>1.327</v>
      </c>
      <c r="BL7" s="1133">
        <v>1.4870000000000001</v>
      </c>
      <c r="BM7" s="1133">
        <v>1.728</v>
      </c>
      <c r="BN7" s="1133">
        <v>1.728</v>
      </c>
    </row>
    <row r="8" spans="1:66" ht="12.75" customHeight="1" x14ac:dyDescent="0.2">
      <c r="A8" s="64" t="s">
        <v>45</v>
      </c>
      <c r="B8" s="64" t="s">
        <v>18</v>
      </c>
      <c r="C8" s="64">
        <v>6</v>
      </c>
      <c r="D8" s="1033">
        <v>0.13700000000000001</v>
      </c>
      <c r="E8" s="1034">
        <v>0.124</v>
      </c>
      <c r="F8" s="1034">
        <v>0.11</v>
      </c>
      <c r="G8" s="1034">
        <v>8.8999999999999996E-2</v>
      </c>
      <c r="H8" s="1034">
        <v>8.2000000000000003E-2</v>
      </c>
      <c r="I8" s="1035">
        <v>8.2000000000000003E-2</v>
      </c>
      <c r="J8" s="1475">
        <v>0.13800000000000001</v>
      </c>
      <c r="K8" s="1034">
        <v>0.125</v>
      </c>
      <c r="L8" s="1034">
        <v>0.11799999999999999</v>
      </c>
      <c r="M8" s="1034">
        <v>0.104</v>
      </c>
      <c r="N8" s="1034">
        <v>9.7000000000000003E-2</v>
      </c>
      <c r="O8" s="1035">
        <v>9.7000000000000003E-2</v>
      </c>
      <c r="Q8" s="72" t="s">
        <v>61</v>
      </c>
      <c r="R8" s="1034">
        <v>0.78700000000000003</v>
      </c>
      <c r="S8" s="1034">
        <v>0.70799999999999996</v>
      </c>
      <c r="T8" s="1034">
        <v>0.67</v>
      </c>
      <c r="U8" s="1034">
        <v>0.59099999999999997</v>
      </c>
      <c r="V8" s="1034">
        <v>0.55000000000000004</v>
      </c>
      <c r="W8" s="1034">
        <v>0.55000000000000004</v>
      </c>
      <c r="X8" s="222"/>
      <c r="Y8" s="78" t="s">
        <v>47</v>
      </c>
      <c r="Z8" s="75" t="s">
        <v>1467</v>
      </c>
      <c r="AB8" s="582" t="s">
        <v>1288</v>
      </c>
      <c r="AC8" s="342" t="s">
        <v>1290</v>
      </c>
      <c r="AD8" s="1178">
        <v>0.502</v>
      </c>
      <c r="AE8" s="603">
        <v>0.66400000000000003</v>
      </c>
      <c r="AF8" s="1179">
        <v>0.82599999999999996</v>
      </c>
      <c r="AG8" s="593" t="s">
        <v>28</v>
      </c>
      <c r="AH8" s="335">
        <v>4</v>
      </c>
      <c r="AJ8" s="53" t="s">
        <v>2126</v>
      </c>
      <c r="AS8" s="266"/>
      <c r="AT8" s="1134">
        <v>75000</v>
      </c>
      <c r="AU8" s="1033">
        <v>1.1719999999999999</v>
      </c>
      <c r="AV8" s="1034">
        <v>1.1719999999999999</v>
      </c>
      <c r="AW8" s="1034">
        <v>1.1719999999999999</v>
      </c>
      <c r="AX8" s="1034">
        <v>1.258</v>
      </c>
      <c r="AY8" s="1034">
        <v>1.258</v>
      </c>
      <c r="AZ8" s="1035">
        <v>1.258</v>
      </c>
      <c r="BA8" s="1133">
        <v>1.363</v>
      </c>
      <c r="BB8" s="1133">
        <v>1.3220000000000001</v>
      </c>
      <c r="BC8" s="1133">
        <v>1.3220000000000001</v>
      </c>
      <c r="BE8" s="1134">
        <v>20000</v>
      </c>
      <c r="BF8" s="1033">
        <v>1.1539999999999999</v>
      </c>
      <c r="BG8" s="1034">
        <v>1.1539999999999999</v>
      </c>
      <c r="BH8" s="1034">
        <v>1.1539999999999999</v>
      </c>
      <c r="BI8" s="1034">
        <v>1.175</v>
      </c>
      <c r="BJ8" s="1034">
        <v>1.175</v>
      </c>
      <c r="BK8" s="1035">
        <v>1.175</v>
      </c>
      <c r="BL8" s="1133">
        <v>1.254</v>
      </c>
      <c r="BM8" s="1133">
        <v>1.3660000000000001</v>
      </c>
      <c r="BN8" s="1133">
        <v>1.3660000000000001</v>
      </c>
    </row>
    <row r="9" spans="1:66" ht="12.75" customHeight="1" thickBot="1" x14ac:dyDescent="0.25">
      <c r="A9" s="64" t="s">
        <v>46</v>
      </c>
      <c r="B9" s="64" t="s">
        <v>18</v>
      </c>
      <c r="C9" s="64">
        <v>6</v>
      </c>
      <c r="D9" s="1033">
        <v>0.126</v>
      </c>
      <c r="E9" s="1034">
        <v>0.113</v>
      </c>
      <c r="F9" s="1034">
        <v>0.1</v>
      </c>
      <c r="G9" s="1034">
        <v>8.2000000000000003E-2</v>
      </c>
      <c r="H9" s="1034">
        <v>7.4999999999999997E-2</v>
      </c>
      <c r="I9" s="1035">
        <v>7.4999999999999997E-2</v>
      </c>
      <c r="J9" s="1475">
        <v>0.13</v>
      </c>
      <c r="K9" s="1034">
        <v>0.11799999999999999</v>
      </c>
      <c r="L9" s="1034">
        <v>0.111</v>
      </c>
      <c r="M9" s="1034">
        <v>9.8000000000000004E-2</v>
      </c>
      <c r="N9" s="1034">
        <v>9.1999999999999998E-2</v>
      </c>
      <c r="O9" s="1035">
        <v>9.1999999999999998E-2</v>
      </c>
      <c r="Q9" s="72" t="s">
        <v>65</v>
      </c>
      <c r="R9" s="1034">
        <v>0.34</v>
      </c>
      <c r="S9" s="1034">
        <v>0.30599999999999999</v>
      </c>
      <c r="T9" s="1034">
        <v>0.28899999999999998</v>
      </c>
      <c r="U9" s="1034">
        <v>0.254</v>
      </c>
      <c r="V9" s="1034">
        <v>0.23699999999999999</v>
      </c>
      <c r="W9" s="1034">
        <v>0.23699999999999999</v>
      </c>
      <c r="X9" s="222"/>
      <c r="Y9" s="78" t="s">
        <v>48</v>
      </c>
      <c r="Z9" s="75" t="s">
        <v>1472</v>
      </c>
      <c r="AB9" s="582">
        <v>2</v>
      </c>
      <c r="AC9" s="342" t="s">
        <v>1291</v>
      </c>
      <c r="AD9" s="1178">
        <v>0.28599999999999998</v>
      </c>
      <c r="AE9" s="603">
        <v>0.36799999999999999</v>
      </c>
      <c r="AF9" s="1179">
        <v>0.44800000000000001</v>
      </c>
      <c r="AG9" s="593" t="s">
        <v>28</v>
      </c>
      <c r="AH9" s="335">
        <v>8</v>
      </c>
      <c r="AJ9" s="1122" t="s">
        <v>2095</v>
      </c>
      <c r="AP9" s="1220" t="s">
        <v>2123</v>
      </c>
      <c r="AQ9" s="1216"/>
      <c r="AS9" s="266"/>
      <c r="AT9" s="1134">
        <v>100000</v>
      </c>
      <c r="AU9" s="1033">
        <v>1.1719999999999999</v>
      </c>
      <c r="AV9" s="1034">
        <v>1.1719999999999999</v>
      </c>
      <c r="AW9" s="1034">
        <v>1.1719999999999999</v>
      </c>
      <c r="AX9" s="1034">
        <v>1.258</v>
      </c>
      <c r="AY9" s="1034">
        <v>1.258</v>
      </c>
      <c r="AZ9" s="1035">
        <v>1.258</v>
      </c>
      <c r="BA9" s="1133">
        <v>1.266</v>
      </c>
      <c r="BB9" s="1133">
        <v>1.2370000000000001</v>
      </c>
      <c r="BC9" s="1133">
        <v>1.2370000000000001</v>
      </c>
      <c r="BE9" s="1134">
        <v>30000</v>
      </c>
      <c r="BF9" s="1033">
        <v>1.083</v>
      </c>
      <c r="BG9" s="1034">
        <v>1.083</v>
      </c>
      <c r="BH9" s="1034">
        <v>1.083</v>
      </c>
      <c r="BI9" s="1034">
        <v>1.0940000000000001</v>
      </c>
      <c r="BJ9" s="1034">
        <v>1.0940000000000001</v>
      </c>
      <c r="BK9" s="1035">
        <v>1.0940000000000001</v>
      </c>
      <c r="BL9" s="1133">
        <v>1.1339999999999999</v>
      </c>
      <c r="BM9" s="1133">
        <v>1.19</v>
      </c>
      <c r="BN9" s="1133">
        <v>1.19</v>
      </c>
    </row>
    <row r="10" spans="1:66" ht="12.75" customHeight="1" x14ac:dyDescent="0.2">
      <c r="A10" s="64" t="s">
        <v>47</v>
      </c>
      <c r="B10" s="64" t="s">
        <v>18</v>
      </c>
      <c r="C10" s="64">
        <v>6</v>
      </c>
      <c r="D10" s="1033">
        <v>0.126</v>
      </c>
      <c r="E10" s="1034">
        <v>0.113</v>
      </c>
      <c r="F10" s="1034">
        <v>0.1</v>
      </c>
      <c r="G10" s="1034">
        <v>8.2000000000000003E-2</v>
      </c>
      <c r="H10" s="1034">
        <v>7.4999999999999997E-2</v>
      </c>
      <c r="I10" s="1035">
        <v>7.4999999999999997E-2</v>
      </c>
      <c r="J10" s="1475">
        <v>0.13</v>
      </c>
      <c r="K10" s="1034">
        <v>0.11799999999999999</v>
      </c>
      <c r="L10" s="1034">
        <v>0.111</v>
      </c>
      <c r="M10" s="1034">
        <v>9.8000000000000004E-2</v>
      </c>
      <c r="N10" s="1034">
        <v>9.1999999999999998E-2</v>
      </c>
      <c r="O10" s="1035">
        <v>9.1999999999999998E-2</v>
      </c>
      <c r="Q10" s="72" t="s">
        <v>66</v>
      </c>
      <c r="R10" s="1034">
        <v>0.34</v>
      </c>
      <c r="S10" s="1034">
        <v>0.30599999999999999</v>
      </c>
      <c r="T10" s="1034">
        <v>0.28899999999999998</v>
      </c>
      <c r="U10" s="1034">
        <v>0.254</v>
      </c>
      <c r="V10" s="1034">
        <v>0.23699999999999999</v>
      </c>
      <c r="W10" s="1034">
        <v>0.23699999999999999</v>
      </c>
      <c r="X10" s="222"/>
      <c r="Y10" s="78" t="s">
        <v>49</v>
      </c>
      <c r="Z10" s="75" t="s">
        <v>800</v>
      </c>
      <c r="AB10" s="582" t="s">
        <v>1292</v>
      </c>
      <c r="AC10" s="342" t="s">
        <v>1293</v>
      </c>
      <c r="AD10" s="1178">
        <v>5.5E-2</v>
      </c>
      <c r="AE10" s="603">
        <v>5.5E-2</v>
      </c>
      <c r="AF10" s="1179">
        <v>5.5E-2</v>
      </c>
      <c r="AG10" s="593" t="s">
        <v>1002</v>
      </c>
      <c r="AH10" s="335">
        <v>1</v>
      </c>
      <c r="AM10" s="1561" t="s">
        <v>2103</v>
      </c>
      <c r="AN10" s="1562"/>
      <c r="AO10" s="6"/>
      <c r="AP10" s="1221"/>
      <c r="AQ10" s="1222" t="s">
        <v>2124</v>
      </c>
      <c r="AS10" s="266"/>
      <c r="AT10" s="1134">
        <v>125000</v>
      </c>
      <c r="AU10" s="1033">
        <v>1.1279999999999999</v>
      </c>
      <c r="AV10" s="1034">
        <v>1.1279999999999999</v>
      </c>
      <c r="AW10" s="1034">
        <v>1.1279999999999999</v>
      </c>
      <c r="AX10" s="1034">
        <v>1.19</v>
      </c>
      <c r="AY10" s="1034">
        <v>1.19</v>
      </c>
      <c r="AZ10" s="1035">
        <v>1.19</v>
      </c>
      <c r="BA10" s="1133">
        <v>1.1950000000000001</v>
      </c>
      <c r="BB10" s="1133">
        <v>1.1739999999999999</v>
      </c>
      <c r="BC10" s="1133">
        <v>1.1739999999999999</v>
      </c>
      <c r="BE10" s="1134">
        <v>40000</v>
      </c>
      <c r="BF10" s="1033">
        <v>1.0349999999999999</v>
      </c>
      <c r="BG10" s="1034">
        <v>1.0349999999999999</v>
      </c>
      <c r="BH10" s="1034">
        <v>1.0349999999999999</v>
      </c>
      <c r="BI10" s="1034">
        <v>1.04</v>
      </c>
      <c r="BJ10" s="1034">
        <v>1.04</v>
      </c>
      <c r="BK10" s="1035">
        <v>1.04</v>
      </c>
      <c r="BL10" s="1133">
        <v>1.0569999999999999</v>
      </c>
      <c r="BM10" s="1133">
        <v>1.079</v>
      </c>
      <c r="BN10" s="1133">
        <v>1.079</v>
      </c>
    </row>
    <row r="11" spans="1:66" ht="12.75" customHeight="1" x14ac:dyDescent="0.2">
      <c r="A11" s="64" t="s">
        <v>48</v>
      </c>
      <c r="B11" s="64" t="s">
        <v>18</v>
      </c>
      <c r="C11" s="64">
        <v>6</v>
      </c>
      <c r="D11" s="1033">
        <v>0.126</v>
      </c>
      <c r="E11" s="1034">
        <v>0.113</v>
      </c>
      <c r="F11" s="1034">
        <v>0.1</v>
      </c>
      <c r="G11" s="1034">
        <v>8.2000000000000003E-2</v>
      </c>
      <c r="H11" s="1034">
        <v>7.4999999999999997E-2</v>
      </c>
      <c r="I11" s="1035">
        <v>7.4999999999999997E-2</v>
      </c>
      <c r="J11" s="1475">
        <v>0.13</v>
      </c>
      <c r="K11" s="1034">
        <v>0.11799999999999999</v>
      </c>
      <c r="L11" s="1034">
        <v>0.111</v>
      </c>
      <c r="M11" s="1034">
        <v>9.8000000000000004E-2</v>
      </c>
      <c r="N11" s="1034">
        <v>9.1999999999999998E-2</v>
      </c>
      <c r="O11" s="1035">
        <v>9.1999999999999998E-2</v>
      </c>
      <c r="Q11" s="72" t="s">
        <v>67</v>
      </c>
      <c r="R11" s="1034">
        <v>0.34</v>
      </c>
      <c r="S11" s="1034">
        <v>0.30599999999999999</v>
      </c>
      <c r="T11" s="1034">
        <v>0.28899999999999998</v>
      </c>
      <c r="U11" s="1034">
        <v>0.254</v>
      </c>
      <c r="V11" s="1034">
        <v>0.23699999999999999</v>
      </c>
      <c r="W11" s="1034">
        <v>0.23699999999999999</v>
      </c>
      <c r="X11" s="222"/>
      <c r="Y11" s="78" t="s">
        <v>50</v>
      </c>
      <c r="Z11" s="75" t="s">
        <v>801</v>
      </c>
      <c r="AB11" s="582" t="s">
        <v>1294</v>
      </c>
      <c r="AC11" s="342" t="s">
        <v>1295</v>
      </c>
      <c r="AD11" s="1178">
        <v>0.55600000000000005</v>
      </c>
      <c r="AE11" s="603">
        <v>0.55600000000000005</v>
      </c>
      <c r="AF11" s="1179">
        <v>0.55600000000000005</v>
      </c>
      <c r="AG11" s="593" t="s">
        <v>28</v>
      </c>
      <c r="AH11" s="335">
        <v>4</v>
      </c>
      <c r="AJ11" s="240" t="s">
        <v>2072</v>
      </c>
      <c r="AK11" s="109" t="s">
        <v>1037</v>
      </c>
      <c r="AL11" s="1043" t="s">
        <v>2084</v>
      </c>
      <c r="AM11" s="403" t="s">
        <v>2125</v>
      </c>
      <c r="AN11" s="405" t="s">
        <v>2102</v>
      </c>
      <c r="AO11" s="114"/>
      <c r="AP11" s="1217" t="s">
        <v>1161</v>
      </c>
      <c r="AQ11" s="1215" t="s">
        <v>1031</v>
      </c>
      <c r="AS11" s="385"/>
      <c r="AT11" s="1134">
        <v>150000</v>
      </c>
      <c r="AU11" s="1033">
        <v>1.093</v>
      </c>
      <c r="AV11" s="1034">
        <v>1.093</v>
      </c>
      <c r="AW11" s="1034">
        <v>1.093</v>
      </c>
      <c r="AX11" s="1034">
        <v>1.137</v>
      </c>
      <c r="AY11" s="1034">
        <v>1.137</v>
      </c>
      <c r="AZ11" s="1035">
        <v>1.137</v>
      </c>
      <c r="BA11" s="1133">
        <v>1.1399999999999999</v>
      </c>
      <c r="BB11" s="1133">
        <v>1.1259999999999999</v>
      </c>
      <c r="BC11" s="1133">
        <v>1.1259999999999999</v>
      </c>
      <c r="BE11" s="1134">
        <v>50000</v>
      </c>
      <c r="BF11" s="1033">
        <v>1</v>
      </c>
      <c r="BG11" s="1034">
        <v>1</v>
      </c>
      <c r="BH11" s="1034">
        <v>1</v>
      </c>
      <c r="BI11" s="1034">
        <v>1</v>
      </c>
      <c r="BJ11" s="1034">
        <v>1</v>
      </c>
      <c r="BK11" s="1035">
        <v>1</v>
      </c>
      <c r="BL11" s="1133">
        <v>1</v>
      </c>
      <c r="BM11" s="1133">
        <v>1</v>
      </c>
      <c r="BN11" s="1133">
        <v>1</v>
      </c>
    </row>
    <row r="12" spans="1:66" ht="12.75" customHeight="1" x14ac:dyDescent="0.2">
      <c r="A12" s="64" t="s">
        <v>49</v>
      </c>
      <c r="B12" s="64" t="s">
        <v>18</v>
      </c>
      <c r="C12" s="64">
        <v>1</v>
      </c>
      <c r="D12" s="1033">
        <v>8.5000000000000006E-2</v>
      </c>
      <c r="E12" s="1034">
        <v>7.5999999999999998E-2</v>
      </c>
      <c r="F12" s="1034">
        <v>6.8000000000000005E-2</v>
      </c>
      <c r="G12" s="1034">
        <v>5.5E-2</v>
      </c>
      <c r="H12" s="1034">
        <v>5.0999999999999997E-2</v>
      </c>
      <c r="I12" s="1035">
        <v>5.0999999999999997E-2</v>
      </c>
      <c r="J12" s="1475">
        <v>9.4E-2</v>
      </c>
      <c r="K12" s="1034">
        <v>8.5000000000000006E-2</v>
      </c>
      <c r="L12" s="1034">
        <v>0.08</v>
      </c>
      <c r="M12" s="1034">
        <v>7.0999999999999994E-2</v>
      </c>
      <c r="N12" s="1034">
        <v>6.6000000000000003E-2</v>
      </c>
      <c r="O12" s="1035">
        <v>6.6000000000000003E-2</v>
      </c>
      <c r="Q12" s="72" t="s">
        <v>89</v>
      </c>
      <c r="R12" s="1034">
        <v>0.217</v>
      </c>
      <c r="S12" s="1034">
        <v>0.19400000000000001</v>
      </c>
      <c r="T12" s="1034">
        <v>0.184</v>
      </c>
      <c r="U12" s="1034">
        <v>0.16400000000000001</v>
      </c>
      <c r="V12" s="1034">
        <v>0.152</v>
      </c>
      <c r="W12" s="1034">
        <v>0.152</v>
      </c>
      <c r="X12" s="222"/>
      <c r="Y12" s="78" t="s">
        <v>51</v>
      </c>
      <c r="Z12" s="75" t="s">
        <v>802</v>
      </c>
      <c r="AB12" s="582" t="s">
        <v>1296</v>
      </c>
      <c r="AC12" s="342" t="s">
        <v>1297</v>
      </c>
      <c r="AD12" s="1178">
        <v>0.28599999999999998</v>
      </c>
      <c r="AE12" s="603">
        <v>0.28599999999999998</v>
      </c>
      <c r="AF12" s="1179">
        <v>0.28599999999999998</v>
      </c>
      <c r="AG12" s="593" t="s">
        <v>28</v>
      </c>
      <c r="AH12" s="335">
        <v>1</v>
      </c>
      <c r="AJ12" s="406" t="s">
        <v>2073</v>
      </c>
      <c r="AK12" s="44">
        <v>1</v>
      </c>
      <c r="AL12" s="1200" t="s">
        <v>1423</v>
      </c>
      <c r="AM12" s="1243">
        <v>0.23499999999999999</v>
      </c>
      <c r="AN12" s="1244">
        <v>0.85</v>
      </c>
      <c r="AO12" s="769"/>
      <c r="AP12" s="1214">
        <v>1</v>
      </c>
      <c r="AQ12" s="1214">
        <v>3</v>
      </c>
      <c r="AS12" s="266"/>
      <c r="AT12" s="1134">
        <v>175000</v>
      </c>
      <c r="AU12" s="1033">
        <v>1.0640000000000001</v>
      </c>
      <c r="AV12" s="1034">
        <v>1.0640000000000001</v>
      </c>
      <c r="AW12" s="1034">
        <v>1.0640000000000001</v>
      </c>
      <c r="AX12" s="1135">
        <v>1.0940000000000001</v>
      </c>
      <c r="AY12" s="1034">
        <v>1.0940000000000001</v>
      </c>
      <c r="AZ12" s="1035">
        <v>1.0940000000000001</v>
      </c>
      <c r="BA12" s="1133">
        <v>1.0960000000000001</v>
      </c>
      <c r="BB12" s="1133">
        <v>1.0860000000000001</v>
      </c>
      <c r="BC12" s="1133">
        <v>1.0860000000000001</v>
      </c>
      <c r="BE12" s="1134">
        <v>60000</v>
      </c>
      <c r="BF12" s="1033">
        <v>0.97199999999999998</v>
      </c>
      <c r="BG12" s="1034">
        <v>0.97199999999999998</v>
      </c>
      <c r="BH12" s="1034">
        <v>0.97199999999999998</v>
      </c>
      <c r="BI12" s="1135">
        <v>0.96799999999999997</v>
      </c>
      <c r="BJ12" s="1034">
        <v>0.96799999999999997</v>
      </c>
      <c r="BK12" s="1035">
        <v>0.96799999999999997</v>
      </c>
      <c r="BL12" s="1133">
        <v>0.95599999999999996</v>
      </c>
      <c r="BM12" s="1133">
        <v>0.94</v>
      </c>
      <c r="BN12" s="1133">
        <v>0.94</v>
      </c>
    </row>
    <row r="13" spans="1:66" ht="12.75" customHeight="1" x14ac:dyDescent="0.2">
      <c r="A13" s="64" t="s">
        <v>50</v>
      </c>
      <c r="B13" s="64" t="s">
        <v>18</v>
      </c>
      <c r="C13" s="64">
        <v>1</v>
      </c>
      <c r="D13" s="1033">
        <v>8.5000000000000006E-2</v>
      </c>
      <c r="E13" s="1034">
        <v>7.5999999999999998E-2</v>
      </c>
      <c r="F13" s="1034">
        <v>6.8000000000000005E-2</v>
      </c>
      <c r="G13" s="1034">
        <v>5.5E-2</v>
      </c>
      <c r="H13" s="1034">
        <v>5.0999999999999997E-2</v>
      </c>
      <c r="I13" s="1035">
        <v>5.0999999999999997E-2</v>
      </c>
      <c r="J13" s="1475">
        <v>9.4E-2</v>
      </c>
      <c r="K13" s="1034">
        <v>8.5000000000000006E-2</v>
      </c>
      <c r="L13" s="1034">
        <v>0.08</v>
      </c>
      <c r="M13" s="1034">
        <v>7.0999999999999994E-2</v>
      </c>
      <c r="N13" s="1034">
        <v>6.6000000000000003E-2</v>
      </c>
      <c r="O13" s="1035">
        <v>6.6000000000000003E-2</v>
      </c>
      <c r="Q13" s="72" t="s">
        <v>90</v>
      </c>
      <c r="R13" s="1034">
        <v>0.193</v>
      </c>
      <c r="S13" s="1034">
        <v>0.17399999999999999</v>
      </c>
      <c r="T13" s="1034">
        <v>0.16500000000000001</v>
      </c>
      <c r="U13" s="1034">
        <v>0.14499999999999999</v>
      </c>
      <c r="V13" s="1034">
        <v>0.13500000000000001</v>
      </c>
      <c r="W13" s="1034">
        <v>0.13500000000000001</v>
      </c>
      <c r="X13" s="222"/>
      <c r="Y13" s="78" t="s">
        <v>52</v>
      </c>
      <c r="Z13" s="75" t="s">
        <v>803</v>
      </c>
      <c r="AB13" s="582" t="s">
        <v>1298</v>
      </c>
      <c r="AC13" s="342" t="s">
        <v>1299</v>
      </c>
      <c r="AD13" s="1178">
        <v>1.6359999999999999</v>
      </c>
      <c r="AE13" s="603">
        <v>2.1760000000000002</v>
      </c>
      <c r="AF13" s="1179">
        <v>2.7160000000000002</v>
      </c>
      <c r="AG13" s="593" t="s">
        <v>28</v>
      </c>
      <c r="AH13" s="335">
        <v>4</v>
      </c>
      <c r="AJ13" s="406" t="s">
        <v>933</v>
      </c>
      <c r="AK13" s="44">
        <v>2</v>
      </c>
      <c r="AL13" s="1200" t="s">
        <v>933</v>
      </c>
      <c r="AM13" s="1243">
        <v>0.13500000000000001</v>
      </c>
      <c r="AN13" s="1244">
        <v>0.6</v>
      </c>
      <c r="AO13" s="769"/>
      <c r="AP13" s="1214">
        <v>2</v>
      </c>
      <c r="AQ13" s="1214">
        <v>3</v>
      </c>
      <c r="AS13" s="266"/>
      <c r="AT13" s="1134">
        <v>200000</v>
      </c>
      <c r="AU13" s="1033">
        <v>1.0389999999999999</v>
      </c>
      <c r="AV13" s="1034">
        <v>1.0389999999999999</v>
      </c>
      <c r="AW13" s="1034">
        <v>1.0389999999999999</v>
      </c>
      <c r="AX13" s="1034">
        <v>1.0580000000000001</v>
      </c>
      <c r="AY13" s="1034">
        <v>1.0580000000000001</v>
      </c>
      <c r="AZ13" s="1035">
        <v>1.0580000000000001</v>
      </c>
      <c r="BA13" s="1133">
        <v>1.0589999999999999</v>
      </c>
      <c r="BB13" s="1133">
        <v>1.0529999999999999</v>
      </c>
      <c r="BC13" s="1133">
        <v>1.0529999999999999</v>
      </c>
      <c r="BE13" s="1134">
        <v>70000</v>
      </c>
      <c r="BF13" s="1033">
        <v>0.94899999999999995</v>
      </c>
      <c r="BG13" s="1034">
        <v>0.94899999999999995</v>
      </c>
      <c r="BH13" s="1034">
        <v>0.94899999999999995</v>
      </c>
      <c r="BI13" s="1034">
        <v>0.94299999999999995</v>
      </c>
      <c r="BJ13" s="1034">
        <v>0.94299999999999995</v>
      </c>
      <c r="BK13" s="1035">
        <v>0.94299999999999995</v>
      </c>
      <c r="BL13" s="1133">
        <v>0.92</v>
      </c>
      <c r="BM13" s="1133">
        <v>0.89200000000000002</v>
      </c>
      <c r="BN13" s="1133">
        <v>0.89200000000000002</v>
      </c>
    </row>
    <row r="14" spans="1:66" ht="12.75" customHeight="1" x14ac:dyDescent="0.2">
      <c r="A14" s="64" t="s">
        <v>51</v>
      </c>
      <c r="B14" s="64" t="s">
        <v>18</v>
      </c>
      <c r="C14" s="64">
        <v>1</v>
      </c>
      <c r="D14" s="1033">
        <v>8.5000000000000006E-2</v>
      </c>
      <c r="E14" s="1034">
        <v>7.5999999999999998E-2</v>
      </c>
      <c r="F14" s="1034">
        <v>6.8000000000000005E-2</v>
      </c>
      <c r="G14" s="1034">
        <v>5.5E-2</v>
      </c>
      <c r="H14" s="1034">
        <v>5.0999999999999997E-2</v>
      </c>
      <c r="I14" s="1035">
        <v>5.0999999999999997E-2</v>
      </c>
      <c r="J14" s="1475">
        <v>9.4E-2</v>
      </c>
      <c r="K14" s="1034">
        <v>8.5000000000000006E-2</v>
      </c>
      <c r="L14" s="1034">
        <v>0.08</v>
      </c>
      <c r="M14" s="1034">
        <v>7.0999999999999994E-2</v>
      </c>
      <c r="N14" s="1034">
        <v>6.6000000000000003E-2</v>
      </c>
      <c r="O14" s="1035">
        <v>6.6000000000000003E-2</v>
      </c>
      <c r="Q14" s="72" t="s">
        <v>91</v>
      </c>
      <c r="R14" s="1034">
        <v>3.6999999999999998E-2</v>
      </c>
      <c r="S14" s="1034">
        <v>3.3000000000000002E-2</v>
      </c>
      <c r="T14" s="1034">
        <v>3.2000000000000001E-2</v>
      </c>
      <c r="U14" s="1034">
        <v>2.8000000000000001E-2</v>
      </c>
      <c r="V14" s="1034">
        <v>2.5999999999999999E-2</v>
      </c>
      <c r="W14" s="1034">
        <v>2.5999999999999999E-2</v>
      </c>
      <c r="X14" s="222"/>
      <c r="Y14" s="78" t="s">
        <v>53</v>
      </c>
      <c r="Z14" s="75" t="s">
        <v>804</v>
      </c>
      <c r="AB14" s="582">
        <v>5</v>
      </c>
      <c r="AC14" s="342" t="s">
        <v>1300</v>
      </c>
      <c r="AD14" s="1178">
        <v>0.16700000000000001</v>
      </c>
      <c r="AE14" s="603">
        <v>0.189</v>
      </c>
      <c r="AF14" s="1179">
        <v>0.20499999999999999</v>
      </c>
      <c r="AG14" s="593" t="s">
        <v>28</v>
      </c>
      <c r="AH14" s="335">
        <v>1</v>
      </c>
      <c r="AJ14" s="406" t="s">
        <v>2074</v>
      </c>
      <c r="AK14" s="44">
        <v>3</v>
      </c>
      <c r="AL14" s="1200" t="s">
        <v>2092</v>
      </c>
      <c r="AM14" s="1243">
        <v>0.22600000000000001</v>
      </c>
      <c r="AN14" s="1244">
        <v>0.6</v>
      </c>
      <c r="AO14" s="769"/>
      <c r="AP14" s="1214">
        <v>3</v>
      </c>
      <c r="AQ14" s="1214">
        <v>3</v>
      </c>
      <c r="AS14" s="385"/>
      <c r="AT14" s="1134">
        <v>225000</v>
      </c>
      <c r="AU14" s="1033">
        <v>1.018</v>
      </c>
      <c r="AV14" s="1034">
        <v>1.018</v>
      </c>
      <c r="AW14" s="1034">
        <v>1.018</v>
      </c>
      <c r="AX14" s="1034">
        <v>1.0269999999999999</v>
      </c>
      <c r="AY14" s="1034">
        <v>1.0269999999999999</v>
      </c>
      <c r="AZ14" s="1035">
        <v>1.0269999999999999</v>
      </c>
      <c r="BA14" s="1133">
        <v>1.0269999999999999</v>
      </c>
      <c r="BB14" s="1133">
        <v>1.0249999999999999</v>
      </c>
      <c r="BC14" s="1133">
        <v>1.0249999999999999</v>
      </c>
      <c r="BE14" s="1134">
        <v>80000</v>
      </c>
      <c r="BF14" s="1033">
        <v>0.92900000000000005</v>
      </c>
      <c r="BG14" s="1034">
        <v>0.92900000000000005</v>
      </c>
      <c r="BH14" s="1034">
        <v>0.92900000000000005</v>
      </c>
      <c r="BI14" s="1034">
        <v>0.92100000000000004</v>
      </c>
      <c r="BJ14" s="1034">
        <v>0.92100000000000004</v>
      </c>
      <c r="BK14" s="1035">
        <v>0.92100000000000004</v>
      </c>
      <c r="BL14" s="1133">
        <v>0.89100000000000001</v>
      </c>
      <c r="BM14" s="1133">
        <v>0.85199999999999998</v>
      </c>
      <c r="BN14" s="1133">
        <v>0.85199999999999998</v>
      </c>
    </row>
    <row r="15" spans="1:66" ht="12.75" customHeight="1" x14ac:dyDescent="0.2">
      <c r="A15" s="64" t="s">
        <v>52</v>
      </c>
      <c r="B15" s="64" t="s">
        <v>18</v>
      </c>
      <c r="C15" s="64">
        <v>1</v>
      </c>
      <c r="D15" s="1033">
        <v>0.34399999999999997</v>
      </c>
      <c r="E15" s="1034">
        <v>0.309</v>
      </c>
      <c r="F15" s="1034">
        <v>0.27500000000000002</v>
      </c>
      <c r="G15" s="1034">
        <v>0.223</v>
      </c>
      <c r="H15" s="1034">
        <v>0.20599999999999999</v>
      </c>
      <c r="I15" s="1035">
        <v>0.20599999999999999</v>
      </c>
      <c r="J15" s="1475">
        <v>0.38800000000000001</v>
      </c>
      <c r="K15" s="1034">
        <v>0.35</v>
      </c>
      <c r="L15" s="1034">
        <v>0.33</v>
      </c>
      <c r="M15" s="1034">
        <v>0.29199999999999998</v>
      </c>
      <c r="N15" s="1034">
        <v>0.27100000000000002</v>
      </c>
      <c r="O15" s="1035">
        <v>0.27100000000000002</v>
      </c>
      <c r="Q15" s="72" t="s">
        <v>92</v>
      </c>
      <c r="R15" s="1034">
        <v>0.05</v>
      </c>
      <c r="S15" s="1034">
        <v>4.4999999999999998E-2</v>
      </c>
      <c r="T15" s="1034">
        <v>4.2000000000000003E-2</v>
      </c>
      <c r="U15" s="1034">
        <v>3.6999999999999998E-2</v>
      </c>
      <c r="V15" s="1034">
        <v>3.4000000000000002E-2</v>
      </c>
      <c r="W15" s="1034">
        <v>3.4000000000000002E-2</v>
      </c>
      <c r="X15" s="222"/>
      <c r="Y15" s="78" t="s">
        <v>58</v>
      </c>
      <c r="Z15" s="75" t="s">
        <v>805</v>
      </c>
      <c r="AB15" s="582" t="s">
        <v>1301</v>
      </c>
      <c r="AC15" s="342" t="s">
        <v>1302</v>
      </c>
      <c r="AD15" s="1178">
        <v>5.5E-2</v>
      </c>
      <c r="AE15" s="603">
        <v>5.5E-2</v>
      </c>
      <c r="AF15" s="1179">
        <v>5.5E-2</v>
      </c>
      <c r="AG15" s="593" t="s">
        <v>28</v>
      </c>
      <c r="AH15" s="335">
        <v>8</v>
      </c>
      <c r="AJ15" s="406" t="s">
        <v>2075</v>
      </c>
      <c r="AK15" s="44">
        <v>4</v>
      </c>
      <c r="AL15" s="1200" t="s">
        <v>2093</v>
      </c>
      <c r="AM15" s="1243">
        <v>0.19800000000000001</v>
      </c>
      <c r="AN15" s="1244">
        <v>0.6</v>
      </c>
      <c r="AO15" s="769"/>
      <c r="AP15" s="1214">
        <v>4</v>
      </c>
      <c r="AQ15" s="1214">
        <v>3</v>
      </c>
      <c r="AS15" s="266"/>
      <c r="AT15" s="1134">
        <v>250000</v>
      </c>
      <c r="AU15" s="1033">
        <v>1</v>
      </c>
      <c r="AV15" s="1034">
        <v>1</v>
      </c>
      <c r="AW15" s="1034">
        <v>1</v>
      </c>
      <c r="AX15" s="1034">
        <v>1</v>
      </c>
      <c r="AY15" s="1034">
        <v>1</v>
      </c>
      <c r="AZ15" s="1035">
        <v>1</v>
      </c>
      <c r="BA15" s="1133">
        <v>1</v>
      </c>
      <c r="BB15" s="1133">
        <v>1</v>
      </c>
      <c r="BC15" s="1133">
        <v>1</v>
      </c>
      <c r="BE15" s="1134">
        <v>90000</v>
      </c>
      <c r="BF15" s="1033">
        <v>0.91200000000000003</v>
      </c>
      <c r="BG15" s="1034">
        <v>0.91200000000000003</v>
      </c>
      <c r="BH15" s="1034">
        <v>0.91200000000000003</v>
      </c>
      <c r="BI15" s="1034">
        <v>0.90200000000000002</v>
      </c>
      <c r="BJ15" s="1034">
        <v>0.90200000000000002</v>
      </c>
      <c r="BK15" s="1035">
        <v>0.90200000000000002</v>
      </c>
      <c r="BL15" s="1133">
        <v>0.86499999999999999</v>
      </c>
      <c r="BM15" s="1133">
        <v>0.81899999999999995</v>
      </c>
      <c r="BN15" s="1133">
        <v>0.81899999999999995</v>
      </c>
    </row>
    <row r="16" spans="1:66" ht="12.75" customHeight="1" x14ac:dyDescent="0.2">
      <c r="A16" s="64" t="s">
        <v>53</v>
      </c>
      <c r="B16" s="64" t="s">
        <v>18</v>
      </c>
      <c r="C16" s="64">
        <v>1</v>
      </c>
      <c r="D16" s="1033">
        <v>0.34399999999999997</v>
      </c>
      <c r="E16" s="1034">
        <v>0.309</v>
      </c>
      <c r="F16" s="1034">
        <v>0.27500000000000002</v>
      </c>
      <c r="G16" s="1034">
        <v>0.223</v>
      </c>
      <c r="H16" s="1034">
        <v>0.20599999999999999</v>
      </c>
      <c r="I16" s="1035">
        <v>0.20599999999999999</v>
      </c>
      <c r="J16" s="1475">
        <v>0.38800000000000001</v>
      </c>
      <c r="K16" s="1034">
        <v>0.35</v>
      </c>
      <c r="L16" s="1034">
        <v>0.33</v>
      </c>
      <c r="M16" s="1034">
        <v>0.29199999999999998</v>
      </c>
      <c r="N16" s="1034">
        <v>0.27100000000000002</v>
      </c>
      <c r="O16" s="1035">
        <v>0.27100000000000002</v>
      </c>
      <c r="Y16" s="78" t="s">
        <v>59</v>
      </c>
      <c r="Z16" s="75" t="s">
        <v>806</v>
      </c>
      <c r="AB16" s="582" t="s">
        <v>1303</v>
      </c>
      <c r="AC16" s="342" t="s">
        <v>1304</v>
      </c>
      <c r="AD16" s="1178">
        <v>0.502</v>
      </c>
      <c r="AE16" s="603">
        <v>0.66400000000000003</v>
      </c>
      <c r="AF16" s="1179">
        <v>0.82599999999999996</v>
      </c>
      <c r="AG16" s="593" t="s">
        <v>28</v>
      </c>
      <c r="AH16" s="335">
        <v>8</v>
      </c>
      <c r="AJ16" s="406" t="s">
        <v>2076</v>
      </c>
      <c r="AK16" s="44">
        <v>5</v>
      </c>
      <c r="AL16" s="1200" t="s">
        <v>2094</v>
      </c>
      <c r="AM16" s="1243">
        <v>0.14799999999999999</v>
      </c>
      <c r="AN16" s="1244">
        <v>0.6</v>
      </c>
      <c r="AO16" s="769"/>
      <c r="AP16" s="1214">
        <v>5</v>
      </c>
      <c r="AQ16" s="1214">
        <v>4</v>
      </c>
      <c r="AS16" s="266"/>
      <c r="AT16" s="1134">
        <v>275000</v>
      </c>
      <c r="AU16" s="1033">
        <v>0.98399999999999999</v>
      </c>
      <c r="AV16" s="1034">
        <v>0.98399999999999999</v>
      </c>
      <c r="AW16" s="1034">
        <v>0.98399999999999999</v>
      </c>
      <c r="AX16" s="1034">
        <v>0.97599999999999998</v>
      </c>
      <c r="AY16" s="1034">
        <v>0.97599999999999998</v>
      </c>
      <c r="AZ16" s="1035">
        <v>0.97599999999999998</v>
      </c>
      <c r="BA16" s="1133">
        <v>0.97599999999999998</v>
      </c>
      <c r="BB16" s="1133">
        <v>0.97799999999999998</v>
      </c>
      <c r="BC16" s="1133">
        <v>0.97799999999999998</v>
      </c>
      <c r="BE16" s="1134">
        <v>100000</v>
      </c>
      <c r="BF16" s="1033">
        <v>0.89800000000000002</v>
      </c>
      <c r="BG16" s="1034">
        <v>0.89800000000000002</v>
      </c>
      <c r="BH16" s="1034">
        <v>0.89800000000000002</v>
      </c>
      <c r="BI16" s="1034">
        <v>0.88500000000000001</v>
      </c>
      <c r="BJ16" s="1034">
        <v>0.88500000000000001</v>
      </c>
      <c r="BK16" s="1035">
        <v>0.88500000000000001</v>
      </c>
      <c r="BL16" s="1133">
        <v>0.84299999999999997</v>
      </c>
      <c r="BM16" s="1133">
        <v>0.79</v>
      </c>
      <c r="BN16" s="1133">
        <v>0.79</v>
      </c>
    </row>
    <row r="17" spans="1:66" ht="12.75" customHeight="1" x14ac:dyDescent="0.2">
      <c r="A17" s="64" t="s">
        <v>58</v>
      </c>
      <c r="B17" s="64" t="s">
        <v>18</v>
      </c>
      <c r="C17" s="64">
        <v>1</v>
      </c>
      <c r="D17" s="1033">
        <v>0.34399999999999997</v>
      </c>
      <c r="E17" s="1034">
        <v>0.309</v>
      </c>
      <c r="F17" s="1034">
        <v>0.27500000000000002</v>
      </c>
      <c r="G17" s="1034">
        <v>0.223</v>
      </c>
      <c r="H17" s="1034">
        <v>0.20599999999999999</v>
      </c>
      <c r="I17" s="1035">
        <v>0.20599999999999999</v>
      </c>
      <c r="J17" s="1475">
        <v>0.38800000000000001</v>
      </c>
      <c r="K17" s="1034">
        <v>0.35</v>
      </c>
      <c r="L17" s="1034">
        <v>0.33</v>
      </c>
      <c r="M17" s="1034">
        <v>0.29199999999999998</v>
      </c>
      <c r="N17" s="1034">
        <v>0.27100000000000002</v>
      </c>
      <c r="O17" s="1035">
        <v>0.27100000000000002</v>
      </c>
      <c r="Y17" s="78" t="s">
        <v>60</v>
      </c>
      <c r="Z17" s="75" t="s">
        <v>807</v>
      </c>
      <c r="AB17" s="582" t="s">
        <v>1305</v>
      </c>
      <c r="AC17" s="342" t="s">
        <v>1306</v>
      </c>
      <c r="AD17" s="1178">
        <v>0.51300000000000001</v>
      </c>
      <c r="AE17" s="603">
        <v>0.51300000000000001</v>
      </c>
      <c r="AF17" s="1179">
        <v>0.51300000000000001</v>
      </c>
      <c r="AG17" s="593" t="s">
        <v>28</v>
      </c>
      <c r="AH17" s="335">
        <v>4</v>
      </c>
      <c r="AJ17" s="406" t="s">
        <v>2077</v>
      </c>
      <c r="AK17" s="44">
        <v>6</v>
      </c>
      <c r="AL17" s="1200" t="s">
        <v>2085</v>
      </c>
      <c r="AM17" s="1243">
        <v>0.113</v>
      </c>
      <c r="AN17" s="1244">
        <v>0.85</v>
      </c>
      <c r="AO17" s="769"/>
      <c r="AP17" s="1214">
        <v>6</v>
      </c>
      <c r="AQ17" s="1214">
        <v>4</v>
      </c>
      <c r="AS17" s="266"/>
      <c r="AT17" s="1134">
        <v>300000</v>
      </c>
      <c r="AU17" s="1033">
        <v>0.96899999999999997</v>
      </c>
      <c r="AV17" s="1034">
        <v>0.96899999999999997</v>
      </c>
      <c r="AW17" s="1034">
        <v>0.96899999999999997</v>
      </c>
      <c r="AX17" s="1034">
        <v>0.95499999999999996</v>
      </c>
      <c r="AY17" s="1034">
        <v>0.95499999999999996</v>
      </c>
      <c r="AZ17" s="1035">
        <v>0.95499999999999996</v>
      </c>
      <c r="BA17" s="1133">
        <v>0.95399999999999996</v>
      </c>
      <c r="BB17" s="1133">
        <v>0.95899999999999996</v>
      </c>
      <c r="BC17" s="1133">
        <v>0.95899999999999996</v>
      </c>
      <c r="BE17" s="1134">
        <v>125000</v>
      </c>
      <c r="BF17" s="1033">
        <v>0.86699999999999999</v>
      </c>
      <c r="BG17" s="1034">
        <v>0.86699999999999999</v>
      </c>
      <c r="BH17" s="1034">
        <v>0.86699999999999999</v>
      </c>
      <c r="BI17" s="1034">
        <v>0.85099999999999998</v>
      </c>
      <c r="BJ17" s="1034">
        <v>0.85099999999999998</v>
      </c>
      <c r="BK17" s="1035">
        <v>0.85099999999999998</v>
      </c>
      <c r="BL17" s="1133">
        <v>0.79800000000000004</v>
      </c>
      <c r="BM17" s="1133">
        <v>0.73199999999999998</v>
      </c>
      <c r="BN17" s="1133">
        <v>0.73199999999999998</v>
      </c>
    </row>
    <row r="18" spans="1:66" ht="12.75" customHeight="1" x14ac:dyDescent="0.2">
      <c r="A18" s="64" t="s">
        <v>59</v>
      </c>
      <c r="B18" s="64" t="s">
        <v>18</v>
      </c>
      <c r="C18" s="64">
        <v>1</v>
      </c>
      <c r="D18" s="1033">
        <v>0.52900000000000003</v>
      </c>
      <c r="E18" s="1034">
        <v>0.47799999999999998</v>
      </c>
      <c r="F18" s="1034">
        <v>0.42299999999999999</v>
      </c>
      <c r="G18" s="1034">
        <v>0.34399999999999997</v>
      </c>
      <c r="H18" s="1034">
        <v>0.316</v>
      </c>
      <c r="I18" s="1035">
        <v>0.316</v>
      </c>
      <c r="J18" s="1475" t="s">
        <v>82</v>
      </c>
      <c r="K18" s="1034" t="s">
        <v>82</v>
      </c>
      <c r="L18" s="1034" t="s">
        <v>82</v>
      </c>
      <c r="M18" s="1034" t="s">
        <v>82</v>
      </c>
      <c r="N18" s="1034" t="s">
        <v>82</v>
      </c>
      <c r="O18" s="1035" t="s">
        <v>82</v>
      </c>
      <c r="Q18" s="60" t="s">
        <v>366</v>
      </c>
      <c r="W18" s="171" t="s">
        <v>987</v>
      </c>
      <c r="X18" s="171"/>
      <c r="Y18" s="78" t="s">
        <v>61</v>
      </c>
      <c r="Z18" s="75" t="s">
        <v>808</v>
      </c>
      <c r="AB18" s="582" t="s">
        <v>1307</v>
      </c>
      <c r="AC18" s="342" t="s">
        <v>1308</v>
      </c>
      <c r="AD18" s="1178">
        <v>1.1879999999999999</v>
      </c>
      <c r="AE18" s="603">
        <v>1.1879999999999999</v>
      </c>
      <c r="AF18" s="1179">
        <v>1.1879999999999999</v>
      </c>
      <c r="AG18" s="593" t="s">
        <v>28</v>
      </c>
      <c r="AH18" s="335">
        <v>8</v>
      </c>
      <c r="AJ18" s="406" t="s">
        <v>2078</v>
      </c>
      <c r="AK18" s="44">
        <v>7</v>
      </c>
      <c r="AL18" s="1200" t="s">
        <v>2086</v>
      </c>
      <c r="AM18" s="1243">
        <v>0.10299999999999999</v>
      </c>
      <c r="AN18" s="1244">
        <v>0.6</v>
      </c>
      <c r="AO18" s="769"/>
      <c r="AP18" s="1214">
        <v>7</v>
      </c>
      <c r="AQ18" s="1214">
        <v>4</v>
      </c>
      <c r="AS18" s="386"/>
      <c r="AT18" s="1134">
        <v>325000</v>
      </c>
      <c r="AU18" s="1033">
        <v>0.95599999999999996</v>
      </c>
      <c r="AV18" s="1034">
        <v>0.95599999999999996</v>
      </c>
      <c r="AW18" s="1034">
        <v>0.95599999999999996</v>
      </c>
      <c r="AX18" s="1034">
        <v>0.93600000000000005</v>
      </c>
      <c r="AY18" s="1034">
        <v>0.93600000000000005</v>
      </c>
      <c r="AZ18" s="1035">
        <v>0.93600000000000005</v>
      </c>
      <c r="BA18" s="1133">
        <v>0.93500000000000005</v>
      </c>
      <c r="BB18" s="1133">
        <v>0.94099999999999995</v>
      </c>
      <c r="BC18" s="1133">
        <v>0.94099999999999995</v>
      </c>
      <c r="BE18" s="1134">
        <v>150000</v>
      </c>
      <c r="BF18" s="1033">
        <v>0.84199999999999997</v>
      </c>
      <c r="BG18" s="1034">
        <v>0.84199999999999997</v>
      </c>
      <c r="BH18" s="1034">
        <v>0.84199999999999997</v>
      </c>
      <c r="BI18" s="1034">
        <v>0.82399999999999995</v>
      </c>
      <c r="BJ18" s="1034">
        <v>0.82399999999999995</v>
      </c>
      <c r="BK18" s="1035">
        <v>0.82399999999999995</v>
      </c>
      <c r="BL18" s="1133">
        <v>0.76300000000000001</v>
      </c>
      <c r="BM18" s="1133">
        <v>0.68799999999999994</v>
      </c>
      <c r="BN18" s="1133">
        <v>0.68799999999999994</v>
      </c>
    </row>
    <row r="19" spans="1:66" ht="12.75" customHeight="1" x14ac:dyDescent="0.2">
      <c r="A19" s="64" t="s">
        <v>60</v>
      </c>
      <c r="B19" s="64" t="s">
        <v>18</v>
      </c>
      <c r="C19" s="64">
        <v>1</v>
      </c>
      <c r="D19" s="1033">
        <v>0.52900000000000003</v>
      </c>
      <c r="E19" s="1034">
        <v>0.47799999999999998</v>
      </c>
      <c r="F19" s="1034">
        <v>0.42299999999999999</v>
      </c>
      <c r="G19" s="1034">
        <v>0.34399999999999997</v>
      </c>
      <c r="H19" s="1034">
        <v>0.316</v>
      </c>
      <c r="I19" s="1035">
        <v>0.316</v>
      </c>
      <c r="J19" s="1475" t="s">
        <v>82</v>
      </c>
      <c r="K19" s="1034" t="s">
        <v>82</v>
      </c>
      <c r="L19" s="1034" t="s">
        <v>82</v>
      </c>
      <c r="M19" s="1034" t="s">
        <v>82</v>
      </c>
      <c r="N19" s="1034" t="s">
        <v>82</v>
      </c>
      <c r="O19" s="1035" t="s">
        <v>82</v>
      </c>
      <c r="Q19" s="69" t="s">
        <v>28</v>
      </c>
      <c r="R19" s="66" t="s">
        <v>1870</v>
      </c>
      <c r="S19" s="66" t="s">
        <v>360</v>
      </c>
      <c r="T19" s="66" t="s">
        <v>361</v>
      </c>
      <c r="U19" s="66" t="s">
        <v>362</v>
      </c>
      <c r="V19" s="66" t="s">
        <v>40</v>
      </c>
      <c r="W19" s="70" t="s">
        <v>41</v>
      </c>
      <c r="X19" s="180"/>
      <c r="Y19" s="78" t="s">
        <v>62</v>
      </c>
      <c r="Z19" s="75" t="s">
        <v>809</v>
      </c>
      <c r="AB19" s="582">
        <v>8</v>
      </c>
      <c r="AC19" s="342" t="s">
        <v>1309</v>
      </c>
      <c r="AD19" s="1178">
        <v>0.502</v>
      </c>
      <c r="AE19" s="603">
        <v>0.66400000000000003</v>
      </c>
      <c r="AF19" s="1179">
        <v>0.82599999999999996</v>
      </c>
      <c r="AG19" s="593" t="s">
        <v>28</v>
      </c>
      <c r="AH19" s="335">
        <v>1</v>
      </c>
      <c r="AJ19" s="406" t="s">
        <v>2080</v>
      </c>
      <c r="AK19" s="44">
        <v>8</v>
      </c>
      <c r="AL19" s="1200" t="s">
        <v>2087</v>
      </c>
      <c r="AM19" s="1243">
        <v>7.3999999999999996E-2</v>
      </c>
      <c r="AN19" s="1244">
        <v>0.6</v>
      </c>
      <c r="AO19" s="769"/>
      <c r="AP19" s="1214">
        <v>8</v>
      </c>
      <c r="AQ19" s="1214">
        <v>4</v>
      </c>
      <c r="AS19" s="387"/>
      <c r="AT19" s="1134">
        <v>350000</v>
      </c>
      <c r="AU19" s="1033">
        <v>0.94299999999999995</v>
      </c>
      <c r="AV19" s="1034">
        <v>0.94299999999999995</v>
      </c>
      <c r="AW19" s="1034">
        <v>0.94299999999999995</v>
      </c>
      <c r="AX19" s="1034">
        <v>0.91900000000000004</v>
      </c>
      <c r="AY19" s="1034">
        <v>0.91900000000000004</v>
      </c>
      <c r="AZ19" s="1035">
        <v>0.91900000000000004</v>
      </c>
      <c r="BA19" s="1133">
        <v>0.91700000000000004</v>
      </c>
      <c r="BB19" s="1133">
        <v>0.92500000000000004</v>
      </c>
      <c r="BC19" s="1133">
        <v>0.92500000000000004</v>
      </c>
      <c r="BE19" s="1134">
        <v>175000</v>
      </c>
      <c r="BF19" s="1033">
        <v>0.82199999999999995</v>
      </c>
      <c r="BG19" s="1034">
        <v>0.82199999999999995</v>
      </c>
      <c r="BH19" s="1034">
        <v>0.82199999999999995</v>
      </c>
      <c r="BI19" s="1034">
        <v>0.80200000000000005</v>
      </c>
      <c r="BJ19" s="1034">
        <v>0.80200000000000005</v>
      </c>
      <c r="BK19" s="1035">
        <v>0.80200000000000005</v>
      </c>
      <c r="BL19" s="1133">
        <v>0.73399999999999999</v>
      </c>
      <c r="BM19" s="1133">
        <v>0.65300000000000002</v>
      </c>
      <c r="BN19" s="1133">
        <v>0.65300000000000002</v>
      </c>
    </row>
    <row r="20" spans="1:66" ht="12.75" customHeight="1" x14ac:dyDescent="0.2">
      <c r="A20" s="64" t="s">
        <v>61</v>
      </c>
      <c r="B20" s="64" t="s">
        <v>18</v>
      </c>
      <c r="C20" s="64">
        <v>1</v>
      </c>
      <c r="D20" s="1033">
        <v>0.52900000000000003</v>
      </c>
      <c r="E20" s="1034">
        <v>0.47799999999999998</v>
      </c>
      <c r="F20" s="1034">
        <v>0.42299999999999999</v>
      </c>
      <c r="G20" s="1034">
        <v>0.34399999999999997</v>
      </c>
      <c r="H20" s="1034">
        <v>0.316</v>
      </c>
      <c r="I20" s="1035">
        <v>0.316</v>
      </c>
      <c r="J20" s="1475" t="s">
        <v>82</v>
      </c>
      <c r="K20" s="1034" t="s">
        <v>82</v>
      </c>
      <c r="L20" s="1034" t="s">
        <v>82</v>
      </c>
      <c r="M20" s="1034" t="s">
        <v>82</v>
      </c>
      <c r="N20" s="1034" t="s">
        <v>82</v>
      </c>
      <c r="O20" s="1035" t="s">
        <v>82</v>
      </c>
      <c r="Q20" s="47" t="s">
        <v>57</v>
      </c>
      <c r="R20" s="66">
        <v>1</v>
      </c>
      <c r="S20" s="66">
        <v>2</v>
      </c>
      <c r="T20" s="66">
        <v>3</v>
      </c>
      <c r="U20" s="66">
        <v>4</v>
      </c>
      <c r="V20" s="66">
        <v>5</v>
      </c>
      <c r="W20" s="66">
        <v>6</v>
      </c>
      <c r="X20" s="221"/>
      <c r="Y20" s="78" t="s">
        <v>63</v>
      </c>
      <c r="Z20" s="75" t="s">
        <v>810</v>
      </c>
      <c r="AB20" s="582">
        <v>9</v>
      </c>
      <c r="AC20" s="342" t="s">
        <v>1310</v>
      </c>
      <c r="AD20" s="1178">
        <v>0.502</v>
      </c>
      <c r="AE20" s="603">
        <v>0.66400000000000003</v>
      </c>
      <c r="AF20" s="1179">
        <v>0.82599999999999996</v>
      </c>
      <c r="AG20" s="593" t="s">
        <v>28</v>
      </c>
      <c r="AH20" s="335">
        <v>2</v>
      </c>
      <c r="AJ20" s="406" t="s">
        <v>2079</v>
      </c>
      <c r="AK20" s="44">
        <v>9</v>
      </c>
      <c r="AL20" s="1200" t="s">
        <v>2088</v>
      </c>
      <c r="AM20" s="1243">
        <v>0.17699999999999999</v>
      </c>
      <c r="AN20" s="1244">
        <v>0.6</v>
      </c>
      <c r="AO20" s="769"/>
      <c r="AP20" s="1214">
        <v>9</v>
      </c>
      <c r="AQ20" s="1214">
        <v>5</v>
      </c>
      <c r="AS20" s="266"/>
      <c r="AT20" s="1134">
        <v>375000</v>
      </c>
      <c r="AU20" s="1033">
        <v>0.93200000000000005</v>
      </c>
      <c r="AV20" s="1034">
        <v>0.93200000000000005</v>
      </c>
      <c r="AW20" s="1034">
        <v>0.93200000000000005</v>
      </c>
      <c r="AX20" s="1034">
        <v>0.90300000000000002</v>
      </c>
      <c r="AY20" s="1034">
        <v>0.90300000000000002</v>
      </c>
      <c r="AZ20" s="1035">
        <v>0.90300000000000002</v>
      </c>
      <c r="BA20" s="1133">
        <v>0.90100000000000002</v>
      </c>
      <c r="BB20" s="1133">
        <v>0.91</v>
      </c>
      <c r="BC20" s="1133">
        <v>0.91</v>
      </c>
      <c r="BE20" s="1134">
        <v>200000</v>
      </c>
      <c r="BF20" s="1033">
        <v>0.80600000000000005</v>
      </c>
      <c r="BG20" s="1034">
        <v>0.80600000000000005</v>
      </c>
      <c r="BH20" s="1034">
        <v>0.80600000000000005</v>
      </c>
      <c r="BI20" s="1034">
        <v>0.78300000000000003</v>
      </c>
      <c r="BJ20" s="1034">
        <v>0.78300000000000003</v>
      </c>
      <c r="BK20" s="1035">
        <v>0.78300000000000003</v>
      </c>
      <c r="BL20" s="1133">
        <v>0.71</v>
      </c>
      <c r="BM20" s="1133">
        <v>0.624</v>
      </c>
      <c r="BN20" s="1133">
        <v>0.624</v>
      </c>
    </row>
    <row r="21" spans="1:66" ht="12.75" customHeight="1" x14ac:dyDescent="0.2">
      <c r="A21" s="64" t="s">
        <v>62</v>
      </c>
      <c r="B21" s="64" t="s">
        <v>18</v>
      </c>
      <c r="C21" s="64">
        <v>1</v>
      </c>
      <c r="D21" s="1033">
        <v>0.192</v>
      </c>
      <c r="E21" s="1034">
        <v>0.17199999999999999</v>
      </c>
      <c r="F21" s="1034">
        <v>0.155</v>
      </c>
      <c r="G21" s="1034">
        <v>0.124</v>
      </c>
      <c r="H21" s="1034">
        <v>0.11700000000000001</v>
      </c>
      <c r="I21" s="1035">
        <v>0.11700000000000001</v>
      </c>
      <c r="J21" s="1475">
        <v>0.16800000000000001</v>
      </c>
      <c r="K21" s="1034">
        <v>0.151</v>
      </c>
      <c r="L21" s="1034">
        <v>0.14399999999999999</v>
      </c>
      <c r="M21" s="1034">
        <v>0.127</v>
      </c>
      <c r="N21" s="1034">
        <v>0.11700000000000001</v>
      </c>
      <c r="O21" s="1035">
        <v>0.11700000000000001</v>
      </c>
      <c r="Q21" s="72" t="s">
        <v>59</v>
      </c>
      <c r="R21" s="1034">
        <v>0.92100000000000004</v>
      </c>
      <c r="S21" s="1034">
        <v>0.82799999999999996</v>
      </c>
      <c r="T21" s="1034">
        <v>0.78300000000000003</v>
      </c>
      <c r="U21" s="1034">
        <v>0.69099999999999995</v>
      </c>
      <c r="V21" s="1034">
        <v>0.64600000000000002</v>
      </c>
      <c r="W21" s="1034">
        <v>0.64600000000000002</v>
      </c>
      <c r="X21" s="222"/>
      <c r="Y21" s="78" t="s">
        <v>64</v>
      </c>
      <c r="Z21" s="75" t="s">
        <v>811</v>
      </c>
      <c r="AB21" s="582" t="s">
        <v>1311</v>
      </c>
      <c r="AC21" s="342" t="s">
        <v>1312</v>
      </c>
      <c r="AD21" s="1178">
        <v>4.9000000000000002E-2</v>
      </c>
      <c r="AE21" s="603">
        <v>4.9000000000000002E-2</v>
      </c>
      <c r="AF21" s="1179">
        <v>4.9000000000000002E-2</v>
      </c>
      <c r="AG21" s="593" t="s">
        <v>18</v>
      </c>
      <c r="AH21" s="335">
        <v>2</v>
      </c>
      <c r="AJ21" s="406" t="s">
        <v>2081</v>
      </c>
      <c r="AK21" s="44">
        <v>10</v>
      </c>
      <c r="AL21" s="1200" t="s">
        <v>2089</v>
      </c>
      <c r="AM21" s="1243">
        <v>0.13300000000000001</v>
      </c>
      <c r="AN21" s="1244">
        <v>0.6</v>
      </c>
      <c r="AO21" s="769"/>
      <c r="AP21" s="1214">
        <v>10</v>
      </c>
      <c r="AQ21" s="1214">
        <v>5</v>
      </c>
      <c r="AS21" s="266"/>
      <c r="AT21" s="1134">
        <v>400000</v>
      </c>
      <c r="AU21" s="1033">
        <v>0.92200000000000004</v>
      </c>
      <c r="AV21" s="1034">
        <v>0.92200000000000004</v>
      </c>
      <c r="AW21" s="1034">
        <v>0.92200000000000004</v>
      </c>
      <c r="AX21" s="1034">
        <v>0.88900000000000001</v>
      </c>
      <c r="AY21" s="1034">
        <v>0.88900000000000001</v>
      </c>
      <c r="AZ21" s="1035">
        <v>0.88900000000000001</v>
      </c>
      <c r="BA21" s="1133">
        <v>0.88600000000000001</v>
      </c>
      <c r="BB21" s="1133">
        <v>0.89700000000000002</v>
      </c>
      <c r="BC21" s="1133">
        <v>0.89700000000000002</v>
      </c>
      <c r="BE21" s="1134">
        <v>225000</v>
      </c>
      <c r="BF21" s="1033">
        <v>0.79100000000000004</v>
      </c>
      <c r="BG21" s="1034">
        <v>0.79100000000000004</v>
      </c>
      <c r="BH21" s="1034">
        <v>0.79100000000000004</v>
      </c>
      <c r="BI21" s="1034">
        <v>0.76700000000000002</v>
      </c>
      <c r="BJ21" s="1034">
        <v>0.76700000000000002</v>
      </c>
      <c r="BK21" s="1035">
        <v>0.76700000000000002</v>
      </c>
      <c r="BL21" s="1133">
        <v>0.69</v>
      </c>
      <c r="BM21" s="1133">
        <v>0.6</v>
      </c>
      <c r="BN21" s="1133">
        <v>0.6</v>
      </c>
    </row>
    <row r="22" spans="1:66" ht="12.75" customHeight="1" x14ac:dyDescent="0.2">
      <c r="A22" s="64" t="s">
        <v>63</v>
      </c>
      <c r="B22" s="64" t="s">
        <v>18</v>
      </c>
      <c r="C22" s="64">
        <v>1</v>
      </c>
      <c r="D22" s="1033">
        <v>0.192</v>
      </c>
      <c r="E22" s="1034">
        <v>0.17199999999999999</v>
      </c>
      <c r="F22" s="1034">
        <v>0.155</v>
      </c>
      <c r="G22" s="1034">
        <v>0.124</v>
      </c>
      <c r="H22" s="1034">
        <v>0.11700000000000001</v>
      </c>
      <c r="I22" s="1035">
        <v>0.11700000000000001</v>
      </c>
      <c r="J22" s="1475">
        <v>0.16800000000000001</v>
      </c>
      <c r="K22" s="1034">
        <v>0.151</v>
      </c>
      <c r="L22" s="1034">
        <v>0.14399999999999999</v>
      </c>
      <c r="M22" s="1034">
        <v>0.127</v>
      </c>
      <c r="N22" s="1034">
        <v>0.11700000000000001</v>
      </c>
      <c r="O22" s="1035">
        <v>0.11700000000000001</v>
      </c>
      <c r="Q22" s="72" t="s">
        <v>60</v>
      </c>
      <c r="R22" s="1034">
        <v>0.92100000000000004</v>
      </c>
      <c r="S22" s="1034">
        <v>0.82799999999999996</v>
      </c>
      <c r="T22" s="1034">
        <v>0.78300000000000003</v>
      </c>
      <c r="U22" s="1034">
        <v>0.69099999999999995</v>
      </c>
      <c r="V22" s="1034">
        <v>0.64600000000000002</v>
      </c>
      <c r="W22" s="1034">
        <v>0.64600000000000002</v>
      </c>
      <c r="X22" s="222"/>
      <c r="Y22" s="78" t="s">
        <v>65</v>
      </c>
      <c r="Z22" s="75" t="s">
        <v>812</v>
      </c>
      <c r="AB22" s="582" t="s">
        <v>1313</v>
      </c>
      <c r="AC22" s="342" t="s">
        <v>1314</v>
      </c>
      <c r="AD22" s="1178">
        <v>0.152</v>
      </c>
      <c r="AE22" s="603">
        <v>0.152</v>
      </c>
      <c r="AF22" s="1179">
        <v>0.152</v>
      </c>
      <c r="AG22" s="593" t="s">
        <v>1002</v>
      </c>
      <c r="AH22" s="335">
        <v>3</v>
      </c>
      <c r="AJ22" s="406" t="s">
        <v>2082</v>
      </c>
      <c r="AK22" s="44">
        <v>11</v>
      </c>
      <c r="AL22" s="1200" t="s">
        <v>2090</v>
      </c>
      <c r="AM22" s="1243">
        <v>0.16</v>
      </c>
      <c r="AN22" s="1244">
        <v>0.6</v>
      </c>
      <c r="AO22" s="769"/>
      <c r="AP22" s="732"/>
      <c r="AS22" s="266"/>
      <c r="AT22" s="1134">
        <v>425000</v>
      </c>
      <c r="AU22" s="1033">
        <v>0.91200000000000003</v>
      </c>
      <c r="AV22" s="1034">
        <v>0.91200000000000003</v>
      </c>
      <c r="AW22" s="1034">
        <v>0.91200000000000003</v>
      </c>
      <c r="AX22" s="1034">
        <v>0.875</v>
      </c>
      <c r="AY22" s="1034">
        <v>0.875</v>
      </c>
      <c r="AZ22" s="1035">
        <v>0.875</v>
      </c>
      <c r="BA22" s="1133">
        <v>0.872</v>
      </c>
      <c r="BB22" s="1133">
        <v>0.88400000000000001</v>
      </c>
      <c r="BC22" s="1133">
        <v>0.88400000000000001</v>
      </c>
      <c r="BE22" s="1134">
        <v>250000</v>
      </c>
      <c r="BF22" s="1033">
        <v>0.77800000000000002</v>
      </c>
      <c r="BG22" s="1034">
        <v>0.77800000000000002</v>
      </c>
      <c r="BH22" s="1034">
        <v>0.77800000000000002</v>
      </c>
      <c r="BI22" s="1034">
        <v>0.753</v>
      </c>
      <c r="BJ22" s="1034">
        <v>0.753</v>
      </c>
      <c r="BK22" s="1035">
        <v>0.753</v>
      </c>
      <c r="BL22" s="1133">
        <v>0.67200000000000004</v>
      </c>
      <c r="BM22" s="1133">
        <v>0.57899999999999996</v>
      </c>
      <c r="BN22" s="1133">
        <v>0.57899999999999996</v>
      </c>
    </row>
    <row r="23" spans="1:66" ht="12.75" customHeight="1" x14ac:dyDescent="0.2">
      <c r="A23" s="64" t="s">
        <v>64</v>
      </c>
      <c r="B23" s="64" t="s">
        <v>18</v>
      </c>
      <c r="C23" s="64">
        <v>1</v>
      </c>
      <c r="D23" s="1033">
        <v>0.192</v>
      </c>
      <c r="E23" s="1034">
        <v>0.17199999999999999</v>
      </c>
      <c r="F23" s="1034">
        <v>0.155</v>
      </c>
      <c r="G23" s="1034">
        <v>0.124</v>
      </c>
      <c r="H23" s="1034">
        <v>0.11700000000000001</v>
      </c>
      <c r="I23" s="1035">
        <v>0.11700000000000001</v>
      </c>
      <c r="J23" s="1475">
        <v>0.16800000000000001</v>
      </c>
      <c r="K23" s="1034">
        <v>0.151</v>
      </c>
      <c r="L23" s="1034">
        <v>0.14399999999999999</v>
      </c>
      <c r="M23" s="1034">
        <v>0.127</v>
      </c>
      <c r="N23" s="1034">
        <v>0.11700000000000001</v>
      </c>
      <c r="O23" s="1035">
        <v>0.11700000000000001</v>
      </c>
      <c r="Q23" s="72" t="s">
        <v>61</v>
      </c>
      <c r="R23" s="1034">
        <v>0.92100000000000004</v>
      </c>
      <c r="S23" s="1034">
        <v>0.82799999999999996</v>
      </c>
      <c r="T23" s="1034">
        <v>0.78300000000000003</v>
      </c>
      <c r="U23" s="1034">
        <v>0.69099999999999995</v>
      </c>
      <c r="V23" s="1034">
        <v>0.64600000000000002</v>
      </c>
      <c r="W23" s="1034">
        <v>0.64600000000000002</v>
      </c>
      <c r="X23" s="222"/>
      <c r="Y23" s="78" t="s">
        <v>66</v>
      </c>
      <c r="Z23" s="75" t="s">
        <v>813</v>
      </c>
      <c r="AB23" s="582" t="s">
        <v>1315</v>
      </c>
      <c r="AC23" s="342" t="s">
        <v>1316</v>
      </c>
      <c r="AD23" s="1178">
        <v>0.44800000000000001</v>
      </c>
      <c r="AE23" s="603">
        <v>0.502</v>
      </c>
      <c r="AF23" s="1179">
        <v>0.55600000000000005</v>
      </c>
      <c r="AG23" s="593" t="s">
        <v>28</v>
      </c>
      <c r="AH23" s="335">
        <v>4</v>
      </c>
      <c r="AJ23" s="406" t="s">
        <v>2083</v>
      </c>
      <c r="AK23" s="44">
        <v>12</v>
      </c>
      <c r="AL23" s="1200" t="s">
        <v>2091</v>
      </c>
      <c r="AM23" s="1243">
        <v>0.12</v>
      </c>
      <c r="AN23" s="1244">
        <v>0.6</v>
      </c>
      <c r="AO23" s="769"/>
      <c r="AP23" s="732"/>
      <c r="AT23" s="1134">
        <v>450000</v>
      </c>
      <c r="AU23" s="1033">
        <v>0.90300000000000002</v>
      </c>
      <c r="AV23" s="1034">
        <v>0.90300000000000002</v>
      </c>
      <c r="AW23" s="1034">
        <v>0.90300000000000002</v>
      </c>
      <c r="AX23" s="1034">
        <v>0.86299999999999999</v>
      </c>
      <c r="AY23" s="1034">
        <v>0.86299999999999999</v>
      </c>
      <c r="AZ23" s="1035">
        <v>0.86299999999999999</v>
      </c>
      <c r="BA23" s="1133">
        <v>0.86</v>
      </c>
      <c r="BB23" s="1133">
        <v>0.873</v>
      </c>
      <c r="BC23" s="1133">
        <v>0.873</v>
      </c>
      <c r="BE23" s="1134">
        <v>275000</v>
      </c>
      <c r="BF23" s="1033">
        <v>0.76600000000000001</v>
      </c>
      <c r="BG23" s="1034">
        <v>0.76600000000000001</v>
      </c>
      <c r="BH23" s="1034">
        <v>0.76600000000000001</v>
      </c>
      <c r="BI23" s="1034">
        <v>0.74099999999999999</v>
      </c>
      <c r="BJ23" s="1034">
        <v>0.74099999999999999</v>
      </c>
      <c r="BK23" s="1035">
        <v>0.74099999999999999</v>
      </c>
      <c r="BL23" s="1133">
        <v>0.65700000000000003</v>
      </c>
      <c r="BM23" s="1133">
        <v>0.56000000000000005</v>
      </c>
      <c r="BN23" s="1133">
        <v>0.56000000000000005</v>
      </c>
    </row>
    <row r="24" spans="1:66" ht="12.75" customHeight="1" thickBot="1" x14ac:dyDescent="0.25">
      <c r="A24" s="64" t="s">
        <v>65</v>
      </c>
      <c r="B24" s="64" t="s">
        <v>18</v>
      </c>
      <c r="C24" s="64">
        <v>1</v>
      </c>
      <c r="D24" s="1033">
        <v>0.29899999999999999</v>
      </c>
      <c r="E24" s="1034">
        <v>0.26800000000000002</v>
      </c>
      <c r="F24" s="1034">
        <v>0.24099999999999999</v>
      </c>
      <c r="G24" s="1034">
        <v>0.19600000000000001</v>
      </c>
      <c r="H24" s="1034">
        <v>0.17899999999999999</v>
      </c>
      <c r="I24" s="1035">
        <v>0.17899999999999999</v>
      </c>
      <c r="J24" s="1475" t="s">
        <v>82</v>
      </c>
      <c r="K24" s="1034" t="s">
        <v>82</v>
      </c>
      <c r="L24" s="1034" t="s">
        <v>82</v>
      </c>
      <c r="M24" s="1034" t="s">
        <v>82</v>
      </c>
      <c r="N24" s="1034" t="s">
        <v>82</v>
      </c>
      <c r="O24" s="1035" t="s">
        <v>82</v>
      </c>
      <c r="Q24" s="72" t="s">
        <v>65</v>
      </c>
      <c r="R24" s="1034">
        <v>0.39900000000000002</v>
      </c>
      <c r="S24" s="1034">
        <v>0.35699999999999998</v>
      </c>
      <c r="T24" s="1034">
        <v>0.34</v>
      </c>
      <c r="U24" s="1034">
        <v>0.29899999999999999</v>
      </c>
      <c r="V24" s="1034">
        <v>0.27800000000000002</v>
      </c>
      <c r="W24" s="1034">
        <v>0.27800000000000002</v>
      </c>
      <c r="X24" s="222"/>
      <c r="Y24" s="78" t="s">
        <v>67</v>
      </c>
      <c r="Z24" s="75" t="s">
        <v>814</v>
      </c>
      <c r="AB24" s="582" t="s">
        <v>1317</v>
      </c>
      <c r="AC24" s="342" t="s">
        <v>1318</v>
      </c>
      <c r="AD24" s="1178">
        <v>0.124</v>
      </c>
      <c r="AE24" s="603">
        <v>0.124</v>
      </c>
      <c r="AF24" s="1179">
        <v>0.124</v>
      </c>
      <c r="AG24" s="593" t="s">
        <v>18</v>
      </c>
      <c r="AH24" s="335">
        <v>2</v>
      </c>
      <c r="AJ24" s="406" t="s">
        <v>1157</v>
      </c>
      <c r="AK24" s="44">
        <v>13</v>
      </c>
      <c r="AL24" s="1200" t="s">
        <v>1157</v>
      </c>
      <c r="AM24" s="1245">
        <v>0.22700000000000001</v>
      </c>
      <c r="AN24" s="1246">
        <v>0.3</v>
      </c>
      <c r="AO24" s="769"/>
      <c r="AP24" s="732"/>
      <c r="AT24" s="1134">
        <v>475000</v>
      </c>
      <c r="AU24" s="1033">
        <v>0.89500000000000002</v>
      </c>
      <c r="AV24" s="1034">
        <v>0.89500000000000002</v>
      </c>
      <c r="AW24" s="1034">
        <v>0.89500000000000002</v>
      </c>
      <c r="AX24" s="1034">
        <v>0.85099999999999998</v>
      </c>
      <c r="AY24" s="1034">
        <v>0.85099999999999998</v>
      </c>
      <c r="AZ24" s="1035">
        <v>0.85099999999999998</v>
      </c>
      <c r="BA24" s="1133">
        <v>0.84799999999999998</v>
      </c>
      <c r="BB24" s="1133">
        <v>0.86199999999999999</v>
      </c>
      <c r="BC24" s="1133">
        <v>0.86199999999999999</v>
      </c>
      <c r="BE24" s="1134">
        <v>300000</v>
      </c>
      <c r="BF24" s="1033">
        <v>0.75600000000000001</v>
      </c>
      <c r="BG24" s="1034">
        <v>0.75600000000000001</v>
      </c>
      <c r="BH24" s="1034">
        <v>0.75600000000000001</v>
      </c>
      <c r="BI24" s="1034">
        <v>0.73</v>
      </c>
      <c r="BJ24" s="1034">
        <v>0.73</v>
      </c>
      <c r="BK24" s="1035">
        <v>0.73</v>
      </c>
      <c r="BL24" s="1133">
        <v>0.64300000000000002</v>
      </c>
      <c r="BM24" s="1133">
        <v>0.54400000000000004</v>
      </c>
      <c r="BN24" s="1133">
        <v>0.54400000000000004</v>
      </c>
    </row>
    <row r="25" spans="1:66" ht="12.75" customHeight="1" x14ac:dyDescent="0.2">
      <c r="A25" s="64" t="s">
        <v>66</v>
      </c>
      <c r="B25" s="64" t="s">
        <v>18</v>
      </c>
      <c r="C25" s="64">
        <v>1</v>
      </c>
      <c r="D25" s="1033">
        <v>0.29899999999999999</v>
      </c>
      <c r="E25" s="1034">
        <v>0.26800000000000002</v>
      </c>
      <c r="F25" s="1034">
        <v>0.24099999999999999</v>
      </c>
      <c r="G25" s="1034">
        <v>0.19600000000000001</v>
      </c>
      <c r="H25" s="1034">
        <v>0.17899999999999999</v>
      </c>
      <c r="I25" s="1035">
        <v>0.17899999999999999</v>
      </c>
      <c r="J25" s="1475" t="s">
        <v>82</v>
      </c>
      <c r="K25" s="1034" t="s">
        <v>82</v>
      </c>
      <c r="L25" s="1034" t="s">
        <v>82</v>
      </c>
      <c r="M25" s="1034" t="s">
        <v>82</v>
      </c>
      <c r="N25" s="1034" t="s">
        <v>82</v>
      </c>
      <c r="O25" s="1035" t="s">
        <v>82</v>
      </c>
      <c r="Q25" s="72" t="s">
        <v>66</v>
      </c>
      <c r="R25" s="1034">
        <v>0.39900000000000002</v>
      </c>
      <c r="S25" s="1034">
        <v>0.35699999999999998</v>
      </c>
      <c r="T25" s="1034">
        <v>0.34</v>
      </c>
      <c r="U25" s="1034">
        <v>0.29899999999999999</v>
      </c>
      <c r="V25" s="1034">
        <v>0.27800000000000002</v>
      </c>
      <c r="W25" s="1034">
        <v>0.27800000000000002</v>
      </c>
      <c r="X25" s="222"/>
      <c r="Y25" s="78" t="s">
        <v>68</v>
      </c>
      <c r="Z25" s="75" t="s">
        <v>815</v>
      </c>
      <c r="AB25" s="582" t="s">
        <v>1319</v>
      </c>
      <c r="AC25" s="342" t="s">
        <v>1320</v>
      </c>
      <c r="AD25" s="1178">
        <v>0.28599999999999998</v>
      </c>
      <c r="AE25" s="603">
        <v>0.28599999999999998</v>
      </c>
      <c r="AF25" s="1179">
        <v>0.28599999999999998</v>
      </c>
      <c r="AG25" s="593" t="s">
        <v>1002</v>
      </c>
      <c r="AH25" s="335">
        <v>3</v>
      </c>
      <c r="AP25" s="266"/>
      <c r="AT25" s="1134">
        <v>500000</v>
      </c>
      <c r="AU25" s="1033">
        <v>0.88700000000000001</v>
      </c>
      <c r="AV25" s="1034">
        <v>0.88700000000000001</v>
      </c>
      <c r="AW25" s="1034">
        <v>0.88700000000000001</v>
      </c>
      <c r="AX25" s="1034">
        <v>0.84099999999999997</v>
      </c>
      <c r="AY25" s="1034">
        <v>0.84099999999999997</v>
      </c>
      <c r="AZ25" s="1035">
        <v>0.84099999999999997</v>
      </c>
      <c r="BA25" s="1133">
        <v>0.83699999999999997</v>
      </c>
      <c r="BB25" s="1133">
        <v>0.85099999999999998</v>
      </c>
      <c r="BC25" s="1133">
        <v>0.85099999999999998</v>
      </c>
      <c r="BE25" s="1134">
        <v>325000</v>
      </c>
      <c r="BF25" s="1033">
        <v>0.747</v>
      </c>
      <c r="BG25" s="1034">
        <v>0.747</v>
      </c>
      <c r="BH25" s="1034">
        <v>0.747</v>
      </c>
      <c r="BI25" s="1034">
        <v>0.71899999999999997</v>
      </c>
      <c r="BJ25" s="1034">
        <v>0.71899999999999997</v>
      </c>
      <c r="BK25" s="1035">
        <v>0.71899999999999997</v>
      </c>
      <c r="BL25" s="1133">
        <v>0.63</v>
      </c>
      <c r="BM25" s="1133">
        <v>0.52900000000000003</v>
      </c>
      <c r="BN25" s="1133">
        <v>0.52900000000000003</v>
      </c>
    </row>
    <row r="26" spans="1:66" ht="12.75" customHeight="1" x14ac:dyDescent="0.2">
      <c r="A26" s="64" t="s">
        <v>67</v>
      </c>
      <c r="B26" s="64" t="s">
        <v>18</v>
      </c>
      <c r="C26" s="64">
        <v>1</v>
      </c>
      <c r="D26" s="1033">
        <v>0.29899999999999999</v>
      </c>
      <c r="E26" s="1034">
        <v>0.26800000000000002</v>
      </c>
      <c r="F26" s="1034">
        <v>0.24099999999999999</v>
      </c>
      <c r="G26" s="1034">
        <v>0.19600000000000001</v>
      </c>
      <c r="H26" s="1034">
        <v>0.17899999999999999</v>
      </c>
      <c r="I26" s="1035">
        <v>0.17899999999999999</v>
      </c>
      <c r="J26" s="1475" t="s">
        <v>82</v>
      </c>
      <c r="K26" s="1034" t="s">
        <v>82</v>
      </c>
      <c r="L26" s="1034" t="s">
        <v>82</v>
      </c>
      <c r="M26" s="1034" t="s">
        <v>82</v>
      </c>
      <c r="N26" s="1034" t="s">
        <v>82</v>
      </c>
      <c r="O26" s="1035" t="s">
        <v>82</v>
      </c>
      <c r="Q26" s="72" t="s">
        <v>67</v>
      </c>
      <c r="R26" s="1034">
        <v>0.39900000000000002</v>
      </c>
      <c r="S26" s="1034">
        <v>0.35699999999999998</v>
      </c>
      <c r="T26" s="1034">
        <v>0.34</v>
      </c>
      <c r="U26" s="1034">
        <v>0.29899999999999999</v>
      </c>
      <c r="V26" s="1034">
        <v>0.27800000000000002</v>
      </c>
      <c r="W26" s="1034">
        <v>0.27800000000000002</v>
      </c>
      <c r="X26" s="222"/>
      <c r="Y26" s="78" t="s">
        <v>69</v>
      </c>
      <c r="Z26" s="75" t="s">
        <v>816</v>
      </c>
      <c r="AB26" s="582" t="s">
        <v>1321</v>
      </c>
      <c r="AC26" s="342" t="s">
        <v>1322</v>
      </c>
      <c r="AD26" s="1178">
        <v>0.502</v>
      </c>
      <c r="AE26" s="603">
        <v>0.66400000000000003</v>
      </c>
      <c r="AF26" s="1179">
        <v>0.82599999999999996</v>
      </c>
      <c r="AG26" s="593" t="s">
        <v>28</v>
      </c>
      <c r="AH26" s="335">
        <v>4</v>
      </c>
      <c r="AT26" s="1134">
        <v>550000</v>
      </c>
      <c r="AU26" s="1033">
        <v>0.872</v>
      </c>
      <c r="AV26" s="1034">
        <v>0.872</v>
      </c>
      <c r="AW26" s="1034">
        <v>0.872</v>
      </c>
      <c r="AX26" s="1034">
        <v>0.82099999999999995</v>
      </c>
      <c r="AY26" s="1034">
        <v>0.82099999999999995</v>
      </c>
      <c r="AZ26" s="1035">
        <v>0.82099999999999995</v>
      </c>
      <c r="BA26" s="1133">
        <v>0.81599999999999995</v>
      </c>
      <c r="BB26" s="1133">
        <v>0.83299999999999996</v>
      </c>
      <c r="BC26" s="1133">
        <v>0.83299999999999996</v>
      </c>
      <c r="BE26" s="1134">
        <v>350000</v>
      </c>
      <c r="BF26" s="1033">
        <v>0.73799999999999999</v>
      </c>
      <c r="BG26" s="1034">
        <v>0.73799999999999999</v>
      </c>
      <c r="BH26" s="1034">
        <v>0.73799999999999999</v>
      </c>
      <c r="BI26" s="1034">
        <v>0.71</v>
      </c>
      <c r="BJ26" s="1034">
        <v>0.71</v>
      </c>
      <c r="BK26" s="1035">
        <v>0.71</v>
      </c>
      <c r="BL26" s="1133">
        <v>0.61899999999999999</v>
      </c>
      <c r="BM26" s="1133">
        <v>0.51600000000000001</v>
      </c>
      <c r="BN26" s="1133">
        <v>0.51600000000000001</v>
      </c>
    </row>
    <row r="27" spans="1:66" ht="12.75" customHeight="1" thickBot="1" x14ac:dyDescent="0.25">
      <c r="A27" s="64" t="s">
        <v>68</v>
      </c>
      <c r="B27" s="64" t="s">
        <v>18</v>
      </c>
      <c r="C27" s="64">
        <v>3</v>
      </c>
      <c r="D27" s="1033">
        <v>9.2999999999999999E-2</v>
      </c>
      <c r="E27" s="1034">
        <v>8.4000000000000005E-2</v>
      </c>
      <c r="F27" s="1034">
        <v>7.4999999999999997E-2</v>
      </c>
      <c r="G27" s="1034">
        <v>6.0999999999999999E-2</v>
      </c>
      <c r="H27" s="1034">
        <v>5.7000000000000002E-2</v>
      </c>
      <c r="I27" s="1035">
        <v>5.7000000000000002E-2</v>
      </c>
      <c r="J27" s="1475">
        <v>0.20599999999999999</v>
      </c>
      <c r="K27" s="1034">
        <v>0.185</v>
      </c>
      <c r="L27" s="1034">
        <v>0.17399999999999999</v>
      </c>
      <c r="M27" s="1034">
        <v>0.154</v>
      </c>
      <c r="N27" s="1034">
        <v>0.14499999999999999</v>
      </c>
      <c r="O27" s="1035">
        <v>0.14499999999999999</v>
      </c>
      <c r="Q27" s="72" t="s">
        <v>89</v>
      </c>
      <c r="R27" s="1034">
        <v>0.26300000000000001</v>
      </c>
      <c r="S27" s="1034">
        <v>0.23699999999999999</v>
      </c>
      <c r="T27" s="1034">
        <v>0.224</v>
      </c>
      <c r="U27" s="1034">
        <v>0.19800000000000001</v>
      </c>
      <c r="V27" s="1034">
        <v>0.185</v>
      </c>
      <c r="W27" s="1034">
        <v>0.185</v>
      </c>
      <c r="X27" s="222"/>
      <c r="Y27" s="78" t="s">
        <v>70</v>
      </c>
      <c r="Z27" s="75" t="s">
        <v>817</v>
      </c>
      <c r="AB27" s="582">
        <v>12</v>
      </c>
      <c r="AC27" s="342" t="s">
        <v>1323</v>
      </c>
      <c r="AD27" s="1178">
        <v>1.0960000000000001</v>
      </c>
      <c r="AE27" s="603">
        <v>1.232</v>
      </c>
      <c r="AF27" s="1179">
        <v>1.367</v>
      </c>
      <c r="AG27" s="593" t="s">
        <v>28</v>
      </c>
      <c r="AH27" s="335">
        <v>4</v>
      </c>
      <c r="AJ27" s="53" t="s">
        <v>1539</v>
      </c>
      <c r="AT27" s="1134">
        <v>600000</v>
      </c>
      <c r="AU27" s="1033">
        <v>0.85899999999999999</v>
      </c>
      <c r="AV27" s="1034">
        <v>0.85899999999999999</v>
      </c>
      <c r="AW27" s="1034">
        <v>0.85899999999999999</v>
      </c>
      <c r="AX27" s="1034">
        <v>0.80300000000000005</v>
      </c>
      <c r="AY27" s="1034">
        <v>0.80300000000000005</v>
      </c>
      <c r="AZ27" s="1035">
        <v>0.80300000000000005</v>
      </c>
      <c r="BA27" s="1133">
        <v>0.79800000000000004</v>
      </c>
      <c r="BB27" s="1133">
        <v>0.81599999999999995</v>
      </c>
      <c r="BC27" s="1133">
        <v>0.81599999999999995</v>
      </c>
      <c r="BE27" s="1134">
        <v>375000</v>
      </c>
      <c r="BF27" s="1033">
        <v>0.73</v>
      </c>
      <c r="BG27" s="1034">
        <v>0.73</v>
      </c>
      <c r="BH27" s="1034">
        <v>0.73</v>
      </c>
      <c r="BI27" s="1034">
        <v>0.70099999999999996</v>
      </c>
      <c r="BJ27" s="1034">
        <v>0.70099999999999996</v>
      </c>
      <c r="BK27" s="1035">
        <v>0.70099999999999996</v>
      </c>
      <c r="BL27" s="1133">
        <v>0.60799999999999998</v>
      </c>
      <c r="BM27" s="1133">
        <v>0.504</v>
      </c>
      <c r="BN27" s="1133">
        <v>0.504</v>
      </c>
    </row>
    <row r="28" spans="1:66" x14ac:dyDescent="0.2">
      <c r="A28" s="64" t="s">
        <v>69</v>
      </c>
      <c r="B28" s="64" t="s">
        <v>83</v>
      </c>
      <c r="C28" s="64">
        <v>5</v>
      </c>
      <c r="D28" s="1033">
        <v>8.8999999999999996E-2</v>
      </c>
      <c r="E28" s="1034">
        <v>0.08</v>
      </c>
      <c r="F28" s="1034">
        <v>7.0000000000000007E-2</v>
      </c>
      <c r="G28" s="1034">
        <v>5.8000000000000003E-2</v>
      </c>
      <c r="H28" s="1034">
        <v>5.2999999999999999E-2</v>
      </c>
      <c r="I28" s="1035">
        <v>5.2999999999999999E-2</v>
      </c>
      <c r="J28" s="1475">
        <v>0.184</v>
      </c>
      <c r="K28" s="1034">
        <v>0.16500000000000001</v>
      </c>
      <c r="L28" s="1034">
        <v>0.156</v>
      </c>
      <c r="M28" s="1034">
        <v>0.13700000000000001</v>
      </c>
      <c r="N28" s="1034">
        <v>0.128</v>
      </c>
      <c r="O28" s="1035">
        <v>0.128</v>
      </c>
      <c r="Q28" s="72" t="s">
        <v>90</v>
      </c>
      <c r="R28" s="1034">
        <v>0.23699999999999999</v>
      </c>
      <c r="S28" s="1034">
        <v>0.21299999999999999</v>
      </c>
      <c r="T28" s="1034">
        <v>0.20300000000000001</v>
      </c>
      <c r="U28" s="1034">
        <v>0.17799999999999999</v>
      </c>
      <c r="V28" s="1034">
        <v>0.16500000000000001</v>
      </c>
      <c r="W28" s="1034">
        <v>0.16500000000000001</v>
      </c>
      <c r="X28" s="222"/>
      <c r="Y28" s="78" t="s">
        <v>71</v>
      </c>
      <c r="Z28" s="75" t="s">
        <v>818</v>
      </c>
      <c r="AB28" s="582">
        <v>13</v>
      </c>
      <c r="AC28" s="342" t="s">
        <v>1324</v>
      </c>
      <c r="AD28" s="1178">
        <v>0.124</v>
      </c>
      <c r="AE28" s="603">
        <v>0.124</v>
      </c>
      <c r="AF28" s="1179">
        <v>0.152</v>
      </c>
      <c r="AG28" s="593" t="s">
        <v>1002</v>
      </c>
      <c r="AH28" s="335">
        <v>3</v>
      </c>
      <c r="AJ28" s="390"/>
      <c r="AK28" s="397"/>
      <c r="AL28" s="1568" t="s">
        <v>1533</v>
      </c>
      <c r="AM28" s="1569"/>
      <c r="AN28" s="1570"/>
      <c r="AO28" s="731"/>
      <c r="AT28" s="1134">
        <v>650000</v>
      </c>
      <c r="AU28" s="1033">
        <v>0.84699999999999998</v>
      </c>
      <c r="AV28" s="1034">
        <v>0.84699999999999998</v>
      </c>
      <c r="AW28" s="1034">
        <v>0.84699999999999998</v>
      </c>
      <c r="AX28" s="1034">
        <v>0.78700000000000003</v>
      </c>
      <c r="AY28" s="1034">
        <v>0.78700000000000003</v>
      </c>
      <c r="AZ28" s="1035">
        <v>0.78700000000000003</v>
      </c>
      <c r="BA28" s="1133">
        <v>0.78200000000000003</v>
      </c>
      <c r="BB28" s="1133">
        <v>0.80100000000000005</v>
      </c>
      <c r="BC28" s="1133">
        <v>0.80100000000000005</v>
      </c>
      <c r="BE28" s="1134">
        <v>400000</v>
      </c>
      <c r="BF28" s="1033">
        <v>0.72299999999999998</v>
      </c>
      <c r="BG28" s="1034">
        <v>0.72299999999999998</v>
      </c>
      <c r="BH28" s="1034">
        <v>0.72299999999999998</v>
      </c>
      <c r="BI28" s="1034">
        <v>0.69399999999999995</v>
      </c>
      <c r="BJ28" s="1034">
        <v>0.69399999999999995</v>
      </c>
      <c r="BK28" s="1035">
        <v>0.69399999999999995</v>
      </c>
      <c r="BL28" s="1133">
        <v>0.59899999999999998</v>
      </c>
      <c r="BM28" s="1133">
        <v>0.49299999999999999</v>
      </c>
      <c r="BN28" s="1133">
        <v>0.49299999999999999</v>
      </c>
    </row>
    <row r="29" spans="1:66" ht="22.5" x14ac:dyDescent="0.2">
      <c r="A29" s="64" t="s">
        <v>70</v>
      </c>
      <c r="B29" s="64" t="s">
        <v>28</v>
      </c>
      <c r="C29" s="64">
        <v>3</v>
      </c>
      <c r="D29" s="1033">
        <v>0.111</v>
      </c>
      <c r="E29" s="1034">
        <v>0.1</v>
      </c>
      <c r="F29" s="1034">
        <v>8.8999999999999996E-2</v>
      </c>
      <c r="G29" s="1034">
        <v>7.1999999999999995E-2</v>
      </c>
      <c r="H29" s="1034">
        <v>6.6000000000000003E-2</v>
      </c>
      <c r="I29" s="1035">
        <v>6.6000000000000003E-2</v>
      </c>
      <c r="J29" s="1475">
        <v>0.26700000000000002</v>
      </c>
      <c r="K29" s="1034">
        <v>0.24099999999999999</v>
      </c>
      <c r="L29" s="1034">
        <v>0.22800000000000001</v>
      </c>
      <c r="M29" s="1034">
        <v>0.2</v>
      </c>
      <c r="N29" s="1034">
        <v>0.187</v>
      </c>
      <c r="O29" s="1035">
        <v>0.187</v>
      </c>
      <c r="Q29" s="72" t="s">
        <v>91</v>
      </c>
      <c r="R29" s="1034">
        <v>5.5E-2</v>
      </c>
      <c r="S29" s="1034">
        <v>4.9000000000000002E-2</v>
      </c>
      <c r="T29" s="1034">
        <v>4.5999999999999999E-2</v>
      </c>
      <c r="U29" s="1034">
        <v>4.1000000000000002E-2</v>
      </c>
      <c r="V29" s="1034">
        <v>3.7999999999999999E-2</v>
      </c>
      <c r="W29" s="1034">
        <v>3.7999999999999999E-2</v>
      </c>
      <c r="X29" s="222"/>
      <c r="Y29" s="78" t="s">
        <v>72</v>
      </c>
      <c r="Z29" s="75" t="s">
        <v>823</v>
      </c>
      <c r="AB29" s="582" t="s">
        <v>1325</v>
      </c>
      <c r="AC29" s="342" t="s">
        <v>1326</v>
      </c>
      <c r="AD29" s="1178">
        <v>7.0000000000000007E-2</v>
      </c>
      <c r="AE29" s="603">
        <v>7.0000000000000007E-2</v>
      </c>
      <c r="AF29" s="1179">
        <v>7.0000000000000007E-2</v>
      </c>
      <c r="AG29" s="593" t="s">
        <v>1002</v>
      </c>
      <c r="AH29" s="335">
        <v>3</v>
      </c>
      <c r="AJ29" s="403" t="s">
        <v>1534</v>
      </c>
      <c r="AK29" s="404" t="s">
        <v>1803</v>
      </c>
      <c r="AL29" s="403" t="s">
        <v>18</v>
      </c>
      <c r="AM29" s="109" t="s">
        <v>28</v>
      </c>
      <c r="AN29" s="405" t="s">
        <v>83</v>
      </c>
      <c r="AO29" s="114"/>
      <c r="AT29" s="1134">
        <v>700000</v>
      </c>
      <c r="AU29" s="1033">
        <v>0.83699999999999997</v>
      </c>
      <c r="AV29" s="1034">
        <v>0.83699999999999997</v>
      </c>
      <c r="AW29" s="1034">
        <v>0.83699999999999997</v>
      </c>
      <c r="AX29" s="1034">
        <v>0.77300000000000002</v>
      </c>
      <c r="AY29" s="1034">
        <v>0.77300000000000002</v>
      </c>
      <c r="AZ29" s="1035">
        <v>0.77300000000000002</v>
      </c>
      <c r="BA29" s="1133">
        <v>0.76700000000000002</v>
      </c>
      <c r="BB29" s="1133">
        <v>0.78800000000000003</v>
      </c>
      <c r="BC29" s="1133">
        <v>0.78800000000000003</v>
      </c>
      <c r="BE29" s="1134">
        <v>425000</v>
      </c>
      <c r="BF29" s="1033">
        <v>0.71599999999999997</v>
      </c>
      <c r="BG29" s="1034">
        <v>0.71599999999999997</v>
      </c>
      <c r="BH29" s="1034">
        <v>0.71599999999999997</v>
      </c>
      <c r="BI29" s="1034">
        <v>0.68600000000000005</v>
      </c>
      <c r="BJ29" s="1034">
        <v>0.68600000000000005</v>
      </c>
      <c r="BK29" s="1035">
        <v>0.68600000000000005</v>
      </c>
      <c r="BL29" s="1133">
        <v>0.59</v>
      </c>
      <c r="BM29" s="1133">
        <v>0.48299999999999998</v>
      </c>
      <c r="BN29" s="1133">
        <v>0.48299999999999998</v>
      </c>
    </row>
    <row r="30" spans="1:66" x14ac:dyDescent="0.2">
      <c r="A30" s="64" t="s">
        <v>71</v>
      </c>
      <c r="B30" s="64" t="s">
        <v>83</v>
      </c>
      <c r="C30" s="64">
        <v>4</v>
      </c>
      <c r="D30" s="1033">
        <v>9.4E-2</v>
      </c>
      <c r="E30" s="1034">
        <v>8.5000000000000006E-2</v>
      </c>
      <c r="F30" s="1034">
        <v>7.5999999999999998E-2</v>
      </c>
      <c r="G30" s="1034">
        <v>6.2E-2</v>
      </c>
      <c r="H30" s="1034">
        <v>5.7000000000000002E-2</v>
      </c>
      <c r="I30" s="1035">
        <v>5.7000000000000002E-2</v>
      </c>
      <c r="J30" s="1475">
        <v>0.217</v>
      </c>
      <c r="K30" s="1034">
        <v>0.19400000000000001</v>
      </c>
      <c r="L30" s="1034">
        <v>0.184</v>
      </c>
      <c r="M30" s="1034">
        <v>0.16400000000000001</v>
      </c>
      <c r="N30" s="1034">
        <v>0.152</v>
      </c>
      <c r="O30" s="1035">
        <v>0.152</v>
      </c>
      <c r="Q30" s="72" t="s">
        <v>92</v>
      </c>
      <c r="R30" s="1034">
        <v>6.8000000000000005E-2</v>
      </c>
      <c r="S30" s="1034">
        <v>6.2E-2</v>
      </c>
      <c r="T30" s="1034">
        <v>5.8999999999999997E-2</v>
      </c>
      <c r="U30" s="1034">
        <v>5.0999999999999997E-2</v>
      </c>
      <c r="V30" s="1034">
        <v>4.8000000000000001E-2</v>
      </c>
      <c r="W30" s="1034">
        <v>4.8000000000000001E-2</v>
      </c>
      <c r="X30" s="222"/>
      <c r="Y30" s="78" t="s">
        <v>73</v>
      </c>
      <c r="Z30" s="75" t="s">
        <v>824</v>
      </c>
      <c r="AB30" s="582" t="s">
        <v>1342</v>
      </c>
      <c r="AC30" s="342" t="s">
        <v>1343</v>
      </c>
      <c r="AD30" s="1178">
        <v>4.3999999999999997E-2</v>
      </c>
      <c r="AE30" s="603">
        <v>4.3999999999999997E-2</v>
      </c>
      <c r="AF30" s="1179">
        <v>4.3999999999999997E-2</v>
      </c>
      <c r="AG30" s="593" t="s">
        <v>18</v>
      </c>
      <c r="AH30" s="335">
        <v>2</v>
      </c>
      <c r="AJ30" s="391" t="s">
        <v>1535</v>
      </c>
      <c r="AK30" s="398">
        <v>1</v>
      </c>
      <c r="AL30" s="400">
        <v>0.6</v>
      </c>
      <c r="AM30" s="15">
        <v>0.65</v>
      </c>
      <c r="AN30" s="392">
        <v>0.7</v>
      </c>
      <c r="AO30" s="732"/>
      <c r="AT30" s="1134">
        <v>750000</v>
      </c>
      <c r="AU30" s="1033">
        <v>0.82699999999999996</v>
      </c>
      <c r="AV30" s="1034">
        <v>0.82699999999999996</v>
      </c>
      <c r="AW30" s="1034">
        <v>0.82699999999999996</v>
      </c>
      <c r="AX30" s="1034">
        <v>0.75900000000000001</v>
      </c>
      <c r="AY30" s="1034">
        <v>0.75900000000000001</v>
      </c>
      <c r="AZ30" s="1035">
        <v>0.75900000000000001</v>
      </c>
      <c r="BA30" s="1133">
        <v>0.754</v>
      </c>
      <c r="BB30" s="1133">
        <v>0.77500000000000002</v>
      </c>
      <c r="BC30" s="1133">
        <v>0.77500000000000002</v>
      </c>
      <c r="BE30" s="1134">
        <v>450000</v>
      </c>
      <c r="BF30" s="1033">
        <v>0.71</v>
      </c>
      <c r="BG30" s="1034">
        <v>0.71</v>
      </c>
      <c r="BH30" s="1034">
        <v>0.71</v>
      </c>
      <c r="BI30" s="1034">
        <v>0.67900000000000005</v>
      </c>
      <c r="BJ30" s="1034">
        <v>0.67900000000000005</v>
      </c>
      <c r="BK30" s="1035">
        <v>0.67900000000000005</v>
      </c>
      <c r="BL30" s="1133">
        <v>0.58199999999999996</v>
      </c>
      <c r="BM30" s="1133">
        <v>0.47399999999999998</v>
      </c>
      <c r="BN30" s="1133">
        <v>0.47399999999999998</v>
      </c>
    </row>
    <row r="31" spans="1:66" ht="22.5" x14ac:dyDescent="0.2">
      <c r="A31" s="64" t="s">
        <v>72</v>
      </c>
      <c r="B31" s="64" t="s">
        <v>83</v>
      </c>
      <c r="C31" s="64">
        <v>4</v>
      </c>
      <c r="D31" s="1033">
        <v>0.14399999999999999</v>
      </c>
      <c r="E31" s="1034">
        <v>0.13</v>
      </c>
      <c r="F31" s="1034">
        <v>0.115</v>
      </c>
      <c r="G31" s="1034">
        <v>9.2999999999999999E-2</v>
      </c>
      <c r="H31" s="1034">
        <v>8.6999999999999994E-2</v>
      </c>
      <c r="I31" s="1035">
        <v>8.6999999999999994E-2</v>
      </c>
      <c r="J31" s="1475">
        <v>0.26700000000000002</v>
      </c>
      <c r="K31" s="1034">
        <v>0.24099999999999999</v>
      </c>
      <c r="L31" s="1034">
        <v>0.22800000000000001</v>
      </c>
      <c r="M31" s="1034">
        <v>0.2</v>
      </c>
      <c r="N31" s="1034">
        <v>0.187</v>
      </c>
      <c r="O31" s="1035">
        <v>0.187</v>
      </c>
      <c r="Y31" s="78" t="s">
        <v>74</v>
      </c>
      <c r="Z31" s="75" t="s">
        <v>1478</v>
      </c>
      <c r="AB31" s="582" t="s">
        <v>1344</v>
      </c>
      <c r="AC31" s="342" t="s">
        <v>1345</v>
      </c>
      <c r="AD31" s="1178">
        <v>0.152</v>
      </c>
      <c r="AE31" s="603">
        <v>0.152</v>
      </c>
      <c r="AF31" s="1179">
        <v>0.152</v>
      </c>
      <c r="AG31" s="593" t="s">
        <v>1002</v>
      </c>
      <c r="AH31" s="335">
        <v>3</v>
      </c>
      <c r="AJ31" s="391" t="s">
        <v>1536</v>
      </c>
      <c r="AK31" s="398">
        <v>2</v>
      </c>
      <c r="AL31" s="400">
        <v>0.7</v>
      </c>
      <c r="AM31" s="15">
        <v>0.75</v>
      </c>
      <c r="AN31" s="392">
        <v>0.8</v>
      </c>
      <c r="AO31" s="732"/>
      <c r="AS31" s="113"/>
      <c r="AT31" s="1134">
        <v>800000</v>
      </c>
      <c r="AU31" s="1033">
        <v>0.81699999999999995</v>
      </c>
      <c r="AV31" s="1034">
        <v>0.81699999999999995</v>
      </c>
      <c r="AW31" s="1034">
        <v>0.81699999999999995</v>
      </c>
      <c r="AX31" s="1034">
        <v>0.747</v>
      </c>
      <c r="AY31" s="1034">
        <v>0.747</v>
      </c>
      <c r="AZ31" s="1035">
        <v>0.747</v>
      </c>
      <c r="BA31" s="1133">
        <v>0.74099999999999999</v>
      </c>
      <c r="BB31" s="1133">
        <v>0.76300000000000001</v>
      </c>
      <c r="BC31" s="1133">
        <v>0.76300000000000001</v>
      </c>
      <c r="BE31" s="1134">
        <v>475000</v>
      </c>
      <c r="BF31" s="1033">
        <v>0.70399999999999996</v>
      </c>
      <c r="BG31" s="1034">
        <v>0.70399999999999996</v>
      </c>
      <c r="BH31" s="1034">
        <v>0.70399999999999996</v>
      </c>
      <c r="BI31" s="1034">
        <v>0.67300000000000004</v>
      </c>
      <c r="BJ31" s="1034">
        <v>0.67300000000000004</v>
      </c>
      <c r="BK31" s="1035">
        <v>0.67300000000000004</v>
      </c>
      <c r="BL31" s="1133">
        <v>0.57399999999999995</v>
      </c>
      <c r="BM31" s="1133">
        <v>0.46500000000000002</v>
      </c>
      <c r="BN31" s="1133">
        <v>0.46500000000000002</v>
      </c>
    </row>
    <row r="32" spans="1:66" ht="13.5" thickBot="1" x14ac:dyDescent="0.25">
      <c r="A32" s="64" t="s">
        <v>73</v>
      </c>
      <c r="B32" s="64" t="s">
        <v>83</v>
      </c>
      <c r="C32" s="64">
        <v>4</v>
      </c>
      <c r="D32" s="1033">
        <v>0.113</v>
      </c>
      <c r="E32" s="1034">
        <v>0.10199999999999999</v>
      </c>
      <c r="F32" s="1034">
        <v>9.0999999999999998E-2</v>
      </c>
      <c r="G32" s="1034">
        <v>7.2999999999999995E-2</v>
      </c>
      <c r="H32" s="1034">
        <v>6.8000000000000005E-2</v>
      </c>
      <c r="I32" s="1035">
        <v>6.8000000000000005E-2</v>
      </c>
      <c r="J32" s="1475">
        <v>0.215</v>
      </c>
      <c r="K32" s="1034">
        <v>0.193</v>
      </c>
      <c r="L32" s="1034">
        <v>0.18099999999999999</v>
      </c>
      <c r="M32" s="1034">
        <v>0.161</v>
      </c>
      <c r="N32" s="1034">
        <v>0.15</v>
      </c>
      <c r="O32" s="1035">
        <v>0.15</v>
      </c>
      <c r="Q32" s="60" t="s">
        <v>365</v>
      </c>
      <c r="W32" s="171" t="s">
        <v>988</v>
      </c>
      <c r="X32" s="171"/>
      <c r="Y32" s="78" t="s">
        <v>75</v>
      </c>
      <c r="Z32" s="75" t="s">
        <v>825</v>
      </c>
      <c r="AB32" s="582" t="s">
        <v>1346</v>
      </c>
      <c r="AC32" s="342" t="s">
        <v>1347</v>
      </c>
      <c r="AD32" s="1178">
        <v>0.502</v>
      </c>
      <c r="AE32" s="603">
        <v>0.66400000000000003</v>
      </c>
      <c r="AF32" s="1179">
        <v>0.82599999999999996</v>
      </c>
      <c r="AG32" s="593" t="s">
        <v>28</v>
      </c>
      <c r="AH32" s="335">
        <v>4</v>
      </c>
      <c r="AJ32" s="393"/>
      <c r="AK32" s="399">
        <v>3</v>
      </c>
      <c r="AL32" s="401">
        <v>0.75</v>
      </c>
      <c r="AM32" s="389">
        <v>0.8</v>
      </c>
      <c r="AN32" s="394">
        <v>0.85</v>
      </c>
      <c r="AO32" s="732"/>
      <c r="AS32" s="114"/>
      <c r="AT32" s="1134">
        <v>850000</v>
      </c>
      <c r="AU32" s="1033">
        <v>0.80900000000000005</v>
      </c>
      <c r="AV32" s="1034">
        <v>0.80900000000000005</v>
      </c>
      <c r="AW32" s="1034">
        <v>0.80900000000000005</v>
      </c>
      <c r="AX32" s="1034">
        <v>0.73599999999999999</v>
      </c>
      <c r="AY32" s="1034">
        <v>0.73599999999999999</v>
      </c>
      <c r="AZ32" s="1035">
        <v>0.73599999999999999</v>
      </c>
      <c r="BA32" s="1133">
        <v>0.73</v>
      </c>
      <c r="BB32" s="1133">
        <v>0.753</v>
      </c>
      <c r="BC32" s="1133">
        <v>0.753</v>
      </c>
      <c r="BE32" s="1134">
        <v>500000</v>
      </c>
      <c r="BF32" s="1033">
        <v>0.69799999999999995</v>
      </c>
      <c r="BG32" s="1034">
        <v>0.69799999999999995</v>
      </c>
      <c r="BH32" s="1034">
        <v>0.69799999999999995</v>
      </c>
      <c r="BI32" s="1034">
        <v>0.66700000000000004</v>
      </c>
      <c r="BJ32" s="1034">
        <v>0.66700000000000004</v>
      </c>
      <c r="BK32" s="1035">
        <v>0.66700000000000004</v>
      </c>
      <c r="BL32" s="1133">
        <v>0.56699999999999995</v>
      </c>
      <c r="BM32" s="1133">
        <v>0.45700000000000002</v>
      </c>
      <c r="BN32" s="1133">
        <v>0.45700000000000002</v>
      </c>
    </row>
    <row r="33" spans="1:66" x14ac:dyDescent="0.2">
      <c r="A33" s="64" t="s">
        <v>74</v>
      </c>
      <c r="B33" s="64" t="s">
        <v>28</v>
      </c>
      <c r="C33" s="64">
        <v>4</v>
      </c>
      <c r="D33" s="1033">
        <v>0.159</v>
      </c>
      <c r="E33" s="1034">
        <v>0.14299999999999999</v>
      </c>
      <c r="F33" s="1034">
        <v>0.126</v>
      </c>
      <c r="G33" s="1034">
        <v>0.10299999999999999</v>
      </c>
      <c r="H33" s="1034">
        <v>9.6000000000000002E-2</v>
      </c>
      <c r="I33" s="1035">
        <v>9.6000000000000002E-2</v>
      </c>
      <c r="J33" s="1475">
        <v>0.224</v>
      </c>
      <c r="K33" s="1034">
        <v>0.20300000000000001</v>
      </c>
      <c r="L33" s="1034">
        <v>0.191</v>
      </c>
      <c r="M33" s="1034">
        <v>0.16800000000000001</v>
      </c>
      <c r="N33" s="1034">
        <v>0.158</v>
      </c>
      <c r="O33" s="1035">
        <v>0.158</v>
      </c>
      <c r="Q33" s="69" t="s">
        <v>83</v>
      </c>
      <c r="R33" s="66" t="s">
        <v>1870</v>
      </c>
      <c r="S33" s="66" t="s">
        <v>360</v>
      </c>
      <c r="T33" s="66" t="s">
        <v>361</v>
      </c>
      <c r="U33" s="66" t="s">
        <v>362</v>
      </c>
      <c r="V33" s="66" t="s">
        <v>40</v>
      </c>
      <c r="W33" s="70" t="s">
        <v>41</v>
      </c>
      <c r="X33" s="180"/>
      <c r="Y33" s="78" t="s">
        <v>76</v>
      </c>
      <c r="Z33" s="75" t="s">
        <v>826</v>
      </c>
      <c r="AB33" s="582" t="s">
        <v>1348</v>
      </c>
      <c r="AC33" s="342" t="s">
        <v>1349</v>
      </c>
      <c r="AD33" s="1178">
        <v>7.0000000000000007E-2</v>
      </c>
      <c r="AE33" s="603">
        <v>7.0000000000000007E-2</v>
      </c>
      <c r="AF33" s="1179">
        <v>7.0000000000000007E-2</v>
      </c>
      <c r="AG33" s="593" t="s">
        <v>18</v>
      </c>
      <c r="AH33" s="335">
        <v>1</v>
      </c>
      <c r="AJ33" s="391" t="s">
        <v>1537</v>
      </c>
      <c r="AK33" s="378">
        <v>2</v>
      </c>
      <c r="AL33" s="402">
        <v>0.8</v>
      </c>
      <c r="AM33" s="388">
        <v>0.85</v>
      </c>
      <c r="AN33" s="395">
        <v>0.9</v>
      </c>
      <c r="AO33" s="732"/>
      <c r="AS33" s="344"/>
      <c r="AT33" s="1134">
        <v>900000</v>
      </c>
      <c r="AU33" s="1033">
        <v>0.80100000000000005</v>
      </c>
      <c r="AV33" s="1034">
        <v>0.80100000000000005</v>
      </c>
      <c r="AW33" s="1034">
        <v>0.80100000000000005</v>
      </c>
      <c r="AX33" s="1034">
        <v>0.72499999999999998</v>
      </c>
      <c r="AY33" s="1034">
        <v>0.72499999999999998</v>
      </c>
      <c r="AZ33" s="1035">
        <v>0.72499999999999998</v>
      </c>
      <c r="BA33" s="1133">
        <v>0.71899999999999997</v>
      </c>
      <c r="BB33" s="1133">
        <v>0.74299999999999999</v>
      </c>
      <c r="BC33" s="1133">
        <v>0.74299999999999999</v>
      </c>
      <c r="BE33" s="1134">
        <v>550000</v>
      </c>
      <c r="BF33" s="1033">
        <v>0.68799999999999994</v>
      </c>
      <c r="BG33" s="1034">
        <v>0.68799999999999994</v>
      </c>
      <c r="BH33" s="1034">
        <v>0.68799999999999994</v>
      </c>
      <c r="BI33" s="1034">
        <v>0.65600000000000003</v>
      </c>
      <c r="BJ33" s="1034">
        <v>0.65600000000000003</v>
      </c>
      <c r="BK33" s="1035">
        <v>0.65600000000000003</v>
      </c>
      <c r="BL33" s="1133">
        <v>0.55400000000000005</v>
      </c>
      <c r="BM33" s="1133">
        <v>0.443</v>
      </c>
      <c r="BN33" s="1133">
        <v>0.443</v>
      </c>
    </row>
    <row r="34" spans="1:66" ht="13.5" thickBot="1" x14ac:dyDescent="0.25">
      <c r="A34" s="64" t="s">
        <v>75</v>
      </c>
      <c r="B34" s="64" t="s">
        <v>28</v>
      </c>
      <c r="C34" s="64">
        <v>5</v>
      </c>
      <c r="D34" s="1033">
        <v>0.36299999999999999</v>
      </c>
      <c r="E34" s="1034">
        <v>0.32700000000000001</v>
      </c>
      <c r="F34" s="1034">
        <v>0.29099999999999998</v>
      </c>
      <c r="G34" s="1034">
        <v>0.23499999999999999</v>
      </c>
      <c r="H34" s="1034">
        <v>0.219</v>
      </c>
      <c r="I34" s="1035">
        <v>0.219</v>
      </c>
      <c r="J34" s="1475">
        <v>0.38800000000000001</v>
      </c>
      <c r="K34" s="1034">
        <v>0.35</v>
      </c>
      <c r="L34" s="1034">
        <v>0.33</v>
      </c>
      <c r="M34" s="1034">
        <v>0.29099999999999998</v>
      </c>
      <c r="N34" s="1034">
        <v>0.27200000000000002</v>
      </c>
      <c r="O34" s="1035">
        <v>0.27200000000000002</v>
      </c>
      <c r="Q34" s="47" t="s">
        <v>57</v>
      </c>
      <c r="R34" s="66">
        <v>1</v>
      </c>
      <c r="S34" s="66">
        <v>2</v>
      </c>
      <c r="T34" s="66">
        <v>3</v>
      </c>
      <c r="U34" s="66">
        <v>4</v>
      </c>
      <c r="V34" s="66">
        <v>5</v>
      </c>
      <c r="W34" s="66">
        <v>6</v>
      </c>
      <c r="X34" s="221"/>
      <c r="Y34" s="78" t="s">
        <v>77</v>
      </c>
      <c r="Z34" s="75" t="s">
        <v>827</v>
      </c>
      <c r="AB34" s="582" t="s">
        <v>1350</v>
      </c>
      <c r="AC34" s="342" t="s">
        <v>1351</v>
      </c>
      <c r="AD34" s="1178">
        <v>0.152</v>
      </c>
      <c r="AE34" s="603">
        <v>0.152</v>
      </c>
      <c r="AF34" s="1179">
        <v>0.152</v>
      </c>
      <c r="AG34" s="593" t="s">
        <v>28</v>
      </c>
      <c r="AH34" s="335">
        <v>4</v>
      </c>
      <c r="AJ34" s="393"/>
      <c r="AK34" s="399">
        <v>3</v>
      </c>
      <c r="AL34" s="401">
        <v>0.85</v>
      </c>
      <c r="AM34" s="389">
        <v>0.9</v>
      </c>
      <c r="AN34" s="394">
        <v>0.95</v>
      </c>
      <c r="AO34" s="732"/>
      <c r="AS34" s="344"/>
      <c r="AT34" s="1134">
        <v>950000</v>
      </c>
      <c r="AU34" s="1033">
        <v>0.79300000000000004</v>
      </c>
      <c r="AV34" s="1034">
        <v>0.79300000000000004</v>
      </c>
      <c r="AW34" s="1034">
        <v>0.79300000000000004</v>
      </c>
      <c r="AX34" s="1034">
        <v>0.71599999999999997</v>
      </c>
      <c r="AY34" s="1034">
        <v>0.71599999999999997</v>
      </c>
      <c r="AZ34" s="1035">
        <v>0.71599999999999997</v>
      </c>
      <c r="BA34" s="1133">
        <v>0.70899999999999996</v>
      </c>
      <c r="BB34" s="1133">
        <v>0.73399999999999999</v>
      </c>
      <c r="BC34" s="1133">
        <v>0.73399999999999999</v>
      </c>
      <c r="BE34" s="1134">
        <v>600000</v>
      </c>
      <c r="BF34" s="1033">
        <v>0.67900000000000005</v>
      </c>
      <c r="BG34" s="1034">
        <v>0.67900000000000005</v>
      </c>
      <c r="BH34" s="1034">
        <v>0.67900000000000005</v>
      </c>
      <c r="BI34" s="1034">
        <v>0.64600000000000002</v>
      </c>
      <c r="BJ34" s="1034">
        <v>0.64600000000000002</v>
      </c>
      <c r="BK34" s="1035">
        <v>0.64600000000000002</v>
      </c>
      <c r="BL34" s="1133">
        <v>0.54200000000000004</v>
      </c>
      <c r="BM34" s="1133">
        <v>0.43</v>
      </c>
      <c r="BN34" s="1133">
        <v>0.43</v>
      </c>
    </row>
    <row r="35" spans="1:66" x14ac:dyDescent="0.2">
      <c r="A35" s="64" t="s">
        <v>76</v>
      </c>
      <c r="B35" s="64" t="s">
        <v>28</v>
      </c>
      <c r="C35" s="64">
        <v>11</v>
      </c>
      <c r="D35" s="1033">
        <v>0.42799999999999999</v>
      </c>
      <c r="E35" s="1034">
        <v>0.38500000000000001</v>
      </c>
      <c r="F35" s="1034">
        <v>0.34300000000000003</v>
      </c>
      <c r="G35" s="1034">
        <v>0.27700000000000002</v>
      </c>
      <c r="H35" s="1034">
        <v>0.25800000000000001</v>
      </c>
      <c r="I35" s="1035">
        <v>0.25800000000000001</v>
      </c>
      <c r="J35" s="1475">
        <v>0.48399999999999999</v>
      </c>
      <c r="K35" s="1034">
        <v>0.435</v>
      </c>
      <c r="L35" s="1034">
        <v>0.41199999999999998</v>
      </c>
      <c r="M35" s="1034">
        <v>0.36299999999999999</v>
      </c>
      <c r="N35" s="1034">
        <v>0.33700000000000002</v>
      </c>
      <c r="O35" s="1035">
        <v>0.33700000000000002</v>
      </c>
      <c r="Q35" s="72" t="s">
        <v>59</v>
      </c>
      <c r="R35" s="1034">
        <v>0.92100000000000004</v>
      </c>
      <c r="S35" s="1034">
        <v>0.82799999999999996</v>
      </c>
      <c r="T35" s="1034">
        <v>0.78300000000000003</v>
      </c>
      <c r="U35" s="1034">
        <v>0.69099999999999995</v>
      </c>
      <c r="V35" s="1034">
        <v>0.64600000000000002</v>
      </c>
      <c r="W35" s="1034">
        <v>0.64600000000000002</v>
      </c>
      <c r="X35" s="222"/>
      <c r="Y35" s="78" t="s">
        <v>78</v>
      </c>
      <c r="Z35" s="75" t="s">
        <v>828</v>
      </c>
      <c r="AB35" s="582" t="s">
        <v>1352</v>
      </c>
      <c r="AC35" s="342" t="s">
        <v>1353</v>
      </c>
      <c r="AD35" s="1178">
        <v>0.34</v>
      </c>
      <c r="AE35" s="603">
        <v>0.44800000000000001</v>
      </c>
      <c r="AF35" s="1179">
        <v>0.55600000000000005</v>
      </c>
      <c r="AG35" s="593" t="s">
        <v>1002</v>
      </c>
      <c r="AH35" s="335">
        <v>3</v>
      </c>
      <c r="AJ35" s="391" t="s">
        <v>1535</v>
      </c>
      <c r="AK35" s="378">
        <v>1</v>
      </c>
      <c r="AL35" s="402">
        <v>0.5</v>
      </c>
      <c r="AM35" s="388">
        <v>0.6</v>
      </c>
      <c r="AN35" s="395">
        <v>0.7</v>
      </c>
      <c r="AO35" s="732"/>
      <c r="AS35" s="344"/>
      <c r="AT35" s="1134">
        <v>1000000</v>
      </c>
      <c r="AU35" s="1033">
        <v>0.78600000000000003</v>
      </c>
      <c r="AV35" s="1034">
        <v>0.78600000000000003</v>
      </c>
      <c r="AW35" s="1034">
        <v>0.78600000000000003</v>
      </c>
      <c r="AX35" s="1034">
        <v>0.70599999999999996</v>
      </c>
      <c r="AY35" s="1034">
        <v>0.70599999999999996</v>
      </c>
      <c r="AZ35" s="1035">
        <v>0.70599999999999996</v>
      </c>
      <c r="BA35" s="1133">
        <v>0.7</v>
      </c>
      <c r="BB35" s="1133">
        <v>0.72499999999999998</v>
      </c>
      <c r="BC35" s="1133">
        <v>0.72499999999999998</v>
      </c>
      <c r="BE35" s="1134">
        <v>650000</v>
      </c>
      <c r="BF35" s="1033">
        <v>0.67</v>
      </c>
      <c r="BG35" s="1034">
        <v>0.67</v>
      </c>
      <c r="BH35" s="1034">
        <v>0.67</v>
      </c>
      <c r="BI35" s="1034">
        <v>0.63700000000000001</v>
      </c>
      <c r="BJ35" s="1034">
        <v>0.63700000000000001</v>
      </c>
      <c r="BK35" s="1035">
        <v>0.63700000000000001</v>
      </c>
      <c r="BL35" s="1133">
        <v>0.53100000000000003</v>
      </c>
      <c r="BM35" s="1133">
        <v>0.41799999999999998</v>
      </c>
      <c r="BN35" s="1133">
        <v>0.41799999999999998</v>
      </c>
    </row>
    <row r="36" spans="1:66" x14ac:dyDescent="0.2">
      <c r="A36" s="64" t="s">
        <v>77</v>
      </c>
      <c r="B36" s="64" t="s">
        <v>83</v>
      </c>
      <c r="C36" s="64">
        <v>3</v>
      </c>
      <c r="D36" s="1033">
        <v>8.5000000000000006E-2</v>
      </c>
      <c r="E36" s="1034">
        <v>7.6999999999999999E-2</v>
      </c>
      <c r="F36" s="1034">
        <v>6.8000000000000005E-2</v>
      </c>
      <c r="G36" s="1034">
        <v>5.6000000000000001E-2</v>
      </c>
      <c r="H36" s="1034">
        <v>5.0999999999999997E-2</v>
      </c>
      <c r="I36" s="1035">
        <v>5.0999999999999997E-2</v>
      </c>
      <c r="J36" s="1475">
        <v>0.223</v>
      </c>
      <c r="K36" s="1034">
        <v>0.2</v>
      </c>
      <c r="L36" s="1034">
        <v>0.19</v>
      </c>
      <c r="M36" s="1034">
        <v>0.16700000000000001</v>
      </c>
      <c r="N36" s="1034">
        <v>0.156</v>
      </c>
      <c r="O36" s="1035">
        <v>0.156</v>
      </c>
      <c r="Q36" s="72" t="s">
        <v>60</v>
      </c>
      <c r="R36" s="1034">
        <v>0.92100000000000004</v>
      </c>
      <c r="S36" s="1034">
        <v>0.82799999999999996</v>
      </c>
      <c r="T36" s="1034">
        <v>0.78300000000000003</v>
      </c>
      <c r="U36" s="1034">
        <v>0.69099999999999995</v>
      </c>
      <c r="V36" s="1034">
        <v>0.64600000000000002</v>
      </c>
      <c r="W36" s="1034">
        <v>0.64600000000000002</v>
      </c>
      <c r="X36" s="222"/>
      <c r="Y36" s="78" t="s">
        <v>79</v>
      </c>
      <c r="Z36" s="75" t="s">
        <v>829</v>
      </c>
      <c r="AB36" s="582" t="s">
        <v>1354</v>
      </c>
      <c r="AC36" s="342" t="s">
        <v>1355</v>
      </c>
      <c r="AD36" s="1178">
        <v>0.66400000000000003</v>
      </c>
      <c r="AE36" s="603">
        <v>0.88</v>
      </c>
      <c r="AF36" s="1179">
        <v>1.0960000000000001</v>
      </c>
      <c r="AG36" s="593" t="s">
        <v>28</v>
      </c>
      <c r="AH36" s="335">
        <v>4</v>
      </c>
      <c r="AJ36" s="391" t="s">
        <v>1538</v>
      </c>
      <c r="AK36" s="398">
        <v>2</v>
      </c>
      <c r="AL36" s="400">
        <v>0.6</v>
      </c>
      <c r="AM36" s="15">
        <v>0.7</v>
      </c>
      <c r="AN36" s="392">
        <v>0.8</v>
      </c>
      <c r="AO36" s="732"/>
      <c r="AS36" s="344"/>
      <c r="AT36" s="1134">
        <v>1250000</v>
      </c>
      <c r="AU36" s="1033">
        <v>0.75700000000000001</v>
      </c>
      <c r="AV36" s="1034">
        <v>0.75700000000000001</v>
      </c>
      <c r="AW36" s="1034">
        <v>0.75700000000000001</v>
      </c>
      <c r="AX36" s="1034">
        <v>0.66800000000000004</v>
      </c>
      <c r="AY36" s="1034">
        <v>0.66800000000000004</v>
      </c>
      <c r="AZ36" s="1035">
        <v>0.66800000000000004</v>
      </c>
      <c r="BA36" s="1133">
        <v>0.66100000000000003</v>
      </c>
      <c r="BB36" s="1133">
        <v>0.68799999999999994</v>
      </c>
      <c r="BC36" s="1133">
        <v>0.68799999999999994</v>
      </c>
      <c r="BE36" s="1134">
        <v>700000</v>
      </c>
      <c r="BF36" s="1033">
        <v>0.66300000000000003</v>
      </c>
      <c r="BG36" s="1034">
        <v>0.66300000000000003</v>
      </c>
      <c r="BH36" s="1034">
        <v>0.66300000000000003</v>
      </c>
      <c r="BI36" s="1034">
        <v>0.628</v>
      </c>
      <c r="BJ36" s="1034">
        <v>0.628</v>
      </c>
      <c r="BK36" s="1035">
        <v>0.628</v>
      </c>
      <c r="BL36" s="1133">
        <v>0.52200000000000002</v>
      </c>
      <c r="BM36" s="1133">
        <v>0.40799999999999997</v>
      </c>
      <c r="BN36" s="1133">
        <v>0.40799999999999997</v>
      </c>
    </row>
    <row r="37" spans="1:66" ht="13.5" thickBot="1" x14ac:dyDescent="0.25">
      <c r="A37" s="64" t="s">
        <v>78</v>
      </c>
      <c r="B37" s="64" t="s">
        <v>83</v>
      </c>
      <c r="C37" s="64">
        <v>4</v>
      </c>
      <c r="D37" s="1033">
        <v>0.09</v>
      </c>
      <c r="E37" s="1034">
        <v>8.1000000000000003E-2</v>
      </c>
      <c r="F37" s="1034">
        <v>7.0999999999999994E-2</v>
      </c>
      <c r="G37" s="1034">
        <v>5.8000000000000003E-2</v>
      </c>
      <c r="H37" s="1034">
        <v>5.3999999999999999E-2</v>
      </c>
      <c r="I37" s="1035">
        <v>5.3999999999999999E-2</v>
      </c>
      <c r="J37" s="1475">
        <v>0.223</v>
      </c>
      <c r="K37" s="1034">
        <v>0.2</v>
      </c>
      <c r="L37" s="1034">
        <v>0.19</v>
      </c>
      <c r="M37" s="1034">
        <v>0.16700000000000001</v>
      </c>
      <c r="N37" s="1034">
        <v>0.156</v>
      </c>
      <c r="O37" s="1035">
        <v>0.156</v>
      </c>
      <c r="Q37" s="72" t="s">
        <v>61</v>
      </c>
      <c r="R37" s="1034">
        <v>0.92100000000000004</v>
      </c>
      <c r="S37" s="1034">
        <v>0.82799999999999996</v>
      </c>
      <c r="T37" s="1034">
        <v>0.78300000000000003</v>
      </c>
      <c r="U37" s="1034">
        <v>0.69099999999999995</v>
      </c>
      <c r="V37" s="1034">
        <v>0.64600000000000002</v>
      </c>
      <c r="W37" s="1034">
        <v>0.64600000000000002</v>
      </c>
      <c r="X37" s="222"/>
      <c r="Y37" s="78" t="s">
        <v>80</v>
      </c>
      <c r="Z37" s="75" t="s">
        <v>830</v>
      </c>
      <c r="AB37" s="582">
        <v>17</v>
      </c>
      <c r="AC37" s="342" t="s">
        <v>1356</v>
      </c>
      <c r="AD37" s="1178">
        <v>5.4169999999999998</v>
      </c>
      <c r="AE37" s="603">
        <v>5.4169999999999998</v>
      </c>
      <c r="AF37" s="1179">
        <v>5.4169999999999998</v>
      </c>
      <c r="AG37" s="593" t="s">
        <v>28</v>
      </c>
      <c r="AH37" s="335">
        <v>4</v>
      </c>
      <c r="AJ37" s="396"/>
      <c r="AK37" s="399">
        <v>3</v>
      </c>
      <c r="AL37" s="401">
        <v>0.65</v>
      </c>
      <c r="AM37" s="389">
        <v>0.75</v>
      </c>
      <c r="AN37" s="394">
        <v>0.85</v>
      </c>
      <c r="AO37" s="732"/>
      <c r="AS37" s="344"/>
      <c r="AT37" s="1134">
        <v>1500000</v>
      </c>
      <c r="AU37" s="1033">
        <v>0.73299999999999998</v>
      </c>
      <c r="AV37" s="1034">
        <v>0.73299999999999998</v>
      </c>
      <c r="AW37" s="1034">
        <v>0.73299999999999998</v>
      </c>
      <c r="AX37" s="1034">
        <v>0.63800000000000001</v>
      </c>
      <c r="AY37" s="1034">
        <v>0.63800000000000001</v>
      </c>
      <c r="AZ37" s="1035">
        <v>0.63800000000000001</v>
      </c>
      <c r="BA37" s="1133">
        <v>0.63100000000000001</v>
      </c>
      <c r="BB37" s="1133">
        <v>0.66</v>
      </c>
      <c r="BC37" s="1133">
        <v>0.66</v>
      </c>
      <c r="BE37" s="1134">
        <v>750000</v>
      </c>
      <c r="BF37" s="1033">
        <v>0.65500000000000003</v>
      </c>
      <c r="BG37" s="1034">
        <v>0.65500000000000003</v>
      </c>
      <c r="BH37" s="1034">
        <v>0.65500000000000003</v>
      </c>
      <c r="BI37" s="1034">
        <v>0.621</v>
      </c>
      <c r="BJ37" s="1034">
        <v>0.621</v>
      </c>
      <c r="BK37" s="1035">
        <v>0.621</v>
      </c>
      <c r="BL37" s="1133">
        <v>0.51300000000000001</v>
      </c>
      <c r="BM37" s="1133">
        <v>0.39800000000000002</v>
      </c>
      <c r="BN37" s="1133">
        <v>0.39800000000000002</v>
      </c>
    </row>
    <row r="38" spans="1:66" x14ac:dyDescent="0.2">
      <c r="A38" s="64" t="s">
        <v>79</v>
      </c>
      <c r="B38" s="64" t="s">
        <v>28</v>
      </c>
      <c r="C38" s="64">
        <v>3</v>
      </c>
      <c r="D38" s="1033">
        <v>0.10199999999999999</v>
      </c>
      <c r="E38" s="1034">
        <v>9.1999999999999998E-2</v>
      </c>
      <c r="F38" s="1034">
        <v>8.2000000000000003E-2</v>
      </c>
      <c r="G38" s="1034">
        <v>6.6000000000000003E-2</v>
      </c>
      <c r="H38" s="1034">
        <v>6.2E-2</v>
      </c>
      <c r="I38" s="1035">
        <v>6.2E-2</v>
      </c>
      <c r="J38" s="1475">
        <v>0.247</v>
      </c>
      <c r="K38" s="1034">
        <v>0.223</v>
      </c>
      <c r="L38" s="1034">
        <v>0.21</v>
      </c>
      <c r="M38" s="1034">
        <v>0.185</v>
      </c>
      <c r="N38" s="1034">
        <v>0.17299999999999999</v>
      </c>
      <c r="O38" s="1035">
        <v>0.17299999999999999</v>
      </c>
      <c r="Q38" s="72" t="s">
        <v>65</v>
      </c>
      <c r="R38" s="1034">
        <v>0.39900000000000002</v>
      </c>
      <c r="S38" s="1034">
        <v>0.35699999999999998</v>
      </c>
      <c r="T38" s="1034">
        <v>0.34</v>
      </c>
      <c r="U38" s="1034">
        <v>0.29899999999999999</v>
      </c>
      <c r="V38" s="1034">
        <v>0.27800000000000002</v>
      </c>
      <c r="W38" s="1034">
        <v>0.27800000000000002</v>
      </c>
      <c r="X38" s="222"/>
      <c r="Y38" s="78" t="s">
        <v>81</v>
      </c>
      <c r="Z38" s="75" t="s">
        <v>1479</v>
      </c>
      <c r="AB38" s="582" t="s">
        <v>1357</v>
      </c>
      <c r="AC38" s="342" t="s">
        <v>1358</v>
      </c>
      <c r="AD38" s="1178">
        <v>5.5E-2</v>
      </c>
      <c r="AE38" s="603">
        <v>5.5E-2</v>
      </c>
      <c r="AF38" s="1179">
        <v>5.5E-2</v>
      </c>
      <c r="AG38" s="593" t="s">
        <v>1002</v>
      </c>
      <c r="AH38" s="335">
        <v>3</v>
      </c>
      <c r="AJ38" s="112"/>
      <c r="AK38" s="112"/>
      <c r="AL38" s="344"/>
      <c r="AM38" s="344"/>
      <c r="AN38" s="344"/>
      <c r="AO38" s="732"/>
      <c r="AS38" s="344"/>
      <c r="AT38" s="1134">
        <v>1750000</v>
      </c>
      <c r="AU38" s="1033">
        <v>0.71399999999999997</v>
      </c>
      <c r="AV38" s="1034">
        <v>0.71399999999999997</v>
      </c>
      <c r="AW38" s="1034">
        <v>0.71399999999999997</v>
      </c>
      <c r="AX38" s="1034">
        <v>0.61399999999999999</v>
      </c>
      <c r="AY38" s="1034">
        <v>0.61399999999999999</v>
      </c>
      <c r="AZ38" s="1035">
        <v>0.61399999999999999</v>
      </c>
      <c r="BA38" s="1133">
        <v>0.60599999999999998</v>
      </c>
      <c r="BB38" s="1133">
        <v>0.63700000000000001</v>
      </c>
      <c r="BC38" s="1133">
        <v>0.63700000000000001</v>
      </c>
      <c r="BE38" s="1134">
        <v>800000</v>
      </c>
      <c r="BF38" s="1033">
        <v>0.64900000000000002</v>
      </c>
      <c r="BG38" s="1034">
        <v>0.64900000000000002</v>
      </c>
      <c r="BH38" s="1034">
        <v>0.64900000000000002</v>
      </c>
      <c r="BI38" s="1034">
        <v>0.61399999999999999</v>
      </c>
      <c r="BJ38" s="1034">
        <v>0.61399999999999999</v>
      </c>
      <c r="BK38" s="1035">
        <v>0.61399999999999999</v>
      </c>
      <c r="BL38" s="1133">
        <v>0.505</v>
      </c>
      <c r="BM38" s="1133">
        <v>0.39</v>
      </c>
      <c r="BN38" s="1133">
        <v>0.39</v>
      </c>
    </row>
    <row r="39" spans="1:66" x14ac:dyDescent="0.2">
      <c r="A39" s="64" t="s">
        <v>80</v>
      </c>
      <c r="B39" s="64" t="s">
        <v>83</v>
      </c>
      <c r="C39" s="64">
        <v>5</v>
      </c>
      <c r="D39" s="1033">
        <v>0.10100000000000001</v>
      </c>
      <c r="E39" s="1034">
        <v>9.0999999999999998E-2</v>
      </c>
      <c r="F39" s="1034">
        <v>8.1000000000000003E-2</v>
      </c>
      <c r="G39" s="1034">
        <v>6.6000000000000003E-2</v>
      </c>
      <c r="H39" s="1034">
        <v>6.0999999999999999E-2</v>
      </c>
      <c r="I39" s="1035">
        <v>6.0999999999999999E-2</v>
      </c>
      <c r="J39" s="1475">
        <v>0.184</v>
      </c>
      <c r="K39" s="1034">
        <v>0.16500000000000001</v>
      </c>
      <c r="L39" s="1034">
        <v>0.156</v>
      </c>
      <c r="M39" s="1034">
        <v>0.13700000000000001</v>
      </c>
      <c r="N39" s="1034">
        <v>0.128</v>
      </c>
      <c r="O39" s="1035">
        <v>0.128</v>
      </c>
      <c r="Q39" s="72" t="s">
        <v>66</v>
      </c>
      <c r="R39" s="1034">
        <v>0.39900000000000002</v>
      </c>
      <c r="S39" s="1034">
        <v>0.35699999999999998</v>
      </c>
      <c r="T39" s="1034">
        <v>0.34</v>
      </c>
      <c r="U39" s="1034">
        <v>0.29899999999999999</v>
      </c>
      <c r="V39" s="1034">
        <v>0.27800000000000002</v>
      </c>
      <c r="W39" s="1034">
        <v>0.27800000000000002</v>
      </c>
      <c r="X39" s="222"/>
      <c r="Y39" s="78" t="s">
        <v>84</v>
      </c>
      <c r="Z39" s="79" t="s">
        <v>368</v>
      </c>
      <c r="AB39" s="582" t="s">
        <v>1359</v>
      </c>
      <c r="AC39" s="342" t="s">
        <v>1360</v>
      </c>
      <c r="AD39" s="1178">
        <v>0.55600000000000005</v>
      </c>
      <c r="AE39" s="603">
        <v>0.55600000000000005</v>
      </c>
      <c r="AF39" s="1179">
        <v>0.55600000000000005</v>
      </c>
      <c r="AG39" s="593" t="s">
        <v>28</v>
      </c>
      <c r="AH39" s="335">
        <v>4</v>
      </c>
      <c r="AJ39" s="112"/>
      <c r="AK39" s="112"/>
      <c r="AL39" s="344"/>
      <c r="AM39" s="344"/>
      <c r="AN39" s="344"/>
      <c r="AO39" s="732"/>
      <c r="AS39" s="344"/>
      <c r="AT39" s="1134">
        <v>2000000</v>
      </c>
      <c r="AU39" s="1033">
        <v>0.69699999999999995</v>
      </c>
      <c r="AV39" s="1034">
        <v>0.69699999999999995</v>
      </c>
      <c r="AW39" s="1034">
        <v>0.69699999999999995</v>
      </c>
      <c r="AX39" s="1034">
        <v>0.59399999999999997</v>
      </c>
      <c r="AY39" s="1034">
        <v>0.59399999999999997</v>
      </c>
      <c r="AZ39" s="1035">
        <v>0.59399999999999997</v>
      </c>
      <c r="BA39" s="1133">
        <v>0.58599999999999997</v>
      </c>
      <c r="BB39" s="1133">
        <v>0.61699999999999999</v>
      </c>
      <c r="BC39" s="1133">
        <v>0.61699999999999999</v>
      </c>
      <c r="BE39" s="1134">
        <v>850000</v>
      </c>
      <c r="BF39" s="1033">
        <v>0.64300000000000002</v>
      </c>
      <c r="BG39" s="1034">
        <v>0.64300000000000002</v>
      </c>
      <c r="BH39" s="1034">
        <v>0.64300000000000002</v>
      </c>
      <c r="BI39" s="1034">
        <v>0.60699999999999998</v>
      </c>
      <c r="BJ39" s="1034">
        <v>0.60699999999999998</v>
      </c>
      <c r="BK39" s="1035">
        <v>0.60699999999999998</v>
      </c>
      <c r="BL39" s="1133">
        <v>0.497</v>
      </c>
      <c r="BM39" s="1133">
        <v>0.38200000000000001</v>
      </c>
      <c r="BN39" s="1133">
        <v>0.38200000000000001</v>
      </c>
    </row>
    <row r="40" spans="1:66" x14ac:dyDescent="0.2">
      <c r="A40" s="64" t="s">
        <v>81</v>
      </c>
      <c r="B40" s="64" t="s">
        <v>28</v>
      </c>
      <c r="C40" s="64">
        <v>4</v>
      </c>
      <c r="D40" s="1033">
        <v>0.14000000000000001</v>
      </c>
      <c r="E40" s="1034">
        <v>0.126</v>
      </c>
      <c r="F40" s="1034">
        <v>0.111</v>
      </c>
      <c r="G40" s="1034">
        <v>9.0999999999999998E-2</v>
      </c>
      <c r="H40" s="1034">
        <v>8.3000000000000004E-2</v>
      </c>
      <c r="I40" s="1035">
        <v>8.3000000000000004E-2</v>
      </c>
      <c r="J40" s="1475">
        <v>0.32200000000000001</v>
      </c>
      <c r="K40" s="1034">
        <v>0.29199999999999998</v>
      </c>
      <c r="L40" s="1034">
        <v>0.27500000000000002</v>
      </c>
      <c r="M40" s="1034">
        <v>0.24299999999999999</v>
      </c>
      <c r="N40" s="1034">
        <v>0.22600000000000001</v>
      </c>
      <c r="O40" s="1035">
        <v>0.22600000000000001</v>
      </c>
      <c r="Q40" s="72" t="s">
        <v>67</v>
      </c>
      <c r="R40" s="1034">
        <v>0.39900000000000002</v>
      </c>
      <c r="S40" s="1034">
        <v>0.35699999999999998</v>
      </c>
      <c r="T40" s="1034">
        <v>0.34</v>
      </c>
      <c r="U40" s="1034">
        <v>0.29899999999999999</v>
      </c>
      <c r="V40" s="1034">
        <v>0.27800000000000002</v>
      </c>
      <c r="W40" s="1034">
        <v>0.27800000000000002</v>
      </c>
      <c r="X40" s="222"/>
      <c r="Y40" s="78" t="s">
        <v>85</v>
      </c>
      <c r="Z40" s="79" t="s">
        <v>369</v>
      </c>
      <c r="AB40" s="582" t="s">
        <v>1361</v>
      </c>
      <c r="AC40" s="342" t="s">
        <v>1362</v>
      </c>
      <c r="AD40" s="1178">
        <v>4.3999999999999997E-2</v>
      </c>
      <c r="AE40" s="603">
        <v>4.3999999999999997E-2</v>
      </c>
      <c r="AF40" s="1179">
        <v>4.3999999999999997E-2</v>
      </c>
      <c r="AG40" s="593" t="s">
        <v>18</v>
      </c>
      <c r="AH40" s="335">
        <v>2</v>
      </c>
      <c r="AS40" s="344"/>
      <c r="AT40" s="1134">
        <v>2250000</v>
      </c>
      <c r="AU40" s="1033">
        <v>0.68300000000000005</v>
      </c>
      <c r="AV40" s="1034">
        <v>0.68300000000000005</v>
      </c>
      <c r="AW40" s="1034">
        <v>0.68300000000000005</v>
      </c>
      <c r="AX40" s="1034">
        <v>0.57699999999999996</v>
      </c>
      <c r="AY40" s="1034">
        <v>0.57699999999999996</v>
      </c>
      <c r="AZ40" s="1035">
        <v>0.57699999999999996</v>
      </c>
      <c r="BA40" s="1133">
        <v>0.56799999999999995</v>
      </c>
      <c r="BB40" s="1133">
        <v>0.60099999999999998</v>
      </c>
      <c r="BC40" s="1133">
        <v>0.60099999999999998</v>
      </c>
      <c r="BE40" s="1134">
        <v>900000</v>
      </c>
      <c r="BF40" s="1033">
        <v>0.63700000000000001</v>
      </c>
      <c r="BG40" s="1034">
        <v>0.63700000000000001</v>
      </c>
      <c r="BH40" s="1034">
        <v>0.63700000000000001</v>
      </c>
      <c r="BI40" s="1034">
        <v>0.60099999999999998</v>
      </c>
      <c r="BJ40" s="1034">
        <v>0.60099999999999998</v>
      </c>
      <c r="BK40" s="1035">
        <v>0.60099999999999998</v>
      </c>
      <c r="BL40" s="1133">
        <v>0.49</v>
      </c>
      <c r="BM40" s="1133">
        <v>0.374</v>
      </c>
      <c r="BN40" s="1133">
        <v>0.374</v>
      </c>
    </row>
    <row r="41" spans="1:66" ht="13.5" thickBot="1" x14ac:dyDescent="0.25">
      <c r="A41" s="64" t="s">
        <v>84</v>
      </c>
      <c r="B41" s="64" t="s">
        <v>83</v>
      </c>
      <c r="C41" s="64">
        <v>4</v>
      </c>
      <c r="D41" s="1033">
        <v>9.1999999999999998E-2</v>
      </c>
      <c r="E41" s="1034">
        <v>8.3000000000000004E-2</v>
      </c>
      <c r="F41" s="1034">
        <v>7.4999999999999997E-2</v>
      </c>
      <c r="G41" s="1034">
        <v>6.0999999999999999E-2</v>
      </c>
      <c r="H41" s="1034">
        <v>5.6000000000000001E-2</v>
      </c>
      <c r="I41" s="1035">
        <v>5.6000000000000001E-2</v>
      </c>
      <c r="J41" s="1475">
        <v>0.18</v>
      </c>
      <c r="K41" s="1034">
        <v>0.161</v>
      </c>
      <c r="L41" s="1034">
        <v>0.152</v>
      </c>
      <c r="M41" s="1034">
        <v>0.13500000000000001</v>
      </c>
      <c r="N41" s="1034">
        <v>0.126</v>
      </c>
      <c r="O41" s="1035">
        <v>0.126</v>
      </c>
      <c r="Q41" s="72" t="s">
        <v>89</v>
      </c>
      <c r="R41" s="1034">
        <v>0.23899999999999999</v>
      </c>
      <c r="S41" s="1034">
        <v>0.215</v>
      </c>
      <c r="T41" s="1034">
        <v>0.20399999999999999</v>
      </c>
      <c r="U41" s="1034">
        <v>0.18</v>
      </c>
      <c r="V41" s="1034">
        <v>0.16700000000000001</v>
      </c>
      <c r="W41" s="1034">
        <v>0.16700000000000001</v>
      </c>
      <c r="X41" s="222"/>
      <c r="Y41" s="78" t="s">
        <v>86</v>
      </c>
      <c r="Z41" s="79" t="s">
        <v>1480</v>
      </c>
      <c r="AB41" s="582" t="s">
        <v>1363</v>
      </c>
      <c r="AC41" s="342" t="s">
        <v>1364</v>
      </c>
      <c r="AD41" s="1178">
        <v>7.0000000000000007E-2</v>
      </c>
      <c r="AE41" s="603">
        <v>7.0000000000000007E-2</v>
      </c>
      <c r="AF41" s="1179">
        <v>7.0000000000000007E-2</v>
      </c>
      <c r="AG41" s="593" t="s">
        <v>1002</v>
      </c>
      <c r="AH41" s="335">
        <v>3</v>
      </c>
      <c r="AJ41" s="224" t="s">
        <v>1429</v>
      </c>
      <c r="AT41" s="1134">
        <v>2500000</v>
      </c>
      <c r="AU41" s="1033">
        <v>0.67100000000000004</v>
      </c>
      <c r="AV41" s="1034">
        <v>0.67100000000000004</v>
      </c>
      <c r="AW41" s="1034">
        <v>0.67100000000000004</v>
      </c>
      <c r="AX41" s="1034">
        <v>0.56100000000000005</v>
      </c>
      <c r="AY41" s="1034">
        <v>0.56100000000000005</v>
      </c>
      <c r="AZ41" s="1035">
        <v>0.56100000000000005</v>
      </c>
      <c r="BA41" s="1133">
        <v>0.55300000000000005</v>
      </c>
      <c r="BB41" s="1133">
        <v>0.58599999999999997</v>
      </c>
      <c r="BC41" s="1133">
        <v>0.58599999999999997</v>
      </c>
      <c r="BE41" s="1134">
        <v>950000</v>
      </c>
      <c r="BF41" s="1033">
        <v>0.63200000000000001</v>
      </c>
      <c r="BG41" s="1034">
        <v>0.63200000000000001</v>
      </c>
      <c r="BH41" s="1034">
        <v>0.63200000000000001</v>
      </c>
      <c r="BI41" s="1034">
        <v>0.59599999999999997</v>
      </c>
      <c r="BJ41" s="1034">
        <v>0.59599999999999997</v>
      </c>
      <c r="BK41" s="1035">
        <v>0.59599999999999997</v>
      </c>
      <c r="BL41" s="1133">
        <v>0.48399999999999999</v>
      </c>
      <c r="BM41" s="1133">
        <v>0.36699999999999999</v>
      </c>
      <c r="BN41" s="1133">
        <v>0.36699999999999999</v>
      </c>
    </row>
    <row r="42" spans="1:66" ht="13.5" thickBot="1" x14ac:dyDescent="0.25">
      <c r="A42" s="64" t="s">
        <v>85</v>
      </c>
      <c r="B42" s="64" t="s">
        <v>83</v>
      </c>
      <c r="C42" s="64">
        <v>3</v>
      </c>
      <c r="D42" s="1033">
        <v>0.104</v>
      </c>
      <c r="E42" s="1034">
        <v>9.4E-2</v>
      </c>
      <c r="F42" s="1034">
        <v>8.4000000000000005E-2</v>
      </c>
      <c r="G42" s="1034">
        <v>6.8000000000000005E-2</v>
      </c>
      <c r="H42" s="1034">
        <v>6.3E-2</v>
      </c>
      <c r="I42" s="1035">
        <v>6.3E-2</v>
      </c>
      <c r="J42" s="1475">
        <v>0.24299999999999999</v>
      </c>
      <c r="K42" s="1034">
        <v>0.219</v>
      </c>
      <c r="L42" s="1034">
        <v>0.20599999999999999</v>
      </c>
      <c r="M42" s="1034">
        <v>0.18099999999999999</v>
      </c>
      <c r="N42" s="1034">
        <v>0.17100000000000001</v>
      </c>
      <c r="O42" s="1035">
        <v>0.17100000000000001</v>
      </c>
      <c r="Q42" s="72" t="s">
        <v>90</v>
      </c>
      <c r="R42" s="1034">
        <v>0.215</v>
      </c>
      <c r="S42" s="1034">
        <v>0.193</v>
      </c>
      <c r="T42" s="1034">
        <v>0.18099999999999999</v>
      </c>
      <c r="U42" s="1034">
        <v>0.161</v>
      </c>
      <c r="V42" s="1034">
        <v>0.15</v>
      </c>
      <c r="W42" s="1034">
        <v>0.15</v>
      </c>
      <c r="X42" s="222"/>
      <c r="Y42" s="78" t="s">
        <v>87</v>
      </c>
      <c r="Z42" s="79" t="s">
        <v>370</v>
      </c>
      <c r="AB42" s="582" t="s">
        <v>1365</v>
      </c>
      <c r="AC42" s="342" t="s">
        <v>1366</v>
      </c>
      <c r="AD42" s="1178">
        <v>0.17799999999999999</v>
      </c>
      <c r="AE42" s="603">
        <v>0.23200000000000001</v>
      </c>
      <c r="AF42" s="1179">
        <v>0.28599999999999998</v>
      </c>
      <c r="AG42" s="593" t="s">
        <v>1002</v>
      </c>
      <c r="AH42" s="335">
        <v>3</v>
      </c>
      <c r="AJ42" s="98" t="s">
        <v>106</v>
      </c>
      <c r="AM42" s="1563" t="s">
        <v>1428</v>
      </c>
      <c r="AN42" s="1564"/>
      <c r="AO42" s="6"/>
      <c r="AT42" s="1134">
        <v>2750000</v>
      </c>
      <c r="AU42" s="1033">
        <v>0.66</v>
      </c>
      <c r="AV42" s="1034">
        <v>0.66</v>
      </c>
      <c r="AW42" s="1034">
        <v>0.66</v>
      </c>
      <c r="AX42" s="1034">
        <v>0.54800000000000004</v>
      </c>
      <c r="AY42" s="1034">
        <v>0.54800000000000004</v>
      </c>
      <c r="AZ42" s="1035">
        <v>0.54800000000000004</v>
      </c>
      <c r="BA42" s="1133">
        <v>0.54</v>
      </c>
      <c r="BB42" s="1133">
        <v>0.57299999999999995</v>
      </c>
      <c r="BC42" s="1133">
        <v>0.57299999999999995</v>
      </c>
      <c r="BE42" s="1134">
        <v>1000000</v>
      </c>
      <c r="BF42" s="1033">
        <v>0.627</v>
      </c>
      <c r="BG42" s="1034">
        <v>0.627</v>
      </c>
      <c r="BH42" s="1034">
        <v>0.627</v>
      </c>
      <c r="BI42" s="1034">
        <v>0.59</v>
      </c>
      <c r="BJ42" s="1034">
        <v>0.59</v>
      </c>
      <c r="BK42" s="1035">
        <v>0.59</v>
      </c>
      <c r="BL42" s="1133">
        <v>0.47799999999999998</v>
      </c>
      <c r="BM42" s="1133">
        <v>0.36099999999999999</v>
      </c>
      <c r="BN42" s="1133">
        <v>0.36099999999999999</v>
      </c>
    </row>
    <row r="43" spans="1:66" ht="13.5" thickBot="1" x14ac:dyDescent="0.25">
      <c r="A43" s="64" t="s">
        <v>86</v>
      </c>
      <c r="B43" s="64" t="s">
        <v>83</v>
      </c>
      <c r="C43" s="64">
        <v>3</v>
      </c>
      <c r="D43" s="1033">
        <v>9.2999999999999999E-2</v>
      </c>
      <c r="E43" s="1034">
        <v>8.4000000000000005E-2</v>
      </c>
      <c r="F43" s="1034">
        <v>7.4999999999999997E-2</v>
      </c>
      <c r="G43" s="1034">
        <v>6.0999999999999999E-2</v>
      </c>
      <c r="H43" s="1034">
        <v>5.7000000000000002E-2</v>
      </c>
      <c r="I43" s="1035">
        <v>5.7000000000000002E-2</v>
      </c>
      <c r="J43" s="1475">
        <v>0.20599999999999999</v>
      </c>
      <c r="K43" s="1034">
        <v>0.185</v>
      </c>
      <c r="L43" s="1034">
        <v>0.17399999999999999</v>
      </c>
      <c r="M43" s="1034">
        <v>0.154</v>
      </c>
      <c r="N43" s="1034">
        <v>0.14499999999999999</v>
      </c>
      <c r="O43" s="1035">
        <v>0.14499999999999999</v>
      </c>
      <c r="Q43" s="72" t="s">
        <v>91</v>
      </c>
      <c r="R43" s="1034">
        <v>4.2999999999999997E-2</v>
      </c>
      <c r="S43" s="1034">
        <v>3.9E-2</v>
      </c>
      <c r="T43" s="1034">
        <v>3.5999999999999997E-2</v>
      </c>
      <c r="U43" s="1034">
        <v>3.2000000000000001E-2</v>
      </c>
      <c r="V43" s="1034">
        <v>0.03</v>
      </c>
      <c r="W43" s="1034">
        <v>0.03</v>
      </c>
      <c r="X43" s="222"/>
      <c r="Y43" s="78" t="s">
        <v>88</v>
      </c>
      <c r="Z43" s="79" t="s">
        <v>371</v>
      </c>
      <c r="AB43" s="582" t="s">
        <v>1367</v>
      </c>
      <c r="AC43" s="342" t="s">
        <v>1368</v>
      </c>
      <c r="AD43" s="1178">
        <v>0.502</v>
      </c>
      <c r="AE43" s="603">
        <v>0.66400000000000003</v>
      </c>
      <c r="AF43" s="1179">
        <v>0.82599999999999996</v>
      </c>
      <c r="AG43" s="593" t="s">
        <v>1002</v>
      </c>
      <c r="AH43" s="335">
        <v>3</v>
      </c>
      <c r="AJ43" s="821" t="s">
        <v>1427</v>
      </c>
      <c r="AK43" s="799" t="s">
        <v>1501</v>
      </c>
      <c r="AL43" s="799" t="s">
        <v>725</v>
      </c>
      <c r="AM43" s="798" t="s">
        <v>1271</v>
      </c>
      <c r="AN43" s="800" t="s">
        <v>1268</v>
      </c>
      <c r="AO43" s="114"/>
      <c r="AT43" s="1134">
        <v>3000000</v>
      </c>
      <c r="AU43" s="1033">
        <v>0.65</v>
      </c>
      <c r="AV43" s="1034">
        <v>0.65</v>
      </c>
      <c r="AW43" s="1034">
        <v>0.65</v>
      </c>
      <c r="AX43" s="1034">
        <v>0.53600000000000003</v>
      </c>
      <c r="AY43" s="1034">
        <v>0.53600000000000003</v>
      </c>
      <c r="AZ43" s="1035">
        <v>0.53600000000000003</v>
      </c>
      <c r="BA43" s="1133">
        <v>0.52800000000000002</v>
      </c>
      <c r="BB43" s="1133">
        <v>0.56200000000000006</v>
      </c>
      <c r="BC43" s="1133">
        <v>0.56200000000000006</v>
      </c>
      <c r="BE43" s="1134">
        <v>1100000</v>
      </c>
      <c r="BF43" s="1033">
        <v>0.61699999999999999</v>
      </c>
      <c r="BG43" s="1034">
        <v>0.61699999999999999</v>
      </c>
      <c r="BH43" s="1034">
        <v>0.61699999999999999</v>
      </c>
      <c r="BI43" s="1034">
        <v>0.57999999999999996</v>
      </c>
      <c r="BJ43" s="1034">
        <v>0.57999999999999996</v>
      </c>
      <c r="BK43" s="1035">
        <v>0.57999999999999996</v>
      </c>
      <c r="BL43" s="1133">
        <v>0.46700000000000003</v>
      </c>
      <c r="BM43" s="1133">
        <v>0.35</v>
      </c>
      <c r="BN43" s="1133">
        <v>0.35</v>
      </c>
    </row>
    <row r="44" spans="1:66" x14ac:dyDescent="0.2">
      <c r="A44" s="64" t="s">
        <v>87</v>
      </c>
      <c r="B44" s="64" t="s">
        <v>28</v>
      </c>
      <c r="C44" s="64">
        <v>4</v>
      </c>
      <c r="D44" s="1033">
        <v>9.2999999999999999E-2</v>
      </c>
      <c r="E44" s="1034">
        <v>8.4000000000000005E-2</v>
      </c>
      <c r="F44" s="1034">
        <v>7.4999999999999997E-2</v>
      </c>
      <c r="G44" s="1034">
        <v>6.0999999999999999E-2</v>
      </c>
      <c r="H44" s="1034">
        <v>5.7000000000000002E-2</v>
      </c>
      <c r="I44" s="1035">
        <v>5.7000000000000002E-2</v>
      </c>
      <c r="J44" s="1475">
        <v>0.217</v>
      </c>
      <c r="K44" s="1034">
        <v>0.19400000000000001</v>
      </c>
      <c r="L44" s="1034">
        <v>0.184</v>
      </c>
      <c r="M44" s="1034">
        <v>0.16400000000000001</v>
      </c>
      <c r="N44" s="1034">
        <v>0.152</v>
      </c>
      <c r="O44" s="1035">
        <v>0.152</v>
      </c>
      <c r="Q44" s="72" t="s">
        <v>92</v>
      </c>
      <c r="R44" s="1034">
        <v>6.0999999999999999E-2</v>
      </c>
      <c r="S44" s="1034">
        <v>5.5E-2</v>
      </c>
      <c r="T44" s="1034">
        <v>5.1999999999999998E-2</v>
      </c>
      <c r="U44" s="1034">
        <v>4.5999999999999999E-2</v>
      </c>
      <c r="V44" s="1034">
        <v>4.2000000000000003E-2</v>
      </c>
      <c r="W44" s="1034">
        <v>4.2000000000000003E-2</v>
      </c>
      <c r="X44" s="222"/>
      <c r="Y44" s="78" t="s">
        <v>89</v>
      </c>
      <c r="Z44" s="79" t="s">
        <v>372</v>
      </c>
      <c r="AB44" s="582" t="s">
        <v>1369</v>
      </c>
      <c r="AC44" s="342" t="s">
        <v>1391</v>
      </c>
      <c r="AD44" s="1178">
        <v>0.98799999999999999</v>
      </c>
      <c r="AE44" s="603">
        <v>1.3120000000000001</v>
      </c>
      <c r="AF44" s="1179">
        <v>1.6359999999999999</v>
      </c>
      <c r="AG44" s="593" t="s">
        <v>1002</v>
      </c>
      <c r="AH44" s="335">
        <v>3</v>
      </c>
      <c r="AJ44" s="1249" t="s">
        <v>1422</v>
      </c>
      <c r="AK44" s="1250" t="s">
        <v>1425</v>
      </c>
      <c r="AL44" s="1251" t="s">
        <v>1426</v>
      </c>
      <c r="AM44" s="1252">
        <v>1.2999999999999999E-2</v>
      </c>
      <c r="AN44" s="1253">
        <v>2.3E-2</v>
      </c>
      <c r="AO44" s="769"/>
      <c r="AT44" s="1134">
        <v>3250000</v>
      </c>
      <c r="AU44" s="1033">
        <v>0.64100000000000001</v>
      </c>
      <c r="AV44" s="1034">
        <v>0.64100000000000001</v>
      </c>
      <c r="AW44" s="1034">
        <v>0.64100000000000001</v>
      </c>
      <c r="AX44" s="1034">
        <v>0.52600000000000002</v>
      </c>
      <c r="AY44" s="1034">
        <v>0.52600000000000002</v>
      </c>
      <c r="AZ44" s="1035">
        <v>0.52600000000000002</v>
      </c>
      <c r="BA44" s="1133">
        <v>0.51700000000000002</v>
      </c>
      <c r="BB44" s="1133">
        <v>0.55200000000000005</v>
      </c>
      <c r="BC44" s="1133">
        <v>0.55200000000000005</v>
      </c>
      <c r="BE44" s="1134">
        <v>1200000</v>
      </c>
      <c r="BF44" s="1033">
        <v>0.60899999999999999</v>
      </c>
      <c r="BG44" s="1034">
        <v>0.60899999999999999</v>
      </c>
      <c r="BH44" s="1034">
        <v>0.60899999999999999</v>
      </c>
      <c r="BI44" s="1034">
        <v>0.57199999999999995</v>
      </c>
      <c r="BJ44" s="1034">
        <v>0.57199999999999995</v>
      </c>
      <c r="BK44" s="1035">
        <v>0.57199999999999995</v>
      </c>
      <c r="BL44" s="1133">
        <v>0.45700000000000002</v>
      </c>
      <c r="BM44" s="1133">
        <v>0.33900000000000002</v>
      </c>
      <c r="BN44" s="1133">
        <v>0.33900000000000002</v>
      </c>
    </row>
    <row r="45" spans="1:66" ht="13.5" thickBot="1" x14ac:dyDescent="0.25">
      <c r="A45" s="64" t="s">
        <v>88</v>
      </c>
      <c r="B45" s="64" t="s">
        <v>28</v>
      </c>
      <c r="C45" s="64">
        <v>4</v>
      </c>
      <c r="D45" s="1033">
        <v>9.2999999999999999E-2</v>
      </c>
      <c r="E45" s="1034">
        <v>8.4000000000000005E-2</v>
      </c>
      <c r="F45" s="1034">
        <v>7.4999999999999997E-2</v>
      </c>
      <c r="G45" s="1034">
        <v>6.0999999999999999E-2</v>
      </c>
      <c r="H45" s="1034">
        <v>5.7000000000000002E-2</v>
      </c>
      <c r="I45" s="1035">
        <v>5.7000000000000002E-2</v>
      </c>
      <c r="J45" s="1475">
        <v>0.22600000000000001</v>
      </c>
      <c r="K45" s="1034">
        <v>0.20399999999999999</v>
      </c>
      <c r="L45" s="1034">
        <v>0.193</v>
      </c>
      <c r="M45" s="1034">
        <v>0.17100000000000001</v>
      </c>
      <c r="N45" s="1034">
        <v>0.16</v>
      </c>
      <c r="O45" s="1035">
        <v>0.16</v>
      </c>
      <c r="Y45" s="78" t="s">
        <v>90</v>
      </c>
      <c r="Z45" s="79" t="s">
        <v>373</v>
      </c>
      <c r="AB45" s="582">
        <v>21</v>
      </c>
      <c r="AC45" s="342" t="s">
        <v>1392</v>
      </c>
      <c r="AD45" s="1178">
        <v>0.502</v>
      </c>
      <c r="AE45" s="603">
        <v>0.66400000000000003</v>
      </c>
      <c r="AF45" s="1179">
        <v>0.82599999999999996</v>
      </c>
      <c r="AG45" s="593" t="s">
        <v>28</v>
      </c>
      <c r="AH45" s="335">
        <v>8</v>
      </c>
      <c r="AJ45" s="1254"/>
      <c r="AK45" s="1255" t="s">
        <v>1268</v>
      </c>
      <c r="AL45" s="1256" t="s">
        <v>997</v>
      </c>
      <c r="AM45" s="1257">
        <v>2.1000000000000001E-2</v>
      </c>
      <c r="AN45" s="1258">
        <v>3.9E-2</v>
      </c>
      <c r="AO45" s="769"/>
      <c r="AT45" s="1134">
        <v>3500000</v>
      </c>
      <c r="AU45" s="1033">
        <v>0.63300000000000001</v>
      </c>
      <c r="AV45" s="1034">
        <v>0.63300000000000001</v>
      </c>
      <c r="AW45" s="1034">
        <v>0.63300000000000001</v>
      </c>
      <c r="AX45" s="1034">
        <v>0.51600000000000001</v>
      </c>
      <c r="AY45" s="1034">
        <v>0.51600000000000001</v>
      </c>
      <c r="AZ45" s="1035">
        <v>0.51600000000000001</v>
      </c>
      <c r="BA45" s="1133">
        <v>0.50700000000000001</v>
      </c>
      <c r="BB45" s="1133">
        <v>0.54200000000000004</v>
      </c>
      <c r="BC45" s="1133">
        <v>0.54200000000000004</v>
      </c>
      <c r="BE45" s="1134">
        <v>1300000</v>
      </c>
      <c r="BF45" s="1033">
        <v>0.60199999999999998</v>
      </c>
      <c r="BG45" s="1034">
        <v>0.60199999999999998</v>
      </c>
      <c r="BH45" s="1034">
        <v>0.60199999999999998</v>
      </c>
      <c r="BI45" s="1034">
        <v>0.56399999999999995</v>
      </c>
      <c r="BJ45" s="1034">
        <v>0.56399999999999995</v>
      </c>
      <c r="BK45" s="1035">
        <v>0.56399999999999995</v>
      </c>
      <c r="BL45" s="1133">
        <v>0.44800000000000001</v>
      </c>
      <c r="BM45" s="1133">
        <v>0.33</v>
      </c>
      <c r="BN45" s="1133">
        <v>0.33</v>
      </c>
    </row>
    <row r="46" spans="1:66" x14ac:dyDescent="0.2">
      <c r="A46" s="64" t="s">
        <v>89</v>
      </c>
      <c r="B46" s="64" t="s">
        <v>83</v>
      </c>
      <c r="C46" s="64">
        <v>3</v>
      </c>
      <c r="D46" s="1033">
        <v>0.1</v>
      </c>
      <c r="E46" s="1034">
        <v>8.8999999999999996E-2</v>
      </c>
      <c r="F46" s="1034">
        <v>7.9000000000000001E-2</v>
      </c>
      <c r="G46" s="1034">
        <v>6.5000000000000002E-2</v>
      </c>
      <c r="H46" s="1034">
        <v>0.06</v>
      </c>
      <c r="I46" s="1035">
        <v>0.06</v>
      </c>
      <c r="J46" s="1475" t="s">
        <v>82</v>
      </c>
      <c r="K46" s="1034" t="s">
        <v>82</v>
      </c>
      <c r="L46" s="1034" t="s">
        <v>82</v>
      </c>
      <c r="M46" s="1034" t="s">
        <v>82</v>
      </c>
      <c r="N46" s="1034" t="s">
        <v>82</v>
      </c>
      <c r="O46" s="1035" t="s">
        <v>82</v>
      </c>
      <c r="Q46" s="60" t="s">
        <v>364</v>
      </c>
      <c r="W46" s="171" t="s">
        <v>989</v>
      </c>
      <c r="X46" s="171"/>
      <c r="Y46" s="78" t="s">
        <v>91</v>
      </c>
      <c r="Z46" s="79" t="s">
        <v>374</v>
      </c>
      <c r="AB46" s="582">
        <v>22</v>
      </c>
      <c r="AC46" s="342" t="s">
        <v>1393</v>
      </c>
      <c r="AD46" s="1178">
        <v>0.42099999999999999</v>
      </c>
      <c r="AE46" s="603">
        <v>0.42099999999999999</v>
      </c>
      <c r="AF46" s="1179">
        <v>0.42099999999999999</v>
      </c>
      <c r="AG46" s="593" t="s">
        <v>28</v>
      </c>
      <c r="AH46" s="335">
        <v>8</v>
      </c>
      <c r="AJ46" s="822" t="s">
        <v>1423</v>
      </c>
      <c r="AK46" s="823" t="s">
        <v>1425</v>
      </c>
      <c r="AL46" s="824" t="s">
        <v>460</v>
      </c>
      <c r="AM46" s="1247">
        <v>1.2999999999999999E-2</v>
      </c>
      <c r="AN46" s="1248">
        <v>2.3E-2</v>
      </c>
      <c r="AO46" s="769"/>
      <c r="AT46" s="1134">
        <v>3750000</v>
      </c>
      <c r="AU46" s="1033">
        <v>0.625</v>
      </c>
      <c r="AV46" s="1034">
        <v>0.625</v>
      </c>
      <c r="AW46" s="1034">
        <v>0.625</v>
      </c>
      <c r="AX46" s="1034">
        <v>0.50700000000000001</v>
      </c>
      <c r="AY46" s="1034">
        <v>0.50700000000000001</v>
      </c>
      <c r="AZ46" s="1035">
        <v>0.50700000000000001</v>
      </c>
      <c r="BA46" s="1133">
        <v>0.498</v>
      </c>
      <c r="BB46" s="1133">
        <v>0.53400000000000003</v>
      </c>
      <c r="BC46" s="1133">
        <v>0.53400000000000003</v>
      </c>
      <c r="BE46" s="1134">
        <v>1400000</v>
      </c>
      <c r="BF46" s="1033">
        <v>0.59499999999999997</v>
      </c>
      <c r="BG46" s="1034">
        <v>0.59499999999999997</v>
      </c>
      <c r="BH46" s="1034">
        <v>0.59499999999999997</v>
      </c>
      <c r="BI46" s="1034">
        <v>0.55600000000000005</v>
      </c>
      <c r="BJ46" s="1034">
        <v>0.55600000000000005</v>
      </c>
      <c r="BK46" s="1035">
        <v>0.55600000000000005</v>
      </c>
      <c r="BL46" s="1133">
        <v>0.44</v>
      </c>
      <c r="BM46" s="1133">
        <v>0.32200000000000001</v>
      </c>
      <c r="BN46" s="1133">
        <v>0.32200000000000001</v>
      </c>
    </row>
    <row r="47" spans="1:66" ht="13.5" thickBot="1" x14ac:dyDescent="0.25">
      <c r="A47" s="64" t="s">
        <v>90</v>
      </c>
      <c r="B47" s="64" t="s">
        <v>83</v>
      </c>
      <c r="C47" s="64">
        <v>4</v>
      </c>
      <c r="D47" s="1033">
        <v>0.109</v>
      </c>
      <c r="E47" s="1034">
        <v>9.9000000000000005E-2</v>
      </c>
      <c r="F47" s="1034">
        <v>8.6999999999999994E-2</v>
      </c>
      <c r="G47" s="1034">
        <v>7.0999999999999994E-2</v>
      </c>
      <c r="H47" s="1034">
        <v>6.6000000000000003E-2</v>
      </c>
      <c r="I47" s="1035">
        <v>6.6000000000000003E-2</v>
      </c>
      <c r="J47" s="1475" t="s">
        <v>82</v>
      </c>
      <c r="K47" s="1034" t="s">
        <v>82</v>
      </c>
      <c r="L47" s="1034" t="s">
        <v>82</v>
      </c>
      <c r="M47" s="1034" t="s">
        <v>82</v>
      </c>
      <c r="N47" s="1034" t="s">
        <v>82</v>
      </c>
      <c r="O47" s="1035" t="s">
        <v>82</v>
      </c>
      <c r="Q47" s="69" t="s">
        <v>363</v>
      </c>
      <c r="R47" s="66" t="s">
        <v>1870</v>
      </c>
      <c r="S47" s="66" t="s">
        <v>360</v>
      </c>
      <c r="T47" s="66" t="s">
        <v>361</v>
      </c>
      <c r="U47" s="66" t="s">
        <v>362</v>
      </c>
      <c r="V47" s="66" t="s">
        <v>40</v>
      </c>
      <c r="W47" s="70" t="s">
        <v>41</v>
      </c>
      <c r="X47" s="180"/>
      <c r="Y47" s="78" t="s">
        <v>92</v>
      </c>
      <c r="Z47" s="79" t="s">
        <v>398</v>
      </c>
      <c r="AB47" s="582">
        <v>23</v>
      </c>
      <c r="AC47" s="342" t="s">
        <v>1394</v>
      </c>
      <c r="AD47" s="1178">
        <v>1.6359999999999999</v>
      </c>
      <c r="AE47" s="603">
        <v>2.1760000000000002</v>
      </c>
      <c r="AF47" s="1179">
        <v>2.7160000000000002</v>
      </c>
      <c r="AG47" s="593" t="s">
        <v>1002</v>
      </c>
      <c r="AH47" s="335">
        <v>8</v>
      </c>
      <c r="AJ47" s="825"/>
      <c r="AK47" s="826" t="s">
        <v>1268</v>
      </c>
      <c r="AL47" s="827" t="s">
        <v>21</v>
      </c>
      <c r="AM47" s="1245">
        <v>2.1000000000000001E-2</v>
      </c>
      <c r="AN47" s="1246">
        <v>3.9E-2</v>
      </c>
      <c r="AO47" s="769"/>
      <c r="AT47" s="1134">
        <v>4000000</v>
      </c>
      <c r="AU47" s="1033">
        <v>0.61799999999999999</v>
      </c>
      <c r="AV47" s="1034">
        <v>0.61799999999999999</v>
      </c>
      <c r="AW47" s="1034">
        <v>0.61799999999999999</v>
      </c>
      <c r="AX47" s="1034">
        <v>0.499</v>
      </c>
      <c r="AY47" s="1034">
        <v>0.499</v>
      </c>
      <c r="AZ47" s="1035">
        <v>0.499</v>
      </c>
      <c r="BA47" s="1133">
        <v>0.49</v>
      </c>
      <c r="BB47" s="1133">
        <v>0.52600000000000002</v>
      </c>
      <c r="BC47" s="1133">
        <v>0.52600000000000002</v>
      </c>
      <c r="BE47" s="1134">
        <v>1500000</v>
      </c>
      <c r="BF47" s="1033">
        <v>0.58799999999999997</v>
      </c>
      <c r="BG47" s="1034">
        <v>0.58799999999999997</v>
      </c>
      <c r="BH47" s="1034">
        <v>0.58799999999999997</v>
      </c>
      <c r="BI47" s="1034">
        <v>0.55000000000000004</v>
      </c>
      <c r="BJ47" s="1034">
        <v>0.55000000000000004</v>
      </c>
      <c r="BK47" s="1035">
        <v>0.55000000000000004</v>
      </c>
      <c r="BL47" s="1133">
        <v>0.432</v>
      </c>
      <c r="BM47" s="1133">
        <v>0.315</v>
      </c>
      <c r="BN47" s="1133">
        <v>0.315</v>
      </c>
    </row>
    <row r="48" spans="1:66" x14ac:dyDescent="0.2">
      <c r="A48" s="64" t="s">
        <v>91</v>
      </c>
      <c r="B48" s="64" t="s">
        <v>18</v>
      </c>
      <c r="C48" s="64">
        <v>7</v>
      </c>
      <c r="D48" s="1033">
        <v>3.4000000000000002E-2</v>
      </c>
      <c r="E48" s="1034">
        <v>0.03</v>
      </c>
      <c r="F48" s="1034">
        <v>2.7E-2</v>
      </c>
      <c r="G48" s="1034">
        <v>2.1999999999999999E-2</v>
      </c>
      <c r="H48" s="1034">
        <v>0.02</v>
      </c>
      <c r="I48" s="1035">
        <v>0.02</v>
      </c>
      <c r="J48" s="1475" t="s">
        <v>82</v>
      </c>
      <c r="K48" s="1034" t="s">
        <v>82</v>
      </c>
      <c r="L48" s="1034" t="s">
        <v>82</v>
      </c>
      <c r="M48" s="1034" t="s">
        <v>82</v>
      </c>
      <c r="N48" s="1034" t="s">
        <v>82</v>
      </c>
      <c r="O48" s="1035" t="s">
        <v>82</v>
      </c>
      <c r="Q48" s="47" t="s">
        <v>57</v>
      </c>
      <c r="R48" s="66">
        <v>1</v>
      </c>
      <c r="S48" s="66">
        <v>2</v>
      </c>
      <c r="T48" s="66">
        <v>3</v>
      </c>
      <c r="U48" s="66">
        <v>4</v>
      </c>
      <c r="V48" s="66">
        <v>5</v>
      </c>
      <c r="W48" s="66">
        <v>6</v>
      </c>
      <c r="X48" s="221"/>
      <c r="Y48" s="78" t="s">
        <v>93</v>
      </c>
      <c r="Z48" s="79" t="s">
        <v>399</v>
      </c>
      <c r="AB48" s="582">
        <v>24</v>
      </c>
      <c r="AC48" s="342" t="s">
        <v>1395</v>
      </c>
      <c r="AD48" s="1178">
        <v>0.55600000000000005</v>
      </c>
      <c r="AE48" s="603">
        <v>0.55600000000000005</v>
      </c>
      <c r="AF48" s="1179">
        <v>0.55600000000000005</v>
      </c>
      <c r="AG48" s="593" t="s">
        <v>28</v>
      </c>
      <c r="AH48" s="335">
        <v>8</v>
      </c>
      <c r="AJ48" s="822" t="s">
        <v>1424</v>
      </c>
      <c r="AK48" s="823" t="s">
        <v>1425</v>
      </c>
      <c r="AL48" s="824" t="s">
        <v>458</v>
      </c>
      <c r="AM48" s="1247">
        <v>3.5999999999999997E-2</v>
      </c>
      <c r="AN48" s="1248">
        <v>4.5999999999999999E-2</v>
      </c>
      <c r="AO48" s="769"/>
      <c r="AT48" s="1134">
        <v>4250000</v>
      </c>
      <c r="AU48" s="1033">
        <v>0.61199999999999999</v>
      </c>
      <c r="AV48" s="1034">
        <v>0.61199999999999999</v>
      </c>
      <c r="AW48" s="1034">
        <v>0.61199999999999999</v>
      </c>
      <c r="AX48" s="1034">
        <v>0.49199999999999999</v>
      </c>
      <c r="AY48" s="1034">
        <v>0.49199999999999999</v>
      </c>
      <c r="AZ48" s="1035">
        <v>0.49199999999999999</v>
      </c>
      <c r="BA48" s="1133">
        <v>0.48199999999999998</v>
      </c>
      <c r="BB48" s="1133">
        <v>0.51800000000000002</v>
      </c>
      <c r="BC48" s="1133">
        <v>0.51800000000000002</v>
      </c>
      <c r="BE48" s="1134">
        <v>1600000</v>
      </c>
      <c r="BF48" s="1033">
        <v>0.58199999999999996</v>
      </c>
      <c r="BG48" s="1034">
        <v>0.58199999999999996</v>
      </c>
      <c r="BH48" s="1034">
        <v>0.58199999999999996</v>
      </c>
      <c r="BI48" s="1034">
        <v>0.54300000000000004</v>
      </c>
      <c r="BJ48" s="1034">
        <v>0.54300000000000004</v>
      </c>
      <c r="BK48" s="1035">
        <v>0.54300000000000004</v>
      </c>
      <c r="BL48" s="1133">
        <v>0.42499999999999999</v>
      </c>
      <c r="BM48" s="1133">
        <v>0.308</v>
      </c>
      <c r="BN48" s="1133">
        <v>0.308</v>
      </c>
    </row>
    <row r="49" spans="1:66" ht="13.5" thickBot="1" x14ac:dyDescent="0.25">
      <c r="A49" s="64" t="s">
        <v>92</v>
      </c>
      <c r="B49" s="64" t="s">
        <v>18</v>
      </c>
      <c r="C49" s="64">
        <v>7</v>
      </c>
      <c r="D49" s="1033">
        <v>4.2000000000000003E-2</v>
      </c>
      <c r="E49" s="1034">
        <v>3.6999999999999998E-2</v>
      </c>
      <c r="F49" s="1034">
        <v>3.3000000000000002E-2</v>
      </c>
      <c r="G49" s="1034">
        <v>2.7E-2</v>
      </c>
      <c r="H49" s="1034">
        <v>2.5000000000000001E-2</v>
      </c>
      <c r="I49" s="1035">
        <v>2.5000000000000001E-2</v>
      </c>
      <c r="J49" s="1475" t="s">
        <v>82</v>
      </c>
      <c r="K49" s="1034" t="s">
        <v>82</v>
      </c>
      <c r="L49" s="1034" t="s">
        <v>82</v>
      </c>
      <c r="M49" s="1034" t="s">
        <v>82</v>
      </c>
      <c r="N49" s="1034" t="s">
        <v>82</v>
      </c>
      <c r="O49" s="1035" t="s">
        <v>82</v>
      </c>
      <c r="Q49" s="72">
        <v>1400</v>
      </c>
      <c r="R49" s="1034">
        <v>0.57299999999999995</v>
      </c>
      <c r="S49" s="1034">
        <v>1</v>
      </c>
      <c r="T49" s="1034">
        <v>5.8999999999999997E-2</v>
      </c>
      <c r="U49" s="1034">
        <v>1</v>
      </c>
      <c r="V49" s="1034">
        <v>1</v>
      </c>
      <c r="W49" s="1034">
        <v>1</v>
      </c>
      <c r="X49" s="223"/>
      <c r="Y49" s="78" t="s">
        <v>94</v>
      </c>
      <c r="Z49" s="79" t="s">
        <v>400</v>
      </c>
      <c r="AB49" s="582">
        <v>25</v>
      </c>
      <c r="AC49" s="342" t="s">
        <v>1396</v>
      </c>
      <c r="AD49" s="1178">
        <v>5.4169999999999998</v>
      </c>
      <c r="AE49" s="603">
        <v>5.4169999999999998</v>
      </c>
      <c r="AF49" s="1179">
        <v>5.4169999999999998</v>
      </c>
      <c r="AG49" s="593" t="s">
        <v>1002</v>
      </c>
      <c r="AH49" s="335">
        <v>8</v>
      </c>
      <c r="AJ49" s="825"/>
      <c r="AK49" s="826" t="s">
        <v>1268</v>
      </c>
      <c r="AL49" s="827" t="s">
        <v>22</v>
      </c>
      <c r="AM49" s="1245">
        <v>4.3999999999999997E-2</v>
      </c>
      <c r="AN49" s="1246">
        <v>6.2E-2</v>
      </c>
      <c r="AO49" s="769"/>
      <c r="AT49" s="1134">
        <v>4500000</v>
      </c>
      <c r="AU49" s="1033">
        <v>0.60599999999999998</v>
      </c>
      <c r="AV49" s="1034">
        <v>0.60599999999999998</v>
      </c>
      <c r="AW49" s="1034">
        <v>0.60599999999999998</v>
      </c>
      <c r="AX49" s="1034">
        <v>0.48499999999999999</v>
      </c>
      <c r="AY49" s="1034">
        <v>0.48499999999999999</v>
      </c>
      <c r="AZ49" s="1035">
        <v>0.48499999999999999</v>
      </c>
      <c r="BA49" s="1133">
        <v>0.47499999999999998</v>
      </c>
      <c r="BB49" s="1133">
        <v>0.51100000000000001</v>
      </c>
      <c r="BC49" s="1133">
        <v>0.51100000000000001</v>
      </c>
      <c r="BE49" s="1134">
        <v>1700000</v>
      </c>
      <c r="BF49" s="1033">
        <v>0.57699999999999996</v>
      </c>
      <c r="BG49" s="1034">
        <v>0.57699999999999996</v>
      </c>
      <c r="BH49" s="1034">
        <v>0.57699999999999996</v>
      </c>
      <c r="BI49" s="1034">
        <v>0.53800000000000003</v>
      </c>
      <c r="BJ49" s="1034">
        <v>0.53800000000000003</v>
      </c>
      <c r="BK49" s="1035">
        <v>0.53800000000000003</v>
      </c>
      <c r="BL49" s="1133">
        <v>0.41899999999999998</v>
      </c>
      <c r="BM49" s="1133">
        <v>0.30199999999999999</v>
      </c>
      <c r="BN49" s="1133">
        <v>0.30199999999999999</v>
      </c>
    </row>
    <row r="50" spans="1:66" x14ac:dyDescent="0.2">
      <c r="A50" s="64" t="s">
        <v>93</v>
      </c>
      <c r="B50" s="64" t="s">
        <v>28</v>
      </c>
      <c r="C50" s="64">
        <v>2</v>
      </c>
      <c r="D50" s="1033">
        <v>7.9000000000000001E-2</v>
      </c>
      <c r="E50" s="1034">
        <v>7.0000000000000007E-2</v>
      </c>
      <c r="F50" s="1034">
        <v>6.3E-2</v>
      </c>
      <c r="G50" s="1034">
        <v>5.0999999999999997E-2</v>
      </c>
      <c r="H50" s="1034">
        <v>4.7E-2</v>
      </c>
      <c r="I50" s="1035">
        <v>4.7E-2</v>
      </c>
      <c r="J50" s="1475">
        <v>8.6999999999999994E-2</v>
      </c>
      <c r="K50" s="1034">
        <v>7.8E-2</v>
      </c>
      <c r="L50" s="1034">
        <v>7.3999999999999996E-2</v>
      </c>
      <c r="M50" s="1034">
        <v>6.5000000000000002E-2</v>
      </c>
      <c r="N50" s="1034">
        <v>6.0999999999999999E-2</v>
      </c>
      <c r="O50" s="1035">
        <v>6.0999999999999999E-2</v>
      </c>
      <c r="Q50" s="72">
        <v>1650</v>
      </c>
      <c r="R50" s="1034">
        <v>0.158</v>
      </c>
      <c r="S50" s="1034">
        <v>1</v>
      </c>
      <c r="T50" s="1034">
        <v>0.02</v>
      </c>
      <c r="U50" s="1034">
        <v>1</v>
      </c>
      <c r="V50" s="1034">
        <v>1</v>
      </c>
      <c r="W50" s="1034">
        <v>1</v>
      </c>
      <c r="X50" s="223"/>
      <c r="Y50" s="78" t="s">
        <v>95</v>
      </c>
      <c r="Z50" s="79" t="s">
        <v>401</v>
      </c>
      <c r="AB50" s="582">
        <v>26</v>
      </c>
      <c r="AC50" s="342" t="s">
        <v>1397</v>
      </c>
      <c r="AD50" s="1178">
        <v>3.2559999999999998</v>
      </c>
      <c r="AE50" s="603">
        <v>3.6619999999999999</v>
      </c>
      <c r="AF50" s="1179">
        <v>4.0670000000000002</v>
      </c>
      <c r="AG50" s="593" t="s">
        <v>28</v>
      </c>
      <c r="AH50" s="335">
        <v>8</v>
      </c>
      <c r="AJ50" s="1188" t="s">
        <v>2145</v>
      </c>
      <c r="AT50" s="1134">
        <v>4750000</v>
      </c>
      <c r="AU50" s="1033">
        <v>0.6</v>
      </c>
      <c r="AV50" s="1034">
        <v>0.6</v>
      </c>
      <c r="AW50" s="1034">
        <v>0.6</v>
      </c>
      <c r="AX50" s="1034">
        <v>0.47799999999999998</v>
      </c>
      <c r="AY50" s="1034">
        <v>0.47799999999999998</v>
      </c>
      <c r="AZ50" s="1035">
        <v>0.47799999999999998</v>
      </c>
      <c r="BA50" s="1133">
        <v>0.46899999999999997</v>
      </c>
      <c r="BB50" s="1133">
        <v>0.505</v>
      </c>
      <c r="BC50" s="1133">
        <v>0.505</v>
      </c>
      <c r="BE50" s="1134">
        <v>1800000</v>
      </c>
      <c r="BF50" s="1033">
        <v>0.57199999999999995</v>
      </c>
      <c r="BG50" s="1034">
        <v>0.57199999999999995</v>
      </c>
      <c r="BH50" s="1034">
        <v>0.57199999999999995</v>
      </c>
      <c r="BI50" s="1034">
        <v>0.53200000000000003</v>
      </c>
      <c r="BJ50" s="1034">
        <v>0.53200000000000003</v>
      </c>
      <c r="BK50" s="1035">
        <v>0.53200000000000003</v>
      </c>
      <c r="BL50" s="1133">
        <v>0.41299999999999998</v>
      </c>
      <c r="BM50" s="1133">
        <v>0.29599999999999999</v>
      </c>
      <c r="BN50" s="1133">
        <v>0.29599999999999999</v>
      </c>
    </row>
    <row r="51" spans="1:66" x14ac:dyDescent="0.2">
      <c r="A51" s="64" t="s">
        <v>94</v>
      </c>
      <c r="B51" s="64" t="s">
        <v>28</v>
      </c>
      <c r="C51" s="64">
        <v>2</v>
      </c>
      <c r="D51" s="1033">
        <v>7.9000000000000001E-2</v>
      </c>
      <c r="E51" s="1034">
        <v>7.0000000000000007E-2</v>
      </c>
      <c r="F51" s="1034">
        <v>6.3E-2</v>
      </c>
      <c r="G51" s="1034">
        <v>5.0999999999999997E-2</v>
      </c>
      <c r="H51" s="1034">
        <v>4.7E-2</v>
      </c>
      <c r="I51" s="1035">
        <v>4.7E-2</v>
      </c>
      <c r="J51" s="1475">
        <v>8.6999999999999994E-2</v>
      </c>
      <c r="K51" s="1034">
        <v>7.8E-2</v>
      </c>
      <c r="L51" s="1034">
        <v>7.3999999999999996E-2</v>
      </c>
      <c r="M51" s="1034">
        <v>6.5000000000000002E-2</v>
      </c>
      <c r="N51" s="1034">
        <v>6.0999999999999999E-2</v>
      </c>
      <c r="O51" s="1035">
        <v>6.0999999999999999E-2</v>
      </c>
      <c r="Q51" s="72">
        <v>1700</v>
      </c>
      <c r="R51" s="1034">
        <v>0.154</v>
      </c>
      <c r="S51" s="1034">
        <v>1</v>
      </c>
      <c r="T51" s="1034">
        <v>1.9E-2</v>
      </c>
      <c r="U51" s="1034">
        <v>1</v>
      </c>
      <c r="V51" s="1034">
        <v>1</v>
      </c>
      <c r="W51" s="1034">
        <v>1</v>
      </c>
      <c r="X51" s="223"/>
      <c r="Y51" s="78" t="s">
        <v>96</v>
      </c>
      <c r="Z51" s="79" t="s">
        <v>402</v>
      </c>
      <c r="AB51" s="582">
        <v>27</v>
      </c>
      <c r="AC51" s="342" t="s">
        <v>1398</v>
      </c>
      <c r="AD51" s="1178">
        <v>1.0960000000000001</v>
      </c>
      <c r="AE51" s="603">
        <v>1.232</v>
      </c>
      <c r="AF51" s="1179">
        <v>1.367</v>
      </c>
      <c r="AG51" s="593" t="s">
        <v>28</v>
      </c>
      <c r="AH51" s="335">
        <v>8</v>
      </c>
      <c r="AT51" s="1134">
        <v>5000000</v>
      </c>
      <c r="AU51" s="1033">
        <v>0.59499999999999997</v>
      </c>
      <c r="AV51" s="1034">
        <v>0.59499999999999997</v>
      </c>
      <c r="AW51" s="1034">
        <v>0.59499999999999997</v>
      </c>
      <c r="AX51" s="1034">
        <v>0.47199999999999998</v>
      </c>
      <c r="AY51" s="1034">
        <v>0.47199999999999998</v>
      </c>
      <c r="AZ51" s="1035">
        <v>0.47199999999999998</v>
      </c>
      <c r="BA51" s="1133">
        <v>0.46300000000000002</v>
      </c>
      <c r="BB51" s="1133">
        <v>0.499</v>
      </c>
      <c r="BC51" s="1133">
        <v>0.499</v>
      </c>
      <c r="BE51" s="1134">
        <v>1900000</v>
      </c>
      <c r="BF51" s="1033">
        <v>0.56699999999999995</v>
      </c>
      <c r="BG51" s="1034">
        <v>0.56699999999999995</v>
      </c>
      <c r="BH51" s="1034">
        <v>0.56699999999999995</v>
      </c>
      <c r="BI51" s="1034">
        <v>0.52700000000000002</v>
      </c>
      <c r="BJ51" s="1034">
        <v>0.52700000000000002</v>
      </c>
      <c r="BK51" s="1035">
        <v>0.52700000000000002</v>
      </c>
      <c r="BL51" s="1133">
        <v>0.40799999999999997</v>
      </c>
      <c r="BM51" s="1133">
        <v>0.28999999999999998</v>
      </c>
      <c r="BN51" s="1133">
        <v>0.28999999999999998</v>
      </c>
    </row>
    <row r="52" spans="1:66" x14ac:dyDescent="0.2">
      <c r="A52" s="64" t="s">
        <v>95</v>
      </c>
      <c r="B52" s="64" t="s">
        <v>28</v>
      </c>
      <c r="C52" s="64">
        <v>2</v>
      </c>
      <c r="D52" s="1033">
        <v>7.9000000000000001E-2</v>
      </c>
      <c r="E52" s="1034">
        <v>7.0000000000000007E-2</v>
      </c>
      <c r="F52" s="1034">
        <v>6.3E-2</v>
      </c>
      <c r="G52" s="1034">
        <v>5.0999999999999997E-2</v>
      </c>
      <c r="H52" s="1034">
        <v>4.7E-2</v>
      </c>
      <c r="I52" s="1035">
        <v>4.7E-2</v>
      </c>
      <c r="J52" s="1475">
        <v>8.6999999999999994E-2</v>
      </c>
      <c r="K52" s="1034">
        <v>7.8E-2</v>
      </c>
      <c r="L52" s="1034">
        <v>7.3999999999999996E-2</v>
      </c>
      <c r="M52" s="1034">
        <v>6.5000000000000002E-2</v>
      </c>
      <c r="N52" s="1034">
        <v>6.0999999999999999E-2</v>
      </c>
      <c r="O52" s="1035">
        <v>6.0999999999999999E-2</v>
      </c>
      <c r="Q52" s="80" t="s">
        <v>831</v>
      </c>
      <c r="Y52" s="78" t="s">
        <v>97</v>
      </c>
      <c r="Z52" s="79" t="s">
        <v>403</v>
      </c>
      <c r="AB52" s="582" t="s">
        <v>1399</v>
      </c>
      <c r="AC52" s="342" t="s">
        <v>1400</v>
      </c>
      <c r="AD52" s="1178">
        <v>5.5E-2</v>
      </c>
      <c r="AE52" s="603">
        <v>5.5E-2</v>
      </c>
      <c r="AF52" s="1179">
        <v>5.5E-2</v>
      </c>
      <c r="AG52" s="593" t="s">
        <v>1002</v>
      </c>
      <c r="AH52" s="335">
        <v>3</v>
      </c>
      <c r="AT52" s="1134">
        <v>5500000</v>
      </c>
      <c r="AU52" s="1033">
        <v>0.58499999999999996</v>
      </c>
      <c r="AV52" s="1034">
        <v>0.58499999999999996</v>
      </c>
      <c r="AW52" s="1034">
        <v>0.58499999999999996</v>
      </c>
      <c r="AX52" s="1034">
        <v>0.46100000000000002</v>
      </c>
      <c r="AY52" s="1034">
        <v>0.46100000000000002</v>
      </c>
      <c r="AZ52" s="1035">
        <v>0.46100000000000002</v>
      </c>
      <c r="BA52" s="1133">
        <v>0.45100000000000001</v>
      </c>
      <c r="BB52" s="1133">
        <v>0.48799999999999999</v>
      </c>
      <c r="BC52" s="1133">
        <v>0.48799999999999999</v>
      </c>
      <c r="BE52" s="1134">
        <v>2000000</v>
      </c>
      <c r="BF52" s="1033">
        <v>0.56200000000000006</v>
      </c>
      <c r="BG52" s="1034">
        <v>0.56200000000000006</v>
      </c>
      <c r="BH52" s="1034">
        <v>0.56200000000000006</v>
      </c>
      <c r="BI52" s="1034">
        <v>0.52200000000000002</v>
      </c>
      <c r="BJ52" s="1034">
        <v>0.52200000000000002</v>
      </c>
      <c r="BK52" s="1035">
        <v>0.52200000000000002</v>
      </c>
      <c r="BL52" s="1133">
        <v>0.40300000000000002</v>
      </c>
      <c r="BM52" s="1133">
        <v>0.28499999999999998</v>
      </c>
      <c r="BN52" s="1133">
        <v>0.28499999999999998</v>
      </c>
    </row>
    <row r="53" spans="1:66" x14ac:dyDescent="0.2">
      <c r="A53" s="64" t="s">
        <v>96</v>
      </c>
      <c r="B53" s="64" t="s">
        <v>18</v>
      </c>
      <c r="C53" s="64">
        <v>2</v>
      </c>
      <c r="D53" s="1033">
        <v>3.4000000000000002E-2</v>
      </c>
      <c r="E53" s="1034">
        <v>3.1E-2</v>
      </c>
      <c r="F53" s="1034">
        <v>2.8000000000000001E-2</v>
      </c>
      <c r="G53" s="1034">
        <v>2.1999999999999999E-2</v>
      </c>
      <c r="H53" s="1034">
        <v>0.02</v>
      </c>
      <c r="I53" s="1035">
        <v>0.02</v>
      </c>
      <c r="J53" s="1475">
        <v>3.6999999999999998E-2</v>
      </c>
      <c r="K53" s="1034">
        <v>3.3000000000000002E-2</v>
      </c>
      <c r="L53" s="1034">
        <v>3.2000000000000001E-2</v>
      </c>
      <c r="M53" s="1034">
        <v>2.8000000000000001E-2</v>
      </c>
      <c r="N53" s="1034">
        <v>2.5999999999999999E-2</v>
      </c>
      <c r="O53" s="1035">
        <v>2.5999999999999999E-2</v>
      </c>
      <c r="Y53" s="78" t="s">
        <v>98</v>
      </c>
      <c r="Z53" s="79" t="s">
        <v>404</v>
      </c>
      <c r="AB53" s="582" t="s">
        <v>1401</v>
      </c>
      <c r="AC53" s="342" t="s">
        <v>1402</v>
      </c>
      <c r="AD53" s="1178">
        <v>0.55600000000000005</v>
      </c>
      <c r="AE53" s="603">
        <v>0.55600000000000005</v>
      </c>
      <c r="AF53" s="1179">
        <v>0.55600000000000005</v>
      </c>
      <c r="AG53" s="593" t="s">
        <v>28</v>
      </c>
      <c r="AH53" s="335">
        <v>4</v>
      </c>
      <c r="AT53" s="1134">
        <v>6000000</v>
      </c>
      <c r="AU53" s="1033">
        <v>0.57599999999999996</v>
      </c>
      <c r="AV53" s="1034">
        <v>0.57599999999999996</v>
      </c>
      <c r="AW53" s="1034">
        <v>0.57599999999999996</v>
      </c>
      <c r="AX53" s="1034">
        <v>0.45100000000000001</v>
      </c>
      <c r="AY53" s="1034">
        <v>0.45100000000000001</v>
      </c>
      <c r="AZ53" s="1035">
        <v>0.45100000000000001</v>
      </c>
      <c r="BA53" s="1133">
        <v>0.441</v>
      </c>
      <c r="BB53" s="1133">
        <v>0.47799999999999998</v>
      </c>
      <c r="BC53" s="1133">
        <v>0.47799999999999998</v>
      </c>
      <c r="BE53" s="1134">
        <v>2500000</v>
      </c>
      <c r="BF53" s="1033">
        <v>0.54300000000000004</v>
      </c>
      <c r="BG53" s="1034">
        <v>0.54300000000000004</v>
      </c>
      <c r="BH53" s="1034">
        <v>0.54300000000000004</v>
      </c>
      <c r="BI53" s="1034">
        <v>0.502</v>
      </c>
      <c r="BJ53" s="1034">
        <v>0.502</v>
      </c>
      <c r="BK53" s="1035">
        <v>0.502</v>
      </c>
      <c r="BL53" s="1133">
        <v>0.38100000000000001</v>
      </c>
      <c r="BM53" s="1133">
        <v>0.26400000000000001</v>
      </c>
      <c r="BN53" s="1133">
        <v>0.26400000000000001</v>
      </c>
    </row>
    <row r="54" spans="1:66" ht="13.5" x14ac:dyDescent="0.2">
      <c r="A54" s="64" t="s">
        <v>97</v>
      </c>
      <c r="B54" s="64" t="s">
        <v>18</v>
      </c>
      <c r="C54" s="64">
        <v>2</v>
      </c>
      <c r="D54" s="1033">
        <v>3.4000000000000002E-2</v>
      </c>
      <c r="E54" s="1034">
        <v>3.1E-2</v>
      </c>
      <c r="F54" s="1034">
        <v>2.8000000000000001E-2</v>
      </c>
      <c r="G54" s="1034">
        <v>2.1999999999999999E-2</v>
      </c>
      <c r="H54" s="1034">
        <v>0.02</v>
      </c>
      <c r="I54" s="1035">
        <v>0.02</v>
      </c>
      <c r="J54" s="1475">
        <v>3.6999999999999998E-2</v>
      </c>
      <c r="K54" s="1034">
        <v>3.3000000000000002E-2</v>
      </c>
      <c r="L54" s="1034">
        <v>3.2000000000000001E-2</v>
      </c>
      <c r="M54" s="1034">
        <v>2.8000000000000001E-2</v>
      </c>
      <c r="N54" s="1034">
        <v>2.5999999999999999E-2</v>
      </c>
      <c r="O54" s="1035">
        <v>2.5999999999999999E-2</v>
      </c>
      <c r="Q54" s="219" t="s">
        <v>1066</v>
      </c>
      <c r="T54" s="219" t="s">
        <v>1076</v>
      </c>
      <c r="Y54" s="78" t="s">
        <v>99</v>
      </c>
      <c r="Z54" s="79" t="s">
        <v>405</v>
      </c>
      <c r="AB54" s="582" t="s">
        <v>1403</v>
      </c>
      <c r="AC54" s="342" t="s">
        <v>1404</v>
      </c>
      <c r="AD54" s="1178">
        <v>4.3999999999999997E-2</v>
      </c>
      <c r="AE54" s="603">
        <v>4.3999999999999997E-2</v>
      </c>
      <c r="AF54" s="1179">
        <v>4.3999999999999997E-2</v>
      </c>
      <c r="AG54" s="593" t="s">
        <v>18</v>
      </c>
      <c r="AH54" s="335">
        <v>1</v>
      </c>
      <c r="AT54" s="1134">
        <v>6500000</v>
      </c>
      <c r="AU54" s="1033">
        <v>0.56899999999999995</v>
      </c>
      <c r="AV54" s="1034">
        <v>0.56899999999999995</v>
      </c>
      <c r="AW54" s="1034">
        <v>0.56899999999999995</v>
      </c>
      <c r="AX54" s="1034">
        <v>0.442</v>
      </c>
      <c r="AY54" s="1034">
        <v>0.442</v>
      </c>
      <c r="AZ54" s="1035">
        <v>0.442</v>
      </c>
      <c r="BA54" s="1133">
        <v>0.432</v>
      </c>
      <c r="BB54" s="1133">
        <v>0.47</v>
      </c>
      <c r="BC54" s="1133">
        <v>0.47</v>
      </c>
      <c r="BE54" s="1134">
        <v>3000000</v>
      </c>
      <c r="BF54" s="1033">
        <v>0.52800000000000002</v>
      </c>
      <c r="BG54" s="1034">
        <v>0.52800000000000002</v>
      </c>
      <c r="BH54" s="1034">
        <v>0.52800000000000002</v>
      </c>
      <c r="BI54" s="1034">
        <v>0.48599999999999999</v>
      </c>
      <c r="BJ54" s="1034">
        <v>0.48599999999999999</v>
      </c>
      <c r="BK54" s="1035">
        <v>0.48599999999999999</v>
      </c>
      <c r="BL54" s="1133">
        <v>0.36399999999999999</v>
      </c>
      <c r="BM54" s="1133">
        <v>0.249</v>
      </c>
      <c r="BN54" s="1133">
        <v>0.249</v>
      </c>
    </row>
    <row r="55" spans="1:66" ht="13.5" customHeight="1" x14ac:dyDescent="0.2">
      <c r="A55" s="64" t="s">
        <v>98</v>
      </c>
      <c r="B55" s="64" t="s">
        <v>18</v>
      </c>
      <c r="C55" s="64">
        <v>2</v>
      </c>
      <c r="D55" s="1033">
        <v>3.4000000000000002E-2</v>
      </c>
      <c r="E55" s="1034">
        <v>3.1E-2</v>
      </c>
      <c r="F55" s="1034">
        <v>2.8000000000000001E-2</v>
      </c>
      <c r="G55" s="1034">
        <v>2.1999999999999999E-2</v>
      </c>
      <c r="H55" s="1034">
        <v>0.02</v>
      </c>
      <c r="I55" s="1035">
        <v>0.02</v>
      </c>
      <c r="J55" s="1475">
        <v>3.6999999999999998E-2</v>
      </c>
      <c r="K55" s="1034">
        <v>3.3000000000000002E-2</v>
      </c>
      <c r="L55" s="1034">
        <v>3.2000000000000001E-2</v>
      </c>
      <c r="M55" s="1034">
        <v>2.8000000000000001E-2</v>
      </c>
      <c r="N55" s="1034">
        <v>2.5999999999999999E-2</v>
      </c>
      <c r="O55" s="1035">
        <v>2.5999999999999999E-2</v>
      </c>
      <c r="R55" s="171" t="s">
        <v>1067</v>
      </c>
      <c r="T55" s="219"/>
      <c r="V55" s="171" t="s">
        <v>1092</v>
      </c>
      <c r="Y55" s="78" t="s">
        <v>100</v>
      </c>
      <c r="Z55" s="79" t="s">
        <v>406</v>
      </c>
      <c r="AB55" s="582" t="s">
        <v>1405</v>
      </c>
      <c r="AC55" s="342" t="s">
        <v>1406</v>
      </c>
      <c r="AD55" s="1178">
        <v>0.152</v>
      </c>
      <c r="AE55" s="603">
        <v>0.152</v>
      </c>
      <c r="AF55" s="1179">
        <v>0.152</v>
      </c>
      <c r="AG55" s="593" t="s">
        <v>18</v>
      </c>
      <c r="AH55" s="335">
        <v>1</v>
      </c>
      <c r="AT55" s="1134">
        <v>7000000</v>
      </c>
      <c r="AU55" s="1033">
        <v>0.56100000000000005</v>
      </c>
      <c r="AV55" s="1034">
        <v>0.56100000000000005</v>
      </c>
      <c r="AW55" s="1034">
        <v>0.56100000000000005</v>
      </c>
      <c r="AX55" s="1034">
        <v>0.434</v>
      </c>
      <c r="AY55" s="1034">
        <v>0.434</v>
      </c>
      <c r="AZ55" s="1035">
        <v>0.434</v>
      </c>
      <c r="BA55" s="1133">
        <v>0.42399999999999999</v>
      </c>
      <c r="BB55" s="1133">
        <v>0.46200000000000002</v>
      </c>
      <c r="BC55" s="1133">
        <v>0.46200000000000002</v>
      </c>
      <c r="BE55" s="1134">
        <v>3500000</v>
      </c>
      <c r="BF55" s="1033">
        <v>0.51500000000000001</v>
      </c>
      <c r="BG55" s="1034">
        <v>0.51500000000000001</v>
      </c>
      <c r="BH55" s="1034">
        <v>0.51500000000000001</v>
      </c>
      <c r="BI55" s="1034">
        <v>0.47299999999999998</v>
      </c>
      <c r="BJ55" s="1034">
        <v>0.47299999999999998</v>
      </c>
      <c r="BK55" s="1035">
        <v>0.47299999999999998</v>
      </c>
      <c r="BL55" s="1133">
        <v>0.35099999999999998</v>
      </c>
      <c r="BM55" s="1133">
        <v>0.23599999999999999</v>
      </c>
      <c r="BN55" s="1133">
        <v>0.23599999999999999</v>
      </c>
    </row>
    <row r="56" spans="1:66" x14ac:dyDescent="0.2">
      <c r="A56" s="64" t="s">
        <v>99</v>
      </c>
      <c r="B56" s="64" t="s">
        <v>28</v>
      </c>
      <c r="C56" s="64">
        <v>11</v>
      </c>
      <c r="D56" s="1033">
        <v>0.184</v>
      </c>
      <c r="E56" s="1034">
        <v>0.16500000000000001</v>
      </c>
      <c r="F56" s="1034">
        <v>0.14699999999999999</v>
      </c>
      <c r="G56" s="1034">
        <v>0.12</v>
      </c>
      <c r="H56" s="1034">
        <v>0.111</v>
      </c>
      <c r="I56" s="1035">
        <v>0.111</v>
      </c>
      <c r="J56" s="1475">
        <v>0.21199999999999999</v>
      </c>
      <c r="K56" s="1034">
        <v>0.19</v>
      </c>
      <c r="L56" s="1034">
        <v>0.18</v>
      </c>
      <c r="M56" s="1034">
        <v>0.158</v>
      </c>
      <c r="N56" s="1034">
        <v>0.14799999999999999</v>
      </c>
      <c r="O56" s="1035">
        <v>0.14799999999999999</v>
      </c>
      <c r="Q56" s="215" t="s">
        <v>88</v>
      </c>
      <c r="T56" s="215" t="s">
        <v>104</v>
      </c>
      <c r="U56" s="117" t="s">
        <v>1082</v>
      </c>
      <c r="Y56" s="78" t="s">
        <v>101</v>
      </c>
      <c r="Z56" s="79" t="s">
        <v>412</v>
      </c>
      <c r="AB56" s="582" t="s">
        <v>1407</v>
      </c>
      <c r="AC56" s="342" t="s">
        <v>1408</v>
      </c>
      <c r="AD56" s="1178">
        <v>4.3999999999999997E-2</v>
      </c>
      <c r="AE56" s="603">
        <v>4.3999999999999997E-2</v>
      </c>
      <c r="AF56" s="1179">
        <v>4.3999999999999997E-2</v>
      </c>
      <c r="AG56" s="593" t="s">
        <v>18</v>
      </c>
      <c r="AH56" s="335">
        <v>1</v>
      </c>
      <c r="AT56" s="1134">
        <v>7500000</v>
      </c>
      <c r="AU56" s="1033">
        <v>0.55500000000000005</v>
      </c>
      <c r="AV56" s="1034">
        <v>0.55500000000000005</v>
      </c>
      <c r="AW56" s="1034">
        <v>0.55500000000000005</v>
      </c>
      <c r="AX56" s="1034">
        <v>0.42599999999999999</v>
      </c>
      <c r="AY56" s="1034">
        <v>0.42599999999999999</v>
      </c>
      <c r="AZ56" s="1035">
        <v>0.42599999999999999</v>
      </c>
      <c r="BA56" s="1133">
        <v>0.41699999999999998</v>
      </c>
      <c r="BB56" s="1133">
        <v>0.45400000000000001</v>
      </c>
      <c r="BC56" s="1133">
        <v>0.45400000000000001</v>
      </c>
      <c r="BE56" s="1134">
        <v>4000000</v>
      </c>
      <c r="BF56" s="1033">
        <v>0.505</v>
      </c>
      <c r="BG56" s="1034">
        <v>0.505</v>
      </c>
      <c r="BH56" s="1034">
        <v>0.505</v>
      </c>
      <c r="BI56" s="1034">
        <v>0.46200000000000002</v>
      </c>
      <c r="BJ56" s="1034">
        <v>0.46200000000000002</v>
      </c>
      <c r="BK56" s="1035">
        <v>0.46200000000000002</v>
      </c>
      <c r="BL56" s="1133">
        <v>0.33900000000000002</v>
      </c>
      <c r="BM56" s="1133">
        <v>0.22500000000000001</v>
      </c>
      <c r="BN56" s="1133">
        <v>0.22500000000000001</v>
      </c>
    </row>
    <row r="57" spans="1:66" x14ac:dyDescent="0.2">
      <c r="A57" s="64" t="s">
        <v>100</v>
      </c>
      <c r="B57" s="64" t="s">
        <v>83</v>
      </c>
      <c r="C57" s="64">
        <v>12</v>
      </c>
      <c r="D57" s="1033">
        <v>7.4999999999999997E-2</v>
      </c>
      <c r="E57" s="1034">
        <v>6.7000000000000004E-2</v>
      </c>
      <c r="F57" s="1034">
        <v>0.06</v>
      </c>
      <c r="G57" s="1034">
        <v>4.8000000000000001E-2</v>
      </c>
      <c r="H57" s="1034">
        <v>4.4999999999999998E-2</v>
      </c>
      <c r="I57" s="1035">
        <v>4.4999999999999998E-2</v>
      </c>
      <c r="J57" s="1475">
        <v>8.5000000000000006E-2</v>
      </c>
      <c r="K57" s="1034">
        <v>7.6999999999999999E-2</v>
      </c>
      <c r="L57" s="1034">
        <v>7.1999999999999995E-2</v>
      </c>
      <c r="M57" s="1034">
        <v>6.4000000000000001E-2</v>
      </c>
      <c r="N57" s="1034">
        <v>0.06</v>
      </c>
      <c r="O57" s="1035">
        <v>0.06</v>
      </c>
      <c r="Q57" s="215" t="s">
        <v>93</v>
      </c>
      <c r="T57" s="215" t="s">
        <v>1077</v>
      </c>
      <c r="U57" s="117" t="s">
        <v>1081</v>
      </c>
      <c r="Y57" s="78" t="s">
        <v>102</v>
      </c>
      <c r="Z57" s="79" t="s">
        <v>413</v>
      </c>
      <c r="AB57" s="582" t="s">
        <v>1409</v>
      </c>
      <c r="AC57" s="342" t="s">
        <v>1410</v>
      </c>
      <c r="AD57" s="1178">
        <v>0.55600000000000005</v>
      </c>
      <c r="AE57" s="603">
        <v>0.55600000000000005</v>
      </c>
      <c r="AF57" s="1179">
        <v>0.55600000000000005</v>
      </c>
      <c r="AG57" s="593" t="s">
        <v>28</v>
      </c>
      <c r="AH57" s="335">
        <v>1</v>
      </c>
      <c r="AT57" s="1134">
        <v>8000000</v>
      </c>
      <c r="AU57" s="1033">
        <v>0.54800000000000004</v>
      </c>
      <c r="AV57" s="1034">
        <v>0.54800000000000004</v>
      </c>
      <c r="AW57" s="1034">
        <v>0.54800000000000004</v>
      </c>
      <c r="AX57" s="1034">
        <v>0.41899999999999998</v>
      </c>
      <c r="AY57" s="1034">
        <v>0.41899999999999998</v>
      </c>
      <c r="AZ57" s="1035">
        <v>0.41899999999999998</v>
      </c>
      <c r="BA57" s="1133">
        <v>0.41</v>
      </c>
      <c r="BB57" s="1133">
        <v>0.44800000000000001</v>
      </c>
      <c r="BC57" s="1133">
        <v>0.44800000000000001</v>
      </c>
      <c r="BE57" s="1134">
        <v>4500000</v>
      </c>
      <c r="BF57" s="1033">
        <v>0.496</v>
      </c>
      <c r="BG57" s="1034">
        <v>0.496</v>
      </c>
      <c r="BH57" s="1034">
        <v>0.496</v>
      </c>
      <c r="BI57" s="1034">
        <v>0.45300000000000001</v>
      </c>
      <c r="BJ57" s="1034">
        <v>0.45300000000000001</v>
      </c>
      <c r="BK57" s="1035">
        <v>0.45300000000000001</v>
      </c>
      <c r="BL57" s="1133">
        <v>0.33</v>
      </c>
      <c r="BM57" s="1133">
        <v>0.217</v>
      </c>
      <c r="BN57" s="1133">
        <v>0.217</v>
      </c>
    </row>
    <row r="58" spans="1:66" x14ac:dyDescent="0.2">
      <c r="A58" s="64" t="s">
        <v>101</v>
      </c>
      <c r="B58" s="64" t="s">
        <v>83</v>
      </c>
      <c r="C58" s="64">
        <v>12</v>
      </c>
      <c r="D58" s="1033">
        <v>0.08</v>
      </c>
      <c r="E58" s="1034">
        <v>7.1999999999999995E-2</v>
      </c>
      <c r="F58" s="1034">
        <v>6.4000000000000001E-2</v>
      </c>
      <c r="G58" s="1034">
        <v>5.1999999999999998E-2</v>
      </c>
      <c r="H58" s="1034">
        <v>4.8000000000000001E-2</v>
      </c>
      <c r="I58" s="1035">
        <v>4.8000000000000001E-2</v>
      </c>
      <c r="J58" s="1475">
        <v>8.5000000000000006E-2</v>
      </c>
      <c r="K58" s="1034">
        <v>7.6999999999999999E-2</v>
      </c>
      <c r="L58" s="1034">
        <v>7.1999999999999995E-2</v>
      </c>
      <c r="M58" s="1034">
        <v>6.4000000000000001E-2</v>
      </c>
      <c r="N58" s="1034">
        <v>0.06</v>
      </c>
      <c r="O58" s="1035">
        <v>0.06</v>
      </c>
      <c r="Q58" s="215" t="s">
        <v>94</v>
      </c>
      <c r="T58" s="215" t="s">
        <v>1074</v>
      </c>
      <c r="U58" s="117" t="s">
        <v>1080</v>
      </c>
      <c r="Y58" s="78" t="s">
        <v>103</v>
      </c>
      <c r="Z58" s="79" t="s">
        <v>414</v>
      </c>
      <c r="AB58" s="582" t="s">
        <v>1411</v>
      </c>
      <c r="AC58" s="342" t="s">
        <v>1412</v>
      </c>
      <c r="AD58" s="1178">
        <v>4.3999999999999997E-2</v>
      </c>
      <c r="AE58" s="603">
        <v>4.3999999999999997E-2</v>
      </c>
      <c r="AF58" s="1179">
        <v>4.3999999999999997E-2</v>
      </c>
      <c r="AG58" s="593" t="s">
        <v>18</v>
      </c>
      <c r="AH58" s="335">
        <v>0.5</v>
      </c>
      <c r="AT58" s="1134">
        <v>8500000</v>
      </c>
      <c r="AU58" s="1033">
        <v>0.54300000000000004</v>
      </c>
      <c r="AV58" s="1034">
        <v>0.54300000000000004</v>
      </c>
      <c r="AW58" s="1034">
        <v>0.54300000000000004</v>
      </c>
      <c r="AX58" s="1034">
        <v>0.41299999999999998</v>
      </c>
      <c r="AY58" s="1034">
        <v>0.41299999999999998</v>
      </c>
      <c r="AZ58" s="1035">
        <v>0.41299999999999998</v>
      </c>
      <c r="BA58" s="1133">
        <v>0.40400000000000003</v>
      </c>
      <c r="BB58" s="1133">
        <v>0.441</v>
      </c>
      <c r="BC58" s="1133">
        <v>0.441</v>
      </c>
      <c r="BE58" s="1134">
        <v>5000000</v>
      </c>
      <c r="BF58" s="1033">
        <v>0.48799999999999999</v>
      </c>
      <c r="BG58" s="1034">
        <v>0.48799999999999999</v>
      </c>
      <c r="BH58" s="1034">
        <v>0.48799999999999999</v>
      </c>
      <c r="BI58" s="1034">
        <v>0.44500000000000001</v>
      </c>
      <c r="BJ58" s="1034">
        <v>0.44500000000000001</v>
      </c>
      <c r="BK58" s="1035">
        <v>0.44500000000000001</v>
      </c>
      <c r="BL58" s="1133">
        <v>0.32100000000000001</v>
      </c>
      <c r="BM58" s="1133">
        <v>0.20899999999999999</v>
      </c>
      <c r="BN58" s="1133">
        <v>0.20899999999999999</v>
      </c>
    </row>
    <row r="59" spans="1:66" ht="13.5" thickBot="1" x14ac:dyDescent="0.25">
      <c r="A59" s="64" t="s">
        <v>102</v>
      </c>
      <c r="B59" s="64" t="s">
        <v>83</v>
      </c>
      <c r="C59" s="64">
        <v>11</v>
      </c>
      <c r="D59" s="1033">
        <v>6.2E-2</v>
      </c>
      <c r="E59" s="1034">
        <v>5.7000000000000002E-2</v>
      </c>
      <c r="F59" s="1034">
        <v>0.05</v>
      </c>
      <c r="G59" s="1034">
        <v>4.1000000000000002E-2</v>
      </c>
      <c r="H59" s="1034">
        <v>3.7999999999999999E-2</v>
      </c>
      <c r="I59" s="1035">
        <v>3.7999999999999999E-2</v>
      </c>
      <c r="J59" s="1475">
        <v>7.1999999999999995E-2</v>
      </c>
      <c r="K59" s="1034">
        <v>6.5000000000000002E-2</v>
      </c>
      <c r="L59" s="1034">
        <v>6.2E-2</v>
      </c>
      <c r="M59" s="1034">
        <v>5.3999999999999999E-2</v>
      </c>
      <c r="N59" s="1034">
        <v>5.0999999999999997E-2</v>
      </c>
      <c r="O59" s="1035">
        <v>5.0999999999999997E-2</v>
      </c>
      <c r="Q59" s="215" t="s">
        <v>95</v>
      </c>
      <c r="T59" s="215" t="s">
        <v>1078</v>
      </c>
      <c r="U59" s="117" t="s">
        <v>1079</v>
      </c>
      <c r="Y59" s="78" t="s">
        <v>104</v>
      </c>
      <c r="Z59" s="79" t="s">
        <v>415</v>
      </c>
      <c r="AB59" s="582" t="s">
        <v>1413</v>
      </c>
      <c r="AC59" s="342" t="s">
        <v>1414</v>
      </c>
      <c r="AD59" s="1178">
        <v>4.3999999999999997E-2</v>
      </c>
      <c r="AE59" s="603">
        <v>4.3999999999999997E-2</v>
      </c>
      <c r="AF59" s="1179">
        <v>4.3999999999999997E-2</v>
      </c>
      <c r="AG59" s="593" t="s">
        <v>18</v>
      </c>
      <c r="AH59" s="335">
        <v>1</v>
      </c>
      <c r="AT59" s="1134">
        <v>9000000</v>
      </c>
      <c r="AU59" s="1033">
        <v>0.53700000000000003</v>
      </c>
      <c r="AV59" s="1034">
        <v>0.53700000000000003</v>
      </c>
      <c r="AW59" s="1034">
        <v>0.53700000000000003</v>
      </c>
      <c r="AX59" s="1034">
        <v>0.40699999999999997</v>
      </c>
      <c r="AY59" s="1034">
        <v>0.40699999999999997</v>
      </c>
      <c r="AZ59" s="1035">
        <v>0.40699999999999997</v>
      </c>
      <c r="BA59" s="1133">
        <v>0.39800000000000002</v>
      </c>
      <c r="BB59" s="1133">
        <v>0.435</v>
      </c>
      <c r="BC59" s="1133">
        <v>0.435</v>
      </c>
      <c r="BE59" s="1136">
        <v>9999999999</v>
      </c>
      <c r="BF59" s="1137">
        <v>0.48799999999999999</v>
      </c>
      <c r="BG59" s="1138">
        <v>0.48799999999999999</v>
      </c>
      <c r="BH59" s="1138">
        <v>0.48799999999999999</v>
      </c>
      <c r="BI59" s="1138">
        <v>0.44500000000000001</v>
      </c>
      <c r="BJ59" s="1138">
        <v>0.44500000000000001</v>
      </c>
      <c r="BK59" s="1139">
        <v>0.44500000000000001</v>
      </c>
      <c r="BL59" s="1140">
        <v>0.32100000000000001</v>
      </c>
      <c r="BM59" s="1140">
        <v>0.20899999999999999</v>
      </c>
      <c r="BN59" s="1140">
        <v>0.20899999999999999</v>
      </c>
    </row>
    <row r="60" spans="1:66" x14ac:dyDescent="0.2">
      <c r="A60" s="64" t="s">
        <v>103</v>
      </c>
      <c r="B60" s="64" t="s">
        <v>28</v>
      </c>
      <c r="C60" s="64">
        <v>11</v>
      </c>
      <c r="D60" s="1033">
        <v>0.08</v>
      </c>
      <c r="E60" s="1034">
        <v>7.0999999999999994E-2</v>
      </c>
      <c r="F60" s="1034">
        <v>6.4000000000000001E-2</v>
      </c>
      <c r="G60" s="1034">
        <v>5.1999999999999998E-2</v>
      </c>
      <c r="H60" s="1034">
        <v>4.8000000000000001E-2</v>
      </c>
      <c r="I60" s="1035">
        <v>4.8000000000000001E-2</v>
      </c>
      <c r="J60" s="1475">
        <v>8.5000000000000006E-2</v>
      </c>
      <c r="K60" s="1034">
        <v>7.6999999999999999E-2</v>
      </c>
      <c r="L60" s="1034">
        <v>7.1999999999999995E-2</v>
      </c>
      <c r="M60" s="1034">
        <v>6.4000000000000001E-2</v>
      </c>
      <c r="N60" s="1034">
        <v>0.06</v>
      </c>
      <c r="O60" s="1035">
        <v>0.06</v>
      </c>
      <c r="Q60" s="215" t="s">
        <v>96</v>
      </c>
      <c r="T60" s="215"/>
      <c r="Y60" s="78" t="s">
        <v>105</v>
      </c>
      <c r="Z60" s="79" t="s">
        <v>416</v>
      </c>
      <c r="AB60" s="582" t="s">
        <v>1415</v>
      </c>
      <c r="AC60" s="342" t="s">
        <v>1431</v>
      </c>
      <c r="AD60" s="1178">
        <v>7.0000000000000007E-2</v>
      </c>
      <c r="AE60" s="603">
        <v>7.0000000000000007E-2</v>
      </c>
      <c r="AF60" s="1179">
        <v>7.0000000000000007E-2</v>
      </c>
      <c r="AG60" s="593" t="s">
        <v>18</v>
      </c>
      <c r="AH60" s="335">
        <v>1</v>
      </c>
      <c r="AT60" s="1134">
        <v>9500000</v>
      </c>
      <c r="AU60" s="1033">
        <v>0.53200000000000003</v>
      </c>
      <c r="AV60" s="1034">
        <v>0.53200000000000003</v>
      </c>
      <c r="AW60" s="1034">
        <v>0.53200000000000003</v>
      </c>
      <c r="AX60" s="1034">
        <v>0.40200000000000002</v>
      </c>
      <c r="AY60" s="1034">
        <v>0.40200000000000002</v>
      </c>
      <c r="AZ60" s="1035">
        <v>0.40200000000000002</v>
      </c>
      <c r="BA60" s="1133">
        <v>0.39200000000000002</v>
      </c>
      <c r="BB60" s="1133">
        <v>0.43</v>
      </c>
      <c r="BC60" s="1133">
        <v>0.43</v>
      </c>
    </row>
    <row r="61" spans="1:66" x14ac:dyDescent="0.2">
      <c r="A61" s="64" t="s">
        <v>104</v>
      </c>
      <c r="B61" s="64" t="s">
        <v>83</v>
      </c>
      <c r="C61" s="64">
        <v>12</v>
      </c>
      <c r="D61" s="1033">
        <v>6.8000000000000005E-2</v>
      </c>
      <c r="E61" s="1034">
        <v>6.2E-2</v>
      </c>
      <c r="F61" s="1034">
        <v>5.3999999999999999E-2</v>
      </c>
      <c r="G61" s="1034">
        <v>4.3999999999999997E-2</v>
      </c>
      <c r="H61" s="1034">
        <v>4.1000000000000002E-2</v>
      </c>
      <c r="I61" s="1035">
        <v>4.1000000000000002E-2</v>
      </c>
      <c r="J61" s="1475">
        <v>7.9000000000000001E-2</v>
      </c>
      <c r="K61" s="1034">
        <v>7.0999999999999994E-2</v>
      </c>
      <c r="L61" s="1034">
        <v>6.7000000000000004E-2</v>
      </c>
      <c r="M61" s="1034">
        <v>0.06</v>
      </c>
      <c r="N61" s="1034">
        <v>5.5E-2</v>
      </c>
      <c r="O61" s="1035">
        <v>5.5E-2</v>
      </c>
      <c r="Q61" s="215" t="s">
        <v>97</v>
      </c>
      <c r="T61" s="224" t="s">
        <v>1485</v>
      </c>
      <c r="Y61" s="78" t="s">
        <v>119</v>
      </c>
      <c r="Z61" s="79" t="s">
        <v>417</v>
      </c>
      <c r="AB61" s="582" t="s">
        <v>1432</v>
      </c>
      <c r="AC61" s="342" t="s">
        <v>1435</v>
      </c>
      <c r="AD61" s="1178">
        <v>0.124</v>
      </c>
      <c r="AE61" s="603">
        <v>0.124</v>
      </c>
      <c r="AF61" s="1179">
        <v>0.124</v>
      </c>
      <c r="AG61" s="593" t="s">
        <v>28</v>
      </c>
      <c r="AH61" s="335">
        <v>4</v>
      </c>
      <c r="AT61" s="1134">
        <v>10000000</v>
      </c>
      <c r="AU61" s="1033">
        <v>0.52800000000000002</v>
      </c>
      <c r="AV61" s="1034">
        <v>0.52800000000000002</v>
      </c>
      <c r="AW61" s="1034">
        <v>0.52800000000000002</v>
      </c>
      <c r="AX61" s="1034">
        <v>0.39700000000000002</v>
      </c>
      <c r="AY61" s="1034">
        <v>0.39700000000000002</v>
      </c>
      <c r="AZ61" s="1035">
        <v>0.39700000000000002</v>
      </c>
      <c r="BA61" s="1133">
        <v>0.38700000000000001</v>
      </c>
      <c r="BB61" s="1133">
        <v>0.42499999999999999</v>
      </c>
      <c r="BC61" s="1133">
        <v>0.42499999999999999</v>
      </c>
    </row>
    <row r="62" spans="1:66" ht="13.5" thickBot="1" x14ac:dyDescent="0.25">
      <c r="A62" s="64" t="s">
        <v>105</v>
      </c>
      <c r="B62" s="64" t="s">
        <v>83</v>
      </c>
      <c r="C62" s="64">
        <v>12</v>
      </c>
      <c r="D62" s="1033">
        <v>0.109</v>
      </c>
      <c r="E62" s="1034">
        <v>9.8000000000000004E-2</v>
      </c>
      <c r="F62" s="1034">
        <v>8.6999999999999994E-2</v>
      </c>
      <c r="G62" s="1034">
        <v>7.0999999999999994E-2</v>
      </c>
      <c r="H62" s="1034">
        <v>6.6000000000000003E-2</v>
      </c>
      <c r="I62" s="1035">
        <v>6.6000000000000003E-2</v>
      </c>
      <c r="J62" s="1475">
        <v>0.112</v>
      </c>
      <c r="K62" s="1034">
        <v>0.1</v>
      </c>
      <c r="L62" s="1034">
        <v>9.5000000000000001E-2</v>
      </c>
      <c r="M62" s="1034">
        <v>8.4000000000000005E-2</v>
      </c>
      <c r="N62" s="1034">
        <v>7.8E-2</v>
      </c>
      <c r="O62" s="1035">
        <v>7.8E-2</v>
      </c>
      <c r="Q62" s="215" t="s">
        <v>98</v>
      </c>
      <c r="T62" s="224"/>
      <c r="V62" s="171" t="s">
        <v>1486</v>
      </c>
      <c r="Y62" s="78" t="s">
        <v>120</v>
      </c>
      <c r="Z62" s="79" t="s">
        <v>418</v>
      </c>
      <c r="AB62" s="582" t="s">
        <v>1436</v>
      </c>
      <c r="AC62" s="342" t="s">
        <v>1437</v>
      </c>
      <c r="AD62" s="1178">
        <v>1.6359999999999999</v>
      </c>
      <c r="AE62" s="603">
        <v>1.8520000000000001</v>
      </c>
      <c r="AF62" s="1179">
        <v>2.0409999999999999</v>
      </c>
      <c r="AG62" s="593" t="s">
        <v>28</v>
      </c>
      <c r="AH62" s="335">
        <v>8</v>
      </c>
      <c r="AT62" s="1136">
        <v>9999999999</v>
      </c>
      <c r="AU62" s="1137">
        <v>0.52800000000000002</v>
      </c>
      <c r="AV62" s="1138">
        <v>0.52800000000000002</v>
      </c>
      <c r="AW62" s="1138">
        <v>0.52800000000000002</v>
      </c>
      <c r="AX62" s="1138">
        <v>0.39700000000000002</v>
      </c>
      <c r="AY62" s="1138">
        <v>0.39700000000000002</v>
      </c>
      <c r="AZ62" s="1139">
        <v>0.39700000000000002</v>
      </c>
      <c r="BA62" s="1140">
        <v>0.38700000000000001</v>
      </c>
      <c r="BB62" s="1140">
        <v>0.42499999999999999</v>
      </c>
      <c r="BC62" s="1140">
        <v>0.42499999999999999</v>
      </c>
    </row>
    <row r="63" spans="1:66" x14ac:dyDescent="0.2">
      <c r="A63" s="64" t="s">
        <v>119</v>
      </c>
      <c r="B63" s="64" t="s">
        <v>83</v>
      </c>
      <c r="C63" s="64">
        <v>12</v>
      </c>
      <c r="D63" s="1033">
        <v>0.112</v>
      </c>
      <c r="E63" s="1034">
        <v>0.1</v>
      </c>
      <c r="F63" s="1034">
        <v>8.8999999999999996E-2</v>
      </c>
      <c r="G63" s="1034">
        <v>7.1999999999999995E-2</v>
      </c>
      <c r="H63" s="1034">
        <v>6.6000000000000003E-2</v>
      </c>
      <c r="I63" s="1035">
        <v>6.6000000000000003E-2</v>
      </c>
      <c r="J63" s="1475">
        <v>0.11600000000000001</v>
      </c>
      <c r="K63" s="1034">
        <v>0.104</v>
      </c>
      <c r="L63" s="1034">
        <v>9.8000000000000004E-2</v>
      </c>
      <c r="M63" s="1034">
        <v>8.6999999999999994E-2</v>
      </c>
      <c r="N63" s="1034">
        <v>8.1000000000000003E-2</v>
      </c>
      <c r="O63" s="1035">
        <v>8.1000000000000003E-2</v>
      </c>
      <c r="Q63" s="215" t="s">
        <v>104</v>
      </c>
      <c r="T63" s="215" t="s">
        <v>88</v>
      </c>
      <c r="U63" s="117" t="s">
        <v>1183</v>
      </c>
      <c r="Y63" s="78" t="s">
        <v>121</v>
      </c>
      <c r="Z63" s="79" t="s">
        <v>419</v>
      </c>
      <c r="AB63" s="582" t="s">
        <v>1438</v>
      </c>
      <c r="AC63" s="342" t="s">
        <v>1439</v>
      </c>
      <c r="AD63" s="1178">
        <v>2.1760000000000002</v>
      </c>
      <c r="AE63" s="603">
        <v>2.4470000000000001</v>
      </c>
      <c r="AF63" s="1179">
        <v>2.7160000000000002</v>
      </c>
      <c r="AG63" s="593" t="s">
        <v>28</v>
      </c>
      <c r="AH63" s="335">
        <v>8</v>
      </c>
    </row>
    <row r="64" spans="1:66" x14ac:dyDescent="0.2">
      <c r="A64" s="64" t="s">
        <v>120</v>
      </c>
      <c r="B64" s="64" t="s">
        <v>83</v>
      </c>
      <c r="C64" s="64">
        <v>12</v>
      </c>
      <c r="D64" s="1033">
        <v>5.5E-2</v>
      </c>
      <c r="E64" s="1034">
        <v>0.05</v>
      </c>
      <c r="F64" s="1034">
        <v>4.3999999999999997E-2</v>
      </c>
      <c r="G64" s="1034">
        <v>3.5999999999999997E-2</v>
      </c>
      <c r="H64" s="1034">
        <v>3.3000000000000002E-2</v>
      </c>
      <c r="I64" s="1035">
        <v>3.3000000000000002E-2</v>
      </c>
      <c r="J64" s="1475">
        <v>5.8999999999999997E-2</v>
      </c>
      <c r="K64" s="1034">
        <v>5.2999999999999999E-2</v>
      </c>
      <c r="L64" s="1034">
        <v>0.05</v>
      </c>
      <c r="M64" s="1034">
        <v>4.3999999999999997E-2</v>
      </c>
      <c r="N64" s="1034">
        <v>4.1000000000000002E-2</v>
      </c>
      <c r="O64" s="1035">
        <v>4.1000000000000002E-2</v>
      </c>
      <c r="Q64" s="215" t="s">
        <v>105</v>
      </c>
      <c r="T64" s="215" t="s">
        <v>342</v>
      </c>
      <c r="U64" s="117" t="s">
        <v>1270</v>
      </c>
      <c r="Y64" s="78" t="s">
        <v>122</v>
      </c>
      <c r="Z64" s="79" t="s">
        <v>420</v>
      </c>
      <c r="AB64" s="582" t="s">
        <v>1440</v>
      </c>
      <c r="AC64" s="342" t="s">
        <v>1441</v>
      </c>
      <c r="AD64" s="1178">
        <v>2.1760000000000002</v>
      </c>
      <c r="AE64" s="603">
        <v>2.4470000000000001</v>
      </c>
      <c r="AF64" s="1179">
        <v>2.7160000000000002</v>
      </c>
      <c r="AG64" s="593" t="s">
        <v>28</v>
      </c>
      <c r="AH64" s="335">
        <v>8</v>
      </c>
    </row>
    <row r="65" spans="1:34" x14ac:dyDescent="0.2">
      <c r="A65" s="64" t="s">
        <v>121</v>
      </c>
      <c r="B65" s="64" t="s">
        <v>83</v>
      </c>
      <c r="C65" s="64">
        <v>12</v>
      </c>
      <c r="D65" s="1033">
        <v>7.4999999999999997E-2</v>
      </c>
      <c r="E65" s="1034">
        <v>6.7000000000000004E-2</v>
      </c>
      <c r="F65" s="1034">
        <v>0.06</v>
      </c>
      <c r="G65" s="1034">
        <v>4.8000000000000001E-2</v>
      </c>
      <c r="H65" s="1034">
        <v>4.4999999999999998E-2</v>
      </c>
      <c r="I65" s="1035">
        <v>4.4999999999999998E-2</v>
      </c>
      <c r="J65" s="1475">
        <v>8.2000000000000003E-2</v>
      </c>
      <c r="K65" s="1034">
        <v>7.3999999999999996E-2</v>
      </c>
      <c r="L65" s="1034">
        <v>7.0999999999999994E-2</v>
      </c>
      <c r="M65" s="1034">
        <v>6.2E-2</v>
      </c>
      <c r="N65" s="1034">
        <v>5.7000000000000002E-2</v>
      </c>
      <c r="O65" s="1035">
        <v>5.7000000000000002E-2</v>
      </c>
      <c r="Q65" s="215" t="s">
        <v>119</v>
      </c>
      <c r="T65" s="215" t="s">
        <v>1482</v>
      </c>
      <c r="U65" s="117" t="s">
        <v>1483</v>
      </c>
      <c r="Y65" s="78" t="s">
        <v>123</v>
      </c>
      <c r="Z65" s="79" t="s">
        <v>421</v>
      </c>
      <c r="AB65" s="582" t="s">
        <v>1442</v>
      </c>
      <c r="AC65" s="342" t="s">
        <v>1443</v>
      </c>
      <c r="AD65" s="1178">
        <v>7.0000000000000007E-2</v>
      </c>
      <c r="AE65" s="603">
        <v>7.0000000000000007E-2</v>
      </c>
      <c r="AF65" s="1179">
        <v>7.0000000000000007E-2</v>
      </c>
      <c r="AG65" s="593" t="s">
        <v>1002</v>
      </c>
      <c r="AH65" s="335">
        <v>8</v>
      </c>
    </row>
    <row r="66" spans="1:34" x14ac:dyDescent="0.2">
      <c r="A66" s="64" t="s">
        <v>122</v>
      </c>
      <c r="B66" s="64" t="s">
        <v>83</v>
      </c>
      <c r="C66" s="64">
        <v>12</v>
      </c>
      <c r="D66" s="1033">
        <v>4.9000000000000002E-2</v>
      </c>
      <c r="E66" s="1034">
        <v>4.3999999999999997E-2</v>
      </c>
      <c r="F66" s="1034">
        <v>3.9E-2</v>
      </c>
      <c r="G66" s="1034">
        <v>3.2000000000000001E-2</v>
      </c>
      <c r="H66" s="1034">
        <v>0.03</v>
      </c>
      <c r="I66" s="1035">
        <v>0.03</v>
      </c>
      <c r="J66" s="1475">
        <v>5.7000000000000002E-2</v>
      </c>
      <c r="K66" s="1034">
        <v>5.0999999999999997E-2</v>
      </c>
      <c r="L66" s="1034">
        <v>4.8000000000000001E-2</v>
      </c>
      <c r="M66" s="1034">
        <v>4.2999999999999997E-2</v>
      </c>
      <c r="N66" s="1034">
        <v>3.9E-2</v>
      </c>
      <c r="O66" s="1035">
        <v>3.9E-2</v>
      </c>
      <c r="Q66" s="215" t="s">
        <v>120</v>
      </c>
      <c r="T66" s="215" t="s">
        <v>350</v>
      </c>
      <c r="U66" s="117" t="s">
        <v>1484</v>
      </c>
      <c r="Y66" s="78" t="s">
        <v>124</v>
      </c>
      <c r="Z66" s="79" t="s">
        <v>422</v>
      </c>
      <c r="AB66" s="582" t="s">
        <v>1444</v>
      </c>
      <c r="AC66" s="342" t="s">
        <v>1445</v>
      </c>
      <c r="AD66" s="1178">
        <v>7.0000000000000007E-2</v>
      </c>
      <c r="AE66" s="603">
        <v>7.0000000000000007E-2</v>
      </c>
      <c r="AF66" s="1179">
        <v>7.0000000000000007E-2</v>
      </c>
      <c r="AG66" s="593" t="s">
        <v>28</v>
      </c>
      <c r="AH66" s="335">
        <v>8</v>
      </c>
    </row>
    <row r="67" spans="1:34" x14ac:dyDescent="0.2">
      <c r="A67" s="64" t="s">
        <v>123</v>
      </c>
      <c r="B67" s="64" t="s">
        <v>83</v>
      </c>
      <c r="C67" s="64">
        <v>12</v>
      </c>
      <c r="D67" s="1033">
        <v>0.10299999999999999</v>
      </c>
      <c r="E67" s="1034">
        <v>9.2999999999999999E-2</v>
      </c>
      <c r="F67" s="1034">
        <v>8.2000000000000003E-2</v>
      </c>
      <c r="G67" s="1034">
        <v>6.7000000000000004E-2</v>
      </c>
      <c r="H67" s="1034">
        <v>6.2E-2</v>
      </c>
      <c r="I67" s="1035">
        <v>6.2E-2</v>
      </c>
      <c r="J67" s="1475">
        <v>0.10199999999999999</v>
      </c>
      <c r="K67" s="1034">
        <v>9.0999999999999998E-2</v>
      </c>
      <c r="L67" s="1034">
        <v>8.6999999999999994E-2</v>
      </c>
      <c r="M67" s="1034">
        <v>7.5999999999999998E-2</v>
      </c>
      <c r="N67" s="1034">
        <v>7.0999999999999994E-2</v>
      </c>
      <c r="O67" s="1035">
        <v>7.0999999999999994E-2</v>
      </c>
      <c r="Q67" s="215" t="s">
        <v>121</v>
      </c>
      <c r="T67" s="215"/>
      <c r="Y67" s="78" t="s">
        <v>323</v>
      </c>
      <c r="Z67" s="79" t="s">
        <v>423</v>
      </c>
      <c r="AB67" s="582" t="s">
        <v>1446</v>
      </c>
      <c r="AC67" s="342" t="s">
        <v>1447</v>
      </c>
      <c r="AD67" s="1178">
        <v>4.3999999999999997E-2</v>
      </c>
      <c r="AE67" s="603">
        <v>4.3999999999999997E-2</v>
      </c>
      <c r="AF67" s="1179">
        <v>4.3999999999999997E-2</v>
      </c>
      <c r="AG67" s="593" t="s">
        <v>28</v>
      </c>
      <c r="AH67" s="335">
        <v>8</v>
      </c>
    </row>
    <row r="68" spans="1:34" x14ac:dyDescent="0.2">
      <c r="A68" s="64" t="s">
        <v>124</v>
      </c>
      <c r="B68" s="64" t="s">
        <v>18</v>
      </c>
      <c r="C68" s="64">
        <v>7</v>
      </c>
      <c r="D68" s="1033">
        <v>2.4E-2</v>
      </c>
      <c r="E68" s="1034">
        <v>2.1000000000000001E-2</v>
      </c>
      <c r="F68" s="1034">
        <v>1.9E-2</v>
      </c>
      <c r="G68" s="1034">
        <v>1.4999999999999999E-2</v>
      </c>
      <c r="H68" s="1034">
        <v>1.4E-2</v>
      </c>
      <c r="I68" s="1035">
        <v>1.4E-2</v>
      </c>
      <c r="J68" s="1475">
        <v>2.7E-2</v>
      </c>
      <c r="K68" s="1034">
        <v>2.4E-2</v>
      </c>
      <c r="L68" s="1034">
        <v>2.4E-2</v>
      </c>
      <c r="M68" s="1034">
        <v>0.02</v>
      </c>
      <c r="N68" s="1034">
        <v>1.9E-2</v>
      </c>
      <c r="O68" s="1035">
        <v>1.9E-2</v>
      </c>
      <c r="Q68" s="215" t="s">
        <v>123</v>
      </c>
      <c r="Y68" s="78" t="s">
        <v>324</v>
      </c>
      <c r="Z68" s="79" t="s">
        <v>424</v>
      </c>
      <c r="AB68" s="582" t="s">
        <v>1448</v>
      </c>
      <c r="AC68" s="342" t="s">
        <v>1449</v>
      </c>
      <c r="AD68" s="1178">
        <v>7.0000000000000007E-2</v>
      </c>
      <c r="AE68" s="603">
        <v>7.0000000000000007E-2</v>
      </c>
      <c r="AF68" s="1179">
        <v>7.0000000000000007E-2</v>
      </c>
      <c r="AG68" s="593" t="s">
        <v>28</v>
      </c>
      <c r="AH68" s="335">
        <v>8</v>
      </c>
    </row>
    <row r="69" spans="1:34" x14ac:dyDescent="0.2">
      <c r="A69" s="64" t="s">
        <v>323</v>
      </c>
      <c r="B69" s="64" t="s">
        <v>18</v>
      </c>
      <c r="C69" s="64">
        <v>8</v>
      </c>
      <c r="D69" s="1033">
        <v>2.4E-2</v>
      </c>
      <c r="E69" s="1034">
        <v>2.1999999999999999E-2</v>
      </c>
      <c r="F69" s="1034">
        <v>1.9E-2</v>
      </c>
      <c r="G69" s="1034">
        <v>1.6E-2</v>
      </c>
      <c r="H69" s="1034">
        <v>1.4E-2</v>
      </c>
      <c r="I69" s="1035">
        <v>1.4E-2</v>
      </c>
      <c r="J69" s="1475">
        <v>2.8000000000000001E-2</v>
      </c>
      <c r="K69" s="1034">
        <v>2.5000000000000001E-2</v>
      </c>
      <c r="L69" s="1034">
        <v>2.4E-2</v>
      </c>
      <c r="M69" s="1034">
        <v>2.1000000000000001E-2</v>
      </c>
      <c r="N69" s="1034">
        <v>1.9E-2</v>
      </c>
      <c r="O69" s="1035">
        <v>1.9E-2</v>
      </c>
      <c r="Q69" s="215" t="s">
        <v>324</v>
      </c>
      <c r="Y69" s="78" t="s">
        <v>325</v>
      </c>
      <c r="Z69" s="79" t="s">
        <v>425</v>
      </c>
      <c r="AB69" s="582" t="s">
        <v>1450</v>
      </c>
      <c r="AC69" s="342" t="s">
        <v>1451</v>
      </c>
      <c r="AD69" s="1178">
        <v>7.0000000000000007E-2</v>
      </c>
      <c r="AE69" s="603">
        <v>7.0000000000000007E-2</v>
      </c>
      <c r="AF69" s="1179">
        <v>7.0000000000000007E-2</v>
      </c>
      <c r="AG69" s="593" t="s">
        <v>28</v>
      </c>
      <c r="AH69" s="335">
        <v>8</v>
      </c>
    </row>
    <row r="70" spans="1:34" x14ac:dyDescent="0.2">
      <c r="A70" s="64" t="s">
        <v>324</v>
      </c>
      <c r="B70" s="64" t="s">
        <v>18</v>
      </c>
      <c r="C70" s="64">
        <v>8</v>
      </c>
      <c r="D70" s="1033">
        <v>7.2999999999999995E-2</v>
      </c>
      <c r="E70" s="1034">
        <v>6.5000000000000002E-2</v>
      </c>
      <c r="F70" s="1034">
        <v>5.8000000000000003E-2</v>
      </c>
      <c r="G70" s="1034">
        <v>4.7E-2</v>
      </c>
      <c r="H70" s="1034">
        <v>4.3999999999999997E-2</v>
      </c>
      <c r="I70" s="1035">
        <v>4.3999999999999997E-2</v>
      </c>
      <c r="J70" s="1475">
        <v>7.6999999999999999E-2</v>
      </c>
      <c r="K70" s="1034">
        <v>6.9000000000000006E-2</v>
      </c>
      <c r="L70" s="1034">
        <v>6.5000000000000002E-2</v>
      </c>
      <c r="M70" s="1034">
        <v>5.7000000000000002E-2</v>
      </c>
      <c r="N70" s="1034">
        <v>5.2999999999999999E-2</v>
      </c>
      <c r="O70" s="1035">
        <v>5.2999999999999999E-2</v>
      </c>
      <c r="Q70" s="215" t="s">
        <v>336</v>
      </c>
      <c r="Y70" s="78" t="s">
        <v>326</v>
      </c>
      <c r="Z70" s="79" t="s">
        <v>426</v>
      </c>
      <c r="AB70" s="582" t="s">
        <v>1452</v>
      </c>
      <c r="AC70" s="342" t="s">
        <v>1453</v>
      </c>
      <c r="AD70" s="1178">
        <v>4.9000000000000002E-2</v>
      </c>
      <c r="AE70" s="603">
        <v>4.9000000000000002E-2</v>
      </c>
      <c r="AF70" s="1179">
        <v>4.9000000000000002E-2</v>
      </c>
      <c r="AG70" s="593" t="s">
        <v>18</v>
      </c>
      <c r="AH70" s="335">
        <v>0.5</v>
      </c>
    </row>
    <row r="71" spans="1:34" x14ac:dyDescent="0.2">
      <c r="A71" s="64" t="s">
        <v>325</v>
      </c>
      <c r="B71" s="64" t="s">
        <v>83</v>
      </c>
      <c r="C71" s="64">
        <v>11</v>
      </c>
      <c r="D71" s="1033">
        <v>0.17799999999999999</v>
      </c>
      <c r="E71" s="1034">
        <v>0.161</v>
      </c>
      <c r="F71" s="1034">
        <v>0.14299999999999999</v>
      </c>
      <c r="G71" s="1034">
        <v>0.11600000000000001</v>
      </c>
      <c r="H71" s="1034">
        <v>0.107</v>
      </c>
      <c r="I71" s="1035">
        <v>0.107</v>
      </c>
      <c r="J71" s="1475">
        <v>0.21099999999999999</v>
      </c>
      <c r="K71" s="1034">
        <v>0.19</v>
      </c>
      <c r="L71" s="1034">
        <v>0.17899999999999999</v>
      </c>
      <c r="M71" s="1034">
        <v>0.158</v>
      </c>
      <c r="N71" s="1034">
        <v>0.14799999999999999</v>
      </c>
      <c r="O71" s="1035">
        <v>0.14799999999999999</v>
      </c>
      <c r="Q71" s="215" t="s">
        <v>337</v>
      </c>
      <c r="Y71" s="78" t="s">
        <v>327</v>
      </c>
      <c r="Z71" s="79" t="s">
        <v>427</v>
      </c>
      <c r="AB71" s="582" t="s">
        <v>1454</v>
      </c>
      <c r="AC71" s="342" t="s">
        <v>1455</v>
      </c>
      <c r="AD71" s="1178">
        <v>0.82599999999999996</v>
      </c>
      <c r="AE71" s="603">
        <v>0.82599999999999996</v>
      </c>
      <c r="AF71" s="1179">
        <v>0.82599999999999996</v>
      </c>
      <c r="AG71" s="593" t="s">
        <v>18</v>
      </c>
      <c r="AH71" s="335">
        <v>0.5</v>
      </c>
    </row>
    <row r="72" spans="1:34" x14ac:dyDescent="0.2">
      <c r="A72" s="64" t="s">
        <v>326</v>
      </c>
      <c r="B72" s="64" t="s">
        <v>83</v>
      </c>
      <c r="C72" s="64">
        <v>11</v>
      </c>
      <c r="D72" s="1033">
        <v>0.23599999999999999</v>
      </c>
      <c r="E72" s="1034">
        <v>0.21299999999999999</v>
      </c>
      <c r="F72" s="1034">
        <v>0.189</v>
      </c>
      <c r="G72" s="1034">
        <v>0.153</v>
      </c>
      <c r="H72" s="1034">
        <v>0.14199999999999999</v>
      </c>
      <c r="I72" s="1035">
        <v>0.14199999999999999</v>
      </c>
      <c r="J72" s="1475">
        <v>0.29199999999999998</v>
      </c>
      <c r="K72" s="1034">
        <v>0.26200000000000001</v>
      </c>
      <c r="L72" s="1034">
        <v>0.248</v>
      </c>
      <c r="M72" s="1034">
        <v>0.219</v>
      </c>
      <c r="N72" s="1034">
        <v>0.20399999999999999</v>
      </c>
      <c r="O72" s="1035">
        <v>0.20399999999999999</v>
      </c>
      <c r="Q72" s="215" t="s">
        <v>339</v>
      </c>
      <c r="Y72" s="78" t="s">
        <v>328</v>
      </c>
      <c r="Z72" s="79" t="s">
        <v>428</v>
      </c>
      <c r="AB72" s="582" t="s">
        <v>1456</v>
      </c>
      <c r="AC72" s="342" t="s">
        <v>1457</v>
      </c>
      <c r="AD72" s="1178">
        <v>5.5E-2</v>
      </c>
      <c r="AE72" s="603">
        <v>5.5E-2</v>
      </c>
      <c r="AF72" s="1179">
        <v>5.5E-2</v>
      </c>
      <c r="AG72" s="593" t="s">
        <v>18</v>
      </c>
      <c r="AH72" s="335">
        <v>1</v>
      </c>
    </row>
    <row r="73" spans="1:34" ht="13.5" thickBot="1" x14ac:dyDescent="0.25">
      <c r="A73" s="64" t="s">
        <v>327</v>
      </c>
      <c r="B73" s="64" t="s">
        <v>83</v>
      </c>
      <c r="C73" s="64">
        <v>11</v>
      </c>
      <c r="D73" s="1033">
        <v>0.156</v>
      </c>
      <c r="E73" s="1034">
        <v>0.14000000000000001</v>
      </c>
      <c r="F73" s="1034">
        <v>0.124</v>
      </c>
      <c r="G73" s="1034">
        <v>0.10100000000000001</v>
      </c>
      <c r="H73" s="1034">
        <v>9.2999999999999999E-2</v>
      </c>
      <c r="I73" s="1035">
        <v>9.2999999999999999E-2</v>
      </c>
      <c r="J73" s="1475">
        <v>0.183</v>
      </c>
      <c r="K73" s="1034">
        <v>0.16400000000000001</v>
      </c>
      <c r="L73" s="1034">
        <v>0.155</v>
      </c>
      <c r="M73" s="1034">
        <v>0.13700000000000001</v>
      </c>
      <c r="N73" s="1034">
        <v>0.127</v>
      </c>
      <c r="O73" s="1035">
        <v>0.127</v>
      </c>
      <c r="Q73" s="215" t="s">
        <v>340</v>
      </c>
      <c r="Y73" s="78" t="s">
        <v>329</v>
      </c>
      <c r="Z73" s="79" t="s">
        <v>429</v>
      </c>
      <c r="AB73" s="583" t="s">
        <v>1458</v>
      </c>
      <c r="AC73" s="343" t="s">
        <v>1459</v>
      </c>
      <c r="AD73" s="1180">
        <v>0.152</v>
      </c>
      <c r="AE73" s="1181">
        <v>0.152</v>
      </c>
      <c r="AF73" s="1182">
        <v>0.152</v>
      </c>
      <c r="AG73" s="594" t="s">
        <v>28</v>
      </c>
      <c r="AH73" s="336">
        <v>1</v>
      </c>
    </row>
    <row r="74" spans="1:34" x14ac:dyDescent="0.2">
      <c r="A74" s="64" t="s">
        <v>328</v>
      </c>
      <c r="B74" s="64" t="s">
        <v>18</v>
      </c>
      <c r="C74" s="64">
        <v>11</v>
      </c>
      <c r="D74" s="1033">
        <v>9.2999999999999999E-2</v>
      </c>
      <c r="E74" s="1034">
        <v>8.4000000000000005E-2</v>
      </c>
      <c r="F74" s="1034">
        <v>7.4999999999999997E-2</v>
      </c>
      <c r="G74" s="1034">
        <v>0.06</v>
      </c>
      <c r="H74" s="1034">
        <v>5.6000000000000001E-2</v>
      </c>
      <c r="I74" s="1035">
        <v>5.6000000000000001E-2</v>
      </c>
      <c r="J74" s="1475">
        <v>0.111</v>
      </c>
      <c r="K74" s="1034">
        <v>0.1</v>
      </c>
      <c r="L74" s="1034">
        <v>9.4E-2</v>
      </c>
      <c r="M74" s="1034">
        <v>8.3000000000000004E-2</v>
      </c>
      <c r="N74" s="1034">
        <v>7.8E-2</v>
      </c>
      <c r="O74" s="1035">
        <v>7.8E-2</v>
      </c>
      <c r="Q74" s="214"/>
      <c r="Y74" s="78" t="s">
        <v>330</v>
      </c>
      <c r="Z74" s="79" t="s">
        <v>430</v>
      </c>
    </row>
    <row r="75" spans="1:34" x14ac:dyDescent="0.2">
      <c r="A75" s="64" t="s">
        <v>329</v>
      </c>
      <c r="B75" s="64" t="s">
        <v>83</v>
      </c>
      <c r="C75" s="64">
        <v>5</v>
      </c>
      <c r="D75" s="1033">
        <v>0.10299999999999999</v>
      </c>
      <c r="E75" s="1034">
        <v>9.2999999999999999E-2</v>
      </c>
      <c r="F75" s="1034">
        <v>8.3000000000000004E-2</v>
      </c>
      <c r="G75" s="1034">
        <v>6.7000000000000004E-2</v>
      </c>
      <c r="H75" s="1034">
        <v>6.2E-2</v>
      </c>
      <c r="I75" s="1035">
        <v>6.2E-2</v>
      </c>
      <c r="J75" s="1475">
        <v>0.126</v>
      </c>
      <c r="K75" s="1034">
        <v>0.113</v>
      </c>
      <c r="L75" s="1034">
        <v>0.107</v>
      </c>
      <c r="M75" s="1034">
        <v>9.5000000000000001E-2</v>
      </c>
      <c r="N75" s="1034">
        <v>8.7999999999999995E-2</v>
      </c>
      <c r="O75" s="1035">
        <v>8.7999999999999995E-2</v>
      </c>
      <c r="Q75" s="5" t="s">
        <v>1488</v>
      </c>
      <c r="R75"/>
      <c r="S75"/>
      <c r="W75" s="171" t="s">
        <v>1489</v>
      </c>
      <c r="Y75" s="78" t="s">
        <v>331</v>
      </c>
      <c r="Z75" s="79" t="s">
        <v>431</v>
      </c>
    </row>
    <row r="76" spans="1:34" x14ac:dyDescent="0.2">
      <c r="A76" s="64" t="s">
        <v>330</v>
      </c>
      <c r="B76" s="64" t="s">
        <v>18</v>
      </c>
      <c r="C76" s="64">
        <v>12</v>
      </c>
      <c r="D76" s="1033">
        <v>6.9000000000000006E-2</v>
      </c>
      <c r="E76" s="1034">
        <v>6.2E-2</v>
      </c>
      <c r="F76" s="1034">
        <v>5.5E-2</v>
      </c>
      <c r="G76" s="1034">
        <v>4.3999999999999997E-2</v>
      </c>
      <c r="H76" s="1034">
        <v>4.1000000000000002E-2</v>
      </c>
      <c r="I76" s="1035">
        <v>4.1000000000000002E-2</v>
      </c>
      <c r="J76" s="1475">
        <v>7.3999999999999996E-2</v>
      </c>
      <c r="K76" s="1034">
        <v>6.6000000000000003E-2</v>
      </c>
      <c r="L76" s="1034">
        <v>6.3E-2</v>
      </c>
      <c r="M76" s="1034">
        <v>5.5E-2</v>
      </c>
      <c r="N76" s="1034">
        <v>5.0999999999999997E-2</v>
      </c>
      <c r="O76" s="1035">
        <v>5.0999999999999997E-2</v>
      </c>
      <c r="Q76" s="109" t="s">
        <v>1487</v>
      </c>
      <c r="R76" s="109">
        <v>1</v>
      </c>
      <c r="S76" s="109">
        <v>2</v>
      </c>
      <c r="T76" s="109">
        <v>3</v>
      </c>
      <c r="U76" s="109">
        <v>4</v>
      </c>
      <c r="V76" s="109">
        <v>5</v>
      </c>
      <c r="W76" s="109">
        <v>6</v>
      </c>
      <c r="Y76" s="78" t="s">
        <v>332</v>
      </c>
      <c r="Z76" s="79" t="s">
        <v>432</v>
      </c>
      <c r="AB76" s="262" t="s">
        <v>1191</v>
      </c>
    </row>
    <row r="77" spans="1:34" x14ac:dyDescent="0.2">
      <c r="A77" s="64" t="s">
        <v>331</v>
      </c>
      <c r="B77" s="64" t="s">
        <v>18</v>
      </c>
      <c r="C77" s="64">
        <v>11</v>
      </c>
      <c r="D77" s="1033">
        <v>4.3999999999999997E-2</v>
      </c>
      <c r="E77" s="1034">
        <v>3.9E-2</v>
      </c>
      <c r="F77" s="1034">
        <v>3.5000000000000003E-2</v>
      </c>
      <c r="G77" s="1034">
        <v>2.8000000000000001E-2</v>
      </c>
      <c r="H77" s="1034">
        <v>2.5999999999999999E-2</v>
      </c>
      <c r="I77" s="1035">
        <v>2.5999999999999999E-2</v>
      </c>
      <c r="J77" s="1475">
        <v>5.1999999999999998E-2</v>
      </c>
      <c r="K77" s="1034">
        <v>4.5999999999999999E-2</v>
      </c>
      <c r="L77" s="1034">
        <v>4.3999999999999997E-2</v>
      </c>
      <c r="M77" s="1034">
        <v>3.9E-2</v>
      </c>
      <c r="N77" s="1034">
        <v>3.5000000000000003E-2</v>
      </c>
      <c r="O77" s="1035">
        <v>3.5000000000000003E-2</v>
      </c>
      <c r="Q77" s="265" t="s">
        <v>88</v>
      </c>
      <c r="R77" s="44">
        <v>4</v>
      </c>
      <c r="S77" s="44">
        <v>4</v>
      </c>
      <c r="T77" s="44">
        <v>4</v>
      </c>
      <c r="U77" s="44" t="s">
        <v>1495</v>
      </c>
      <c r="V77" s="44" t="s">
        <v>1495</v>
      </c>
      <c r="W77" s="44" t="s">
        <v>1495</v>
      </c>
      <c r="Y77" s="78" t="s">
        <v>333</v>
      </c>
      <c r="Z77" s="79" t="s">
        <v>433</v>
      </c>
      <c r="AB77" s="262"/>
      <c r="AD77" s="171" t="s">
        <v>1196</v>
      </c>
    </row>
    <row r="78" spans="1:34" x14ac:dyDescent="0.2">
      <c r="A78" s="64" t="s">
        <v>332</v>
      </c>
      <c r="B78" s="64" t="s">
        <v>83</v>
      </c>
      <c r="C78" s="64">
        <v>11</v>
      </c>
      <c r="D78" s="1033">
        <v>6.2E-2</v>
      </c>
      <c r="E78" s="1034">
        <v>5.6000000000000001E-2</v>
      </c>
      <c r="F78" s="1034">
        <v>0.05</v>
      </c>
      <c r="G78" s="1034">
        <v>0.04</v>
      </c>
      <c r="H78" s="1034">
        <v>3.7999999999999999E-2</v>
      </c>
      <c r="I78" s="1035">
        <v>3.7999999999999999E-2</v>
      </c>
      <c r="J78" s="1475">
        <v>7.5999999999999998E-2</v>
      </c>
      <c r="K78" s="1034">
        <v>6.9000000000000006E-2</v>
      </c>
      <c r="L78" s="1034">
        <v>6.4000000000000001E-2</v>
      </c>
      <c r="M78" s="1034">
        <v>5.7000000000000002E-2</v>
      </c>
      <c r="N78" s="1034">
        <v>5.2999999999999999E-2</v>
      </c>
      <c r="O78" s="1035">
        <v>5.2999999999999999E-2</v>
      </c>
      <c r="Q78" s="265" t="s">
        <v>342</v>
      </c>
      <c r="R78" s="44">
        <v>2</v>
      </c>
      <c r="S78" s="44">
        <v>2</v>
      </c>
      <c r="T78" s="44">
        <v>2</v>
      </c>
      <c r="U78" s="44">
        <v>0.5</v>
      </c>
      <c r="V78" s="44">
        <v>1</v>
      </c>
      <c r="W78" s="44">
        <v>1</v>
      </c>
      <c r="Y78" s="78" t="s">
        <v>334</v>
      </c>
      <c r="Z78" s="79" t="s">
        <v>434</v>
      </c>
      <c r="AB78" s="263" t="s">
        <v>1193</v>
      </c>
      <c r="AC78" s="240" t="s">
        <v>1194</v>
      </c>
      <c r="AD78" s="109" t="s">
        <v>1195</v>
      </c>
    </row>
    <row r="79" spans="1:34" x14ac:dyDescent="0.2">
      <c r="A79" s="64" t="s">
        <v>333</v>
      </c>
      <c r="B79" s="64" t="s">
        <v>83</v>
      </c>
      <c r="C79" s="64">
        <v>5</v>
      </c>
      <c r="D79" s="1033">
        <v>5.1999999999999998E-2</v>
      </c>
      <c r="E79" s="1034">
        <v>4.8000000000000001E-2</v>
      </c>
      <c r="F79" s="1034">
        <v>4.2999999999999997E-2</v>
      </c>
      <c r="G79" s="1034">
        <v>3.4000000000000002E-2</v>
      </c>
      <c r="H79" s="1034">
        <v>3.2000000000000001E-2</v>
      </c>
      <c r="I79" s="1035">
        <v>3.2000000000000001E-2</v>
      </c>
      <c r="J79" s="1475">
        <v>6.7000000000000004E-2</v>
      </c>
      <c r="K79" s="1034">
        <v>0.06</v>
      </c>
      <c r="L79" s="1034">
        <v>5.6000000000000001E-2</v>
      </c>
      <c r="M79" s="1034">
        <v>0.05</v>
      </c>
      <c r="N79" s="1034">
        <v>4.7E-2</v>
      </c>
      <c r="O79" s="1035">
        <v>4.7E-2</v>
      </c>
      <c r="Q79" s="265" t="s">
        <v>1482</v>
      </c>
      <c r="R79" s="44">
        <v>1</v>
      </c>
      <c r="S79" s="44">
        <v>1</v>
      </c>
      <c r="T79" s="44">
        <v>1</v>
      </c>
      <c r="U79" s="44" t="s">
        <v>1495</v>
      </c>
      <c r="V79" s="44" t="s">
        <v>1495</v>
      </c>
      <c r="W79" s="44" t="s">
        <v>1495</v>
      </c>
      <c r="Y79" s="78" t="s">
        <v>335</v>
      </c>
      <c r="Z79" s="79" t="s">
        <v>435</v>
      </c>
      <c r="AB79" s="1183" t="s">
        <v>88</v>
      </c>
      <c r="AC79" s="1184" t="s">
        <v>1183</v>
      </c>
      <c r="AD79" s="1185">
        <v>2.1000000000000001E-2</v>
      </c>
    </row>
    <row r="80" spans="1:34" x14ac:dyDescent="0.2">
      <c r="A80" s="64" t="s">
        <v>334</v>
      </c>
      <c r="B80" s="64" t="s">
        <v>83</v>
      </c>
      <c r="C80" s="64">
        <v>11</v>
      </c>
      <c r="D80" s="1033">
        <v>6.9000000000000006E-2</v>
      </c>
      <c r="E80" s="1034">
        <v>6.2E-2</v>
      </c>
      <c r="F80" s="1034">
        <v>5.5E-2</v>
      </c>
      <c r="G80" s="1034">
        <v>4.3999999999999997E-2</v>
      </c>
      <c r="H80" s="1034">
        <v>4.1000000000000002E-2</v>
      </c>
      <c r="I80" s="1035">
        <v>4.1000000000000002E-2</v>
      </c>
      <c r="J80" s="1475">
        <v>8.1000000000000003E-2</v>
      </c>
      <c r="K80" s="1034">
        <v>7.2999999999999995E-2</v>
      </c>
      <c r="L80" s="1034">
        <v>6.9000000000000006E-2</v>
      </c>
      <c r="M80" s="1034">
        <v>6.0999999999999999E-2</v>
      </c>
      <c r="N80" s="1034">
        <v>5.7000000000000002E-2</v>
      </c>
      <c r="O80" s="1035">
        <v>5.7000000000000002E-2</v>
      </c>
      <c r="Q80" s="265" t="s">
        <v>350</v>
      </c>
      <c r="R80" s="44">
        <v>4</v>
      </c>
      <c r="S80" s="44">
        <v>4</v>
      </c>
      <c r="T80" s="44">
        <v>4</v>
      </c>
      <c r="U80" s="44" t="s">
        <v>1495</v>
      </c>
      <c r="V80" s="44" t="s">
        <v>1495</v>
      </c>
      <c r="W80" s="44" t="s">
        <v>1495</v>
      </c>
      <c r="Y80" s="78" t="s">
        <v>336</v>
      </c>
      <c r="Z80" s="79" t="s">
        <v>436</v>
      </c>
      <c r="AB80" s="265" t="s">
        <v>93</v>
      </c>
      <c r="AC80" s="1184" t="s">
        <v>1184</v>
      </c>
      <c r="AD80" s="1185">
        <v>2.1000000000000001E-2</v>
      </c>
    </row>
    <row r="81" spans="1:30" x14ac:dyDescent="0.2">
      <c r="A81" s="64" t="s">
        <v>335</v>
      </c>
      <c r="B81" s="64" t="s">
        <v>28</v>
      </c>
      <c r="C81" s="64">
        <v>5</v>
      </c>
      <c r="D81" s="1033">
        <v>3.3000000000000002E-2</v>
      </c>
      <c r="E81" s="1034">
        <v>0.03</v>
      </c>
      <c r="F81" s="1034">
        <v>2.7E-2</v>
      </c>
      <c r="G81" s="1034">
        <v>2.1999999999999999E-2</v>
      </c>
      <c r="H81" s="1034">
        <v>0.02</v>
      </c>
      <c r="I81" s="1035">
        <v>0.02</v>
      </c>
      <c r="J81" s="1475">
        <v>4.1000000000000002E-2</v>
      </c>
      <c r="K81" s="1034">
        <v>3.6999999999999998E-2</v>
      </c>
      <c r="L81" s="1034">
        <v>3.5000000000000003E-2</v>
      </c>
      <c r="M81" s="1034">
        <v>3.1E-2</v>
      </c>
      <c r="N81" s="1034">
        <v>2.9000000000000001E-2</v>
      </c>
      <c r="O81" s="1035">
        <v>2.9000000000000001E-2</v>
      </c>
      <c r="Q81" s="112"/>
      <c r="R81" s="112"/>
      <c r="S81" s="112"/>
      <c r="Y81" s="78" t="s">
        <v>337</v>
      </c>
      <c r="Z81" s="79" t="s">
        <v>438</v>
      </c>
      <c r="AB81" s="265" t="s">
        <v>94</v>
      </c>
      <c r="AC81" s="1184" t="s">
        <v>1184</v>
      </c>
      <c r="AD81" s="1185">
        <v>2.1000000000000001E-2</v>
      </c>
    </row>
    <row r="82" spans="1:30" x14ac:dyDescent="0.2">
      <c r="A82" s="64" t="s">
        <v>336</v>
      </c>
      <c r="B82" s="64" t="s">
        <v>28</v>
      </c>
      <c r="C82" s="64">
        <v>12</v>
      </c>
      <c r="D82" s="1033">
        <v>0.214</v>
      </c>
      <c r="E82" s="1034">
        <v>0.193</v>
      </c>
      <c r="F82" s="1034">
        <v>0.17100000000000001</v>
      </c>
      <c r="G82" s="1034">
        <v>0.13900000000000001</v>
      </c>
      <c r="H82" s="1034">
        <v>0.129</v>
      </c>
      <c r="I82" s="1035">
        <v>0.129</v>
      </c>
      <c r="J82" s="1475">
        <v>0.23599999999999999</v>
      </c>
      <c r="K82" s="1034">
        <v>0.21199999999999999</v>
      </c>
      <c r="L82" s="1034">
        <v>0.20100000000000001</v>
      </c>
      <c r="M82" s="1034">
        <v>0.17799999999999999</v>
      </c>
      <c r="N82" s="1034">
        <v>0.16600000000000001</v>
      </c>
      <c r="O82" s="1035">
        <v>0.16600000000000001</v>
      </c>
      <c r="Q82" s="214"/>
      <c r="T82" s="112"/>
      <c r="U82" s="112"/>
      <c r="V82" s="112"/>
      <c r="Y82" s="78" t="s">
        <v>338</v>
      </c>
      <c r="Z82" s="79" t="s">
        <v>439</v>
      </c>
      <c r="AB82" s="265" t="s">
        <v>95</v>
      </c>
      <c r="AC82" s="1184" t="s">
        <v>1184</v>
      </c>
      <c r="AD82" s="1185">
        <v>2.1000000000000001E-2</v>
      </c>
    </row>
    <row r="83" spans="1:30" x14ac:dyDescent="0.2">
      <c r="A83" s="64" t="s">
        <v>337</v>
      </c>
      <c r="B83" s="64" t="s">
        <v>83</v>
      </c>
      <c r="C83" s="64">
        <v>12</v>
      </c>
      <c r="D83" s="1033">
        <v>7.1999999999999995E-2</v>
      </c>
      <c r="E83" s="1034">
        <v>6.5000000000000002E-2</v>
      </c>
      <c r="F83" s="1034">
        <v>5.8000000000000003E-2</v>
      </c>
      <c r="G83" s="1034">
        <v>4.7E-2</v>
      </c>
      <c r="H83" s="1034">
        <v>4.2999999999999997E-2</v>
      </c>
      <c r="I83" s="1035">
        <v>4.2999999999999997E-2</v>
      </c>
      <c r="J83" s="1475">
        <v>0.10299999999999999</v>
      </c>
      <c r="K83" s="1034">
        <v>9.2999999999999999E-2</v>
      </c>
      <c r="L83" s="1034">
        <v>8.7999999999999995E-2</v>
      </c>
      <c r="M83" s="1034">
        <v>7.8E-2</v>
      </c>
      <c r="N83" s="1034">
        <v>7.1999999999999995E-2</v>
      </c>
      <c r="O83" s="1035">
        <v>7.1999999999999995E-2</v>
      </c>
      <c r="Q83" s="214"/>
      <c r="T83" s="112"/>
      <c r="U83" s="112"/>
      <c r="V83" s="112"/>
      <c r="Y83" s="78" t="s">
        <v>339</v>
      </c>
      <c r="Z83" s="79" t="s">
        <v>440</v>
      </c>
      <c r="AB83" s="265" t="s">
        <v>96</v>
      </c>
      <c r="AC83" s="1184" t="s">
        <v>1184</v>
      </c>
      <c r="AD83" s="1185">
        <v>2.1000000000000001E-2</v>
      </c>
    </row>
    <row r="84" spans="1:30" x14ac:dyDescent="0.2">
      <c r="A84" s="64" t="s">
        <v>338</v>
      </c>
      <c r="B84" s="64" t="s">
        <v>18</v>
      </c>
      <c r="C84" s="64">
        <v>8</v>
      </c>
      <c r="D84" s="1033">
        <v>3.2000000000000001E-2</v>
      </c>
      <c r="E84" s="1034">
        <v>2.9000000000000001E-2</v>
      </c>
      <c r="F84" s="1034">
        <v>2.5999999999999999E-2</v>
      </c>
      <c r="G84" s="1034">
        <v>2.1000000000000001E-2</v>
      </c>
      <c r="H84" s="1034">
        <v>1.9E-2</v>
      </c>
      <c r="I84" s="1035">
        <v>1.9E-2</v>
      </c>
      <c r="J84" s="1475">
        <v>2.8000000000000001E-2</v>
      </c>
      <c r="K84" s="1034">
        <v>2.5999999999999999E-2</v>
      </c>
      <c r="L84" s="1034">
        <v>2.4E-2</v>
      </c>
      <c r="M84" s="1034">
        <v>2.1999999999999999E-2</v>
      </c>
      <c r="N84" s="1034">
        <v>0.02</v>
      </c>
      <c r="O84" s="1035">
        <v>0.02</v>
      </c>
      <c r="Q84" s="214"/>
      <c r="T84" s="112"/>
      <c r="U84" s="112"/>
      <c r="V84" s="112"/>
      <c r="Y84" s="78" t="s">
        <v>340</v>
      </c>
      <c r="Z84" s="79" t="s">
        <v>441</v>
      </c>
      <c r="AB84" s="265" t="s">
        <v>97</v>
      </c>
      <c r="AC84" s="1184" t="s">
        <v>1184</v>
      </c>
      <c r="AD84" s="1185">
        <v>2.1000000000000001E-2</v>
      </c>
    </row>
    <row r="85" spans="1:30" x14ac:dyDescent="0.2">
      <c r="A85" s="64" t="s">
        <v>339</v>
      </c>
      <c r="B85" s="64" t="s">
        <v>28</v>
      </c>
      <c r="C85" s="64">
        <v>7</v>
      </c>
      <c r="D85" s="1033">
        <v>0.02</v>
      </c>
      <c r="E85" s="1034">
        <v>1.9E-2</v>
      </c>
      <c r="F85" s="1034">
        <v>1.6E-2</v>
      </c>
      <c r="G85" s="1034">
        <v>1.2999999999999999E-2</v>
      </c>
      <c r="H85" s="1034">
        <v>1.2E-2</v>
      </c>
      <c r="I85" s="1035">
        <v>1.2E-2</v>
      </c>
      <c r="J85" s="1475">
        <v>2.7E-2</v>
      </c>
      <c r="K85" s="1034">
        <v>2.3E-2</v>
      </c>
      <c r="L85" s="1034">
        <v>2.3E-2</v>
      </c>
      <c r="M85" s="1034">
        <v>0.02</v>
      </c>
      <c r="N85" s="1034">
        <v>1.9E-2</v>
      </c>
      <c r="O85" s="1035">
        <v>1.9E-2</v>
      </c>
      <c r="Q85" s="55" t="s">
        <v>1503</v>
      </c>
      <c r="T85" s="112"/>
      <c r="U85" s="112"/>
      <c r="V85" s="112"/>
      <c r="Y85" s="78" t="s">
        <v>341</v>
      </c>
      <c r="Z85" s="79" t="s">
        <v>442</v>
      </c>
      <c r="AB85" s="265" t="s">
        <v>98</v>
      </c>
      <c r="AC85" s="1184" t="s">
        <v>1184</v>
      </c>
      <c r="AD85" s="1185">
        <v>2.1000000000000001E-2</v>
      </c>
    </row>
    <row r="86" spans="1:30" x14ac:dyDescent="0.2">
      <c r="A86" s="64" t="s">
        <v>340</v>
      </c>
      <c r="B86" s="64" t="s">
        <v>18</v>
      </c>
      <c r="C86" s="64">
        <v>7</v>
      </c>
      <c r="D86" s="1033">
        <v>4.5999999999999999E-2</v>
      </c>
      <c r="E86" s="1034">
        <v>4.1000000000000002E-2</v>
      </c>
      <c r="F86" s="1034">
        <v>3.5999999999999997E-2</v>
      </c>
      <c r="G86" s="1034">
        <v>0.03</v>
      </c>
      <c r="H86" s="1034">
        <v>2.7E-2</v>
      </c>
      <c r="I86" s="1035">
        <v>2.7E-2</v>
      </c>
      <c r="J86" s="1475">
        <v>5.2999999999999999E-2</v>
      </c>
      <c r="K86" s="1034">
        <v>4.7E-2</v>
      </c>
      <c r="L86" s="1034">
        <v>4.3999999999999997E-2</v>
      </c>
      <c r="M86" s="1034">
        <v>3.9E-2</v>
      </c>
      <c r="N86" s="1034">
        <v>3.5999999999999997E-2</v>
      </c>
      <c r="O86" s="1035">
        <v>3.5999999999999997E-2</v>
      </c>
      <c r="Q86" s="224" t="s">
        <v>1504</v>
      </c>
      <c r="Y86" s="78" t="s">
        <v>342</v>
      </c>
      <c r="Z86" s="79" t="s">
        <v>443</v>
      </c>
      <c r="AB86" s="1183" t="s">
        <v>104</v>
      </c>
      <c r="AC86" s="1184" t="s">
        <v>1082</v>
      </c>
      <c r="AD86" s="1185">
        <v>2.1000000000000001E-2</v>
      </c>
    </row>
    <row r="87" spans="1:30" ht="22.5" customHeight="1" x14ac:dyDescent="0.2">
      <c r="A87" s="64" t="s">
        <v>341</v>
      </c>
      <c r="B87" s="64" t="s">
        <v>18</v>
      </c>
      <c r="C87" s="64">
        <v>8</v>
      </c>
      <c r="D87" s="1033">
        <v>3.2000000000000001E-2</v>
      </c>
      <c r="E87" s="1034">
        <v>2.8000000000000001E-2</v>
      </c>
      <c r="F87" s="1034">
        <v>2.5000000000000001E-2</v>
      </c>
      <c r="G87" s="1034">
        <v>0.02</v>
      </c>
      <c r="H87" s="1034">
        <v>1.9E-2</v>
      </c>
      <c r="I87" s="1035">
        <v>1.9E-2</v>
      </c>
      <c r="J87" s="1475">
        <v>3.6999999999999998E-2</v>
      </c>
      <c r="K87" s="1034">
        <v>3.4000000000000002E-2</v>
      </c>
      <c r="L87" s="1034">
        <v>3.2000000000000001E-2</v>
      </c>
      <c r="M87" s="1034">
        <v>2.8000000000000001E-2</v>
      </c>
      <c r="N87" s="1034">
        <v>2.7E-2</v>
      </c>
      <c r="O87" s="1035">
        <v>2.7E-2</v>
      </c>
      <c r="Q87" s="382" t="s">
        <v>1543</v>
      </c>
      <c r="S87" s="326"/>
      <c r="Y87" s="78" t="s">
        <v>343</v>
      </c>
      <c r="Z87" s="79" t="s">
        <v>444</v>
      </c>
      <c r="AB87" s="1183" t="s">
        <v>105</v>
      </c>
      <c r="AC87" s="1184" t="s">
        <v>416</v>
      </c>
      <c r="AD87" s="1185">
        <v>2.1000000000000001E-2</v>
      </c>
    </row>
    <row r="88" spans="1:30" x14ac:dyDescent="0.2">
      <c r="A88" s="64" t="s">
        <v>342</v>
      </c>
      <c r="B88" s="64" t="s">
        <v>83</v>
      </c>
      <c r="C88" s="64" t="s">
        <v>1900</v>
      </c>
      <c r="D88" s="1033">
        <v>4.9000000000000002E-2</v>
      </c>
      <c r="E88" s="1034">
        <v>4.3999999999999997E-2</v>
      </c>
      <c r="F88" s="1034">
        <v>3.9E-2</v>
      </c>
      <c r="G88" s="1034">
        <v>3.2000000000000001E-2</v>
      </c>
      <c r="H88" s="1034">
        <v>2.9000000000000001E-2</v>
      </c>
      <c r="I88" s="1035">
        <v>2.9000000000000001E-2</v>
      </c>
      <c r="J88" s="1475" t="s">
        <v>28</v>
      </c>
      <c r="K88" s="1034" t="s">
        <v>28</v>
      </c>
      <c r="L88" s="1034" t="s">
        <v>28</v>
      </c>
      <c r="M88" s="1034" t="s">
        <v>28</v>
      </c>
      <c r="N88" s="1034" t="s">
        <v>28</v>
      </c>
      <c r="O88" s="1035" t="s">
        <v>28</v>
      </c>
      <c r="Q88" s="327"/>
      <c r="R88" s="109" t="s">
        <v>1267</v>
      </c>
      <c r="S88" s="109" t="s">
        <v>1268</v>
      </c>
      <c r="Y88" s="78" t="s">
        <v>1074</v>
      </c>
      <c r="Z88" s="79" t="s">
        <v>1075</v>
      </c>
      <c r="AB88" s="1183" t="s">
        <v>119</v>
      </c>
      <c r="AC88" s="1184" t="s">
        <v>1180</v>
      </c>
      <c r="AD88" s="1185">
        <v>2.1000000000000001E-2</v>
      </c>
    </row>
    <row r="89" spans="1:30" x14ac:dyDescent="0.2">
      <c r="A89" s="64" t="s">
        <v>343</v>
      </c>
      <c r="B89" s="64" t="s">
        <v>83</v>
      </c>
      <c r="C89" s="64">
        <v>3</v>
      </c>
      <c r="D89" s="1033">
        <v>1.0999999999999999E-2</v>
      </c>
      <c r="E89" s="1034">
        <v>1.0999999999999999E-2</v>
      </c>
      <c r="F89" s="1034">
        <v>1.0999999999999999E-2</v>
      </c>
      <c r="G89" s="1034">
        <v>1.0999999999999999E-2</v>
      </c>
      <c r="H89" s="1034">
        <v>1.0999999999999999E-2</v>
      </c>
      <c r="I89" s="1035">
        <v>1.0999999999999999E-2</v>
      </c>
      <c r="J89" s="1475">
        <v>1.0999999999999999E-2</v>
      </c>
      <c r="K89" s="1034">
        <v>1.0999999999999999E-2</v>
      </c>
      <c r="L89" s="1034">
        <v>1.0999999999999999E-2</v>
      </c>
      <c r="M89" s="1034">
        <v>1.0999999999999999E-2</v>
      </c>
      <c r="N89" s="1034">
        <v>1.0999999999999999E-2</v>
      </c>
      <c r="O89" s="1035">
        <v>1.0999999999999999E-2</v>
      </c>
      <c r="Q89" s="327" t="s">
        <v>1858</v>
      </c>
      <c r="R89" s="109">
        <v>1</v>
      </c>
      <c r="S89" s="109">
        <v>2</v>
      </c>
      <c r="T89" s="199"/>
      <c r="Y89" s="78" t="s">
        <v>344</v>
      </c>
      <c r="Z89" s="79" t="s">
        <v>445</v>
      </c>
      <c r="AB89" s="1183" t="s">
        <v>120</v>
      </c>
      <c r="AC89" s="1184" t="s">
        <v>418</v>
      </c>
      <c r="AD89" s="1185">
        <v>2.1000000000000001E-2</v>
      </c>
    </row>
    <row r="90" spans="1:30" ht="10.5" customHeight="1" x14ac:dyDescent="0.2">
      <c r="A90" s="64" t="s">
        <v>1077</v>
      </c>
      <c r="B90" s="64" t="s">
        <v>83</v>
      </c>
      <c r="C90" s="64">
        <v>3</v>
      </c>
      <c r="D90" s="1033" t="s">
        <v>30</v>
      </c>
      <c r="E90" s="1034" t="s">
        <v>30</v>
      </c>
      <c r="F90" s="1034" t="s">
        <v>30</v>
      </c>
      <c r="G90" s="1034" t="s">
        <v>30</v>
      </c>
      <c r="H90" s="1034" t="s">
        <v>30</v>
      </c>
      <c r="I90" s="1035" t="s">
        <v>30</v>
      </c>
      <c r="J90" s="1475" t="s">
        <v>30</v>
      </c>
      <c r="K90" s="1034" t="s">
        <v>30</v>
      </c>
      <c r="L90" s="1034" t="s">
        <v>30</v>
      </c>
      <c r="M90" s="1034" t="s">
        <v>30</v>
      </c>
      <c r="N90" s="1034" t="s">
        <v>30</v>
      </c>
      <c r="O90" s="1035" t="s">
        <v>30</v>
      </c>
      <c r="Q90" s="328" t="s">
        <v>1269</v>
      </c>
      <c r="R90" s="1241">
        <v>0.01</v>
      </c>
      <c r="S90" s="1241">
        <v>1.4999999999999999E-2</v>
      </c>
      <c r="T90" s="325"/>
      <c r="Y90" s="78" t="s">
        <v>345</v>
      </c>
      <c r="Z90" s="79" t="s">
        <v>446</v>
      </c>
      <c r="AB90" s="1183" t="s">
        <v>121</v>
      </c>
      <c r="AC90" s="1184" t="s">
        <v>1185</v>
      </c>
      <c r="AD90" s="1185">
        <v>2.1000000000000001E-2</v>
      </c>
    </row>
    <row r="91" spans="1:30" x14ac:dyDescent="0.2">
      <c r="A91" s="64" t="s">
        <v>1074</v>
      </c>
      <c r="B91" s="64" t="s">
        <v>83</v>
      </c>
      <c r="C91" s="64">
        <v>3</v>
      </c>
      <c r="D91" s="1033" t="s">
        <v>30</v>
      </c>
      <c r="E91" s="1034" t="s">
        <v>30</v>
      </c>
      <c r="F91" s="1034" t="s">
        <v>30</v>
      </c>
      <c r="G91" s="1034" t="s">
        <v>30</v>
      </c>
      <c r="H91" s="1034" t="s">
        <v>30</v>
      </c>
      <c r="I91" s="1035" t="s">
        <v>30</v>
      </c>
      <c r="J91" s="1475" t="s">
        <v>30</v>
      </c>
      <c r="K91" s="1034" t="s">
        <v>30</v>
      </c>
      <c r="L91" s="1034" t="s">
        <v>30</v>
      </c>
      <c r="M91" s="1034" t="s">
        <v>30</v>
      </c>
      <c r="N91" s="1034" t="s">
        <v>30</v>
      </c>
      <c r="O91" s="1035" t="s">
        <v>30</v>
      </c>
      <c r="Q91" s="328" t="s">
        <v>29</v>
      </c>
      <c r="R91" s="1241">
        <v>1.0999999999999999E-2</v>
      </c>
      <c r="S91" s="1241">
        <v>2.1000000000000001E-2</v>
      </c>
      <c r="T91" s="325"/>
      <c r="Y91" s="78" t="s">
        <v>346</v>
      </c>
      <c r="Z91" s="79" t="s">
        <v>1481</v>
      </c>
      <c r="AB91" s="1183" t="s">
        <v>123</v>
      </c>
      <c r="AC91" s="1184" t="s">
        <v>1190</v>
      </c>
      <c r="AD91" s="1185">
        <v>2.1000000000000001E-2</v>
      </c>
    </row>
    <row r="92" spans="1:30" x14ac:dyDescent="0.2">
      <c r="A92" s="64" t="s">
        <v>1078</v>
      </c>
      <c r="B92" s="64" t="s">
        <v>83</v>
      </c>
      <c r="C92" s="64">
        <v>3</v>
      </c>
      <c r="D92" s="1033" t="s">
        <v>30</v>
      </c>
      <c r="E92" s="1034" t="s">
        <v>30</v>
      </c>
      <c r="F92" s="1034" t="s">
        <v>30</v>
      </c>
      <c r="G92" s="1034" t="s">
        <v>30</v>
      </c>
      <c r="H92" s="1034" t="s">
        <v>30</v>
      </c>
      <c r="I92" s="1035" t="s">
        <v>30</v>
      </c>
      <c r="J92" s="1475" t="s">
        <v>30</v>
      </c>
      <c r="K92" s="1034" t="s">
        <v>30</v>
      </c>
      <c r="L92" s="1034" t="s">
        <v>30</v>
      </c>
      <c r="M92" s="1034" t="s">
        <v>30</v>
      </c>
      <c r="N92" s="1034" t="s">
        <v>30</v>
      </c>
      <c r="O92" s="1035" t="s">
        <v>30</v>
      </c>
      <c r="Q92" s="328" t="s">
        <v>1270</v>
      </c>
      <c r="R92" s="1241">
        <v>1.2E-2</v>
      </c>
      <c r="S92" s="1241">
        <v>1.2E-2</v>
      </c>
      <c r="T92" s="325"/>
      <c r="Y92" s="78" t="s">
        <v>347</v>
      </c>
      <c r="Z92" s="79" t="s">
        <v>447</v>
      </c>
      <c r="AB92" s="1183" t="s">
        <v>324</v>
      </c>
      <c r="AC92" s="1184" t="s">
        <v>424</v>
      </c>
      <c r="AD92" s="1185">
        <v>2.1000000000000001E-2</v>
      </c>
    </row>
    <row r="93" spans="1:30" x14ac:dyDescent="0.2">
      <c r="A93" s="64" t="s">
        <v>344</v>
      </c>
      <c r="B93" s="64" t="s">
        <v>28</v>
      </c>
      <c r="C93" s="64">
        <v>3</v>
      </c>
      <c r="D93" s="1033">
        <v>0.17599999999999999</v>
      </c>
      <c r="E93" s="1034">
        <v>0.158</v>
      </c>
      <c r="F93" s="1034">
        <v>0.14000000000000001</v>
      </c>
      <c r="G93" s="1034">
        <v>0.115</v>
      </c>
      <c r="H93" s="1034">
        <v>0.105</v>
      </c>
      <c r="I93" s="1035">
        <v>0.105</v>
      </c>
      <c r="J93" s="1475">
        <v>0.20599999999999999</v>
      </c>
      <c r="K93" s="1034">
        <v>0.186</v>
      </c>
      <c r="L93" s="1034">
        <v>0.17599999999999999</v>
      </c>
      <c r="M93" s="1034">
        <v>0.154</v>
      </c>
      <c r="N93" s="1034">
        <v>0.14399999999999999</v>
      </c>
      <c r="O93" s="1035">
        <v>0.14399999999999999</v>
      </c>
      <c r="Q93" s="214"/>
      <c r="Y93" s="78" t="s">
        <v>348</v>
      </c>
      <c r="Z93" s="79" t="s">
        <v>448</v>
      </c>
      <c r="AB93" s="1183" t="s">
        <v>336</v>
      </c>
      <c r="AC93" s="1184" t="s">
        <v>1189</v>
      </c>
      <c r="AD93" s="1185">
        <v>2.1000000000000001E-2</v>
      </c>
    </row>
    <row r="94" spans="1:30" x14ac:dyDescent="0.2">
      <c r="A94" s="64" t="s">
        <v>345</v>
      </c>
      <c r="B94" s="64" t="s">
        <v>28</v>
      </c>
      <c r="C94" s="64">
        <v>3</v>
      </c>
      <c r="D94" s="1033">
        <v>0.14000000000000001</v>
      </c>
      <c r="E94" s="1034">
        <v>0.126</v>
      </c>
      <c r="F94" s="1034">
        <v>0.112</v>
      </c>
      <c r="G94" s="1034">
        <v>0.09</v>
      </c>
      <c r="H94" s="1034">
        <v>8.4000000000000005E-2</v>
      </c>
      <c r="I94" s="1035">
        <v>8.4000000000000005E-2</v>
      </c>
      <c r="J94" s="1475">
        <v>0.17100000000000001</v>
      </c>
      <c r="K94" s="1034">
        <v>0.153</v>
      </c>
      <c r="L94" s="1034">
        <v>0.14399999999999999</v>
      </c>
      <c r="M94" s="1034">
        <v>0.128</v>
      </c>
      <c r="N94" s="1034">
        <v>0.11899999999999999</v>
      </c>
      <c r="O94" s="1035">
        <v>0.11899999999999999</v>
      </c>
      <c r="Q94" s="224" t="s">
        <v>1505</v>
      </c>
      <c r="Y94" s="78" t="s">
        <v>349</v>
      </c>
      <c r="Z94" s="79" t="s">
        <v>449</v>
      </c>
      <c r="AB94" s="1183" t="s">
        <v>337</v>
      </c>
      <c r="AC94" s="1184" t="s">
        <v>1182</v>
      </c>
      <c r="AD94" s="1185">
        <v>2.1000000000000001E-2</v>
      </c>
    </row>
    <row r="95" spans="1:30" x14ac:dyDescent="0.2">
      <c r="A95" s="64" t="s">
        <v>346</v>
      </c>
      <c r="B95" s="64" t="s">
        <v>28</v>
      </c>
      <c r="C95" s="64">
        <v>11</v>
      </c>
      <c r="D95" s="1033">
        <v>0.123</v>
      </c>
      <c r="E95" s="1034">
        <v>0.111</v>
      </c>
      <c r="F95" s="1034">
        <v>9.8000000000000004E-2</v>
      </c>
      <c r="G95" s="1034">
        <v>0.08</v>
      </c>
      <c r="H95" s="1034">
        <v>7.3999999999999996E-2</v>
      </c>
      <c r="I95" s="1035">
        <v>7.3999999999999996E-2</v>
      </c>
      <c r="J95" s="1475">
        <v>0.16300000000000001</v>
      </c>
      <c r="K95" s="1034">
        <v>0.14699999999999999</v>
      </c>
      <c r="L95" s="1034">
        <v>0.14000000000000001</v>
      </c>
      <c r="M95" s="1034">
        <v>0.123</v>
      </c>
      <c r="N95" s="1034">
        <v>0.115</v>
      </c>
      <c r="O95" s="1035">
        <v>0.115</v>
      </c>
      <c r="Q95" s="382" t="s">
        <v>1544</v>
      </c>
      <c r="S95" s="326"/>
      <c r="Y95" s="78" t="s">
        <v>350</v>
      </c>
      <c r="Z95" s="79" t="s">
        <v>450</v>
      </c>
      <c r="AB95" s="1183" t="s">
        <v>339</v>
      </c>
      <c r="AC95" s="1184" t="s">
        <v>1188</v>
      </c>
      <c r="AD95" s="1185">
        <v>2.1000000000000001E-2</v>
      </c>
    </row>
    <row r="96" spans="1:30" x14ac:dyDescent="0.2">
      <c r="A96" s="64" t="s">
        <v>347</v>
      </c>
      <c r="B96" s="64" t="s">
        <v>28</v>
      </c>
      <c r="C96" s="64">
        <v>4</v>
      </c>
      <c r="D96" s="1033">
        <v>0.14699999999999999</v>
      </c>
      <c r="E96" s="1034">
        <v>0.13200000000000001</v>
      </c>
      <c r="F96" s="1034">
        <v>0.11700000000000001</v>
      </c>
      <c r="G96" s="1034">
        <v>9.5000000000000001E-2</v>
      </c>
      <c r="H96" s="1034">
        <v>8.7999999999999995E-2</v>
      </c>
      <c r="I96" s="1035">
        <v>8.7999999999999995E-2</v>
      </c>
      <c r="J96" s="1475">
        <v>0.17899999999999999</v>
      </c>
      <c r="K96" s="1034">
        <v>0.161</v>
      </c>
      <c r="L96" s="1034">
        <v>0.152</v>
      </c>
      <c r="M96" s="1034">
        <v>0.13400000000000001</v>
      </c>
      <c r="N96" s="1034">
        <v>0.126</v>
      </c>
      <c r="O96" s="1035">
        <v>0.126</v>
      </c>
      <c r="Q96" s="327"/>
      <c r="R96" s="109" t="s">
        <v>1267</v>
      </c>
      <c r="S96" s="109" t="s">
        <v>1268</v>
      </c>
      <c r="Y96" s="78" t="s">
        <v>351</v>
      </c>
      <c r="Z96" s="79" t="s">
        <v>451</v>
      </c>
      <c r="AB96" s="1183" t="s">
        <v>340</v>
      </c>
      <c r="AC96" s="1184" t="s">
        <v>441</v>
      </c>
      <c r="AD96" s="1185">
        <v>2.1000000000000001E-2</v>
      </c>
    </row>
    <row r="97" spans="1:30" x14ac:dyDescent="0.2">
      <c r="A97" s="64" t="s">
        <v>348</v>
      </c>
      <c r="B97" s="64" t="s">
        <v>28</v>
      </c>
      <c r="C97" s="64">
        <v>5</v>
      </c>
      <c r="D97" s="1033">
        <v>0.127</v>
      </c>
      <c r="E97" s="1034">
        <v>0.115</v>
      </c>
      <c r="F97" s="1034">
        <v>0.10100000000000001</v>
      </c>
      <c r="G97" s="1034">
        <v>8.3000000000000004E-2</v>
      </c>
      <c r="H97" s="1034">
        <v>7.5999999999999998E-2</v>
      </c>
      <c r="I97" s="1035">
        <v>7.5999999999999998E-2</v>
      </c>
      <c r="J97" s="1475">
        <v>0.17299999999999999</v>
      </c>
      <c r="K97" s="1034">
        <v>0.156</v>
      </c>
      <c r="L97" s="1034">
        <v>0.14699999999999999</v>
      </c>
      <c r="M97" s="1034">
        <v>0.129</v>
      </c>
      <c r="N97" s="1034">
        <v>0.121</v>
      </c>
      <c r="O97" s="1035">
        <v>0.121</v>
      </c>
      <c r="Q97" s="327" t="s">
        <v>1858</v>
      </c>
      <c r="R97" s="109">
        <v>1</v>
      </c>
      <c r="S97" s="109">
        <v>2</v>
      </c>
      <c r="Y97" s="78" t="s">
        <v>352</v>
      </c>
      <c r="Z97" s="79" t="s">
        <v>740</v>
      </c>
      <c r="AB97" s="1183" t="s">
        <v>342</v>
      </c>
      <c r="AC97" s="1184" t="s">
        <v>1179</v>
      </c>
      <c r="AD97" s="1185">
        <v>0.01</v>
      </c>
    </row>
    <row r="98" spans="1:30" x14ac:dyDescent="0.2">
      <c r="A98" s="64" t="s">
        <v>349</v>
      </c>
      <c r="B98" s="64" t="s">
        <v>28</v>
      </c>
      <c r="C98" s="64">
        <v>9</v>
      </c>
      <c r="D98" s="1033">
        <v>0.379</v>
      </c>
      <c r="E98" s="1034">
        <v>0.34200000000000003</v>
      </c>
      <c r="F98" s="1034">
        <v>0.30399999999999999</v>
      </c>
      <c r="G98" s="1034">
        <v>0.246</v>
      </c>
      <c r="H98" s="1034">
        <v>0.22700000000000001</v>
      </c>
      <c r="I98" s="1035">
        <v>0.22700000000000001</v>
      </c>
      <c r="J98" s="1475">
        <v>0.46100000000000002</v>
      </c>
      <c r="K98" s="1034">
        <v>0.41599999999999998</v>
      </c>
      <c r="L98" s="1034">
        <v>0.39200000000000002</v>
      </c>
      <c r="M98" s="1034">
        <v>0.34599999999999997</v>
      </c>
      <c r="N98" s="1034">
        <v>0.32300000000000001</v>
      </c>
      <c r="O98" s="1035">
        <v>0.32300000000000001</v>
      </c>
      <c r="Q98" s="328" t="s">
        <v>1271</v>
      </c>
      <c r="R98" s="1045">
        <v>7.0000000000000001E-3</v>
      </c>
      <c r="S98" s="1045">
        <v>1.0999999999999999E-2</v>
      </c>
      <c r="Y98" s="78" t="s">
        <v>353</v>
      </c>
      <c r="Z98" s="79" t="s">
        <v>792</v>
      </c>
      <c r="AB98" s="1183" t="s">
        <v>343</v>
      </c>
      <c r="AC98" s="1184" t="s">
        <v>1186</v>
      </c>
      <c r="AD98" s="1185">
        <v>2.1000000000000001E-2</v>
      </c>
    </row>
    <row r="99" spans="1:30" x14ac:dyDescent="0.2">
      <c r="A99" s="64" t="s">
        <v>350</v>
      </c>
      <c r="B99" s="64" t="s">
        <v>28</v>
      </c>
      <c r="C99" s="64">
        <v>10</v>
      </c>
      <c r="D99" s="1033">
        <v>0.22600000000000001</v>
      </c>
      <c r="E99" s="1034">
        <v>0.20399999999999999</v>
      </c>
      <c r="F99" s="1034">
        <v>0.18099999999999999</v>
      </c>
      <c r="G99" s="1034">
        <v>0.14699999999999999</v>
      </c>
      <c r="H99" s="1034">
        <v>0.13600000000000001</v>
      </c>
      <c r="I99" s="1035">
        <v>0.13600000000000001</v>
      </c>
      <c r="J99" s="1475">
        <v>0.28599999999999998</v>
      </c>
      <c r="K99" s="1034">
        <v>0.25700000000000001</v>
      </c>
      <c r="L99" s="1034">
        <v>0.24299999999999999</v>
      </c>
      <c r="M99" s="1034">
        <v>0.215</v>
      </c>
      <c r="N99" s="1034">
        <v>0.20100000000000001</v>
      </c>
      <c r="O99" s="1035">
        <v>0.20100000000000001</v>
      </c>
      <c r="Q99" s="328" t="s">
        <v>1268</v>
      </c>
      <c r="R99" s="1045">
        <v>1.2E-2</v>
      </c>
      <c r="S99" s="1045">
        <v>2.3E-2</v>
      </c>
      <c r="Y99" s="78" t="s">
        <v>354</v>
      </c>
      <c r="Z99" s="79" t="s">
        <v>793</v>
      </c>
      <c r="AB99" s="1183" t="s">
        <v>1077</v>
      </c>
      <c r="AC99" s="1184" t="s">
        <v>1081</v>
      </c>
      <c r="AD99" s="1185">
        <v>0.379</v>
      </c>
    </row>
    <row r="100" spans="1:30" x14ac:dyDescent="0.2">
      <c r="A100" s="64" t="s">
        <v>351</v>
      </c>
      <c r="B100" s="64" t="s">
        <v>28</v>
      </c>
      <c r="C100" s="64">
        <v>9</v>
      </c>
      <c r="D100" s="1033">
        <v>0.185</v>
      </c>
      <c r="E100" s="1034">
        <v>0.16600000000000001</v>
      </c>
      <c r="F100" s="1034">
        <v>0.14799999999999999</v>
      </c>
      <c r="G100" s="1034">
        <v>0.121</v>
      </c>
      <c r="H100" s="1034">
        <v>0.111</v>
      </c>
      <c r="I100" s="1035">
        <v>0.111</v>
      </c>
      <c r="J100" s="1475">
        <v>0.28199999999999997</v>
      </c>
      <c r="K100" s="1034">
        <v>0.253</v>
      </c>
      <c r="L100" s="1034">
        <v>0.23899999999999999</v>
      </c>
      <c r="M100" s="1034">
        <v>0.21099999999999999</v>
      </c>
      <c r="N100" s="1034">
        <v>0.19700000000000001</v>
      </c>
      <c r="O100" s="1035">
        <v>0.19700000000000001</v>
      </c>
      <c r="Q100" s="323"/>
      <c r="R100" s="324"/>
      <c r="S100" s="324"/>
      <c r="Y100" s="78" t="s">
        <v>355</v>
      </c>
      <c r="Z100" s="79" t="s">
        <v>794</v>
      </c>
      <c r="AB100" s="1183" t="s">
        <v>1074</v>
      </c>
      <c r="AC100" s="1184" t="s">
        <v>1187</v>
      </c>
      <c r="AD100" s="1185">
        <v>1.6E-2</v>
      </c>
    </row>
    <row r="101" spans="1:30" x14ac:dyDescent="0.2">
      <c r="A101" s="64" t="s">
        <v>352</v>
      </c>
      <c r="B101" s="64" t="s">
        <v>28</v>
      </c>
      <c r="C101" s="64">
        <v>3</v>
      </c>
      <c r="D101" s="1033">
        <v>0.11799999999999999</v>
      </c>
      <c r="E101" s="1034">
        <v>0.107</v>
      </c>
      <c r="F101" s="1034">
        <v>9.5000000000000001E-2</v>
      </c>
      <c r="G101" s="1034">
        <v>7.5999999999999998E-2</v>
      </c>
      <c r="H101" s="1034">
        <v>7.1999999999999995E-2</v>
      </c>
      <c r="I101" s="1035">
        <v>7.1999999999999995E-2</v>
      </c>
      <c r="J101" s="1475">
        <v>0.154</v>
      </c>
      <c r="K101" s="1034">
        <v>0.14000000000000001</v>
      </c>
      <c r="L101" s="1034">
        <v>0.13200000000000001</v>
      </c>
      <c r="M101" s="1034">
        <v>0.11700000000000001</v>
      </c>
      <c r="N101" s="1034">
        <v>0.108</v>
      </c>
      <c r="O101" s="1035">
        <v>0.108</v>
      </c>
      <c r="Y101" s="78" t="s">
        <v>356</v>
      </c>
      <c r="Z101" s="79" t="s">
        <v>795</v>
      </c>
      <c r="AB101" s="1183" t="s">
        <v>350</v>
      </c>
      <c r="AC101" s="1184" t="s">
        <v>1181</v>
      </c>
      <c r="AD101" s="1185">
        <v>2.1000000000000001E-2</v>
      </c>
    </row>
    <row r="102" spans="1:30" x14ac:dyDescent="0.2">
      <c r="A102" s="64" t="s">
        <v>353</v>
      </c>
      <c r="B102" s="64" t="s">
        <v>28</v>
      </c>
      <c r="C102" s="64">
        <v>3</v>
      </c>
      <c r="D102" s="1033">
        <v>0.112</v>
      </c>
      <c r="E102" s="1034">
        <v>0.10100000000000001</v>
      </c>
      <c r="F102" s="1034">
        <v>8.8999999999999996E-2</v>
      </c>
      <c r="G102" s="1034">
        <v>7.2999999999999995E-2</v>
      </c>
      <c r="H102" s="1034">
        <v>6.6000000000000003E-2</v>
      </c>
      <c r="I102" s="1035">
        <v>6.6000000000000003E-2</v>
      </c>
      <c r="J102" s="1475">
        <v>0.111</v>
      </c>
      <c r="K102" s="1034">
        <v>9.9000000000000005E-2</v>
      </c>
      <c r="L102" s="1034">
        <v>9.4E-2</v>
      </c>
      <c r="M102" s="1034">
        <v>8.3000000000000004E-2</v>
      </c>
      <c r="N102" s="1034">
        <v>7.5999999999999998E-2</v>
      </c>
      <c r="O102" s="1035">
        <v>7.5999999999999998E-2</v>
      </c>
      <c r="Y102" s="78" t="s">
        <v>357</v>
      </c>
      <c r="Z102" s="79" t="s">
        <v>796</v>
      </c>
      <c r="AB102" s="1183" t="s">
        <v>1009</v>
      </c>
      <c r="AC102" s="1184" t="s">
        <v>1192</v>
      </c>
      <c r="AD102" s="1185">
        <v>6.0000000000000001E-3</v>
      </c>
    </row>
    <row r="103" spans="1:30" x14ac:dyDescent="0.2">
      <c r="A103" s="64" t="s">
        <v>354</v>
      </c>
      <c r="B103" s="64" t="s">
        <v>83</v>
      </c>
      <c r="C103" s="64">
        <v>9</v>
      </c>
      <c r="D103" s="1033">
        <v>0.17199999999999999</v>
      </c>
      <c r="E103" s="1034">
        <v>0.155</v>
      </c>
      <c r="F103" s="1034">
        <v>0.13800000000000001</v>
      </c>
      <c r="G103" s="1034">
        <v>0.112</v>
      </c>
      <c r="H103" s="1034">
        <v>0.10299999999999999</v>
      </c>
      <c r="I103" s="1035">
        <v>0.10299999999999999</v>
      </c>
      <c r="J103" s="1475">
        <v>0.20499999999999999</v>
      </c>
      <c r="K103" s="1034">
        <v>0.185</v>
      </c>
      <c r="L103" s="1034">
        <v>0.17299999999999999</v>
      </c>
      <c r="M103" s="1034">
        <v>0.153</v>
      </c>
      <c r="N103" s="1034">
        <v>0.14399999999999999</v>
      </c>
      <c r="O103" s="1035">
        <v>0.14399999999999999</v>
      </c>
      <c r="Y103" s="78" t="s">
        <v>358</v>
      </c>
      <c r="Z103" s="79" t="s">
        <v>797</v>
      </c>
    </row>
    <row r="104" spans="1:30" x14ac:dyDescent="0.2">
      <c r="A104" s="64" t="s">
        <v>355</v>
      </c>
      <c r="B104" s="64" t="s">
        <v>83</v>
      </c>
      <c r="C104" s="64">
        <v>9</v>
      </c>
      <c r="D104" s="1033">
        <v>0.111</v>
      </c>
      <c r="E104" s="1034">
        <v>0.1</v>
      </c>
      <c r="F104" s="1034">
        <v>8.8999999999999996E-2</v>
      </c>
      <c r="G104" s="1034">
        <v>7.1999999999999995E-2</v>
      </c>
      <c r="H104" s="1034">
        <v>6.7000000000000004E-2</v>
      </c>
      <c r="I104" s="1035">
        <v>6.7000000000000004E-2</v>
      </c>
      <c r="J104" s="1475">
        <v>0.13100000000000001</v>
      </c>
      <c r="K104" s="1034">
        <v>0.11799999999999999</v>
      </c>
      <c r="L104" s="1034">
        <v>0.111</v>
      </c>
      <c r="M104" s="1034">
        <v>9.8000000000000004E-2</v>
      </c>
      <c r="N104" s="1034">
        <v>9.2999999999999999E-2</v>
      </c>
      <c r="O104" s="1035">
        <v>9.2999999999999999E-2</v>
      </c>
      <c r="Y104" s="78" t="s">
        <v>359</v>
      </c>
      <c r="Z104" s="79" t="s">
        <v>798</v>
      </c>
    </row>
    <row r="105" spans="1:30" x14ac:dyDescent="0.2">
      <c r="A105" s="64" t="s">
        <v>356</v>
      </c>
      <c r="B105" s="64" t="s">
        <v>83</v>
      </c>
      <c r="C105" s="64">
        <v>9</v>
      </c>
      <c r="D105" s="1033">
        <v>7.1999999999999995E-2</v>
      </c>
      <c r="E105" s="1034">
        <v>6.4000000000000001E-2</v>
      </c>
      <c r="F105" s="1034">
        <v>5.7000000000000002E-2</v>
      </c>
      <c r="G105" s="1034">
        <v>4.5999999999999999E-2</v>
      </c>
      <c r="H105" s="1034">
        <v>4.2000000000000003E-2</v>
      </c>
      <c r="I105" s="1035">
        <v>4.2000000000000003E-2</v>
      </c>
      <c r="J105" s="1475">
        <v>9.2999999999999999E-2</v>
      </c>
      <c r="K105" s="1034">
        <v>8.3000000000000004E-2</v>
      </c>
      <c r="L105" s="1034">
        <v>0.08</v>
      </c>
      <c r="M105" s="1034">
        <v>7.0000000000000007E-2</v>
      </c>
      <c r="N105" s="1034">
        <v>6.4000000000000001E-2</v>
      </c>
      <c r="O105" s="1035">
        <v>6.4000000000000001E-2</v>
      </c>
    </row>
    <row r="106" spans="1:30" x14ac:dyDescent="0.2">
      <c r="A106" s="64" t="s">
        <v>357</v>
      </c>
      <c r="B106" s="64" t="s">
        <v>83</v>
      </c>
      <c r="C106" s="64">
        <v>9</v>
      </c>
      <c r="D106" s="1033">
        <v>0.45</v>
      </c>
      <c r="E106" s="1034">
        <v>0.40699999999999997</v>
      </c>
      <c r="F106" s="1034">
        <v>0.36499999999999999</v>
      </c>
      <c r="G106" s="1034">
        <v>0.29499999999999998</v>
      </c>
      <c r="H106" s="1034">
        <v>0.27300000000000002</v>
      </c>
      <c r="I106" s="1035">
        <v>0.27300000000000002</v>
      </c>
      <c r="J106" s="1475">
        <v>0.59399999999999997</v>
      </c>
      <c r="K106" s="1034">
        <v>0.53600000000000003</v>
      </c>
      <c r="L106" s="1034">
        <v>0.503</v>
      </c>
      <c r="M106" s="1034">
        <v>0.44500000000000001</v>
      </c>
      <c r="N106" s="1034">
        <v>0.41799999999999998</v>
      </c>
      <c r="O106" s="1035">
        <v>0.41799999999999998</v>
      </c>
    </row>
    <row r="107" spans="1:30" x14ac:dyDescent="0.2">
      <c r="A107" s="64" t="s">
        <v>358</v>
      </c>
      <c r="B107" s="64" t="s">
        <v>83</v>
      </c>
      <c r="C107" s="64">
        <v>9</v>
      </c>
      <c r="D107" s="1033">
        <v>0.10299999999999999</v>
      </c>
      <c r="E107" s="1034">
        <v>9.2999999999999999E-2</v>
      </c>
      <c r="F107" s="1034">
        <v>8.3000000000000004E-2</v>
      </c>
      <c r="G107" s="1034">
        <v>6.7000000000000004E-2</v>
      </c>
      <c r="H107" s="1034">
        <v>6.0999999999999999E-2</v>
      </c>
      <c r="I107" s="1035">
        <v>6.0999999999999999E-2</v>
      </c>
      <c r="J107" s="1475">
        <v>0.12</v>
      </c>
      <c r="K107" s="1034">
        <v>0.107</v>
      </c>
      <c r="L107" s="1034">
        <v>0.10199999999999999</v>
      </c>
      <c r="M107" s="1034">
        <v>8.8999999999999996E-2</v>
      </c>
      <c r="N107" s="1034">
        <v>8.4000000000000005E-2</v>
      </c>
      <c r="O107" s="1035">
        <v>8.4000000000000005E-2</v>
      </c>
    </row>
    <row r="108" spans="1:30" ht="13.5" thickBot="1" x14ac:dyDescent="0.25">
      <c r="A108" s="74" t="s">
        <v>359</v>
      </c>
      <c r="B108" s="270" t="s">
        <v>83</v>
      </c>
      <c r="C108" s="74">
        <v>11</v>
      </c>
      <c r="D108" s="1137">
        <v>7.9000000000000001E-2</v>
      </c>
      <c r="E108" s="1138">
        <v>7.0999999999999994E-2</v>
      </c>
      <c r="F108" s="1138">
        <v>6.3E-2</v>
      </c>
      <c r="G108" s="1138">
        <v>5.0999999999999997E-2</v>
      </c>
      <c r="H108" s="1138">
        <v>4.8000000000000001E-2</v>
      </c>
      <c r="I108" s="1139">
        <v>4.8000000000000001E-2</v>
      </c>
      <c r="J108" s="1476">
        <v>9.6000000000000002E-2</v>
      </c>
      <c r="K108" s="1138">
        <v>8.6999999999999994E-2</v>
      </c>
      <c r="L108" s="1138">
        <v>8.1000000000000003E-2</v>
      </c>
      <c r="M108" s="1138">
        <v>7.1999999999999995E-2</v>
      </c>
      <c r="N108" s="1138">
        <v>6.8000000000000005E-2</v>
      </c>
      <c r="O108" s="1139">
        <v>6.8000000000000005E-2</v>
      </c>
    </row>
    <row r="110" spans="1:30" x14ac:dyDescent="0.2">
      <c r="A110" s="220" t="s">
        <v>1093</v>
      </c>
      <c r="B110" s="220"/>
      <c r="C110" s="220"/>
    </row>
    <row r="111" spans="1:30" x14ac:dyDescent="0.2">
      <c r="A111" s="215" t="s">
        <v>82</v>
      </c>
      <c r="B111" s="117" t="s">
        <v>1094</v>
      </c>
      <c r="C111" s="117"/>
      <c r="D111" s="117"/>
    </row>
    <row r="112" spans="1:30" x14ac:dyDescent="0.2">
      <c r="A112" s="215" t="s">
        <v>30</v>
      </c>
      <c r="B112" s="117" t="s">
        <v>1095</v>
      </c>
      <c r="C112" s="117"/>
      <c r="D112" s="117"/>
    </row>
    <row r="113" spans="1:4" x14ac:dyDescent="0.2">
      <c r="A113" s="215" t="s">
        <v>28</v>
      </c>
      <c r="B113" s="117" t="s">
        <v>1273</v>
      </c>
      <c r="C113" s="117"/>
      <c r="D113" s="117"/>
    </row>
  </sheetData>
  <mergeCells count="11">
    <mergeCell ref="AM42:AN42"/>
    <mergeCell ref="D3:I3"/>
    <mergeCell ref="AD3:AF3"/>
    <mergeCell ref="AL28:AN28"/>
    <mergeCell ref="AG4:AH4"/>
    <mergeCell ref="J3:O3"/>
    <mergeCell ref="BF3:BK3"/>
    <mergeCell ref="AU4:AZ4"/>
    <mergeCell ref="BF4:BK4"/>
    <mergeCell ref="AM10:AN10"/>
    <mergeCell ref="AU3:AZ3"/>
  </mergeCells>
  <phoneticPr fontId="2" type="noConversion"/>
  <printOptions horizontalCentered="1"/>
  <pageMargins left="0.25" right="0.25" top="0.5" bottom="0.5" header="0.25" footer="0.25"/>
  <pageSetup scale="13" orientation="portrait" r:id="rId1"/>
  <headerFooter alignWithMargins="0">
    <oddHeader>&amp;R&amp;8&amp;F</oddHeader>
    <oddFooter>&amp;L&amp;"Arial,Bold"&amp;8Printed: &amp;"Arial,Regular"&amp;D, &amp;T&amp;C&amp;8&amp;A&amp;R&amp;8&amp;P / &amp;N</oddFooter>
  </headerFooter>
  <rowBreaks count="1" manualBreakCount="1">
    <brk id="52" max="16383" man="1"/>
  </rowBreaks>
  <colBreaks count="6" manualBreakCount="6">
    <brk id="15" max="1048575" man="1"/>
    <brk id="24" max="107" man="1"/>
    <brk id="26" max="1048575" man="1"/>
    <brk id="34" max="1048575" man="1"/>
    <brk id="45" max="107" man="1"/>
    <brk id="55" max="107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255"/>
  <sheetViews>
    <sheetView zoomScaleNormal="100" workbookViewId="0">
      <selection activeCell="B57" sqref="B57"/>
    </sheetView>
  </sheetViews>
  <sheetFormatPr defaultRowHeight="12.75" x14ac:dyDescent="0.2"/>
  <cols>
    <col min="1" max="1" width="10.85546875" customWidth="1"/>
    <col min="2" max="2" width="23.140625" customWidth="1"/>
    <col min="3" max="3" width="11.28515625" customWidth="1"/>
    <col min="5" max="5" width="39" customWidth="1"/>
    <col min="6" max="6" width="11.7109375" style="21" customWidth="1"/>
    <col min="8" max="8" width="9.140625" style="21"/>
    <col min="10" max="10" width="10.140625" customWidth="1"/>
    <col min="11" max="11" width="9.42578125" customWidth="1"/>
    <col min="12" max="12" width="12.140625" customWidth="1"/>
    <col min="22" max="22" width="10.140625" customWidth="1"/>
    <col min="28" max="28" width="9.140625" style="102"/>
    <col min="29" max="29" width="11.28515625" customWidth="1"/>
    <col min="30" max="30" width="10" customWidth="1"/>
    <col min="31" max="31" width="40.7109375" style="654" customWidth="1"/>
  </cols>
  <sheetData>
    <row r="1" spans="1:31" x14ac:dyDescent="0.2">
      <c r="A1" s="656" t="s">
        <v>2065</v>
      </c>
      <c r="E1" s="5" t="s">
        <v>591</v>
      </c>
      <c r="H1" s="610" t="s">
        <v>1967</v>
      </c>
      <c r="Q1" s="246" t="s">
        <v>1136</v>
      </c>
      <c r="AB1" s="246" t="s">
        <v>567</v>
      </c>
      <c r="AC1" s="655"/>
      <c r="AD1" s="229"/>
      <c r="AE1" s="229"/>
    </row>
    <row r="2" spans="1:31" ht="13.5" thickBot="1" x14ac:dyDescent="0.25">
      <c r="A2" s="170" t="s">
        <v>568</v>
      </c>
      <c r="F2" s="206" t="s">
        <v>1371</v>
      </c>
      <c r="O2" s="206" t="s">
        <v>1374</v>
      </c>
      <c r="Z2" s="206" t="s">
        <v>1375</v>
      </c>
      <c r="AB2" s="657"/>
      <c r="AC2" s="655"/>
      <c r="AD2" s="229"/>
      <c r="AE2" s="206" t="s">
        <v>1376</v>
      </c>
    </row>
    <row r="3" spans="1:31" ht="12.75" customHeight="1" x14ac:dyDescent="0.2">
      <c r="A3" s="377" t="s">
        <v>1763</v>
      </c>
      <c r="C3" s="206"/>
      <c r="E3" s="663" t="s">
        <v>293</v>
      </c>
      <c r="F3" s="241" t="s">
        <v>294</v>
      </c>
      <c r="H3" s="611"/>
      <c r="I3" s="775" t="s">
        <v>453</v>
      </c>
      <c r="J3" s="612" t="s">
        <v>454</v>
      </c>
      <c r="K3" s="613" t="s">
        <v>453</v>
      </c>
      <c r="L3" s="1584" t="s">
        <v>1901</v>
      </c>
      <c r="M3" s="1585"/>
      <c r="N3" s="1585"/>
      <c r="O3" s="1586"/>
      <c r="Q3" s="584" t="s">
        <v>1680</v>
      </c>
      <c r="R3" s="598" t="s">
        <v>1269</v>
      </c>
      <c r="S3" s="363" t="s">
        <v>471</v>
      </c>
      <c r="T3" s="1552" t="s">
        <v>452</v>
      </c>
      <c r="U3" s="1552"/>
      <c r="V3" s="1552"/>
      <c r="W3" s="1552"/>
      <c r="X3" s="1552"/>
      <c r="Y3" s="1552"/>
      <c r="Z3" s="1548"/>
      <c r="AB3" s="660" t="s">
        <v>1279</v>
      </c>
      <c r="AC3" s="660" t="s">
        <v>565</v>
      </c>
      <c r="AD3" s="660" t="s">
        <v>566</v>
      </c>
      <c r="AE3" s="241" t="s">
        <v>517</v>
      </c>
    </row>
    <row r="4" spans="1:31" ht="13.5" thickBot="1" x14ac:dyDescent="0.25">
      <c r="A4" s="666" t="s">
        <v>19</v>
      </c>
      <c r="B4" s="419" t="s">
        <v>1858</v>
      </c>
      <c r="C4" s="667"/>
      <c r="E4" s="659" t="s">
        <v>592</v>
      </c>
      <c r="F4" s="37">
        <v>2</v>
      </c>
      <c r="H4" s="616"/>
      <c r="I4" s="776" t="s">
        <v>19</v>
      </c>
      <c r="J4" s="617" t="s">
        <v>1902</v>
      </c>
      <c r="K4" s="618" t="s">
        <v>28</v>
      </c>
      <c r="L4" s="461">
        <v>1</v>
      </c>
      <c r="M4" s="619">
        <v>2</v>
      </c>
      <c r="N4" s="619">
        <v>3</v>
      </c>
      <c r="O4" s="620">
        <v>4</v>
      </c>
      <c r="Q4" s="638" t="s">
        <v>455</v>
      </c>
      <c r="R4" s="614" t="s">
        <v>456</v>
      </c>
      <c r="S4" s="623" t="s">
        <v>19</v>
      </c>
      <c r="T4" s="615">
        <v>10</v>
      </c>
      <c r="U4" s="615">
        <v>15</v>
      </c>
      <c r="V4" s="615">
        <v>20</v>
      </c>
      <c r="W4" s="615">
        <v>25</v>
      </c>
      <c r="X4" s="615">
        <v>30</v>
      </c>
      <c r="Y4" s="615">
        <v>35</v>
      </c>
      <c r="Z4" s="625">
        <v>40</v>
      </c>
      <c r="AB4" s="658">
        <v>1</v>
      </c>
      <c r="AC4" s="38" t="s">
        <v>27</v>
      </c>
      <c r="AD4" s="38">
        <v>10</v>
      </c>
      <c r="AE4" s="659" t="s">
        <v>518</v>
      </c>
    </row>
    <row r="5" spans="1:31" ht="12.75" customHeight="1" x14ac:dyDescent="0.2">
      <c r="A5" s="665" t="s">
        <v>20</v>
      </c>
      <c r="B5" s="431" t="s">
        <v>569</v>
      </c>
      <c r="C5" s="664"/>
      <c r="E5" s="659" t="s">
        <v>593</v>
      </c>
      <c r="F5" s="37">
        <v>1</v>
      </c>
      <c r="H5" s="1587" t="s">
        <v>2238</v>
      </c>
      <c r="I5" s="777" t="s">
        <v>472</v>
      </c>
      <c r="J5" s="1397">
        <v>0.05</v>
      </c>
      <c r="K5" s="1398">
        <v>2E-3</v>
      </c>
      <c r="L5" s="1399">
        <v>6.0000000000000001E-3</v>
      </c>
      <c r="M5" s="1400">
        <v>2E-3</v>
      </c>
      <c r="N5" s="1400">
        <v>2E-3</v>
      </c>
      <c r="O5" s="1401">
        <v>1E-3</v>
      </c>
      <c r="Q5" s="639">
        <v>1</v>
      </c>
      <c r="R5" s="645" t="s">
        <v>20</v>
      </c>
      <c r="S5" s="651" t="s">
        <v>472</v>
      </c>
      <c r="T5" s="648">
        <v>0.9</v>
      </c>
      <c r="U5" s="42">
        <v>0.8</v>
      </c>
      <c r="V5" s="42">
        <v>0.7</v>
      </c>
      <c r="W5" s="42">
        <v>0.6</v>
      </c>
      <c r="X5" s="42">
        <v>0.5</v>
      </c>
      <c r="Y5" s="42">
        <v>0.45</v>
      </c>
      <c r="Z5" s="640">
        <v>0.4</v>
      </c>
      <c r="AB5" s="658">
        <v>2</v>
      </c>
      <c r="AC5" s="38" t="s">
        <v>27</v>
      </c>
      <c r="AD5" s="38">
        <v>10</v>
      </c>
      <c r="AE5" s="659" t="s">
        <v>519</v>
      </c>
    </row>
    <row r="6" spans="1:31" ht="12.75" customHeight="1" x14ac:dyDescent="0.2">
      <c r="A6" s="665" t="s">
        <v>457</v>
      </c>
      <c r="B6" s="431" t="s">
        <v>570</v>
      </c>
      <c r="C6" s="664"/>
      <c r="E6" s="659" t="s">
        <v>129</v>
      </c>
      <c r="F6" s="37">
        <v>3</v>
      </c>
      <c r="H6" s="1588"/>
      <c r="I6" s="38" t="s">
        <v>473</v>
      </c>
      <c r="J6" s="1402">
        <v>0.05</v>
      </c>
      <c r="K6" s="1403">
        <v>2E-3</v>
      </c>
      <c r="L6" s="1404">
        <v>6.0000000000000001E-3</v>
      </c>
      <c r="M6" s="1405">
        <v>2E-3</v>
      </c>
      <c r="N6" s="1405">
        <v>2E-3</v>
      </c>
      <c r="O6" s="1406">
        <v>1E-3</v>
      </c>
      <c r="Q6" s="639">
        <v>1</v>
      </c>
      <c r="R6" s="645" t="s">
        <v>457</v>
      </c>
      <c r="S6" s="651" t="s">
        <v>473</v>
      </c>
      <c r="T6" s="648">
        <v>0.9</v>
      </c>
      <c r="U6" s="42">
        <v>0.8</v>
      </c>
      <c r="V6" s="42">
        <v>0.7</v>
      </c>
      <c r="W6" s="42">
        <v>0.6</v>
      </c>
      <c r="X6" s="42">
        <v>0.5</v>
      </c>
      <c r="Y6" s="42">
        <v>0.45</v>
      </c>
      <c r="Z6" s="640">
        <v>0.4</v>
      </c>
      <c r="AB6" s="658">
        <v>3</v>
      </c>
      <c r="AC6" s="38" t="s">
        <v>22</v>
      </c>
      <c r="AD6" s="38">
        <v>5</v>
      </c>
      <c r="AE6" s="416" t="s">
        <v>520</v>
      </c>
    </row>
    <row r="7" spans="1:31" ht="12.75" customHeight="1" x14ac:dyDescent="0.2">
      <c r="A7" s="665" t="s">
        <v>460</v>
      </c>
      <c r="B7" s="431" t="s">
        <v>571</v>
      </c>
      <c r="C7" s="664"/>
      <c r="E7" s="659" t="s">
        <v>130</v>
      </c>
      <c r="F7" s="37">
        <v>2</v>
      </c>
      <c r="H7" s="1588"/>
      <c r="I7" s="778" t="s">
        <v>478</v>
      </c>
      <c r="J7" s="1407">
        <v>0.05</v>
      </c>
      <c r="K7" s="1408">
        <v>2E-3</v>
      </c>
      <c r="L7" s="1409">
        <v>7.0000000000000001E-3</v>
      </c>
      <c r="M7" s="1410">
        <v>3.0000000000000001E-3</v>
      </c>
      <c r="N7" s="1410">
        <v>2E-3</v>
      </c>
      <c r="O7" s="1411">
        <v>1E-3</v>
      </c>
      <c r="Q7" s="639">
        <v>1</v>
      </c>
      <c r="R7" s="645" t="s">
        <v>22</v>
      </c>
      <c r="S7" s="651" t="s">
        <v>474</v>
      </c>
      <c r="T7" s="648">
        <v>0.9</v>
      </c>
      <c r="U7" s="42">
        <v>0.8</v>
      </c>
      <c r="V7" s="42">
        <v>0.7</v>
      </c>
      <c r="W7" s="42">
        <v>0.6</v>
      </c>
      <c r="X7" s="42">
        <v>0.5</v>
      </c>
      <c r="Y7" s="42">
        <v>0.45</v>
      </c>
      <c r="Z7" s="640">
        <v>0.4</v>
      </c>
      <c r="AB7" s="658">
        <v>4</v>
      </c>
      <c r="AC7" s="38" t="s">
        <v>457</v>
      </c>
      <c r="AD7" s="38">
        <v>5</v>
      </c>
      <c r="AE7" s="659" t="s">
        <v>538</v>
      </c>
    </row>
    <row r="8" spans="1:31" ht="12.75" customHeight="1" x14ac:dyDescent="0.2">
      <c r="A8" s="665" t="s">
        <v>21</v>
      </c>
      <c r="B8" s="431" t="s">
        <v>572</v>
      </c>
      <c r="C8" s="664"/>
      <c r="E8" s="659" t="s">
        <v>594</v>
      </c>
      <c r="F8" s="37">
        <v>1</v>
      </c>
      <c r="H8" s="1588"/>
      <c r="I8" s="38" t="s">
        <v>479</v>
      </c>
      <c r="J8" s="1402">
        <v>0.05</v>
      </c>
      <c r="K8" s="1403">
        <v>2E-3</v>
      </c>
      <c r="L8" s="1404">
        <v>7.0000000000000001E-3</v>
      </c>
      <c r="M8" s="1405">
        <v>3.0000000000000001E-3</v>
      </c>
      <c r="N8" s="1405">
        <v>2E-3</v>
      </c>
      <c r="O8" s="1406">
        <v>1E-3</v>
      </c>
      <c r="Q8" s="639">
        <v>1</v>
      </c>
      <c r="R8" s="645" t="s">
        <v>458</v>
      </c>
      <c r="S8" s="651" t="s">
        <v>475</v>
      </c>
      <c r="T8" s="648">
        <v>0.85</v>
      </c>
      <c r="U8" s="42">
        <v>0.75</v>
      </c>
      <c r="V8" s="42">
        <v>0.65</v>
      </c>
      <c r="W8" s="42">
        <v>0.55000000000000004</v>
      </c>
      <c r="X8" s="42">
        <v>0.5</v>
      </c>
      <c r="Y8" s="42">
        <v>0.4</v>
      </c>
      <c r="Z8" s="640">
        <v>0.35</v>
      </c>
      <c r="AB8" s="658" t="s">
        <v>459</v>
      </c>
      <c r="AC8" s="38" t="s">
        <v>22</v>
      </c>
      <c r="AD8" s="38">
        <v>5</v>
      </c>
      <c r="AE8" s="659" t="s">
        <v>524</v>
      </c>
    </row>
    <row r="9" spans="1:31" ht="12.75" customHeight="1" x14ac:dyDescent="0.2">
      <c r="A9" s="665" t="s">
        <v>458</v>
      </c>
      <c r="B9" s="431" t="s">
        <v>573</v>
      </c>
      <c r="C9" s="664"/>
      <c r="E9" s="659" t="s">
        <v>595</v>
      </c>
      <c r="F9" s="37">
        <v>1</v>
      </c>
      <c r="H9" s="1588"/>
      <c r="I9" s="778" t="s">
        <v>475</v>
      </c>
      <c r="J9" s="1407">
        <v>0.05</v>
      </c>
      <c r="K9" s="1408">
        <v>2E-3</v>
      </c>
      <c r="L9" s="1409">
        <v>5.0000000000000001E-3</v>
      </c>
      <c r="M9" s="1410">
        <v>2E-3</v>
      </c>
      <c r="N9" s="1410">
        <v>1E-3</v>
      </c>
      <c r="O9" s="1411">
        <v>1E-3</v>
      </c>
      <c r="Q9" s="639">
        <v>1</v>
      </c>
      <c r="R9" s="645" t="s">
        <v>24</v>
      </c>
      <c r="S9" s="651" t="s">
        <v>476</v>
      </c>
      <c r="T9" s="648">
        <v>0.85</v>
      </c>
      <c r="U9" s="42">
        <v>0.75</v>
      </c>
      <c r="V9" s="42">
        <v>0.65</v>
      </c>
      <c r="W9" s="42">
        <v>0.55000000000000004</v>
      </c>
      <c r="X9" s="42">
        <v>0.5</v>
      </c>
      <c r="Y9" s="42">
        <v>0.4</v>
      </c>
      <c r="Z9" s="640">
        <v>0.35</v>
      </c>
      <c r="AB9" s="658" t="s">
        <v>26</v>
      </c>
      <c r="AC9" s="38" t="s">
        <v>23</v>
      </c>
      <c r="AD9" s="38">
        <v>10</v>
      </c>
      <c r="AE9" s="659" t="s">
        <v>525</v>
      </c>
    </row>
    <row r="10" spans="1:31" ht="12.75" customHeight="1" x14ac:dyDescent="0.2">
      <c r="A10" s="665" t="s">
        <v>22</v>
      </c>
      <c r="B10" s="431" t="s">
        <v>574</v>
      </c>
      <c r="C10" s="664"/>
      <c r="E10" s="659" t="s">
        <v>596</v>
      </c>
      <c r="F10" s="37">
        <v>1</v>
      </c>
      <c r="H10" s="1588"/>
      <c r="I10" s="38" t="s">
        <v>474</v>
      </c>
      <c r="J10" s="1402">
        <v>0.05</v>
      </c>
      <c r="K10" s="1403">
        <v>3.0000000000000001E-3</v>
      </c>
      <c r="L10" s="1404">
        <v>7.0000000000000001E-3</v>
      </c>
      <c r="M10" s="1405">
        <v>3.0000000000000001E-3</v>
      </c>
      <c r="N10" s="1405">
        <v>2E-3</v>
      </c>
      <c r="O10" s="1406">
        <v>1E-3</v>
      </c>
      <c r="Q10" s="639">
        <v>1</v>
      </c>
      <c r="R10" s="645" t="s">
        <v>459</v>
      </c>
      <c r="S10" s="651" t="s">
        <v>477</v>
      </c>
      <c r="T10" s="648">
        <v>0.85</v>
      </c>
      <c r="U10" s="42">
        <v>0.75</v>
      </c>
      <c r="V10" s="42">
        <v>0.65</v>
      </c>
      <c r="W10" s="42">
        <v>0.55000000000000004</v>
      </c>
      <c r="X10" s="42">
        <v>0.5</v>
      </c>
      <c r="Y10" s="42">
        <v>0.4</v>
      </c>
      <c r="Z10" s="640">
        <v>0.35</v>
      </c>
      <c r="AB10" s="658" t="s">
        <v>27</v>
      </c>
      <c r="AC10" s="38" t="s">
        <v>1883</v>
      </c>
      <c r="AD10" s="38" t="s">
        <v>1762</v>
      </c>
      <c r="AE10" s="659" t="s">
        <v>526</v>
      </c>
    </row>
    <row r="11" spans="1:31" ht="12.75" customHeight="1" x14ac:dyDescent="0.2">
      <c r="A11" s="665" t="s">
        <v>23</v>
      </c>
      <c r="B11" s="431" t="s">
        <v>575</v>
      </c>
      <c r="C11" s="664"/>
      <c r="E11" s="659" t="s">
        <v>131</v>
      </c>
      <c r="F11" s="37">
        <v>3</v>
      </c>
      <c r="H11" s="1588"/>
      <c r="I11" s="778" t="s">
        <v>481</v>
      </c>
      <c r="J11" s="1407">
        <v>0.1</v>
      </c>
      <c r="K11" s="1408">
        <v>2E-3</v>
      </c>
      <c r="L11" s="1409">
        <v>6.0000000000000001E-3</v>
      </c>
      <c r="M11" s="1410">
        <v>2E-3</v>
      </c>
      <c r="N11" s="1410">
        <v>2E-3</v>
      </c>
      <c r="O11" s="1411">
        <v>1E-3</v>
      </c>
      <c r="Q11" s="639">
        <v>1</v>
      </c>
      <c r="R11" s="645" t="s">
        <v>460</v>
      </c>
      <c r="S11" s="651" t="s">
        <v>478</v>
      </c>
      <c r="T11" s="648">
        <v>0.85</v>
      </c>
      <c r="U11" s="42">
        <v>0.7</v>
      </c>
      <c r="V11" s="42">
        <v>0.6</v>
      </c>
      <c r="W11" s="42">
        <v>0.5</v>
      </c>
      <c r="X11" s="42">
        <v>0.4</v>
      </c>
      <c r="Y11" s="42">
        <v>0.35</v>
      </c>
      <c r="Z11" s="640">
        <v>0.3</v>
      </c>
      <c r="AB11" s="658">
        <v>6</v>
      </c>
      <c r="AC11" s="38" t="s">
        <v>27</v>
      </c>
      <c r="AD11" s="38">
        <v>10</v>
      </c>
      <c r="AE11" s="264" t="s">
        <v>521</v>
      </c>
    </row>
    <row r="12" spans="1:31" ht="12.75" customHeight="1" x14ac:dyDescent="0.2">
      <c r="A12" s="665" t="s">
        <v>461</v>
      </c>
      <c r="B12" s="431" t="s">
        <v>576</v>
      </c>
      <c r="C12" s="664"/>
      <c r="E12" s="659" t="s">
        <v>132</v>
      </c>
      <c r="F12" s="37">
        <v>3</v>
      </c>
      <c r="H12" s="1588"/>
      <c r="I12" s="38" t="s">
        <v>480</v>
      </c>
      <c r="J12" s="1402">
        <v>0.05</v>
      </c>
      <c r="K12" s="1403">
        <v>2E-3</v>
      </c>
      <c r="L12" s="1404">
        <v>6.0000000000000001E-3</v>
      </c>
      <c r="M12" s="1405">
        <v>2E-3</v>
      </c>
      <c r="N12" s="1405">
        <v>2E-3</v>
      </c>
      <c r="O12" s="1406">
        <v>1E-3</v>
      </c>
      <c r="Q12" s="639">
        <v>1</v>
      </c>
      <c r="R12" s="645" t="s">
        <v>21</v>
      </c>
      <c r="S12" s="651" t="s">
        <v>479</v>
      </c>
      <c r="T12" s="648">
        <v>0.85</v>
      </c>
      <c r="U12" s="42">
        <v>0.7</v>
      </c>
      <c r="V12" s="42">
        <v>0.6</v>
      </c>
      <c r="W12" s="42">
        <v>0.5</v>
      </c>
      <c r="X12" s="42">
        <v>0.4</v>
      </c>
      <c r="Y12" s="42">
        <v>0.35</v>
      </c>
      <c r="Z12" s="640">
        <v>0.3</v>
      </c>
      <c r="AB12" s="658">
        <v>7</v>
      </c>
      <c r="AC12" s="38" t="s">
        <v>458</v>
      </c>
      <c r="AD12" s="38">
        <v>5</v>
      </c>
      <c r="AE12" s="264" t="s">
        <v>522</v>
      </c>
    </row>
    <row r="13" spans="1:31" ht="12.75" customHeight="1" x14ac:dyDescent="0.2">
      <c r="A13" s="665" t="s">
        <v>24</v>
      </c>
      <c r="B13" s="431" t="s">
        <v>577</v>
      </c>
      <c r="C13" s="664"/>
      <c r="E13" s="659" t="s">
        <v>133</v>
      </c>
      <c r="F13" s="37">
        <v>3</v>
      </c>
      <c r="H13" s="1588"/>
      <c r="I13" s="778" t="s">
        <v>476</v>
      </c>
      <c r="J13" s="1407">
        <v>0.05</v>
      </c>
      <c r="K13" s="1408">
        <v>3.0000000000000001E-3</v>
      </c>
      <c r="L13" s="1409">
        <v>7.0000000000000001E-3</v>
      </c>
      <c r="M13" s="1410">
        <v>3.0000000000000001E-3</v>
      </c>
      <c r="N13" s="1410">
        <v>2E-3</v>
      </c>
      <c r="O13" s="1411">
        <v>1E-3</v>
      </c>
      <c r="Q13" s="639">
        <v>1</v>
      </c>
      <c r="R13" s="645" t="s">
        <v>461</v>
      </c>
      <c r="S13" s="651" t="s">
        <v>480</v>
      </c>
      <c r="T13" s="648">
        <v>0.85</v>
      </c>
      <c r="U13" s="42">
        <v>0.7</v>
      </c>
      <c r="V13" s="42">
        <v>0.6</v>
      </c>
      <c r="W13" s="42">
        <v>0.5</v>
      </c>
      <c r="X13" s="42">
        <v>0.4</v>
      </c>
      <c r="Y13" s="42">
        <v>0.35</v>
      </c>
      <c r="Z13" s="640">
        <v>0.3</v>
      </c>
      <c r="AB13" s="658">
        <v>8</v>
      </c>
      <c r="AC13" s="38" t="s">
        <v>1883</v>
      </c>
      <c r="AD13" s="38" t="s">
        <v>1762</v>
      </c>
      <c r="AE13" s="264" t="s">
        <v>523</v>
      </c>
    </row>
    <row r="14" spans="1:31" ht="12.75" customHeight="1" x14ac:dyDescent="0.2">
      <c r="A14" s="665" t="s">
        <v>25</v>
      </c>
      <c r="B14" s="431" t="s">
        <v>578</v>
      </c>
      <c r="C14" s="664"/>
      <c r="E14" s="659" t="s">
        <v>134</v>
      </c>
      <c r="F14" s="37">
        <v>4</v>
      </c>
      <c r="H14" s="1588"/>
      <c r="I14" s="38" t="s">
        <v>482</v>
      </c>
      <c r="J14" s="1402">
        <v>0.1</v>
      </c>
      <c r="K14" s="1403">
        <v>3.0000000000000001E-3</v>
      </c>
      <c r="L14" s="1404">
        <v>8.0000000000000002E-3</v>
      </c>
      <c r="M14" s="1405">
        <v>3.0000000000000001E-3</v>
      </c>
      <c r="N14" s="1405">
        <v>2E-3</v>
      </c>
      <c r="O14" s="1406">
        <v>2E-3</v>
      </c>
      <c r="Q14" s="639">
        <v>1</v>
      </c>
      <c r="R14" s="645" t="s">
        <v>23</v>
      </c>
      <c r="S14" s="651" t="s">
        <v>481</v>
      </c>
      <c r="T14" s="648" t="s">
        <v>1900</v>
      </c>
      <c r="U14" s="42">
        <v>0.9</v>
      </c>
      <c r="V14" s="42">
        <v>0.8</v>
      </c>
      <c r="W14" s="42">
        <v>0.7</v>
      </c>
      <c r="X14" s="42">
        <v>0.6</v>
      </c>
      <c r="Y14" s="42">
        <v>0.5</v>
      </c>
      <c r="Z14" s="640">
        <v>0.45</v>
      </c>
      <c r="AB14" s="658" t="s">
        <v>527</v>
      </c>
      <c r="AC14" s="38" t="s">
        <v>22</v>
      </c>
      <c r="AD14" s="38">
        <v>5</v>
      </c>
      <c r="AE14" s="264" t="s">
        <v>530</v>
      </c>
    </row>
    <row r="15" spans="1:31" ht="12.75" customHeight="1" x14ac:dyDescent="0.2">
      <c r="A15" s="665" t="s">
        <v>462</v>
      </c>
      <c r="B15" s="431" t="s">
        <v>579</v>
      </c>
      <c r="C15" s="664"/>
      <c r="E15" s="659" t="s">
        <v>135</v>
      </c>
      <c r="F15" s="37">
        <v>3</v>
      </c>
      <c r="H15" s="1588"/>
      <c r="I15" s="778" t="s">
        <v>483</v>
      </c>
      <c r="J15" s="1407">
        <v>0.1</v>
      </c>
      <c r="K15" s="1408">
        <v>3.0000000000000001E-3</v>
      </c>
      <c r="L15" s="1409">
        <v>7.0000000000000001E-3</v>
      </c>
      <c r="M15" s="1410">
        <v>3.0000000000000001E-3</v>
      </c>
      <c r="N15" s="1410">
        <v>2E-3</v>
      </c>
      <c r="O15" s="1411">
        <v>1E-3</v>
      </c>
      <c r="Q15" s="639">
        <v>1</v>
      </c>
      <c r="R15" s="645" t="s">
        <v>25</v>
      </c>
      <c r="S15" s="651" t="s">
        <v>482</v>
      </c>
      <c r="T15" s="648" t="s">
        <v>1900</v>
      </c>
      <c r="U15" s="42">
        <v>0.9</v>
      </c>
      <c r="V15" s="42">
        <v>0.8</v>
      </c>
      <c r="W15" s="42">
        <v>0.7</v>
      </c>
      <c r="X15" s="42">
        <v>0.6</v>
      </c>
      <c r="Y15" s="42">
        <v>0.5</v>
      </c>
      <c r="Z15" s="640">
        <v>0.45</v>
      </c>
      <c r="AB15" s="658" t="s">
        <v>528</v>
      </c>
      <c r="AC15" s="38" t="s">
        <v>23</v>
      </c>
      <c r="AD15" s="38">
        <v>10</v>
      </c>
      <c r="AE15" s="264" t="s">
        <v>531</v>
      </c>
    </row>
    <row r="16" spans="1:31" x14ac:dyDescent="0.2">
      <c r="A16" s="665" t="s">
        <v>459</v>
      </c>
      <c r="B16" s="431" t="s">
        <v>580</v>
      </c>
      <c r="C16" s="664"/>
      <c r="E16" s="659" t="s">
        <v>136</v>
      </c>
      <c r="F16" s="37">
        <v>3</v>
      </c>
      <c r="H16" s="1588"/>
      <c r="I16" s="38" t="s">
        <v>477</v>
      </c>
      <c r="J16" s="1402">
        <v>0.05</v>
      </c>
      <c r="K16" s="1403">
        <v>3.0000000000000001E-3</v>
      </c>
      <c r="L16" s="1404">
        <v>7.0000000000000001E-3</v>
      </c>
      <c r="M16" s="1405">
        <v>4.0000000000000001E-3</v>
      </c>
      <c r="N16" s="1405">
        <v>2E-3</v>
      </c>
      <c r="O16" s="1406">
        <v>1E-3</v>
      </c>
      <c r="Q16" s="639">
        <v>1</v>
      </c>
      <c r="R16" s="645" t="s">
        <v>462</v>
      </c>
      <c r="S16" s="651" t="s">
        <v>483</v>
      </c>
      <c r="T16" s="648" t="s">
        <v>1900</v>
      </c>
      <c r="U16" s="42">
        <v>0.9</v>
      </c>
      <c r="V16" s="42">
        <v>0.8</v>
      </c>
      <c r="W16" s="42">
        <v>0.7</v>
      </c>
      <c r="X16" s="42">
        <v>0.6</v>
      </c>
      <c r="Y16" s="42">
        <v>0.5</v>
      </c>
      <c r="Z16" s="640">
        <v>0.45</v>
      </c>
      <c r="AB16" s="658" t="s">
        <v>529</v>
      </c>
      <c r="AC16" s="38" t="s">
        <v>27</v>
      </c>
      <c r="AD16" s="38">
        <v>10</v>
      </c>
      <c r="AE16" s="264" t="s">
        <v>532</v>
      </c>
    </row>
    <row r="17" spans="1:31" x14ac:dyDescent="0.2">
      <c r="A17" s="665" t="s">
        <v>463</v>
      </c>
      <c r="B17" s="431" t="s">
        <v>581</v>
      </c>
      <c r="C17" s="664"/>
      <c r="E17" s="659" t="s">
        <v>137</v>
      </c>
      <c r="F17" s="37">
        <v>3</v>
      </c>
      <c r="H17" s="1588"/>
      <c r="I17" s="778" t="s">
        <v>486</v>
      </c>
      <c r="J17" s="1407">
        <v>0.1</v>
      </c>
      <c r="K17" s="1408">
        <v>3.0000000000000001E-3</v>
      </c>
      <c r="L17" s="1409">
        <v>7.0000000000000001E-3</v>
      </c>
      <c r="M17" s="1410">
        <v>3.0000000000000001E-3</v>
      </c>
      <c r="N17" s="1410">
        <v>2E-3</v>
      </c>
      <c r="O17" s="1411">
        <v>1E-3</v>
      </c>
      <c r="Q17" s="639">
        <v>1</v>
      </c>
      <c r="R17" s="645" t="s">
        <v>26</v>
      </c>
      <c r="S17" s="651" t="s">
        <v>484</v>
      </c>
      <c r="T17" s="648" t="s">
        <v>1900</v>
      </c>
      <c r="U17" s="42">
        <v>0.9</v>
      </c>
      <c r="V17" s="42">
        <v>0.8</v>
      </c>
      <c r="W17" s="42">
        <v>0.7</v>
      </c>
      <c r="X17" s="42">
        <v>0.6</v>
      </c>
      <c r="Y17" s="42">
        <v>0.5</v>
      </c>
      <c r="Z17" s="640">
        <v>0.45</v>
      </c>
      <c r="AB17" s="658" t="s">
        <v>533</v>
      </c>
      <c r="AC17" s="38" t="s">
        <v>457</v>
      </c>
      <c r="AD17" s="38">
        <v>5</v>
      </c>
      <c r="AE17" s="659" t="s">
        <v>539</v>
      </c>
    </row>
    <row r="18" spans="1:31" ht="12.75" customHeight="1" x14ac:dyDescent="0.2">
      <c r="A18" s="665" t="s">
        <v>26</v>
      </c>
      <c r="B18" s="431" t="s">
        <v>585</v>
      </c>
      <c r="C18" s="664"/>
      <c r="E18" s="659" t="s">
        <v>138</v>
      </c>
      <c r="F18" s="37">
        <v>4</v>
      </c>
      <c r="H18" s="1588"/>
      <c r="I18" s="38" t="s">
        <v>484</v>
      </c>
      <c r="J18" s="1402">
        <v>0.1</v>
      </c>
      <c r="K18" s="1403">
        <v>4.0000000000000001E-3</v>
      </c>
      <c r="L18" s="1404">
        <v>8.9999999999999993E-3</v>
      </c>
      <c r="M18" s="1405">
        <v>4.0000000000000001E-3</v>
      </c>
      <c r="N18" s="1405">
        <v>2E-3</v>
      </c>
      <c r="O18" s="1406">
        <v>2E-3</v>
      </c>
      <c r="Q18" s="639">
        <v>1</v>
      </c>
      <c r="R18" s="645" t="s">
        <v>27</v>
      </c>
      <c r="S18" s="651" t="s">
        <v>485</v>
      </c>
      <c r="T18" s="648" t="s">
        <v>1900</v>
      </c>
      <c r="U18" s="42">
        <v>0.9</v>
      </c>
      <c r="V18" s="42">
        <v>0.8</v>
      </c>
      <c r="W18" s="42">
        <v>0.7</v>
      </c>
      <c r="X18" s="42">
        <v>0.6</v>
      </c>
      <c r="Y18" s="42">
        <v>0.5</v>
      </c>
      <c r="Z18" s="640">
        <v>0.45</v>
      </c>
      <c r="AB18" s="658" t="s">
        <v>534</v>
      </c>
      <c r="AC18" s="38" t="s">
        <v>22</v>
      </c>
      <c r="AD18" s="38">
        <v>5</v>
      </c>
      <c r="AE18" s="659" t="s">
        <v>540</v>
      </c>
    </row>
    <row r="19" spans="1:31" ht="13.5" thickBot="1" x14ac:dyDescent="0.25">
      <c r="A19" s="665" t="s">
        <v>27</v>
      </c>
      <c r="B19" s="431" t="s">
        <v>584</v>
      </c>
      <c r="C19" s="664"/>
      <c r="E19" s="659" t="s">
        <v>139</v>
      </c>
      <c r="F19" s="37">
        <v>4</v>
      </c>
      <c r="H19" s="1589"/>
      <c r="I19" s="779" t="s">
        <v>485</v>
      </c>
      <c r="J19" s="1412">
        <v>0.1</v>
      </c>
      <c r="K19" s="1413">
        <v>5.0000000000000001E-3</v>
      </c>
      <c r="L19" s="1414">
        <v>1.0999999999999999E-2</v>
      </c>
      <c r="M19" s="1415">
        <v>6.0000000000000001E-3</v>
      </c>
      <c r="N19" s="1415">
        <v>5.0000000000000001E-3</v>
      </c>
      <c r="O19" s="1416">
        <v>2E-3</v>
      </c>
      <c r="Q19" s="641">
        <v>1</v>
      </c>
      <c r="R19" s="646" t="s">
        <v>463</v>
      </c>
      <c r="S19" s="652" t="s">
        <v>486</v>
      </c>
      <c r="T19" s="649" t="s">
        <v>1900</v>
      </c>
      <c r="U19" s="637">
        <v>0.9</v>
      </c>
      <c r="V19" s="637">
        <v>0.75</v>
      </c>
      <c r="W19" s="637">
        <v>0.65</v>
      </c>
      <c r="X19" s="637">
        <v>0.55000000000000004</v>
      </c>
      <c r="Y19" s="637">
        <v>0.45</v>
      </c>
      <c r="Z19" s="642">
        <v>0.4</v>
      </c>
      <c r="AB19" s="658" t="s">
        <v>535</v>
      </c>
      <c r="AC19" s="38" t="s">
        <v>26</v>
      </c>
      <c r="AD19" s="38">
        <v>10</v>
      </c>
      <c r="AE19" s="659" t="s">
        <v>541</v>
      </c>
    </row>
    <row r="20" spans="1:31" ht="12.75" customHeight="1" x14ac:dyDescent="0.2">
      <c r="A20" s="665">
        <v>6</v>
      </c>
      <c r="B20" s="431" t="s">
        <v>582</v>
      </c>
      <c r="C20" s="664"/>
      <c r="E20" s="659" t="s">
        <v>140</v>
      </c>
      <c r="F20" s="37">
        <v>2</v>
      </c>
      <c r="H20" s="1581" t="s">
        <v>1903</v>
      </c>
      <c r="I20" s="1361" t="s">
        <v>1904</v>
      </c>
      <c r="J20" s="1362">
        <v>0.05</v>
      </c>
      <c r="K20" s="1363">
        <v>0.109</v>
      </c>
      <c r="L20" s="1364">
        <v>0.57899999999999996</v>
      </c>
      <c r="M20" s="1365">
        <v>0.159</v>
      </c>
      <c r="N20" s="1365">
        <v>7.1999999999999995E-2</v>
      </c>
      <c r="O20" s="1366">
        <v>3.9E-2</v>
      </c>
      <c r="Q20" s="643">
        <v>2</v>
      </c>
      <c r="R20" s="647" t="s">
        <v>20</v>
      </c>
      <c r="S20" s="653" t="s">
        <v>487</v>
      </c>
      <c r="T20" s="650">
        <v>0.8</v>
      </c>
      <c r="U20" s="636">
        <v>0.6</v>
      </c>
      <c r="V20" s="636">
        <v>0.5</v>
      </c>
      <c r="W20" s="636">
        <v>0.4</v>
      </c>
      <c r="X20" s="636">
        <v>0.3</v>
      </c>
      <c r="Y20" s="636">
        <v>0.25</v>
      </c>
      <c r="Z20" s="644">
        <v>0.2</v>
      </c>
      <c r="AB20" s="658" t="s">
        <v>536</v>
      </c>
      <c r="AC20" s="38" t="s">
        <v>22</v>
      </c>
      <c r="AD20" s="38">
        <v>5</v>
      </c>
      <c r="AE20" s="659" t="s">
        <v>542</v>
      </c>
    </row>
    <row r="21" spans="1:31" ht="12.75" customHeight="1" x14ac:dyDescent="0.2">
      <c r="A21" s="665">
        <v>7</v>
      </c>
      <c r="B21" s="431" t="s">
        <v>583</v>
      </c>
      <c r="C21" s="664"/>
      <c r="E21" s="659" t="s">
        <v>141</v>
      </c>
      <c r="F21" s="37">
        <v>3</v>
      </c>
      <c r="H21" s="1582"/>
      <c r="I21" s="1367" t="s">
        <v>1905</v>
      </c>
      <c r="J21" s="1368">
        <v>0.05</v>
      </c>
      <c r="K21" s="1369">
        <v>0.109</v>
      </c>
      <c r="L21" s="1370">
        <v>0.57899999999999996</v>
      </c>
      <c r="M21" s="1371">
        <v>0.159</v>
      </c>
      <c r="N21" s="1371">
        <v>7.1999999999999995E-2</v>
      </c>
      <c r="O21" s="1372">
        <v>3.9E-2</v>
      </c>
      <c r="P21" s="621"/>
      <c r="Q21" s="639">
        <v>2</v>
      </c>
      <c r="R21" s="645" t="s">
        <v>457</v>
      </c>
      <c r="S21" s="651" t="s">
        <v>488</v>
      </c>
      <c r="T21" s="648">
        <v>0.8</v>
      </c>
      <c r="U21" s="42">
        <v>0.6</v>
      </c>
      <c r="V21" s="42">
        <v>0.5</v>
      </c>
      <c r="W21" s="42">
        <v>0.4</v>
      </c>
      <c r="X21" s="42">
        <v>0.3</v>
      </c>
      <c r="Y21" s="42">
        <v>0.25</v>
      </c>
      <c r="Z21" s="640">
        <v>0.2</v>
      </c>
      <c r="AB21" s="658" t="s">
        <v>537</v>
      </c>
      <c r="AC21" s="38" t="s">
        <v>26</v>
      </c>
      <c r="AD21" s="38">
        <v>10</v>
      </c>
      <c r="AE21" s="659" t="s">
        <v>543</v>
      </c>
    </row>
    <row r="22" spans="1:31" x14ac:dyDescent="0.2">
      <c r="A22" s="170"/>
      <c r="B22" s="170"/>
      <c r="C22" s="170"/>
      <c r="E22" s="659" t="s">
        <v>597</v>
      </c>
      <c r="F22" s="37">
        <v>3</v>
      </c>
      <c r="H22" s="1582"/>
      <c r="I22" s="1373" t="s">
        <v>1906</v>
      </c>
      <c r="J22" s="1374">
        <v>0.05</v>
      </c>
      <c r="K22" s="1375">
        <v>4.1000000000000002E-2</v>
      </c>
      <c r="L22" s="1376">
        <v>0.36499999999999999</v>
      </c>
      <c r="M22" s="1377">
        <v>9.2999999999999999E-2</v>
      </c>
      <c r="N22" s="1377">
        <v>3.9E-2</v>
      </c>
      <c r="O22" s="1378">
        <v>2.1999999999999999E-2</v>
      </c>
      <c r="P22" s="621"/>
      <c r="Q22" s="639">
        <v>2</v>
      </c>
      <c r="R22" s="645" t="s">
        <v>22</v>
      </c>
      <c r="S22" s="651" t="s">
        <v>489</v>
      </c>
      <c r="T22" s="648">
        <v>0.8</v>
      </c>
      <c r="U22" s="42">
        <v>0.6</v>
      </c>
      <c r="V22" s="42">
        <v>0.5</v>
      </c>
      <c r="W22" s="42">
        <v>0.4</v>
      </c>
      <c r="X22" s="42">
        <v>0.3</v>
      </c>
      <c r="Y22" s="42">
        <v>0.25</v>
      </c>
      <c r="Z22" s="640">
        <v>0.2</v>
      </c>
      <c r="AB22" s="658" t="s">
        <v>544</v>
      </c>
      <c r="AC22" s="38" t="s">
        <v>26</v>
      </c>
      <c r="AD22" s="38">
        <v>10</v>
      </c>
      <c r="AE22" s="659" t="s">
        <v>548</v>
      </c>
    </row>
    <row r="23" spans="1:31" x14ac:dyDescent="0.2">
      <c r="A23" s="5" t="s">
        <v>586</v>
      </c>
      <c r="B23" s="170"/>
      <c r="E23" s="659" t="s">
        <v>598</v>
      </c>
      <c r="F23" s="37">
        <v>3</v>
      </c>
      <c r="H23" s="1582"/>
      <c r="I23" s="1367" t="s">
        <v>1907</v>
      </c>
      <c r="J23" s="1368">
        <v>0.05</v>
      </c>
      <c r="K23" s="1369">
        <v>4.1000000000000002E-2</v>
      </c>
      <c r="L23" s="1370">
        <v>0.36499999999999999</v>
      </c>
      <c r="M23" s="1371">
        <v>9.2999999999999999E-2</v>
      </c>
      <c r="N23" s="1371">
        <v>3.9E-2</v>
      </c>
      <c r="O23" s="1372">
        <v>2.1999999999999999E-2</v>
      </c>
      <c r="P23" s="621"/>
      <c r="Q23" s="639">
        <v>2</v>
      </c>
      <c r="R23" s="645" t="s">
        <v>458</v>
      </c>
      <c r="S23" s="651" t="s">
        <v>490</v>
      </c>
      <c r="T23" s="648">
        <v>0.7</v>
      </c>
      <c r="U23" s="42">
        <v>0.5</v>
      </c>
      <c r="V23" s="42">
        <v>0.35</v>
      </c>
      <c r="W23" s="42">
        <v>0.25</v>
      </c>
      <c r="X23" s="42">
        <v>0.2</v>
      </c>
      <c r="Y23" s="42">
        <v>0.15</v>
      </c>
      <c r="Z23" s="640">
        <v>0.1</v>
      </c>
      <c r="AB23" s="658" t="s">
        <v>545</v>
      </c>
      <c r="AC23" s="38" t="s">
        <v>26</v>
      </c>
      <c r="AD23" s="38">
        <v>10</v>
      </c>
      <c r="AE23" s="659" t="s">
        <v>560</v>
      </c>
    </row>
    <row r="24" spans="1:31" x14ac:dyDescent="0.2">
      <c r="A24" s="170" t="s">
        <v>587</v>
      </c>
      <c r="B24" s="170"/>
      <c r="E24" s="659" t="s">
        <v>599</v>
      </c>
      <c r="F24" s="37">
        <v>1</v>
      </c>
      <c r="H24" s="1582"/>
      <c r="I24" s="1373" t="s">
        <v>1908</v>
      </c>
      <c r="J24" s="1374">
        <v>0.05</v>
      </c>
      <c r="K24" s="1375">
        <v>8.2000000000000003E-2</v>
      </c>
      <c r="L24" s="1376">
        <v>0.38400000000000001</v>
      </c>
      <c r="M24" s="1377">
        <v>0.104</v>
      </c>
      <c r="N24" s="1377">
        <v>4.3999999999999997E-2</v>
      </c>
      <c r="O24" s="1378">
        <v>2.1999999999999999E-2</v>
      </c>
      <c r="P24" s="621"/>
      <c r="Q24" s="639">
        <v>2</v>
      </c>
      <c r="R24" s="645" t="s">
        <v>24</v>
      </c>
      <c r="S24" s="651" t="s">
        <v>491</v>
      </c>
      <c r="T24" s="648">
        <v>0.7</v>
      </c>
      <c r="U24" s="42">
        <v>0.5</v>
      </c>
      <c r="V24" s="42">
        <v>0.35</v>
      </c>
      <c r="W24" s="42">
        <v>0.25</v>
      </c>
      <c r="X24" s="42">
        <v>0.2</v>
      </c>
      <c r="Y24" s="42">
        <v>0.15</v>
      </c>
      <c r="Z24" s="640">
        <v>0.1</v>
      </c>
      <c r="AB24" s="658" t="s">
        <v>546</v>
      </c>
      <c r="AC24" s="38" t="s">
        <v>27</v>
      </c>
      <c r="AD24" s="38">
        <v>10</v>
      </c>
      <c r="AE24" s="659" t="s">
        <v>561</v>
      </c>
    </row>
    <row r="25" spans="1:31" x14ac:dyDescent="0.2">
      <c r="A25" s="170"/>
      <c r="C25" s="206" t="s">
        <v>1373</v>
      </c>
      <c r="E25" s="659" t="s">
        <v>142</v>
      </c>
      <c r="F25" s="37">
        <v>3</v>
      </c>
      <c r="H25" s="1582"/>
      <c r="I25" s="1367" t="s">
        <v>1909</v>
      </c>
      <c r="J25" s="1368">
        <v>0.05</v>
      </c>
      <c r="K25" s="1369">
        <v>0.108</v>
      </c>
      <c r="L25" s="1370">
        <v>0.47699999999999998</v>
      </c>
      <c r="M25" s="1371">
        <v>0.13700000000000001</v>
      </c>
      <c r="N25" s="1371">
        <v>0.06</v>
      </c>
      <c r="O25" s="1372">
        <v>3.1E-2</v>
      </c>
      <c r="P25" s="621"/>
      <c r="Q25" s="639">
        <v>2</v>
      </c>
      <c r="R25" s="645" t="s">
        <v>459</v>
      </c>
      <c r="S25" s="651" t="s">
        <v>492</v>
      </c>
      <c r="T25" s="648">
        <v>0.7</v>
      </c>
      <c r="U25" s="42">
        <v>0.5</v>
      </c>
      <c r="V25" s="42">
        <v>0.35</v>
      </c>
      <c r="W25" s="42">
        <v>0.25</v>
      </c>
      <c r="X25" s="42">
        <v>0.2</v>
      </c>
      <c r="Y25" s="42">
        <v>0.15</v>
      </c>
      <c r="Z25" s="640">
        <v>0.1</v>
      </c>
      <c r="AB25" s="658" t="s">
        <v>547</v>
      </c>
      <c r="AC25" s="38" t="s">
        <v>27</v>
      </c>
      <c r="AD25" s="38">
        <v>10</v>
      </c>
      <c r="AE25" s="659" t="s">
        <v>562</v>
      </c>
    </row>
    <row r="26" spans="1:31" x14ac:dyDescent="0.2">
      <c r="A26" s="241" t="s">
        <v>1279</v>
      </c>
      <c r="B26" s="436" t="s">
        <v>1765</v>
      </c>
      <c r="C26" s="241" t="s">
        <v>1876</v>
      </c>
      <c r="E26" s="659" t="s">
        <v>600</v>
      </c>
      <c r="F26" s="37">
        <v>3</v>
      </c>
      <c r="H26" s="1582"/>
      <c r="I26" s="1373" t="s">
        <v>1910</v>
      </c>
      <c r="J26" s="1374">
        <v>0.1</v>
      </c>
      <c r="K26" s="1375">
        <v>9.4E-2</v>
      </c>
      <c r="L26" s="1376">
        <v>0.41699999999999998</v>
      </c>
      <c r="M26" s="1377">
        <v>0.112</v>
      </c>
      <c r="N26" s="1377">
        <v>4.5999999999999999E-2</v>
      </c>
      <c r="O26" s="1378">
        <v>2.1000000000000001E-2</v>
      </c>
      <c r="P26" s="621"/>
      <c r="Q26" s="639">
        <v>2</v>
      </c>
      <c r="R26" s="645" t="s">
        <v>460</v>
      </c>
      <c r="S26" s="651" t="s">
        <v>493</v>
      </c>
      <c r="T26" s="648">
        <v>0.6</v>
      </c>
      <c r="U26" s="42">
        <v>0.4</v>
      </c>
      <c r="V26" s="42">
        <v>0.3</v>
      </c>
      <c r="W26" s="42">
        <v>0.2</v>
      </c>
      <c r="X26" s="42">
        <v>0.15</v>
      </c>
      <c r="Y26" s="42">
        <v>0.1</v>
      </c>
      <c r="Z26" s="640">
        <v>0.05</v>
      </c>
      <c r="AB26" s="658">
        <v>11</v>
      </c>
      <c r="AC26" s="38" t="s">
        <v>457</v>
      </c>
      <c r="AD26" s="38">
        <v>5</v>
      </c>
      <c r="AE26" s="416" t="s">
        <v>563</v>
      </c>
    </row>
    <row r="27" spans="1:31" x14ac:dyDescent="0.2">
      <c r="A27" s="24">
        <v>1</v>
      </c>
      <c r="B27" s="662" t="s">
        <v>1087</v>
      </c>
      <c r="C27" s="14">
        <v>1</v>
      </c>
      <c r="E27" s="659" t="s">
        <v>601</v>
      </c>
      <c r="F27" s="37">
        <v>3</v>
      </c>
      <c r="H27" s="1582"/>
      <c r="I27" s="1367" t="s">
        <v>1911</v>
      </c>
      <c r="J27" s="1368">
        <v>0.05</v>
      </c>
      <c r="K27" s="1369">
        <v>0.10199999999999999</v>
      </c>
      <c r="L27" s="1370">
        <v>0.48799999999999999</v>
      </c>
      <c r="M27" s="1371">
        <v>0.125</v>
      </c>
      <c r="N27" s="1371">
        <v>5.0999999999999997E-2</v>
      </c>
      <c r="O27" s="1372">
        <v>2.4E-2</v>
      </c>
      <c r="P27" s="621"/>
      <c r="Q27" s="639">
        <v>2</v>
      </c>
      <c r="R27" s="645" t="s">
        <v>21</v>
      </c>
      <c r="S27" s="651" t="s">
        <v>494</v>
      </c>
      <c r="T27" s="648">
        <v>0.6</v>
      </c>
      <c r="U27" s="42">
        <v>0.4</v>
      </c>
      <c r="V27" s="42">
        <v>0.3</v>
      </c>
      <c r="W27" s="42">
        <v>0.2</v>
      </c>
      <c r="X27" s="42">
        <v>0.15</v>
      </c>
      <c r="Y27" s="42">
        <v>0.1</v>
      </c>
      <c r="Z27" s="640">
        <v>0.05</v>
      </c>
      <c r="AB27" s="658">
        <v>12</v>
      </c>
      <c r="AC27" s="38" t="s">
        <v>27</v>
      </c>
      <c r="AD27" s="38">
        <v>10</v>
      </c>
      <c r="AE27" s="416" t="s">
        <v>564</v>
      </c>
    </row>
    <row r="28" spans="1:31" x14ac:dyDescent="0.2">
      <c r="A28" s="24">
        <v>2</v>
      </c>
      <c r="B28" s="662" t="s">
        <v>588</v>
      </c>
      <c r="C28" s="14">
        <v>1.75</v>
      </c>
      <c r="E28" s="659" t="s">
        <v>602</v>
      </c>
      <c r="F28" s="37">
        <v>3</v>
      </c>
      <c r="H28" s="1582"/>
      <c r="I28" s="1373" t="s">
        <v>1912</v>
      </c>
      <c r="J28" s="1374">
        <v>0.05</v>
      </c>
      <c r="K28" s="1375">
        <v>0.114</v>
      </c>
      <c r="L28" s="1376">
        <v>0.52100000000000002</v>
      </c>
      <c r="M28" s="1377">
        <v>0.14199999999999999</v>
      </c>
      <c r="N28" s="1377">
        <v>0.06</v>
      </c>
      <c r="O28" s="1378">
        <v>3.1E-2</v>
      </c>
      <c r="P28" s="621"/>
      <c r="Q28" s="639">
        <v>2</v>
      </c>
      <c r="R28" s="645" t="s">
        <v>461</v>
      </c>
      <c r="S28" s="651" t="s">
        <v>495</v>
      </c>
      <c r="T28" s="648">
        <v>0.6</v>
      </c>
      <c r="U28" s="42">
        <v>0.4</v>
      </c>
      <c r="V28" s="42">
        <v>0.3</v>
      </c>
      <c r="W28" s="42">
        <v>0.2</v>
      </c>
      <c r="X28" s="42">
        <v>0.15</v>
      </c>
      <c r="Y28" s="42">
        <v>0.1</v>
      </c>
      <c r="Z28" s="640">
        <v>0.05</v>
      </c>
    </row>
    <row r="29" spans="1:31" ht="12.75" customHeight="1" x14ac:dyDescent="0.2">
      <c r="A29" s="24">
        <v>3</v>
      </c>
      <c r="B29" s="23" t="s">
        <v>589</v>
      </c>
      <c r="C29" s="14">
        <v>2.5</v>
      </c>
      <c r="E29" s="659" t="s">
        <v>603</v>
      </c>
      <c r="F29" s="37">
        <v>3</v>
      </c>
      <c r="H29" s="1582"/>
      <c r="I29" s="1367" t="s">
        <v>1913</v>
      </c>
      <c r="J29" s="1368">
        <v>0.1</v>
      </c>
      <c r="K29" s="1369">
        <v>0.14699999999999999</v>
      </c>
      <c r="L29" s="1370">
        <v>0.61799999999999999</v>
      </c>
      <c r="M29" s="1371">
        <v>0.16900000000000001</v>
      </c>
      <c r="N29" s="1371">
        <v>6.8000000000000005E-2</v>
      </c>
      <c r="O29" s="1372">
        <v>3.2000000000000001E-2</v>
      </c>
      <c r="P29" s="621"/>
      <c r="Q29" s="639">
        <v>2</v>
      </c>
      <c r="R29" s="645" t="s">
        <v>23</v>
      </c>
      <c r="S29" s="651" t="s">
        <v>496</v>
      </c>
      <c r="T29" s="648" t="s">
        <v>1900</v>
      </c>
      <c r="U29" s="42">
        <v>0.8</v>
      </c>
      <c r="V29" s="42">
        <v>0.65</v>
      </c>
      <c r="W29" s="42">
        <v>0.5</v>
      </c>
      <c r="X29" s="42">
        <v>0.4</v>
      </c>
      <c r="Y29" s="42">
        <v>0.3</v>
      </c>
      <c r="Z29" s="640">
        <v>0.25</v>
      </c>
      <c r="AB29" s="54"/>
    </row>
    <row r="30" spans="1:31" ht="12.75" customHeight="1" x14ac:dyDescent="0.2">
      <c r="A30" s="24">
        <v>4</v>
      </c>
      <c r="B30" s="23" t="s">
        <v>590</v>
      </c>
      <c r="C30" s="14">
        <v>4</v>
      </c>
      <c r="E30" s="659" t="s">
        <v>604</v>
      </c>
      <c r="F30" s="37">
        <v>2</v>
      </c>
      <c r="H30" s="1582"/>
      <c r="I30" s="1373" t="s">
        <v>1914</v>
      </c>
      <c r="J30" s="1374">
        <v>0.1</v>
      </c>
      <c r="K30" s="1375">
        <v>0.122</v>
      </c>
      <c r="L30" s="1376">
        <v>0.54300000000000004</v>
      </c>
      <c r="M30" s="1377">
        <v>0.14399999999999999</v>
      </c>
      <c r="N30" s="1377">
        <v>5.7000000000000002E-2</v>
      </c>
      <c r="O30" s="1378">
        <v>2.7E-2</v>
      </c>
      <c r="P30" s="621"/>
      <c r="Q30" s="639">
        <v>2</v>
      </c>
      <c r="R30" s="645" t="s">
        <v>25</v>
      </c>
      <c r="S30" s="651" t="s">
        <v>497</v>
      </c>
      <c r="T30" s="648" t="s">
        <v>1900</v>
      </c>
      <c r="U30" s="42">
        <v>0.8</v>
      </c>
      <c r="V30" s="42">
        <v>0.65</v>
      </c>
      <c r="W30" s="42">
        <v>0.5</v>
      </c>
      <c r="X30" s="42">
        <v>0.4</v>
      </c>
      <c r="Y30" s="42">
        <v>0.3</v>
      </c>
      <c r="Z30" s="640">
        <v>0.25</v>
      </c>
    </row>
    <row r="31" spans="1:31" x14ac:dyDescent="0.2">
      <c r="A31" s="40"/>
      <c r="B31" s="707"/>
      <c r="C31" s="41"/>
      <c r="E31" s="659" t="s">
        <v>605</v>
      </c>
      <c r="F31" s="37">
        <v>3</v>
      </c>
      <c r="H31" s="1582"/>
      <c r="I31" s="1367" t="s">
        <v>1915</v>
      </c>
      <c r="J31" s="1368">
        <v>0.05</v>
      </c>
      <c r="K31" s="1369">
        <v>0.14899999999999999</v>
      </c>
      <c r="L31" s="1370">
        <v>0.65400000000000003</v>
      </c>
      <c r="M31" s="1371">
        <v>0.17799999999999999</v>
      </c>
      <c r="N31" s="1371">
        <v>7.5999999999999998E-2</v>
      </c>
      <c r="O31" s="1372">
        <v>3.6999999999999998E-2</v>
      </c>
      <c r="P31" s="621"/>
      <c r="Q31" s="639">
        <v>2</v>
      </c>
      <c r="R31" s="645" t="s">
        <v>462</v>
      </c>
      <c r="S31" s="651" t="s">
        <v>498</v>
      </c>
      <c r="T31" s="648" t="s">
        <v>1900</v>
      </c>
      <c r="U31" s="42">
        <v>0.8</v>
      </c>
      <c r="V31" s="42">
        <v>0.65</v>
      </c>
      <c r="W31" s="42">
        <v>0.5</v>
      </c>
      <c r="X31" s="42">
        <v>0.4</v>
      </c>
      <c r="Y31" s="42">
        <v>0.3</v>
      </c>
      <c r="Z31" s="640">
        <v>0.25</v>
      </c>
    </row>
    <row r="32" spans="1:31" ht="12.75" customHeight="1" x14ac:dyDescent="0.2">
      <c r="A32" s="5" t="s">
        <v>125</v>
      </c>
      <c r="B32" s="170"/>
      <c r="E32" s="659" t="s">
        <v>606</v>
      </c>
      <c r="F32" s="37">
        <v>3</v>
      </c>
      <c r="H32" s="1582"/>
      <c r="I32" s="1373" t="s">
        <v>1916</v>
      </c>
      <c r="J32" s="1374">
        <v>0.1</v>
      </c>
      <c r="K32" s="1375">
        <v>0.16300000000000001</v>
      </c>
      <c r="L32" s="1376">
        <v>0.72699999999999998</v>
      </c>
      <c r="M32" s="1377">
        <v>0.184</v>
      </c>
      <c r="N32" s="1377">
        <v>7.1999999999999995E-2</v>
      </c>
      <c r="O32" s="1378">
        <v>3.2000000000000001E-2</v>
      </c>
      <c r="P32" s="621"/>
      <c r="Q32" s="639">
        <v>2</v>
      </c>
      <c r="R32" s="645" t="s">
        <v>26</v>
      </c>
      <c r="S32" s="651" t="s">
        <v>499</v>
      </c>
      <c r="T32" s="648" t="s">
        <v>1900</v>
      </c>
      <c r="U32" s="42">
        <v>0.8</v>
      </c>
      <c r="V32" s="42">
        <v>0.65</v>
      </c>
      <c r="W32" s="42">
        <v>0.5</v>
      </c>
      <c r="X32" s="42">
        <v>0.4</v>
      </c>
      <c r="Y32" s="42">
        <v>0.3</v>
      </c>
      <c r="Z32" s="640">
        <v>0.25</v>
      </c>
    </row>
    <row r="33" spans="1:33" ht="12.75" customHeight="1" x14ac:dyDescent="0.2">
      <c r="A33" s="5"/>
      <c r="B33" s="206"/>
      <c r="C33" s="206" t="s">
        <v>1372</v>
      </c>
      <c r="E33" s="659" t="s">
        <v>607</v>
      </c>
      <c r="F33" s="37">
        <v>3</v>
      </c>
      <c r="H33" s="1582"/>
      <c r="I33" s="1367" t="s">
        <v>1917</v>
      </c>
      <c r="J33" s="1368">
        <v>0.1</v>
      </c>
      <c r="K33" s="1369">
        <v>0.161</v>
      </c>
      <c r="L33" s="1370">
        <v>0.65600000000000003</v>
      </c>
      <c r="M33" s="1371">
        <v>0.185</v>
      </c>
      <c r="N33" s="1371">
        <v>8.5999999999999993E-2</v>
      </c>
      <c r="O33" s="1372">
        <v>3.4000000000000002E-2</v>
      </c>
      <c r="P33" s="621"/>
      <c r="Q33" s="639">
        <v>2</v>
      </c>
      <c r="R33" s="645" t="s">
        <v>27</v>
      </c>
      <c r="S33" s="651" t="s">
        <v>500</v>
      </c>
      <c r="T33" s="648" t="s">
        <v>1900</v>
      </c>
      <c r="U33" s="42">
        <v>0.8</v>
      </c>
      <c r="V33" s="42">
        <v>0.65</v>
      </c>
      <c r="W33" s="42">
        <v>0.5</v>
      </c>
      <c r="X33" s="42">
        <v>0.4</v>
      </c>
      <c r="Y33" s="42">
        <v>0.3</v>
      </c>
      <c r="Z33" s="640">
        <v>0.25</v>
      </c>
    </row>
    <row r="34" spans="1:33" ht="13.5" customHeight="1" thickBot="1" x14ac:dyDescent="0.25">
      <c r="A34" s="241" t="s">
        <v>1279</v>
      </c>
      <c r="B34" s="241" t="s">
        <v>126</v>
      </c>
      <c r="C34" s="241" t="s">
        <v>1876</v>
      </c>
      <c r="E34" s="659" t="s">
        <v>143</v>
      </c>
      <c r="F34" s="37">
        <v>2</v>
      </c>
      <c r="H34" s="1583"/>
      <c r="I34" s="1379" t="s">
        <v>1918</v>
      </c>
      <c r="J34" s="1380">
        <v>0.1</v>
      </c>
      <c r="K34" s="1381">
        <v>0.21199999999999999</v>
      </c>
      <c r="L34" s="1382">
        <v>0.88200000000000001</v>
      </c>
      <c r="M34" s="1383">
        <v>0.24299999999999999</v>
      </c>
      <c r="N34" s="1383">
        <v>9.9000000000000005E-2</v>
      </c>
      <c r="O34" s="1384">
        <v>4.7E-2</v>
      </c>
      <c r="P34" s="621"/>
      <c r="Q34" s="641">
        <v>2</v>
      </c>
      <c r="R34" s="646" t="s">
        <v>463</v>
      </c>
      <c r="S34" s="652" t="s">
        <v>501</v>
      </c>
      <c r="T34" s="649" t="s">
        <v>1900</v>
      </c>
      <c r="U34" s="637">
        <v>0.7</v>
      </c>
      <c r="V34" s="637">
        <v>0.5</v>
      </c>
      <c r="W34" s="637">
        <v>0.4</v>
      </c>
      <c r="X34" s="637">
        <v>0.25</v>
      </c>
      <c r="Y34" s="637">
        <v>0.2</v>
      </c>
      <c r="Z34" s="642">
        <v>0.15</v>
      </c>
    </row>
    <row r="35" spans="1:33" ht="13.5" customHeight="1" x14ac:dyDescent="0.2">
      <c r="A35" s="24">
        <v>1</v>
      </c>
      <c r="B35" s="668" t="s">
        <v>297</v>
      </c>
      <c r="C35" s="661">
        <v>1</v>
      </c>
      <c r="E35" s="659" t="s">
        <v>144</v>
      </c>
      <c r="F35" s="37">
        <v>1</v>
      </c>
      <c r="H35" s="1581" t="s">
        <v>1919</v>
      </c>
      <c r="I35" s="1361" t="s">
        <v>1920</v>
      </c>
      <c r="J35" s="1362">
        <v>0.05</v>
      </c>
      <c r="K35" s="1363">
        <v>8.4000000000000005E-2</v>
      </c>
      <c r="L35" s="1364">
        <v>0.47599999999999998</v>
      </c>
      <c r="M35" s="1365">
        <v>0.13</v>
      </c>
      <c r="N35" s="1365">
        <v>5.8999999999999997E-2</v>
      </c>
      <c r="O35" s="1366">
        <v>3.2000000000000001E-2</v>
      </c>
      <c r="P35" s="621"/>
      <c r="Q35" s="643">
        <v>3</v>
      </c>
      <c r="R35" s="647" t="s">
        <v>20</v>
      </c>
      <c r="S35" s="653" t="s">
        <v>502</v>
      </c>
      <c r="T35" s="650">
        <v>0.7</v>
      </c>
      <c r="U35" s="636">
        <v>0.5</v>
      </c>
      <c r="V35" s="636">
        <v>0.4</v>
      </c>
      <c r="W35" s="636">
        <v>0.3</v>
      </c>
      <c r="X35" s="636">
        <v>0.2</v>
      </c>
      <c r="Y35" s="636">
        <v>0.15</v>
      </c>
      <c r="Z35" s="644">
        <v>0.1</v>
      </c>
    </row>
    <row r="36" spans="1:33" x14ac:dyDescent="0.2">
      <c r="A36" s="24">
        <v>2</v>
      </c>
      <c r="B36" s="668" t="s">
        <v>298</v>
      </c>
      <c r="C36" s="661">
        <v>1.5</v>
      </c>
      <c r="E36" s="659" t="s">
        <v>145</v>
      </c>
      <c r="F36" s="37">
        <v>2</v>
      </c>
      <c r="H36" s="1582"/>
      <c r="I36" s="1367" t="s">
        <v>1921</v>
      </c>
      <c r="J36" s="1368">
        <v>0.05</v>
      </c>
      <c r="K36" s="1369">
        <v>8.4000000000000005E-2</v>
      </c>
      <c r="L36" s="1370">
        <v>0.47599999999999998</v>
      </c>
      <c r="M36" s="1371">
        <v>0.13</v>
      </c>
      <c r="N36" s="1371">
        <v>5.8999999999999997E-2</v>
      </c>
      <c r="O36" s="1372">
        <v>3.2000000000000001E-2</v>
      </c>
      <c r="P36" s="621"/>
      <c r="Q36" s="639">
        <v>3</v>
      </c>
      <c r="R36" s="645" t="s">
        <v>457</v>
      </c>
      <c r="S36" s="651" t="s">
        <v>503</v>
      </c>
      <c r="T36" s="648">
        <v>0.7</v>
      </c>
      <c r="U36" s="42">
        <v>0.5</v>
      </c>
      <c r="V36" s="42">
        <v>0.4</v>
      </c>
      <c r="W36" s="42">
        <v>0.3</v>
      </c>
      <c r="X36" s="42">
        <v>0.2</v>
      </c>
      <c r="Y36" s="42">
        <v>0.15</v>
      </c>
      <c r="Z36" s="640">
        <v>0.1</v>
      </c>
    </row>
    <row r="37" spans="1:33" x14ac:dyDescent="0.2">
      <c r="A37" s="24">
        <v>3</v>
      </c>
      <c r="B37" s="24" t="s">
        <v>299</v>
      </c>
      <c r="C37" s="661">
        <v>2</v>
      </c>
      <c r="E37" s="659" t="s">
        <v>146</v>
      </c>
      <c r="F37" s="37">
        <v>3</v>
      </c>
      <c r="H37" s="1582"/>
      <c r="I37" s="1373" t="s">
        <v>1922</v>
      </c>
      <c r="J37" s="1374">
        <v>0.05</v>
      </c>
      <c r="K37" s="1375">
        <v>2.1999999999999999E-2</v>
      </c>
      <c r="L37" s="1376">
        <v>0.26800000000000002</v>
      </c>
      <c r="M37" s="1377">
        <v>6.8000000000000005E-2</v>
      </c>
      <c r="N37" s="1377">
        <v>2.9000000000000001E-2</v>
      </c>
      <c r="O37" s="1378">
        <v>1.6E-2</v>
      </c>
      <c r="P37" s="621"/>
      <c r="Q37" s="639">
        <v>3</v>
      </c>
      <c r="R37" s="645" t="s">
        <v>22</v>
      </c>
      <c r="S37" s="651" t="s">
        <v>504</v>
      </c>
      <c r="T37" s="648">
        <v>0.7</v>
      </c>
      <c r="U37" s="42">
        <v>0.5</v>
      </c>
      <c r="V37" s="42">
        <v>0.4</v>
      </c>
      <c r="W37" s="42">
        <v>0.3</v>
      </c>
      <c r="X37" s="42">
        <v>0.2</v>
      </c>
      <c r="Y37" s="42">
        <v>0.15</v>
      </c>
      <c r="Z37" s="640">
        <v>0.1</v>
      </c>
    </row>
    <row r="38" spans="1:33" x14ac:dyDescent="0.2">
      <c r="A38" s="245" t="s">
        <v>1968</v>
      </c>
      <c r="B38" s="40"/>
      <c r="C38" s="689"/>
      <c r="E38" s="659" t="s">
        <v>147</v>
      </c>
      <c r="F38" s="37">
        <v>3</v>
      </c>
      <c r="H38" s="1582"/>
      <c r="I38" s="1367" t="s">
        <v>1923</v>
      </c>
      <c r="J38" s="1368">
        <v>0.05</v>
      </c>
      <c r="K38" s="1369">
        <v>2.1999999999999999E-2</v>
      </c>
      <c r="L38" s="1370">
        <v>0.26800000000000002</v>
      </c>
      <c r="M38" s="1371">
        <v>6.8000000000000005E-2</v>
      </c>
      <c r="N38" s="1371">
        <v>2.9000000000000001E-2</v>
      </c>
      <c r="O38" s="1372">
        <v>1.6E-2</v>
      </c>
      <c r="P38" s="621"/>
      <c r="Q38" s="639">
        <v>3</v>
      </c>
      <c r="R38" s="645" t="s">
        <v>458</v>
      </c>
      <c r="S38" s="651" t="s">
        <v>505</v>
      </c>
      <c r="T38" s="648">
        <v>0.6</v>
      </c>
      <c r="U38" s="42">
        <v>0.35</v>
      </c>
      <c r="V38" s="42">
        <v>0.2</v>
      </c>
      <c r="W38" s="42">
        <v>0.15</v>
      </c>
      <c r="X38" s="42">
        <v>0.1</v>
      </c>
      <c r="Y38" s="42">
        <v>0.05</v>
      </c>
      <c r="Z38" s="640">
        <v>0.05</v>
      </c>
      <c r="AB38" s="5" t="s">
        <v>1727</v>
      </c>
      <c r="AE38"/>
    </row>
    <row r="39" spans="1:33" x14ac:dyDescent="0.2">
      <c r="E39" s="659" t="s">
        <v>148</v>
      </c>
      <c r="F39" s="37">
        <v>2</v>
      </c>
      <c r="H39" s="1582"/>
      <c r="I39" s="1373" t="s">
        <v>1924</v>
      </c>
      <c r="J39" s="1374">
        <v>0.05</v>
      </c>
      <c r="K39" s="1375">
        <v>5.7000000000000002E-2</v>
      </c>
      <c r="L39" s="1376">
        <v>0.29599999999999999</v>
      </c>
      <c r="M39" s="1377">
        <v>0.08</v>
      </c>
      <c r="N39" s="1377">
        <v>3.4000000000000002E-2</v>
      </c>
      <c r="O39" s="1378">
        <v>1.7000000000000001E-2</v>
      </c>
      <c r="P39" s="621"/>
      <c r="Q39" s="639">
        <v>3</v>
      </c>
      <c r="R39" s="645" t="s">
        <v>24</v>
      </c>
      <c r="S39" s="651" t="s">
        <v>506</v>
      </c>
      <c r="T39" s="648">
        <v>0.6</v>
      </c>
      <c r="U39" s="42">
        <v>0.35</v>
      </c>
      <c r="V39" s="42">
        <v>0.2</v>
      </c>
      <c r="W39" s="42">
        <v>0.15</v>
      </c>
      <c r="X39" s="42">
        <v>0.1</v>
      </c>
      <c r="Y39" s="42">
        <v>0.05</v>
      </c>
      <c r="Z39" s="640">
        <v>0.05</v>
      </c>
      <c r="AB39"/>
      <c r="AE39"/>
      <c r="AG39" s="177" t="s">
        <v>1738</v>
      </c>
    </row>
    <row r="40" spans="1:33" x14ac:dyDescent="0.2">
      <c r="A40" s="5" t="s">
        <v>127</v>
      </c>
      <c r="E40" s="659" t="s">
        <v>608</v>
      </c>
      <c r="F40" s="37">
        <v>3</v>
      </c>
      <c r="H40" s="1582"/>
      <c r="I40" s="1367" t="s">
        <v>1925</v>
      </c>
      <c r="J40" s="1368">
        <v>0.05</v>
      </c>
      <c r="K40" s="1369">
        <v>7.1999999999999995E-2</v>
      </c>
      <c r="L40" s="1370">
        <v>0.36</v>
      </c>
      <c r="M40" s="1371">
        <v>0.10199999999999999</v>
      </c>
      <c r="N40" s="1371">
        <v>4.4999999999999998E-2</v>
      </c>
      <c r="O40" s="1372">
        <v>2.3E-2</v>
      </c>
      <c r="P40" s="621"/>
      <c r="Q40" s="639">
        <v>3</v>
      </c>
      <c r="R40" s="645" t="s">
        <v>459</v>
      </c>
      <c r="S40" s="651" t="s">
        <v>507</v>
      </c>
      <c r="T40" s="648">
        <v>0.6</v>
      </c>
      <c r="U40" s="42">
        <v>0.35</v>
      </c>
      <c r="V40" s="42">
        <v>0.2</v>
      </c>
      <c r="W40" s="42">
        <v>0.15</v>
      </c>
      <c r="X40" s="42">
        <v>0.1</v>
      </c>
      <c r="Y40" s="42">
        <v>0.05</v>
      </c>
      <c r="Z40" s="640">
        <v>0.05</v>
      </c>
      <c r="AB40" s="240" t="s">
        <v>844</v>
      </c>
      <c r="AC40" s="380" t="s">
        <v>1728</v>
      </c>
      <c r="AD40" s="380"/>
      <c r="AE40" s="380"/>
      <c r="AF40" s="380"/>
      <c r="AG40" s="240" t="s">
        <v>1031</v>
      </c>
    </row>
    <row r="41" spans="1:33" x14ac:dyDescent="0.2">
      <c r="A41" s="197"/>
      <c r="B41" s="177" t="s">
        <v>128</v>
      </c>
      <c r="E41" s="659" t="s">
        <v>611</v>
      </c>
      <c r="F41" s="37">
        <v>4</v>
      </c>
      <c r="H41" s="1582"/>
      <c r="I41" s="1373" t="s">
        <v>1926</v>
      </c>
      <c r="J41" s="1374">
        <v>0.1</v>
      </c>
      <c r="K41" s="1375">
        <v>0.06</v>
      </c>
      <c r="L41" s="1376">
        <v>0.30499999999999999</v>
      </c>
      <c r="M41" s="1377">
        <v>8.2000000000000003E-2</v>
      </c>
      <c r="N41" s="1377">
        <v>3.3000000000000002E-2</v>
      </c>
      <c r="O41" s="1378">
        <v>1.4999999999999999E-2</v>
      </c>
      <c r="P41" s="621"/>
      <c r="Q41" s="639">
        <v>3</v>
      </c>
      <c r="R41" s="645" t="s">
        <v>460</v>
      </c>
      <c r="S41" s="651" t="s">
        <v>508</v>
      </c>
      <c r="T41" s="648">
        <v>0.5</v>
      </c>
      <c r="U41" s="42">
        <v>0.3</v>
      </c>
      <c r="V41" s="42">
        <v>0.15</v>
      </c>
      <c r="W41" s="42">
        <v>0.1</v>
      </c>
      <c r="X41" s="42">
        <v>0.05</v>
      </c>
      <c r="Y41" s="42">
        <v>0.05</v>
      </c>
      <c r="Z41" s="640">
        <v>0.05</v>
      </c>
      <c r="AB41" s="759">
        <v>1</v>
      </c>
      <c r="AC41" s="707" t="s">
        <v>1729</v>
      </c>
      <c r="AD41" s="707"/>
      <c r="AE41" s="707"/>
      <c r="AF41" s="707"/>
      <c r="AG41" s="1143">
        <v>2.5999999999999999E-2</v>
      </c>
    </row>
    <row r="42" spans="1:33" x14ac:dyDescent="0.2">
      <c r="A42" s="241" t="s">
        <v>1125</v>
      </c>
      <c r="B42" s="241" t="s">
        <v>1876</v>
      </c>
      <c r="E42" s="659" t="s">
        <v>612</v>
      </c>
      <c r="F42" s="37">
        <v>3</v>
      </c>
      <c r="H42" s="1582"/>
      <c r="I42" s="1367" t="s">
        <v>1927</v>
      </c>
      <c r="J42" s="1368">
        <v>0.05</v>
      </c>
      <c r="K42" s="1369">
        <v>7.5999999999999998E-2</v>
      </c>
      <c r="L42" s="1370">
        <v>0.39100000000000001</v>
      </c>
      <c r="M42" s="1371">
        <v>9.9000000000000005E-2</v>
      </c>
      <c r="N42" s="1371">
        <v>0.04</v>
      </c>
      <c r="O42" s="1372">
        <v>1.9E-2</v>
      </c>
      <c r="P42" s="621"/>
      <c r="Q42" s="639">
        <v>3</v>
      </c>
      <c r="R42" s="645" t="s">
        <v>21</v>
      </c>
      <c r="S42" s="651" t="s">
        <v>509</v>
      </c>
      <c r="T42" s="648">
        <v>0.5</v>
      </c>
      <c r="U42" s="42">
        <v>0.3</v>
      </c>
      <c r="V42" s="42">
        <v>0.15</v>
      </c>
      <c r="W42" s="42">
        <v>0.1</v>
      </c>
      <c r="X42" s="42">
        <v>0.05</v>
      </c>
      <c r="Y42" s="42">
        <v>0.05</v>
      </c>
      <c r="Z42" s="640">
        <v>0.05</v>
      </c>
      <c r="AB42" s="759">
        <v>2</v>
      </c>
      <c r="AC42" s="707" t="s">
        <v>1730</v>
      </c>
      <c r="AD42" s="707"/>
      <c r="AE42" s="707"/>
      <c r="AF42" s="707"/>
      <c r="AG42" s="1143">
        <v>2.5999999999999999E-2</v>
      </c>
    </row>
    <row r="43" spans="1:33" x14ac:dyDescent="0.2">
      <c r="A43" s="24">
        <v>80</v>
      </c>
      <c r="B43" s="14">
        <v>1</v>
      </c>
      <c r="E43" s="659" t="s">
        <v>613</v>
      </c>
      <c r="F43" s="37">
        <v>2</v>
      </c>
      <c r="H43" s="1582"/>
      <c r="I43" s="1373" t="s">
        <v>1928</v>
      </c>
      <c r="J43" s="1374">
        <v>0.05</v>
      </c>
      <c r="K43" s="1375">
        <v>8.2000000000000003E-2</v>
      </c>
      <c r="L43" s="1376">
        <v>0.40799999999999997</v>
      </c>
      <c r="M43" s="1377">
        <v>0.111</v>
      </c>
      <c r="N43" s="1377">
        <v>4.7E-2</v>
      </c>
      <c r="O43" s="1378">
        <v>2.4E-2</v>
      </c>
      <c r="P43" s="621"/>
      <c r="Q43" s="639">
        <v>3</v>
      </c>
      <c r="R43" s="645" t="s">
        <v>461</v>
      </c>
      <c r="S43" s="651" t="s">
        <v>510</v>
      </c>
      <c r="T43" s="648">
        <v>0.5</v>
      </c>
      <c r="U43" s="42">
        <v>0.3</v>
      </c>
      <c r="V43" s="42">
        <v>0.15</v>
      </c>
      <c r="W43" s="42">
        <v>0.1</v>
      </c>
      <c r="X43" s="42">
        <v>0.05</v>
      </c>
      <c r="Y43" s="42">
        <v>0.05</v>
      </c>
      <c r="Z43" s="640">
        <v>0.05</v>
      </c>
      <c r="AB43" s="759">
        <v>3</v>
      </c>
      <c r="AC43" s="707" t="s">
        <v>1731</v>
      </c>
      <c r="AD43" s="707"/>
      <c r="AE43" s="707"/>
      <c r="AF43" s="707"/>
      <c r="AG43" s="1143">
        <v>2.5999999999999999E-2</v>
      </c>
    </row>
    <row r="44" spans="1:33" x14ac:dyDescent="0.2">
      <c r="A44" s="24">
        <v>90</v>
      </c>
      <c r="B44" s="14">
        <v>0.95</v>
      </c>
      <c r="E44" s="659" t="s">
        <v>614</v>
      </c>
      <c r="F44" s="37">
        <v>4</v>
      </c>
      <c r="H44" s="1582"/>
      <c r="I44" s="1367" t="s">
        <v>1929</v>
      </c>
      <c r="J44" s="1368">
        <v>0.1</v>
      </c>
      <c r="K44" s="1369">
        <v>0.109</v>
      </c>
      <c r="L44" s="1370">
        <v>0.48399999999999999</v>
      </c>
      <c r="M44" s="1371">
        <v>0.13100000000000001</v>
      </c>
      <c r="N44" s="1371">
        <v>5.2999999999999999E-2</v>
      </c>
      <c r="O44" s="1372">
        <v>2.5000000000000001E-2</v>
      </c>
      <c r="P44" s="621"/>
      <c r="Q44" s="639">
        <v>3</v>
      </c>
      <c r="R44" s="645" t="s">
        <v>23</v>
      </c>
      <c r="S44" s="651" t="s">
        <v>511</v>
      </c>
      <c r="T44" s="648" t="s">
        <v>1900</v>
      </c>
      <c r="U44" s="42">
        <v>0.75</v>
      </c>
      <c r="V44" s="42">
        <v>0.55000000000000004</v>
      </c>
      <c r="W44" s="42">
        <v>0.4</v>
      </c>
      <c r="X44" s="42">
        <v>0.3</v>
      </c>
      <c r="Y44" s="42">
        <v>0.2</v>
      </c>
      <c r="Z44" s="640">
        <v>0.15</v>
      </c>
      <c r="AB44" s="759">
        <v>4</v>
      </c>
      <c r="AC44" s="707" t="s">
        <v>1735</v>
      </c>
      <c r="AD44" s="707"/>
      <c r="AE44" s="707"/>
      <c r="AF44" s="707"/>
      <c r="AG44" s="1143">
        <v>2.5999999999999999E-2</v>
      </c>
    </row>
    <row r="45" spans="1:33" x14ac:dyDescent="0.2">
      <c r="A45" s="24">
        <v>100</v>
      </c>
      <c r="B45" s="14">
        <v>0.9</v>
      </c>
      <c r="E45" s="659" t="s">
        <v>149</v>
      </c>
      <c r="F45" s="37">
        <v>3</v>
      </c>
      <c r="H45" s="1582"/>
      <c r="I45" s="1373" t="s">
        <v>1930</v>
      </c>
      <c r="J45" s="1374">
        <v>0.1</v>
      </c>
      <c r="K45" s="1375">
        <v>8.7999999999999995E-2</v>
      </c>
      <c r="L45" s="1376">
        <v>0.42</v>
      </c>
      <c r="M45" s="1377">
        <v>0.111</v>
      </c>
      <c r="N45" s="1377">
        <v>4.3999999999999997E-2</v>
      </c>
      <c r="O45" s="1378">
        <v>2.1000000000000001E-2</v>
      </c>
      <c r="P45" s="621"/>
      <c r="Q45" s="639">
        <v>3</v>
      </c>
      <c r="R45" s="645" t="s">
        <v>25</v>
      </c>
      <c r="S45" s="651" t="s">
        <v>512</v>
      </c>
      <c r="T45" s="648" t="s">
        <v>1900</v>
      </c>
      <c r="U45" s="42">
        <v>0.75</v>
      </c>
      <c r="V45" s="42">
        <v>0.55000000000000004</v>
      </c>
      <c r="W45" s="42">
        <v>0.4</v>
      </c>
      <c r="X45" s="42">
        <v>0.3</v>
      </c>
      <c r="Y45" s="42">
        <v>0.2</v>
      </c>
      <c r="Z45" s="640">
        <v>0.15</v>
      </c>
      <c r="AB45" s="759">
        <v>5</v>
      </c>
      <c r="AC45" s="707" t="s">
        <v>1734</v>
      </c>
      <c r="AD45" s="707"/>
      <c r="AE45" s="707"/>
      <c r="AF45" s="707"/>
      <c r="AG45" s="1143">
        <v>0.04</v>
      </c>
    </row>
    <row r="46" spans="1:33" x14ac:dyDescent="0.2">
      <c r="E46" s="659" t="s">
        <v>150</v>
      </c>
      <c r="F46" s="37">
        <v>2</v>
      </c>
      <c r="H46" s="1582"/>
      <c r="I46" s="1367" t="s">
        <v>1931</v>
      </c>
      <c r="J46" s="1368">
        <v>0.05</v>
      </c>
      <c r="K46" s="1369">
        <v>0.126</v>
      </c>
      <c r="L46" s="1370">
        <v>0.57099999999999995</v>
      </c>
      <c r="M46" s="1371">
        <v>0.154</v>
      </c>
      <c r="N46" s="1371">
        <v>6.6000000000000003E-2</v>
      </c>
      <c r="O46" s="1372">
        <v>3.2000000000000001E-2</v>
      </c>
      <c r="P46" s="621"/>
      <c r="Q46" s="639">
        <v>3</v>
      </c>
      <c r="R46" s="645" t="s">
        <v>462</v>
      </c>
      <c r="S46" s="651" t="s">
        <v>513</v>
      </c>
      <c r="T46" s="648" t="s">
        <v>1900</v>
      </c>
      <c r="U46" s="42">
        <v>0.75</v>
      </c>
      <c r="V46" s="42">
        <v>0.55000000000000004</v>
      </c>
      <c r="W46" s="42">
        <v>0.4</v>
      </c>
      <c r="X46" s="42">
        <v>0.3</v>
      </c>
      <c r="Y46" s="42">
        <v>0.2</v>
      </c>
      <c r="Z46" s="640">
        <v>0.15</v>
      </c>
      <c r="AB46" s="251">
        <v>6</v>
      </c>
      <c r="AC46" s="433" t="s">
        <v>1736</v>
      </c>
      <c r="AD46" s="433"/>
      <c r="AE46" s="433"/>
      <c r="AF46" s="433"/>
      <c r="AG46" s="1144">
        <v>0.04</v>
      </c>
    </row>
    <row r="47" spans="1:33" x14ac:dyDescent="0.2">
      <c r="A47" s="5" t="s">
        <v>295</v>
      </c>
      <c r="E47" s="659" t="s">
        <v>151</v>
      </c>
      <c r="F47" s="37">
        <v>3</v>
      </c>
      <c r="H47" s="1582"/>
      <c r="I47" s="1373" t="s">
        <v>1932</v>
      </c>
      <c r="J47" s="1374">
        <v>0.1</v>
      </c>
      <c r="K47" s="1375">
        <v>0.13800000000000001</v>
      </c>
      <c r="L47" s="1376">
        <v>0.629</v>
      </c>
      <c r="M47" s="1377">
        <v>0.158</v>
      </c>
      <c r="N47" s="1377">
        <v>6.2E-2</v>
      </c>
      <c r="O47" s="1378">
        <v>2.8000000000000001E-2</v>
      </c>
      <c r="P47" s="621"/>
      <c r="Q47" s="639">
        <v>3</v>
      </c>
      <c r="R47" s="645" t="s">
        <v>26</v>
      </c>
      <c r="S47" s="651" t="s">
        <v>514</v>
      </c>
      <c r="T47" s="648" t="s">
        <v>1900</v>
      </c>
      <c r="U47" s="42">
        <v>0.75</v>
      </c>
      <c r="V47" s="42">
        <v>0.55000000000000004</v>
      </c>
      <c r="W47" s="42">
        <v>0.4</v>
      </c>
      <c r="X47" s="42">
        <v>0.3</v>
      </c>
      <c r="Y47" s="42">
        <v>0.2</v>
      </c>
      <c r="Z47" s="640">
        <v>0.15</v>
      </c>
      <c r="AB47"/>
      <c r="AE47"/>
    </row>
    <row r="48" spans="1:33" x14ac:dyDescent="0.2">
      <c r="A48" s="5"/>
      <c r="B48" s="177" t="s">
        <v>1370</v>
      </c>
      <c r="E48" s="659" t="s">
        <v>615</v>
      </c>
      <c r="F48" s="37">
        <v>2</v>
      </c>
      <c r="H48" s="1582"/>
      <c r="I48" s="1367" t="s">
        <v>1933</v>
      </c>
      <c r="J48" s="1368">
        <v>0.1</v>
      </c>
      <c r="K48" s="1369">
        <v>0.13500000000000001</v>
      </c>
      <c r="L48" s="1370">
        <v>0.56399999999999995</v>
      </c>
      <c r="M48" s="1371">
        <v>0.158</v>
      </c>
      <c r="N48" s="1371">
        <v>7.3999999999999996E-2</v>
      </c>
      <c r="O48" s="1372">
        <v>2.9000000000000001E-2</v>
      </c>
      <c r="P48" s="621"/>
      <c r="Q48" s="639">
        <v>3</v>
      </c>
      <c r="R48" s="645" t="s">
        <v>27</v>
      </c>
      <c r="S48" s="651" t="s">
        <v>515</v>
      </c>
      <c r="T48" s="648" t="s">
        <v>1900</v>
      </c>
      <c r="U48" s="42">
        <v>0.75</v>
      </c>
      <c r="V48" s="42">
        <v>0.55000000000000004</v>
      </c>
      <c r="W48" s="42">
        <v>0.4</v>
      </c>
      <c r="X48" s="42">
        <v>0.3</v>
      </c>
      <c r="Y48" s="42">
        <v>0.2</v>
      </c>
      <c r="Z48" s="640">
        <v>0.15</v>
      </c>
      <c r="AB48" s="5" t="s">
        <v>1737</v>
      </c>
      <c r="AE48"/>
    </row>
    <row r="49" spans="1:33" ht="13.5" thickBot="1" x14ac:dyDescent="0.25">
      <c r="A49" s="241" t="s">
        <v>1531</v>
      </c>
      <c r="B49" s="241" t="s">
        <v>296</v>
      </c>
      <c r="E49" s="659" t="s">
        <v>616</v>
      </c>
      <c r="F49" s="37">
        <v>3</v>
      </c>
      <c r="H49" s="1583"/>
      <c r="I49" s="1385" t="s">
        <v>1934</v>
      </c>
      <c r="J49" s="1386">
        <v>0.1</v>
      </c>
      <c r="K49" s="1387">
        <v>0.182</v>
      </c>
      <c r="L49" s="1388">
        <v>0.77500000000000002</v>
      </c>
      <c r="M49" s="1389">
        <v>0.21199999999999999</v>
      </c>
      <c r="N49" s="1389">
        <v>8.5999999999999993E-2</v>
      </c>
      <c r="O49" s="1390">
        <v>0.04</v>
      </c>
      <c r="P49" s="621"/>
      <c r="Q49" s="641">
        <v>3</v>
      </c>
      <c r="R49" s="646" t="s">
        <v>463</v>
      </c>
      <c r="S49" s="652" t="s">
        <v>516</v>
      </c>
      <c r="T49" s="649" t="s">
        <v>1900</v>
      </c>
      <c r="U49" s="637">
        <v>0.6</v>
      </c>
      <c r="V49" s="637">
        <v>0.4</v>
      </c>
      <c r="W49" s="637">
        <v>0.25</v>
      </c>
      <c r="X49" s="637">
        <v>0.15</v>
      </c>
      <c r="Y49" s="637">
        <v>0.1</v>
      </c>
      <c r="Z49" s="642">
        <v>0.05</v>
      </c>
      <c r="AB49"/>
      <c r="AE49"/>
      <c r="AG49" s="177" t="s">
        <v>1739</v>
      </c>
    </row>
    <row r="50" spans="1:33" ht="12.75" customHeight="1" x14ac:dyDescent="0.2">
      <c r="A50" s="24">
        <v>1</v>
      </c>
      <c r="B50" s="24">
        <v>1</v>
      </c>
      <c r="E50" s="659" t="s">
        <v>617</v>
      </c>
      <c r="F50" s="37">
        <v>3</v>
      </c>
      <c r="H50" s="1581" t="s">
        <v>1935</v>
      </c>
      <c r="I50" s="1361" t="s">
        <v>1936</v>
      </c>
      <c r="J50" s="1362">
        <v>0.05</v>
      </c>
      <c r="K50" s="1363">
        <v>2.7E-2</v>
      </c>
      <c r="L50" s="1364">
        <v>0.21099999999999999</v>
      </c>
      <c r="M50" s="1365">
        <v>4.7E-2</v>
      </c>
      <c r="N50" s="1365">
        <v>0.02</v>
      </c>
      <c r="O50" s="1366">
        <v>0.01</v>
      </c>
      <c r="P50" s="621"/>
      <c r="Q50" s="672"/>
      <c r="R50" s="672"/>
      <c r="S50" s="673"/>
      <c r="T50" s="674"/>
      <c r="U50" s="622"/>
      <c r="V50" s="622"/>
      <c r="W50" s="622"/>
      <c r="X50" s="622"/>
      <c r="Y50" s="622"/>
      <c r="AB50" s="240" t="s">
        <v>844</v>
      </c>
      <c r="AC50" s="380" t="s">
        <v>1728</v>
      </c>
      <c r="AD50" s="380"/>
      <c r="AE50" s="380"/>
      <c r="AF50" s="380"/>
      <c r="AG50" s="240" t="s">
        <v>1031</v>
      </c>
    </row>
    <row r="51" spans="1:33" x14ac:dyDescent="0.2">
      <c r="E51" s="659" t="s">
        <v>618</v>
      </c>
      <c r="F51" s="37">
        <v>4</v>
      </c>
      <c r="H51" s="1582"/>
      <c r="I51" s="1367" t="s">
        <v>1937</v>
      </c>
      <c r="J51" s="1368">
        <v>0.05</v>
      </c>
      <c r="K51" s="1369">
        <v>2.7E-2</v>
      </c>
      <c r="L51" s="1370">
        <v>0.21099999999999999</v>
      </c>
      <c r="M51" s="1371">
        <v>4.7E-2</v>
      </c>
      <c r="N51" s="1371">
        <v>0.02</v>
      </c>
      <c r="O51" s="1372">
        <v>0.01</v>
      </c>
      <c r="P51" s="621"/>
      <c r="AB51" s="759">
        <v>1</v>
      </c>
      <c r="AC51" s="707" t="s">
        <v>1729</v>
      </c>
      <c r="AD51" s="707"/>
      <c r="AE51" s="707"/>
      <c r="AF51" s="707"/>
      <c r="AG51" s="1143">
        <v>1.6E-2</v>
      </c>
    </row>
    <row r="52" spans="1:33" ht="13.5" thickBot="1" x14ac:dyDescent="0.25">
      <c r="E52" s="659" t="s">
        <v>152</v>
      </c>
      <c r="F52" s="37">
        <v>2</v>
      </c>
      <c r="H52" s="1582"/>
      <c r="I52" s="1373" t="s">
        <v>1938</v>
      </c>
      <c r="J52" s="1374">
        <v>0.05</v>
      </c>
      <c r="K52" s="1375">
        <v>6.0000000000000001E-3</v>
      </c>
      <c r="L52" s="1376">
        <v>0.10199999999999999</v>
      </c>
      <c r="M52" s="1377">
        <v>2.1999999999999999E-2</v>
      </c>
      <c r="N52" s="1377">
        <v>0.01</v>
      </c>
      <c r="O52" s="1378">
        <v>6.0000000000000001E-3</v>
      </c>
      <c r="P52" s="621"/>
      <c r="Q52" s="246" t="s">
        <v>464</v>
      </c>
      <c r="AB52" s="759">
        <v>2</v>
      </c>
      <c r="AC52" s="707" t="s">
        <v>1730</v>
      </c>
      <c r="AD52" s="707"/>
      <c r="AE52" s="707"/>
      <c r="AF52" s="707"/>
      <c r="AG52" s="1143">
        <v>1.6E-2</v>
      </c>
    </row>
    <row r="53" spans="1:33" x14ac:dyDescent="0.2">
      <c r="A53" s="5" t="s">
        <v>1726</v>
      </c>
      <c r="E53" s="659" t="s">
        <v>153</v>
      </c>
      <c r="F53" s="37">
        <v>1</v>
      </c>
      <c r="H53" s="1582"/>
      <c r="I53" s="1367" t="s">
        <v>1939</v>
      </c>
      <c r="J53" s="1368">
        <v>0.05</v>
      </c>
      <c r="K53" s="1369">
        <v>6.0000000000000001E-3</v>
      </c>
      <c r="L53" s="1370">
        <v>0.10199999999999999</v>
      </c>
      <c r="M53" s="1371">
        <v>2.1999999999999999E-2</v>
      </c>
      <c r="N53" s="1371">
        <v>0.01</v>
      </c>
      <c r="O53" s="1372">
        <v>6.0000000000000001E-3</v>
      </c>
      <c r="P53" s="621"/>
      <c r="Q53" s="363" t="s">
        <v>465</v>
      </c>
      <c r="R53" s="1590" t="s">
        <v>466</v>
      </c>
      <c r="S53" s="1591"/>
      <c r="T53" s="1592"/>
      <c r="U53" s="1547" t="s">
        <v>467</v>
      </c>
      <c r="V53" s="1552"/>
      <c r="W53" s="1548"/>
      <c r="AB53" s="759">
        <v>3</v>
      </c>
      <c r="AC53" s="707" t="s">
        <v>1731</v>
      </c>
      <c r="AD53" s="707"/>
      <c r="AE53" s="707"/>
      <c r="AF53" s="707"/>
      <c r="AG53" s="1143">
        <v>1.6E-2</v>
      </c>
    </row>
    <row r="54" spans="1:33" x14ac:dyDescent="0.2">
      <c r="A54" s="554">
        <v>0.1</v>
      </c>
      <c r="B54" s="170" t="s">
        <v>1725</v>
      </c>
      <c r="E54" s="659" t="s">
        <v>154</v>
      </c>
      <c r="F54" s="37">
        <v>3</v>
      </c>
      <c r="H54" s="1582"/>
      <c r="I54" s="1373" t="s">
        <v>1940</v>
      </c>
      <c r="J54" s="1374">
        <v>0.05</v>
      </c>
      <c r="K54" s="1375">
        <v>1.7000000000000001E-2</v>
      </c>
      <c r="L54" s="1376">
        <v>0.122</v>
      </c>
      <c r="M54" s="1377">
        <v>0.03</v>
      </c>
      <c r="N54" s="1377">
        <v>1.2E-2</v>
      </c>
      <c r="O54" s="1378">
        <v>5.0000000000000001E-3</v>
      </c>
      <c r="P54" s="621"/>
      <c r="Q54" s="623" t="s">
        <v>19</v>
      </c>
      <c r="R54" s="624" t="s">
        <v>468</v>
      </c>
      <c r="S54" s="615" t="s">
        <v>469</v>
      </c>
      <c r="T54" s="625" t="s">
        <v>470</v>
      </c>
      <c r="U54" s="624" t="s">
        <v>468</v>
      </c>
      <c r="V54" s="615" t="s">
        <v>469</v>
      </c>
      <c r="W54" s="625" t="s">
        <v>470</v>
      </c>
      <c r="AB54" s="759">
        <v>4</v>
      </c>
      <c r="AC54" s="707" t="s">
        <v>1735</v>
      </c>
      <c r="AD54" s="707"/>
      <c r="AE54" s="707"/>
      <c r="AF54" s="707"/>
      <c r="AG54" s="1143">
        <v>1.6E-2</v>
      </c>
    </row>
    <row r="55" spans="1:33" x14ac:dyDescent="0.2">
      <c r="E55" s="659" t="s">
        <v>619</v>
      </c>
      <c r="F55" s="37">
        <v>3</v>
      </c>
      <c r="H55" s="1582"/>
      <c r="I55" s="1367" t="s">
        <v>1941</v>
      </c>
      <c r="J55" s="1368">
        <v>0.05</v>
      </c>
      <c r="K55" s="1369">
        <v>1.9E-2</v>
      </c>
      <c r="L55" s="1370">
        <v>0.14000000000000001</v>
      </c>
      <c r="M55" s="1371">
        <v>3.4000000000000002E-2</v>
      </c>
      <c r="N55" s="1371">
        <v>1.2999999999999999E-2</v>
      </c>
      <c r="O55" s="1372">
        <v>7.0000000000000001E-3</v>
      </c>
      <c r="P55" s="621"/>
      <c r="Q55" s="626" t="s">
        <v>20</v>
      </c>
      <c r="R55" s="627">
        <v>1</v>
      </c>
      <c r="S55" s="628">
        <v>1</v>
      </c>
      <c r="T55" s="629">
        <v>1</v>
      </c>
      <c r="U55" s="627">
        <v>1</v>
      </c>
      <c r="V55" s="628">
        <v>1</v>
      </c>
      <c r="W55" s="629">
        <v>1</v>
      </c>
      <c r="AB55" s="759">
        <v>5</v>
      </c>
      <c r="AC55" s="707" t="s">
        <v>1734</v>
      </c>
      <c r="AD55" s="707"/>
      <c r="AE55" s="707"/>
      <c r="AF55" s="707"/>
      <c r="AG55" s="1143">
        <v>2.4E-2</v>
      </c>
    </row>
    <row r="56" spans="1:33" x14ac:dyDescent="0.2">
      <c r="E56" s="659" t="s">
        <v>620</v>
      </c>
      <c r="F56" s="37">
        <v>2</v>
      </c>
      <c r="H56" s="1582"/>
      <c r="I56" s="1373" t="s">
        <v>1942</v>
      </c>
      <c r="J56" s="1374">
        <v>0.1</v>
      </c>
      <c r="K56" s="1375">
        <v>1.4E-2</v>
      </c>
      <c r="L56" s="1376">
        <v>0.111</v>
      </c>
      <c r="M56" s="1377">
        <v>2.4E-2</v>
      </c>
      <c r="N56" s="1377">
        <v>8.9999999999999993E-3</v>
      </c>
      <c r="O56" s="1378">
        <v>5.0000000000000001E-3</v>
      </c>
      <c r="P56" s="621"/>
      <c r="Q56" s="630" t="s">
        <v>457</v>
      </c>
      <c r="R56" s="627">
        <v>1</v>
      </c>
      <c r="S56" s="628">
        <v>1</v>
      </c>
      <c r="T56" s="629">
        <v>1</v>
      </c>
      <c r="U56" s="627">
        <v>1</v>
      </c>
      <c r="V56" s="628">
        <v>1</v>
      </c>
      <c r="W56" s="629">
        <v>1</v>
      </c>
      <c r="AB56" s="251">
        <v>6</v>
      </c>
      <c r="AC56" s="433" t="s">
        <v>1736</v>
      </c>
      <c r="AD56" s="433"/>
      <c r="AE56" s="433"/>
      <c r="AF56" s="433"/>
      <c r="AG56" s="1144">
        <v>2.4E-2</v>
      </c>
    </row>
    <row r="57" spans="1:33" x14ac:dyDescent="0.2">
      <c r="E57" s="659" t="s">
        <v>621</v>
      </c>
      <c r="F57" s="37">
        <v>2</v>
      </c>
      <c r="H57" s="1582"/>
      <c r="I57" s="1367" t="s">
        <v>1943</v>
      </c>
      <c r="J57" s="1368">
        <v>0.05</v>
      </c>
      <c r="K57" s="1369">
        <v>2.1000000000000001E-2</v>
      </c>
      <c r="L57" s="1370">
        <v>0.14299999999999999</v>
      </c>
      <c r="M57" s="1371">
        <v>3.4000000000000002E-2</v>
      </c>
      <c r="N57" s="1371">
        <v>1.2999999999999999E-2</v>
      </c>
      <c r="O57" s="1372">
        <v>7.0000000000000001E-3</v>
      </c>
      <c r="P57" s="621"/>
      <c r="Q57" s="626" t="s">
        <v>460</v>
      </c>
      <c r="R57" s="627">
        <v>1</v>
      </c>
      <c r="S57" s="628">
        <v>1</v>
      </c>
      <c r="T57" s="629">
        <v>1</v>
      </c>
      <c r="U57" s="627">
        <v>1</v>
      </c>
      <c r="V57" s="628">
        <v>1</v>
      </c>
      <c r="W57" s="629">
        <v>1</v>
      </c>
    </row>
    <row r="58" spans="1:33" x14ac:dyDescent="0.2">
      <c r="E58" s="659" t="s">
        <v>622</v>
      </c>
      <c r="F58" s="37">
        <v>3</v>
      </c>
      <c r="H58" s="1582"/>
      <c r="I58" s="1373" t="s">
        <v>1944</v>
      </c>
      <c r="J58" s="1374">
        <v>0.05</v>
      </c>
      <c r="K58" s="1375">
        <v>2.4E-2</v>
      </c>
      <c r="L58" s="1376">
        <v>0.158</v>
      </c>
      <c r="M58" s="1377">
        <v>3.7999999999999999E-2</v>
      </c>
      <c r="N58" s="1377">
        <v>1.4999999999999999E-2</v>
      </c>
      <c r="O58" s="1378">
        <v>8.0000000000000002E-3</v>
      </c>
      <c r="P58" s="621"/>
      <c r="Q58" s="626" t="s">
        <v>21</v>
      </c>
      <c r="R58" s="627">
        <v>1</v>
      </c>
      <c r="S58" s="628">
        <v>1</v>
      </c>
      <c r="T58" s="629">
        <v>1</v>
      </c>
      <c r="U58" s="627">
        <v>1</v>
      </c>
      <c r="V58" s="628">
        <v>1</v>
      </c>
      <c r="W58" s="629">
        <v>1</v>
      </c>
    </row>
    <row r="59" spans="1:33" x14ac:dyDescent="0.2">
      <c r="E59" s="659" t="s">
        <v>623</v>
      </c>
      <c r="F59" s="37">
        <v>2</v>
      </c>
      <c r="H59" s="1582"/>
      <c r="I59" s="1367" t="s">
        <v>1945</v>
      </c>
      <c r="J59" s="1368">
        <v>0.1</v>
      </c>
      <c r="K59" s="1369">
        <v>2.8000000000000001E-2</v>
      </c>
      <c r="L59" s="1370">
        <v>0.17299999999999999</v>
      </c>
      <c r="M59" s="1371">
        <v>3.9E-2</v>
      </c>
      <c r="N59" s="1371">
        <v>1.4E-2</v>
      </c>
      <c r="O59" s="1372">
        <v>7.0000000000000001E-3</v>
      </c>
      <c r="P59" s="621"/>
      <c r="Q59" s="626" t="s">
        <v>458</v>
      </c>
      <c r="R59" s="627">
        <v>1</v>
      </c>
      <c r="S59" s="628">
        <v>1</v>
      </c>
      <c r="T59" s="629">
        <v>1</v>
      </c>
      <c r="U59" s="627">
        <v>1</v>
      </c>
      <c r="V59" s="628">
        <v>1</v>
      </c>
      <c r="W59" s="629">
        <v>1</v>
      </c>
    </row>
    <row r="60" spans="1:33" ht="12.75" customHeight="1" x14ac:dyDescent="0.2">
      <c r="E60" s="659" t="s">
        <v>155</v>
      </c>
      <c r="F60" s="37">
        <v>4</v>
      </c>
      <c r="H60" s="1582"/>
      <c r="I60" s="1373" t="s">
        <v>1946</v>
      </c>
      <c r="J60" s="1374">
        <v>0.1</v>
      </c>
      <c r="K60" s="1375">
        <v>2.3E-2</v>
      </c>
      <c r="L60" s="1376">
        <v>0.16</v>
      </c>
      <c r="M60" s="1377">
        <v>3.5000000000000003E-2</v>
      </c>
      <c r="N60" s="1377">
        <v>1.2E-2</v>
      </c>
      <c r="O60" s="1378">
        <v>7.0000000000000001E-3</v>
      </c>
      <c r="P60" s="621"/>
      <c r="Q60" s="626" t="s">
        <v>22</v>
      </c>
      <c r="R60" s="627">
        <v>1</v>
      </c>
      <c r="S60" s="628">
        <v>1</v>
      </c>
      <c r="T60" s="629">
        <v>1</v>
      </c>
      <c r="U60" s="627">
        <v>1</v>
      </c>
      <c r="V60" s="628">
        <v>1</v>
      </c>
      <c r="W60" s="629">
        <v>1</v>
      </c>
    </row>
    <row r="61" spans="1:33" x14ac:dyDescent="0.2">
      <c r="E61" s="659" t="s">
        <v>156</v>
      </c>
      <c r="F61" s="37">
        <v>3</v>
      </c>
      <c r="H61" s="1582"/>
      <c r="I61" s="1367" t="s">
        <v>1947</v>
      </c>
      <c r="J61" s="1368">
        <v>0.05</v>
      </c>
      <c r="K61" s="1369">
        <v>4.4999999999999998E-2</v>
      </c>
      <c r="L61" s="1370">
        <v>0.245</v>
      </c>
      <c r="M61" s="1371">
        <v>0.06</v>
      </c>
      <c r="N61" s="1371">
        <v>2.3E-2</v>
      </c>
      <c r="O61" s="1372">
        <v>1.2E-2</v>
      </c>
      <c r="P61" s="621"/>
      <c r="Q61" s="626" t="s">
        <v>23</v>
      </c>
      <c r="R61" s="627">
        <v>1</v>
      </c>
      <c r="S61" s="628">
        <v>1</v>
      </c>
      <c r="T61" s="629">
        <v>1</v>
      </c>
      <c r="U61" s="627">
        <v>1</v>
      </c>
      <c r="V61" s="628">
        <v>1</v>
      </c>
      <c r="W61" s="629">
        <v>1</v>
      </c>
    </row>
    <row r="62" spans="1:33" x14ac:dyDescent="0.2">
      <c r="E62" s="659" t="s">
        <v>157</v>
      </c>
      <c r="F62" s="37">
        <v>2</v>
      </c>
      <c r="H62" s="1582"/>
      <c r="I62" s="1373" t="s">
        <v>1948</v>
      </c>
      <c r="J62" s="1374">
        <v>0.1</v>
      </c>
      <c r="K62" s="1375">
        <v>4.1000000000000002E-2</v>
      </c>
      <c r="L62" s="1376">
        <v>0.24299999999999999</v>
      </c>
      <c r="M62" s="1377">
        <v>5.1999999999999998E-2</v>
      </c>
      <c r="N62" s="1377">
        <v>1.7000000000000001E-2</v>
      </c>
      <c r="O62" s="1378">
        <v>8.9999999999999993E-3</v>
      </c>
      <c r="P62" s="621"/>
      <c r="Q62" s="626" t="s">
        <v>461</v>
      </c>
      <c r="R62" s="627">
        <v>1</v>
      </c>
      <c r="S62" s="628">
        <v>1</v>
      </c>
      <c r="T62" s="629">
        <v>1</v>
      </c>
      <c r="U62" s="627">
        <v>1</v>
      </c>
      <c r="V62" s="628">
        <v>1</v>
      </c>
      <c r="W62" s="629">
        <v>1</v>
      </c>
    </row>
    <row r="63" spans="1:33" x14ac:dyDescent="0.2">
      <c r="E63" s="659" t="s">
        <v>158</v>
      </c>
      <c r="F63" s="37">
        <v>3</v>
      </c>
      <c r="H63" s="1582"/>
      <c r="I63" s="1367" t="s">
        <v>1949</v>
      </c>
      <c r="J63" s="1368">
        <v>0.1</v>
      </c>
      <c r="K63" s="1369">
        <v>4.7E-2</v>
      </c>
      <c r="L63" s="1370">
        <v>0.24399999999999999</v>
      </c>
      <c r="M63" s="1371">
        <v>0.06</v>
      </c>
      <c r="N63" s="1371">
        <v>2.5999999999999999E-2</v>
      </c>
      <c r="O63" s="1372">
        <v>1.0999999999999999E-2</v>
      </c>
      <c r="P63" s="621"/>
      <c r="Q63" s="626" t="s">
        <v>24</v>
      </c>
      <c r="R63" s="627">
        <v>1</v>
      </c>
      <c r="S63" s="628">
        <v>1</v>
      </c>
      <c r="T63" s="629">
        <v>1</v>
      </c>
      <c r="U63" s="627">
        <v>1</v>
      </c>
      <c r="V63" s="628">
        <v>1</v>
      </c>
      <c r="W63" s="629">
        <v>1</v>
      </c>
    </row>
    <row r="64" spans="1:33" ht="13.5" thickBot="1" x14ac:dyDescent="0.25">
      <c r="E64" s="659" t="s">
        <v>624</v>
      </c>
      <c r="F64" s="37">
        <v>3</v>
      </c>
      <c r="H64" s="1583"/>
      <c r="I64" s="1385" t="s">
        <v>1950</v>
      </c>
      <c r="J64" s="1386">
        <v>0.1</v>
      </c>
      <c r="K64" s="1387">
        <v>6.3E-2</v>
      </c>
      <c r="L64" s="1388">
        <v>0.34599999999999997</v>
      </c>
      <c r="M64" s="1389">
        <v>0.08</v>
      </c>
      <c r="N64" s="1389">
        <v>3.1E-2</v>
      </c>
      <c r="O64" s="1390">
        <v>1.4999999999999999E-2</v>
      </c>
      <c r="P64" s="621"/>
      <c r="Q64" s="626" t="s">
        <v>25</v>
      </c>
      <c r="R64" s="627">
        <v>1</v>
      </c>
      <c r="S64" s="628">
        <v>1</v>
      </c>
      <c r="T64" s="629">
        <v>1</v>
      </c>
      <c r="U64" s="627">
        <v>1</v>
      </c>
      <c r="V64" s="628">
        <v>1</v>
      </c>
      <c r="W64" s="629">
        <v>1</v>
      </c>
    </row>
    <row r="65" spans="5:26" ht="12.75" customHeight="1" x14ac:dyDescent="0.2">
      <c r="E65" s="659" t="s">
        <v>625</v>
      </c>
      <c r="F65" s="37">
        <v>2</v>
      </c>
      <c r="H65" s="1581" t="s">
        <v>1951</v>
      </c>
      <c r="I65" s="1361" t="s">
        <v>1952</v>
      </c>
      <c r="J65" s="1362">
        <v>0.05</v>
      </c>
      <c r="K65" s="1363">
        <v>5.0000000000000001E-3</v>
      </c>
      <c r="L65" s="1364">
        <v>2.5999999999999999E-2</v>
      </c>
      <c r="M65" s="1365">
        <v>7.0000000000000001E-3</v>
      </c>
      <c r="N65" s="1365">
        <v>4.0000000000000001E-3</v>
      </c>
      <c r="O65" s="1366">
        <v>2E-3</v>
      </c>
      <c r="P65" s="621"/>
      <c r="Q65" s="626" t="s">
        <v>462</v>
      </c>
      <c r="R65" s="627">
        <v>1</v>
      </c>
      <c r="S65" s="628">
        <v>1</v>
      </c>
      <c r="T65" s="629">
        <v>1</v>
      </c>
      <c r="U65" s="627">
        <v>1</v>
      </c>
      <c r="V65" s="628">
        <v>1</v>
      </c>
      <c r="W65" s="629">
        <v>1</v>
      </c>
    </row>
    <row r="66" spans="5:26" x14ac:dyDescent="0.2">
      <c r="E66" s="659" t="s">
        <v>626</v>
      </c>
      <c r="F66" s="37">
        <v>4</v>
      </c>
      <c r="H66" s="1582"/>
      <c r="I66" s="1367" t="s">
        <v>1953</v>
      </c>
      <c r="J66" s="1368">
        <v>0.05</v>
      </c>
      <c r="K66" s="1369">
        <v>5.0000000000000001E-3</v>
      </c>
      <c r="L66" s="1370">
        <v>2.5999999999999999E-2</v>
      </c>
      <c r="M66" s="1371">
        <v>7.0000000000000001E-3</v>
      </c>
      <c r="N66" s="1371">
        <v>4.0000000000000001E-3</v>
      </c>
      <c r="O66" s="1372">
        <v>2E-3</v>
      </c>
      <c r="P66" s="621"/>
      <c r="Q66" s="626" t="s">
        <v>459</v>
      </c>
      <c r="R66" s="627">
        <v>1</v>
      </c>
      <c r="S66" s="628">
        <v>1</v>
      </c>
      <c r="T66" s="629">
        <v>1</v>
      </c>
      <c r="U66" s="627">
        <v>1</v>
      </c>
      <c r="V66" s="628">
        <v>1</v>
      </c>
      <c r="W66" s="629">
        <v>1</v>
      </c>
    </row>
    <row r="67" spans="5:26" x14ac:dyDescent="0.2">
      <c r="E67" s="659" t="s">
        <v>627</v>
      </c>
      <c r="F67" s="37">
        <v>4</v>
      </c>
      <c r="H67" s="1582"/>
      <c r="I67" s="1373" t="s">
        <v>1954</v>
      </c>
      <c r="J67" s="1374">
        <v>0.05</v>
      </c>
      <c r="K67" s="1375">
        <v>3.0000000000000001E-3</v>
      </c>
      <c r="L67" s="1376">
        <v>2.1999999999999999E-2</v>
      </c>
      <c r="M67" s="1377">
        <v>6.0000000000000001E-3</v>
      </c>
      <c r="N67" s="1377">
        <v>3.0000000000000001E-3</v>
      </c>
      <c r="O67" s="1378">
        <v>2E-3</v>
      </c>
      <c r="P67" s="621"/>
      <c r="Q67" s="626" t="s">
        <v>463</v>
      </c>
      <c r="R67" s="627">
        <v>1</v>
      </c>
      <c r="S67" s="628">
        <v>1</v>
      </c>
      <c r="T67" s="629">
        <v>1</v>
      </c>
      <c r="U67" s="627">
        <v>1</v>
      </c>
      <c r="V67" s="628">
        <v>1</v>
      </c>
      <c r="W67" s="629">
        <v>1</v>
      </c>
    </row>
    <row r="68" spans="5:26" x14ac:dyDescent="0.2">
      <c r="E68" s="659" t="s">
        <v>628</v>
      </c>
      <c r="F68" s="37">
        <v>4</v>
      </c>
      <c r="H68" s="1582"/>
      <c r="I68" s="1367" t="s">
        <v>1955</v>
      </c>
      <c r="J68" s="1368">
        <v>0.05</v>
      </c>
      <c r="K68" s="1369">
        <v>3.0000000000000001E-3</v>
      </c>
      <c r="L68" s="1370">
        <v>2.1999999999999999E-2</v>
      </c>
      <c r="M68" s="1371">
        <v>6.0000000000000001E-3</v>
      </c>
      <c r="N68" s="1371">
        <v>3.0000000000000001E-3</v>
      </c>
      <c r="O68" s="1372">
        <v>2E-3</v>
      </c>
      <c r="P68" s="621"/>
      <c r="Q68" s="626" t="s">
        <v>26</v>
      </c>
      <c r="R68" s="627">
        <v>1</v>
      </c>
      <c r="S68" s="628">
        <v>1</v>
      </c>
      <c r="T68" s="629">
        <v>1</v>
      </c>
      <c r="U68" s="627">
        <v>1</v>
      </c>
      <c r="V68" s="628">
        <v>1</v>
      </c>
      <c r="W68" s="629">
        <v>1</v>
      </c>
    </row>
    <row r="69" spans="5:26" ht="13.5" thickBot="1" x14ac:dyDescent="0.25">
      <c r="E69" s="659" t="s">
        <v>629</v>
      </c>
      <c r="F69" s="37">
        <v>4</v>
      </c>
      <c r="H69" s="1582"/>
      <c r="I69" s="1373" t="s">
        <v>1956</v>
      </c>
      <c r="J69" s="1374">
        <v>0.05</v>
      </c>
      <c r="K69" s="1375">
        <v>4.0000000000000001E-3</v>
      </c>
      <c r="L69" s="1376">
        <v>1.7999999999999999E-2</v>
      </c>
      <c r="M69" s="1377">
        <v>5.0000000000000001E-3</v>
      </c>
      <c r="N69" s="1377">
        <v>3.0000000000000001E-3</v>
      </c>
      <c r="O69" s="1378">
        <v>1E-3</v>
      </c>
      <c r="P69" s="621"/>
      <c r="Q69" s="631" t="s">
        <v>27</v>
      </c>
      <c r="R69" s="632">
        <v>1</v>
      </c>
      <c r="S69" s="633">
        <v>1</v>
      </c>
      <c r="T69" s="634">
        <v>1</v>
      </c>
      <c r="U69" s="632">
        <v>1</v>
      </c>
      <c r="V69" s="633">
        <v>1</v>
      </c>
      <c r="W69" s="634">
        <v>1</v>
      </c>
    </row>
    <row r="70" spans="5:26" x14ac:dyDescent="0.2">
      <c r="E70" s="659" t="s">
        <v>630</v>
      </c>
      <c r="F70" s="37">
        <v>2</v>
      </c>
      <c r="H70" s="1582"/>
      <c r="I70" s="1367" t="s">
        <v>1957</v>
      </c>
      <c r="J70" s="1368">
        <v>0.05</v>
      </c>
      <c r="K70" s="1369">
        <v>5.0000000000000001E-3</v>
      </c>
      <c r="L70" s="1370">
        <v>2.1999999999999999E-2</v>
      </c>
      <c r="M70" s="1371">
        <v>7.0000000000000001E-3</v>
      </c>
      <c r="N70" s="1371">
        <v>3.0000000000000001E-3</v>
      </c>
      <c r="O70" s="1372">
        <v>2E-3</v>
      </c>
      <c r="P70" s="621"/>
      <c r="Q70" s="170" t="s">
        <v>313</v>
      </c>
    </row>
    <row r="71" spans="5:26" x14ac:dyDescent="0.2">
      <c r="E71" s="659" t="s">
        <v>159</v>
      </c>
      <c r="F71" s="37">
        <v>3</v>
      </c>
      <c r="H71" s="1582"/>
      <c r="I71" s="1373" t="s">
        <v>1958</v>
      </c>
      <c r="J71" s="1374">
        <v>0.1</v>
      </c>
      <c r="K71" s="1375">
        <v>4.0000000000000001E-3</v>
      </c>
      <c r="L71" s="1376">
        <v>1.6E-2</v>
      </c>
      <c r="M71" s="1377">
        <v>5.0000000000000001E-3</v>
      </c>
      <c r="N71" s="1377">
        <v>3.0000000000000001E-3</v>
      </c>
      <c r="O71" s="1378">
        <v>1E-3</v>
      </c>
      <c r="P71" s="621"/>
      <c r="V71" s="43" t="s">
        <v>312</v>
      </c>
    </row>
    <row r="72" spans="5:26" ht="13.5" thickBot="1" x14ac:dyDescent="0.25">
      <c r="E72" s="659" t="s">
        <v>160</v>
      </c>
      <c r="F72" s="37">
        <v>4</v>
      </c>
      <c r="H72" s="1582"/>
      <c r="I72" s="1367" t="s">
        <v>1959</v>
      </c>
      <c r="J72" s="1368">
        <v>0.05</v>
      </c>
      <c r="K72" s="1369">
        <v>4.0000000000000001E-3</v>
      </c>
      <c r="L72" s="1370">
        <v>2.3E-2</v>
      </c>
      <c r="M72" s="1371">
        <v>6.0000000000000001E-3</v>
      </c>
      <c r="N72" s="1371">
        <v>4.0000000000000001E-3</v>
      </c>
      <c r="O72" s="1372">
        <v>2E-3</v>
      </c>
      <c r="P72" s="621"/>
      <c r="Q72" s="54" t="s">
        <v>1057</v>
      </c>
      <c r="S72" s="206"/>
      <c r="V72" s="170" t="s">
        <v>676</v>
      </c>
      <c r="Z72" s="206" t="s">
        <v>1091</v>
      </c>
    </row>
    <row r="73" spans="5:26" ht="13.5" thickBot="1" x14ac:dyDescent="0.25">
      <c r="E73" s="659" t="s">
        <v>161</v>
      </c>
      <c r="F73" s="37">
        <v>3</v>
      </c>
      <c r="H73" s="1582"/>
      <c r="I73" s="1373" t="s">
        <v>1960</v>
      </c>
      <c r="J73" s="1374">
        <v>0.05</v>
      </c>
      <c r="K73" s="1375">
        <v>4.0000000000000001E-3</v>
      </c>
      <c r="L73" s="1376">
        <v>2.1000000000000001E-2</v>
      </c>
      <c r="M73" s="1377">
        <v>6.0000000000000001E-3</v>
      </c>
      <c r="N73" s="1377">
        <v>3.0000000000000001E-3</v>
      </c>
      <c r="O73" s="1378">
        <v>3.0000000000000001E-3</v>
      </c>
      <c r="P73" s="621"/>
      <c r="Q73" s="54"/>
      <c r="S73" s="206" t="s">
        <v>311</v>
      </c>
      <c r="V73" s="5" t="s">
        <v>1594</v>
      </c>
      <c r="W73" s="1578" t="s">
        <v>1089</v>
      </c>
      <c r="X73" s="1579"/>
      <c r="Y73" s="1579"/>
      <c r="Z73" s="1580"/>
    </row>
    <row r="74" spans="5:26" x14ac:dyDescent="0.2">
      <c r="E74" s="659" t="s">
        <v>631</v>
      </c>
      <c r="F74" s="37">
        <v>3</v>
      </c>
      <c r="H74" s="1582"/>
      <c r="I74" s="1367" t="s">
        <v>1961</v>
      </c>
      <c r="J74" s="1368">
        <v>0.1</v>
      </c>
      <c r="K74" s="1369">
        <v>5.0000000000000001E-3</v>
      </c>
      <c r="L74" s="1370">
        <v>2.1000000000000001E-2</v>
      </c>
      <c r="M74" s="1371">
        <v>6.0000000000000001E-3</v>
      </c>
      <c r="N74" s="1371">
        <v>4.0000000000000001E-3</v>
      </c>
      <c r="O74" s="1372">
        <v>2E-3</v>
      </c>
      <c r="P74" s="621"/>
      <c r="Q74" s="9" t="s">
        <v>1036</v>
      </c>
      <c r="R74" s="9" t="s">
        <v>1037</v>
      </c>
      <c r="S74" s="9" t="s">
        <v>1876</v>
      </c>
      <c r="U74" s="635"/>
      <c r="V74" s="584" t="s">
        <v>465</v>
      </c>
      <c r="W74" s="711" t="s">
        <v>1269</v>
      </c>
      <c r="X74" s="1575" t="s">
        <v>29</v>
      </c>
      <c r="Y74" s="1576"/>
      <c r="Z74" s="1577"/>
    </row>
    <row r="75" spans="5:26" ht="13.5" thickBot="1" x14ac:dyDescent="0.25">
      <c r="E75" s="659" t="s">
        <v>632</v>
      </c>
      <c r="F75" s="37">
        <v>3</v>
      </c>
      <c r="H75" s="1582"/>
      <c r="I75" s="1373" t="s">
        <v>1962</v>
      </c>
      <c r="J75" s="1374">
        <v>0.1</v>
      </c>
      <c r="K75" s="1375">
        <v>5.0000000000000001E-3</v>
      </c>
      <c r="L75" s="1376">
        <v>2.1999999999999999E-2</v>
      </c>
      <c r="M75" s="1377">
        <v>6.0000000000000001E-3</v>
      </c>
      <c r="N75" s="1377">
        <v>3.0000000000000001E-3</v>
      </c>
      <c r="O75" s="1378">
        <v>2E-3</v>
      </c>
      <c r="P75" s="621"/>
      <c r="Q75" s="38">
        <v>1</v>
      </c>
      <c r="R75" s="205" t="s">
        <v>1038</v>
      </c>
      <c r="S75" s="42">
        <v>0.9</v>
      </c>
      <c r="U75" s="635"/>
      <c r="V75" s="638" t="s">
        <v>19</v>
      </c>
      <c r="W75" s="712" t="s">
        <v>28</v>
      </c>
      <c r="X75" s="713" t="s">
        <v>30</v>
      </c>
      <c r="Y75" s="714" t="s">
        <v>1869</v>
      </c>
      <c r="Z75" s="715" t="s">
        <v>31</v>
      </c>
    </row>
    <row r="76" spans="5:26" x14ac:dyDescent="0.2">
      <c r="E76" s="659" t="s">
        <v>633</v>
      </c>
      <c r="F76" s="37">
        <v>2</v>
      </c>
      <c r="H76" s="1582"/>
      <c r="I76" s="1367" t="s">
        <v>1963</v>
      </c>
      <c r="J76" s="1368">
        <v>0.05</v>
      </c>
      <c r="K76" s="1369">
        <v>7.0000000000000001E-3</v>
      </c>
      <c r="L76" s="1370">
        <v>3.6999999999999998E-2</v>
      </c>
      <c r="M76" s="1371">
        <v>1.0999999999999999E-2</v>
      </c>
      <c r="N76" s="1371">
        <v>5.0000000000000001E-3</v>
      </c>
      <c r="O76" s="1372">
        <v>3.0000000000000001E-3</v>
      </c>
      <c r="P76" s="621"/>
      <c r="Q76" s="38">
        <v>2</v>
      </c>
      <c r="R76" s="205" t="s">
        <v>1039</v>
      </c>
      <c r="S76" s="42">
        <v>0.9</v>
      </c>
      <c r="V76" s="708" t="s">
        <v>20</v>
      </c>
      <c r="W76" s="716">
        <v>1.0999999999999999E-2</v>
      </c>
      <c r="X76" s="717">
        <v>1.0999999999999999E-2</v>
      </c>
      <c r="Y76" s="718">
        <v>1.7000000000000001E-2</v>
      </c>
      <c r="Z76" s="719">
        <v>2.1999999999999999E-2</v>
      </c>
    </row>
    <row r="77" spans="5:26" x14ac:dyDescent="0.2">
      <c r="E77" s="659" t="s">
        <v>634</v>
      </c>
      <c r="F77" s="37">
        <v>3</v>
      </c>
      <c r="H77" s="1582"/>
      <c r="I77" s="1373" t="s">
        <v>1964</v>
      </c>
      <c r="J77" s="1374">
        <v>0.1</v>
      </c>
      <c r="K77" s="1375">
        <v>6.0000000000000001E-3</v>
      </c>
      <c r="L77" s="1376">
        <v>2.9000000000000001E-2</v>
      </c>
      <c r="M77" s="1377">
        <v>8.0000000000000002E-3</v>
      </c>
      <c r="N77" s="1377">
        <v>4.0000000000000001E-3</v>
      </c>
      <c r="O77" s="1378">
        <v>2E-3</v>
      </c>
      <c r="P77" s="621"/>
      <c r="Q77" s="38">
        <v>3</v>
      </c>
      <c r="R77" s="205" t="s">
        <v>1040</v>
      </c>
      <c r="S77" s="42">
        <v>0.9</v>
      </c>
      <c r="V77" s="709" t="s">
        <v>457</v>
      </c>
      <c r="W77" s="716">
        <v>1.0999999999999999E-2</v>
      </c>
      <c r="X77" s="716">
        <v>1.0999999999999999E-2</v>
      </c>
      <c r="Y77" s="441">
        <v>1.7000000000000001E-2</v>
      </c>
      <c r="Z77" s="720">
        <v>2.1999999999999999E-2</v>
      </c>
    </row>
    <row r="78" spans="5:26" x14ac:dyDescent="0.2">
      <c r="E78" s="659" t="s">
        <v>635</v>
      </c>
      <c r="F78" s="37">
        <v>3</v>
      </c>
      <c r="H78" s="1582"/>
      <c r="I78" s="1367" t="s">
        <v>1965</v>
      </c>
      <c r="J78" s="1368">
        <v>0.1</v>
      </c>
      <c r="K78" s="1369">
        <v>7.0000000000000001E-3</v>
      </c>
      <c r="L78" s="1370">
        <v>3.5000000000000003E-2</v>
      </c>
      <c r="M78" s="1371">
        <v>8.9999999999999993E-3</v>
      </c>
      <c r="N78" s="1371">
        <v>5.0000000000000001E-3</v>
      </c>
      <c r="O78" s="1372">
        <v>3.0000000000000001E-3</v>
      </c>
      <c r="P78" s="621"/>
      <c r="Q78" s="38">
        <v>4</v>
      </c>
      <c r="R78" s="205" t="s">
        <v>1041</v>
      </c>
      <c r="S78" s="42">
        <v>0.94</v>
      </c>
      <c r="V78" s="708" t="s">
        <v>460</v>
      </c>
      <c r="W78" s="716">
        <v>1.0999999999999999E-2</v>
      </c>
      <c r="X78" s="716">
        <v>1.0999999999999999E-2</v>
      </c>
      <c r="Y78" s="441">
        <v>1.7000000000000001E-2</v>
      </c>
      <c r="Z78" s="720">
        <v>2.1999999999999999E-2</v>
      </c>
    </row>
    <row r="79" spans="5:26" ht="13.5" thickBot="1" x14ac:dyDescent="0.25">
      <c r="E79" s="659" t="s">
        <v>636</v>
      </c>
      <c r="F79" s="37">
        <v>2</v>
      </c>
      <c r="H79" s="1583"/>
      <c r="I79" s="1391" t="s">
        <v>1966</v>
      </c>
      <c r="J79" s="1392">
        <v>0.1</v>
      </c>
      <c r="K79" s="1393">
        <v>8.9999999999999993E-3</v>
      </c>
      <c r="L79" s="1394">
        <v>4.7E-2</v>
      </c>
      <c r="M79" s="1395">
        <v>1.4E-2</v>
      </c>
      <c r="N79" s="1395">
        <v>8.0000000000000002E-3</v>
      </c>
      <c r="O79" s="1396">
        <v>4.0000000000000001E-3</v>
      </c>
      <c r="P79" s="621"/>
      <c r="Q79" s="38">
        <v>5</v>
      </c>
      <c r="R79" s="205" t="s">
        <v>1042</v>
      </c>
      <c r="S79" s="42">
        <v>0.94</v>
      </c>
      <c r="V79" s="708" t="s">
        <v>21</v>
      </c>
      <c r="W79" s="716">
        <v>1.0999999999999999E-2</v>
      </c>
      <c r="X79" s="716">
        <v>1.0999999999999999E-2</v>
      </c>
      <c r="Y79" s="441">
        <v>1.7000000000000001E-2</v>
      </c>
      <c r="Z79" s="720">
        <v>2.1999999999999999E-2</v>
      </c>
    </row>
    <row r="80" spans="5:26" ht="12.75" customHeight="1" x14ac:dyDescent="0.2">
      <c r="E80" s="659" t="s">
        <v>162</v>
      </c>
      <c r="F80" s="37">
        <v>3</v>
      </c>
      <c r="P80" s="621"/>
      <c r="Q80" s="38">
        <v>6</v>
      </c>
      <c r="R80" s="205" t="s">
        <v>1043</v>
      </c>
      <c r="S80" s="42">
        <v>0.94</v>
      </c>
      <c r="V80" s="708" t="s">
        <v>458</v>
      </c>
      <c r="W80" s="716">
        <v>1.7000000000000001E-2</v>
      </c>
      <c r="X80" s="716">
        <v>1.7000000000000001E-2</v>
      </c>
      <c r="Y80" s="441">
        <v>2.5000000000000001E-2</v>
      </c>
      <c r="Z80" s="720">
        <v>3.4000000000000002E-2</v>
      </c>
    </row>
    <row r="81" spans="5:27" x14ac:dyDescent="0.2">
      <c r="E81" s="659" t="s">
        <v>163</v>
      </c>
      <c r="F81" s="37">
        <v>1</v>
      </c>
      <c r="P81" s="621"/>
      <c r="Q81" s="38">
        <v>7</v>
      </c>
      <c r="R81" s="205" t="s">
        <v>1044</v>
      </c>
      <c r="S81" s="42">
        <v>0.94</v>
      </c>
      <c r="V81" s="708" t="s">
        <v>22</v>
      </c>
      <c r="W81" s="716">
        <v>1.7000000000000001E-2</v>
      </c>
      <c r="X81" s="716">
        <v>1.7000000000000001E-2</v>
      </c>
      <c r="Y81" s="441">
        <v>2.5000000000000001E-2</v>
      </c>
      <c r="Z81" s="720">
        <v>3.4000000000000002E-2</v>
      </c>
    </row>
    <row r="82" spans="5:27" x14ac:dyDescent="0.2">
      <c r="E82" s="659" t="s">
        <v>164</v>
      </c>
      <c r="F82" s="37">
        <v>2</v>
      </c>
      <c r="P82" s="621"/>
      <c r="Q82" s="38">
        <v>8</v>
      </c>
      <c r="R82" s="205" t="s">
        <v>1045</v>
      </c>
      <c r="S82" s="42">
        <v>0.98</v>
      </c>
      <c r="V82" s="708" t="s">
        <v>23</v>
      </c>
      <c r="W82" s="716">
        <v>1</v>
      </c>
      <c r="X82" s="716">
        <v>1</v>
      </c>
      <c r="Y82" s="441">
        <v>1</v>
      </c>
      <c r="Z82" s="720">
        <v>1</v>
      </c>
    </row>
    <row r="83" spans="5:27" x14ac:dyDescent="0.2">
      <c r="E83" s="659" t="s">
        <v>165</v>
      </c>
      <c r="F83" s="37">
        <v>3</v>
      </c>
      <c r="Q83" s="38">
        <v>9</v>
      </c>
      <c r="R83" s="205" t="s">
        <v>1054</v>
      </c>
      <c r="S83" s="42">
        <v>0.98</v>
      </c>
      <c r="V83" s="708" t="s">
        <v>461</v>
      </c>
      <c r="W83" s="716">
        <v>1</v>
      </c>
      <c r="X83" s="716">
        <v>1</v>
      </c>
      <c r="Y83" s="441">
        <v>1</v>
      </c>
      <c r="Z83" s="720">
        <v>1</v>
      </c>
    </row>
    <row r="84" spans="5:27" x14ac:dyDescent="0.2">
      <c r="E84" s="659" t="s">
        <v>166</v>
      </c>
      <c r="F84" s="37">
        <v>4</v>
      </c>
      <c r="Q84" s="38">
        <v>10</v>
      </c>
      <c r="R84" s="205" t="s">
        <v>1055</v>
      </c>
      <c r="S84" s="42">
        <v>1</v>
      </c>
      <c r="V84" s="708" t="s">
        <v>24</v>
      </c>
      <c r="W84" s="716">
        <v>1</v>
      </c>
      <c r="X84" s="716">
        <v>1</v>
      </c>
      <c r="Y84" s="441">
        <v>1</v>
      </c>
      <c r="Z84" s="720">
        <v>1</v>
      </c>
    </row>
    <row r="85" spans="5:27" x14ac:dyDescent="0.2">
      <c r="E85" s="659" t="s">
        <v>167</v>
      </c>
      <c r="F85" s="37">
        <v>4</v>
      </c>
      <c r="Q85" s="38">
        <v>99</v>
      </c>
      <c r="R85" s="205" t="s">
        <v>1056</v>
      </c>
      <c r="S85" s="42">
        <v>1</v>
      </c>
      <c r="V85" s="708" t="s">
        <v>25</v>
      </c>
      <c r="W85" s="716">
        <v>0.02</v>
      </c>
      <c r="X85" s="716">
        <v>0.02</v>
      </c>
      <c r="Y85" s="441">
        <v>0.03</v>
      </c>
      <c r="Z85" s="720">
        <v>3.9E-2</v>
      </c>
    </row>
    <row r="86" spans="5:27" x14ac:dyDescent="0.2">
      <c r="E86" s="659" t="s">
        <v>168</v>
      </c>
      <c r="F86" s="37">
        <v>3</v>
      </c>
      <c r="Q86" s="170" t="s">
        <v>313</v>
      </c>
      <c r="V86" s="708" t="s">
        <v>462</v>
      </c>
      <c r="W86" s="716">
        <v>0.02</v>
      </c>
      <c r="X86" s="716">
        <v>0.02</v>
      </c>
      <c r="Y86" s="441">
        <v>0.03</v>
      </c>
      <c r="Z86" s="720">
        <v>3.9E-2</v>
      </c>
    </row>
    <row r="87" spans="5:27" ht="12.75" customHeight="1" x14ac:dyDescent="0.2">
      <c r="E87" s="659" t="s">
        <v>169</v>
      </c>
      <c r="F87" s="37">
        <v>3</v>
      </c>
      <c r="V87" s="708" t="s">
        <v>459</v>
      </c>
      <c r="W87" s="716">
        <v>5.6000000000000001E-2</v>
      </c>
      <c r="X87" s="716">
        <v>5.6000000000000001E-2</v>
      </c>
      <c r="Y87" s="441">
        <v>8.4000000000000005E-2</v>
      </c>
      <c r="Z87" s="720">
        <v>0.112</v>
      </c>
    </row>
    <row r="88" spans="5:27" x14ac:dyDescent="0.2">
      <c r="E88" s="659" t="s">
        <v>170</v>
      </c>
      <c r="F88" s="37">
        <v>2</v>
      </c>
      <c r="Q88" s="43" t="s">
        <v>1745</v>
      </c>
      <c r="V88" s="708" t="s">
        <v>463</v>
      </c>
      <c r="W88" s="716">
        <v>5.6000000000000001E-2</v>
      </c>
      <c r="X88" s="716">
        <v>5.6000000000000001E-2</v>
      </c>
      <c r="Y88" s="441">
        <v>8.4000000000000005E-2</v>
      </c>
      <c r="Z88" s="720">
        <v>0.112</v>
      </c>
    </row>
    <row r="89" spans="5:27" x14ac:dyDescent="0.2">
      <c r="E89" s="659" t="s">
        <v>637</v>
      </c>
      <c r="F89" s="37">
        <v>2</v>
      </c>
      <c r="T89" s="206" t="s">
        <v>2066</v>
      </c>
      <c r="V89" s="708" t="s">
        <v>26</v>
      </c>
      <c r="W89" s="716">
        <v>5.6000000000000001E-2</v>
      </c>
      <c r="X89" s="716">
        <v>5.6000000000000001E-2</v>
      </c>
      <c r="Y89" s="441">
        <v>8.4000000000000005E-2</v>
      </c>
      <c r="Z89" s="720">
        <v>0.112</v>
      </c>
    </row>
    <row r="90" spans="5:27" ht="13.5" thickBot="1" x14ac:dyDescent="0.25">
      <c r="E90" s="659" t="s">
        <v>638</v>
      </c>
      <c r="F90" s="37">
        <v>3</v>
      </c>
      <c r="Q90" s="241" t="s">
        <v>1746</v>
      </c>
      <c r="R90" s="764" t="s">
        <v>1858</v>
      </c>
      <c r="S90" s="764"/>
      <c r="T90" s="436" t="s">
        <v>1031</v>
      </c>
      <c r="V90" s="710" t="s">
        <v>27</v>
      </c>
      <c r="W90" s="721">
        <v>5.6000000000000001E-2</v>
      </c>
      <c r="X90" s="721">
        <v>5.6000000000000001E-2</v>
      </c>
      <c r="Y90" s="722">
        <v>8.4000000000000005E-2</v>
      </c>
      <c r="Z90" s="723">
        <v>0.112</v>
      </c>
    </row>
    <row r="91" spans="5:27" x14ac:dyDescent="0.2">
      <c r="E91" s="659" t="s">
        <v>639</v>
      </c>
      <c r="F91" s="37">
        <v>3</v>
      </c>
      <c r="Q91" s="759" t="s">
        <v>28</v>
      </c>
      <c r="R91" s="707" t="s">
        <v>1269</v>
      </c>
      <c r="S91" s="707"/>
      <c r="T91" s="760">
        <v>0.21</v>
      </c>
      <c r="V91" s="170" t="s">
        <v>313</v>
      </c>
    </row>
    <row r="92" spans="5:27" x14ac:dyDescent="0.2">
      <c r="E92" s="659" t="s">
        <v>171</v>
      </c>
      <c r="F92" s="37">
        <v>4</v>
      </c>
      <c r="Q92" s="759" t="s">
        <v>30</v>
      </c>
      <c r="R92" s="707" t="s">
        <v>1747</v>
      </c>
      <c r="S92" s="707"/>
      <c r="T92" s="760">
        <v>0.21</v>
      </c>
      <c r="X92" s="43" t="s">
        <v>1137</v>
      </c>
    </row>
    <row r="93" spans="5:27" x14ac:dyDescent="0.2">
      <c r="E93" s="659" t="s">
        <v>172</v>
      </c>
      <c r="F93" s="37">
        <v>2</v>
      </c>
      <c r="Q93" s="759" t="s">
        <v>1869</v>
      </c>
      <c r="R93" s="707" t="s">
        <v>1138</v>
      </c>
      <c r="S93" s="707"/>
      <c r="T93" s="760">
        <v>0.315</v>
      </c>
      <c r="V93" s="43" t="s">
        <v>1090</v>
      </c>
    </row>
    <row r="94" spans="5:27" x14ac:dyDescent="0.2">
      <c r="E94" s="659" t="s">
        <v>173</v>
      </c>
      <c r="F94" s="37">
        <v>4</v>
      </c>
      <c r="Q94" s="251" t="s">
        <v>31</v>
      </c>
      <c r="R94" s="433" t="s">
        <v>1139</v>
      </c>
      <c r="S94" s="433"/>
      <c r="T94" s="761">
        <v>0.42</v>
      </c>
    </row>
    <row r="95" spans="5:27" x14ac:dyDescent="0.2">
      <c r="E95" s="659" t="s">
        <v>174</v>
      </c>
      <c r="F95" s="37">
        <v>2</v>
      </c>
      <c r="V95" s="43"/>
      <c r="W95" s="686"/>
      <c r="X95" s="686"/>
      <c r="Y95" s="686"/>
      <c r="Z95" s="686"/>
      <c r="AA95" s="686"/>
    </row>
    <row r="96" spans="5:27" x14ac:dyDescent="0.2">
      <c r="E96" s="659" t="s">
        <v>640</v>
      </c>
      <c r="F96" s="37">
        <v>1</v>
      </c>
      <c r="V96" s="601"/>
      <c r="W96" s="686"/>
      <c r="X96" s="686"/>
      <c r="Y96" s="686"/>
      <c r="Z96" s="765"/>
      <c r="AA96" s="686"/>
    </row>
    <row r="97" spans="5:27" x14ac:dyDescent="0.2">
      <c r="E97" s="659" t="s">
        <v>175</v>
      </c>
      <c r="F97" s="37">
        <v>2</v>
      </c>
      <c r="V97" s="766"/>
      <c r="W97" s="770"/>
      <c r="X97" s="770"/>
      <c r="Y97" s="770"/>
      <c r="Z97" s="770"/>
      <c r="AA97" s="686"/>
    </row>
    <row r="98" spans="5:27" x14ac:dyDescent="0.2">
      <c r="E98" s="659" t="s">
        <v>176</v>
      </c>
      <c r="F98" s="37">
        <v>2</v>
      </c>
      <c r="V98" s="767"/>
      <c r="W98" s="767"/>
      <c r="X98" s="770"/>
      <c r="Y98" s="770"/>
      <c r="Z98" s="770"/>
      <c r="AA98" s="686"/>
    </row>
    <row r="99" spans="5:27" x14ac:dyDescent="0.2">
      <c r="E99" s="659" t="s">
        <v>177</v>
      </c>
      <c r="F99" s="37">
        <v>1</v>
      </c>
      <c r="V99" s="767"/>
      <c r="W99" s="768"/>
      <c r="X99" s="768"/>
      <c r="Y99" s="768"/>
      <c r="Z99" s="768"/>
      <c r="AA99" s="686"/>
    </row>
    <row r="100" spans="5:27" x14ac:dyDescent="0.2">
      <c r="E100" s="659" t="s">
        <v>178</v>
      </c>
      <c r="F100" s="37">
        <v>3</v>
      </c>
      <c r="V100" s="549"/>
      <c r="W100" s="769"/>
      <c r="X100" s="769"/>
      <c r="Y100" s="769"/>
      <c r="Z100" s="769"/>
      <c r="AA100" s="686"/>
    </row>
    <row r="101" spans="5:27" x14ac:dyDescent="0.2">
      <c r="E101" s="659" t="s">
        <v>187</v>
      </c>
      <c r="F101" s="37">
        <v>4</v>
      </c>
      <c r="V101" s="686"/>
      <c r="W101" s="686"/>
      <c r="X101" s="686"/>
      <c r="Y101" s="686"/>
      <c r="Z101" s="686"/>
      <c r="AA101" s="686"/>
    </row>
    <row r="102" spans="5:27" x14ac:dyDescent="0.2">
      <c r="E102" s="659" t="s">
        <v>188</v>
      </c>
      <c r="F102" s="37">
        <v>3</v>
      </c>
      <c r="V102" s="686"/>
      <c r="W102" s="686"/>
      <c r="X102" s="686"/>
      <c r="Y102" s="686"/>
      <c r="Z102" s="686"/>
      <c r="AA102" s="686"/>
    </row>
    <row r="103" spans="5:27" x14ac:dyDescent="0.2">
      <c r="E103" s="659" t="s">
        <v>189</v>
      </c>
      <c r="F103" s="37">
        <v>2</v>
      </c>
      <c r="V103" s="686"/>
      <c r="W103" s="686"/>
      <c r="X103" s="686"/>
      <c r="Y103" s="686"/>
      <c r="Z103" s="686"/>
      <c r="AA103" s="686"/>
    </row>
    <row r="104" spans="5:27" x14ac:dyDescent="0.2">
      <c r="E104" s="659" t="s">
        <v>190</v>
      </c>
      <c r="F104" s="37">
        <v>3</v>
      </c>
    </row>
    <row r="105" spans="5:27" x14ac:dyDescent="0.2">
      <c r="E105" s="659" t="s">
        <v>191</v>
      </c>
      <c r="F105" s="37">
        <v>2</v>
      </c>
    </row>
    <row r="106" spans="5:27" x14ac:dyDescent="0.2">
      <c r="E106" s="659" t="s">
        <v>192</v>
      </c>
      <c r="F106" s="37">
        <v>3</v>
      </c>
    </row>
    <row r="107" spans="5:27" x14ac:dyDescent="0.2">
      <c r="E107" s="659" t="s">
        <v>641</v>
      </c>
      <c r="F107" s="37">
        <v>1</v>
      </c>
    </row>
    <row r="108" spans="5:27" x14ac:dyDescent="0.2">
      <c r="E108" s="659" t="s">
        <v>193</v>
      </c>
      <c r="F108" s="37">
        <v>3</v>
      </c>
    </row>
    <row r="109" spans="5:27" x14ac:dyDescent="0.2">
      <c r="E109" s="659" t="s">
        <v>194</v>
      </c>
      <c r="F109" s="37">
        <v>1</v>
      </c>
    </row>
    <row r="110" spans="5:27" x14ac:dyDescent="0.2">
      <c r="E110" s="659" t="s">
        <v>196</v>
      </c>
      <c r="F110" s="37">
        <v>2</v>
      </c>
    </row>
    <row r="111" spans="5:27" x14ac:dyDescent="0.2">
      <c r="E111" s="659" t="s">
        <v>197</v>
      </c>
      <c r="F111" s="37">
        <v>2</v>
      </c>
    </row>
    <row r="112" spans="5:27" x14ac:dyDescent="0.2">
      <c r="E112" s="659" t="s">
        <v>198</v>
      </c>
      <c r="F112" s="37">
        <v>1</v>
      </c>
    </row>
    <row r="113" spans="5:6" x14ac:dyDescent="0.2">
      <c r="E113" s="659" t="s">
        <v>642</v>
      </c>
      <c r="F113" s="37">
        <v>4</v>
      </c>
    </row>
    <row r="114" spans="5:6" x14ac:dyDescent="0.2">
      <c r="E114" s="659" t="s">
        <v>643</v>
      </c>
      <c r="F114" s="37">
        <v>2</v>
      </c>
    </row>
    <row r="115" spans="5:6" x14ac:dyDescent="0.2">
      <c r="E115" s="659" t="s">
        <v>199</v>
      </c>
      <c r="F115" s="37">
        <v>2</v>
      </c>
    </row>
    <row r="116" spans="5:6" x14ac:dyDescent="0.2">
      <c r="E116" s="659" t="s">
        <v>200</v>
      </c>
      <c r="F116" s="37">
        <v>3</v>
      </c>
    </row>
    <row r="117" spans="5:6" x14ac:dyDescent="0.2">
      <c r="E117" s="659" t="s">
        <v>201</v>
      </c>
      <c r="F117" s="37">
        <v>3</v>
      </c>
    </row>
    <row r="118" spans="5:6" x14ac:dyDescent="0.2">
      <c r="E118" s="659" t="s">
        <v>644</v>
      </c>
      <c r="F118" s="37">
        <v>4</v>
      </c>
    </row>
    <row r="119" spans="5:6" x14ac:dyDescent="0.2">
      <c r="E119" s="659" t="s">
        <v>645</v>
      </c>
      <c r="F119" s="37">
        <v>4</v>
      </c>
    </row>
    <row r="120" spans="5:6" x14ac:dyDescent="0.2">
      <c r="E120" s="659" t="s">
        <v>646</v>
      </c>
      <c r="F120" s="37">
        <v>4</v>
      </c>
    </row>
    <row r="121" spans="5:6" x14ac:dyDescent="0.2">
      <c r="E121" s="659" t="s">
        <v>647</v>
      </c>
      <c r="F121" s="37">
        <v>2</v>
      </c>
    </row>
    <row r="122" spans="5:6" x14ac:dyDescent="0.2">
      <c r="E122" s="659" t="s">
        <v>648</v>
      </c>
      <c r="F122" s="37">
        <v>3</v>
      </c>
    </row>
    <row r="123" spans="5:6" x14ac:dyDescent="0.2">
      <c r="E123" s="659" t="s">
        <v>649</v>
      </c>
      <c r="F123" s="37">
        <v>3</v>
      </c>
    </row>
    <row r="124" spans="5:6" x14ac:dyDescent="0.2">
      <c r="E124" s="659" t="s">
        <v>650</v>
      </c>
      <c r="F124" s="37">
        <v>3</v>
      </c>
    </row>
    <row r="125" spans="5:6" x14ac:dyDescent="0.2">
      <c r="E125" s="659" t="s">
        <v>651</v>
      </c>
      <c r="F125" s="37">
        <v>3</v>
      </c>
    </row>
    <row r="126" spans="5:6" x14ac:dyDescent="0.2">
      <c r="E126" s="659" t="s">
        <v>652</v>
      </c>
      <c r="F126" s="37">
        <v>3</v>
      </c>
    </row>
    <row r="127" spans="5:6" x14ac:dyDescent="0.2">
      <c r="E127" s="659" t="s">
        <v>653</v>
      </c>
      <c r="F127" s="37">
        <v>2</v>
      </c>
    </row>
    <row r="128" spans="5:6" x14ac:dyDescent="0.2">
      <c r="E128" s="659" t="s">
        <v>202</v>
      </c>
      <c r="F128" s="37">
        <v>3</v>
      </c>
    </row>
    <row r="129" spans="5:6" x14ac:dyDescent="0.2">
      <c r="E129" s="659" t="s">
        <v>203</v>
      </c>
      <c r="F129" s="37">
        <v>2</v>
      </c>
    </row>
    <row r="130" spans="5:6" x14ac:dyDescent="0.2">
      <c r="E130" s="659" t="s">
        <v>204</v>
      </c>
      <c r="F130" s="37">
        <v>3</v>
      </c>
    </row>
    <row r="131" spans="5:6" x14ac:dyDescent="0.2">
      <c r="E131" s="659" t="s">
        <v>205</v>
      </c>
      <c r="F131" s="37">
        <v>1</v>
      </c>
    </row>
    <row r="132" spans="5:6" x14ac:dyDescent="0.2">
      <c r="E132" s="659" t="s">
        <v>206</v>
      </c>
      <c r="F132" s="37">
        <v>2</v>
      </c>
    </row>
    <row r="133" spans="5:6" x14ac:dyDescent="0.2">
      <c r="E133" s="659" t="s">
        <v>654</v>
      </c>
      <c r="F133" s="37">
        <v>1</v>
      </c>
    </row>
    <row r="134" spans="5:6" x14ac:dyDescent="0.2">
      <c r="E134" s="659" t="s">
        <v>207</v>
      </c>
      <c r="F134" s="37">
        <v>2</v>
      </c>
    </row>
    <row r="135" spans="5:6" x14ac:dyDescent="0.2">
      <c r="E135" s="659" t="s">
        <v>655</v>
      </c>
      <c r="F135" s="37">
        <v>3</v>
      </c>
    </row>
    <row r="136" spans="5:6" x14ac:dyDescent="0.2">
      <c r="E136" s="659" t="s">
        <v>208</v>
      </c>
      <c r="F136" s="37">
        <v>4</v>
      </c>
    </row>
    <row r="137" spans="5:6" x14ac:dyDescent="0.2">
      <c r="E137" s="659" t="s">
        <v>209</v>
      </c>
      <c r="F137" s="37">
        <v>3</v>
      </c>
    </row>
    <row r="138" spans="5:6" x14ac:dyDescent="0.2">
      <c r="E138" s="659" t="s">
        <v>210</v>
      </c>
      <c r="F138" s="37">
        <v>4</v>
      </c>
    </row>
    <row r="139" spans="5:6" x14ac:dyDescent="0.2">
      <c r="E139" s="659" t="s">
        <v>656</v>
      </c>
      <c r="F139" s="37">
        <v>3</v>
      </c>
    </row>
    <row r="140" spans="5:6" x14ac:dyDescent="0.2">
      <c r="E140" s="659" t="s">
        <v>211</v>
      </c>
      <c r="F140" s="37">
        <v>2</v>
      </c>
    </row>
    <row r="141" spans="5:6" x14ac:dyDescent="0.2">
      <c r="E141" s="659" t="s">
        <v>212</v>
      </c>
      <c r="F141" s="37">
        <v>3</v>
      </c>
    </row>
    <row r="142" spans="5:6" x14ac:dyDescent="0.2">
      <c r="E142" s="659" t="s">
        <v>213</v>
      </c>
      <c r="F142" s="37">
        <v>2</v>
      </c>
    </row>
    <row r="143" spans="5:6" x14ac:dyDescent="0.2">
      <c r="E143" s="659" t="s">
        <v>214</v>
      </c>
      <c r="F143" s="37">
        <v>1</v>
      </c>
    </row>
    <row r="144" spans="5:6" x14ac:dyDescent="0.2">
      <c r="E144" s="659" t="s">
        <v>215</v>
      </c>
      <c r="F144" s="37">
        <v>3</v>
      </c>
    </row>
    <row r="145" spans="5:6" x14ac:dyDescent="0.2">
      <c r="E145" s="659" t="s">
        <v>657</v>
      </c>
      <c r="F145" s="37">
        <v>3</v>
      </c>
    </row>
    <row r="146" spans="5:6" x14ac:dyDescent="0.2">
      <c r="E146" s="659" t="s">
        <v>658</v>
      </c>
      <c r="F146" s="37">
        <v>3</v>
      </c>
    </row>
    <row r="147" spans="5:6" x14ac:dyDescent="0.2">
      <c r="E147" s="659" t="s">
        <v>659</v>
      </c>
      <c r="F147" s="37">
        <v>4</v>
      </c>
    </row>
    <row r="148" spans="5:6" x14ac:dyDescent="0.2">
      <c r="E148" s="659" t="s">
        <v>216</v>
      </c>
      <c r="F148" s="37">
        <v>4</v>
      </c>
    </row>
    <row r="149" spans="5:6" x14ac:dyDescent="0.2">
      <c r="E149" s="659" t="s">
        <v>217</v>
      </c>
      <c r="F149" s="37">
        <v>4</v>
      </c>
    </row>
    <row r="150" spans="5:6" x14ac:dyDescent="0.2">
      <c r="E150" s="659" t="s">
        <v>660</v>
      </c>
      <c r="F150" s="37">
        <v>3</v>
      </c>
    </row>
    <row r="151" spans="5:6" x14ac:dyDescent="0.2">
      <c r="E151" s="659" t="s">
        <v>661</v>
      </c>
      <c r="F151" s="37">
        <v>4</v>
      </c>
    </row>
    <row r="152" spans="5:6" x14ac:dyDescent="0.2">
      <c r="E152" s="659" t="s">
        <v>218</v>
      </c>
      <c r="F152" s="37">
        <v>4</v>
      </c>
    </row>
    <row r="153" spans="5:6" x14ac:dyDescent="0.2">
      <c r="E153" s="659" t="s">
        <v>219</v>
      </c>
      <c r="F153" s="37">
        <v>4</v>
      </c>
    </row>
    <row r="154" spans="5:6" x14ac:dyDescent="0.2">
      <c r="E154" s="659" t="s">
        <v>691</v>
      </c>
      <c r="F154" s="37">
        <v>3</v>
      </c>
    </row>
    <row r="155" spans="5:6" x14ac:dyDescent="0.2">
      <c r="E155" s="659" t="s">
        <v>220</v>
      </c>
      <c r="F155" s="37">
        <v>3</v>
      </c>
    </row>
    <row r="156" spans="5:6" x14ac:dyDescent="0.2">
      <c r="E156" s="659" t="s">
        <v>221</v>
      </c>
      <c r="F156" s="37">
        <v>4</v>
      </c>
    </row>
    <row r="157" spans="5:6" x14ac:dyDescent="0.2">
      <c r="E157" s="659" t="s">
        <v>692</v>
      </c>
      <c r="F157" s="37">
        <v>3</v>
      </c>
    </row>
    <row r="158" spans="5:6" x14ac:dyDescent="0.2">
      <c r="E158" s="659" t="s">
        <v>222</v>
      </c>
      <c r="F158" s="37">
        <v>3</v>
      </c>
    </row>
    <row r="159" spans="5:6" x14ac:dyDescent="0.2">
      <c r="E159" s="659" t="s">
        <v>223</v>
      </c>
      <c r="F159" s="37">
        <v>3</v>
      </c>
    </row>
    <row r="160" spans="5:6" x14ac:dyDescent="0.2">
      <c r="E160" s="659" t="s">
        <v>231</v>
      </c>
      <c r="F160" s="37">
        <v>2</v>
      </c>
    </row>
    <row r="161" spans="5:6" x14ac:dyDescent="0.2">
      <c r="E161" s="659" t="s">
        <v>232</v>
      </c>
      <c r="F161" s="37">
        <v>3</v>
      </c>
    </row>
    <row r="162" spans="5:6" x14ac:dyDescent="0.2">
      <c r="E162" s="659" t="s">
        <v>233</v>
      </c>
      <c r="F162" s="37">
        <v>3</v>
      </c>
    </row>
    <row r="163" spans="5:6" x14ac:dyDescent="0.2">
      <c r="E163" s="659" t="s">
        <v>234</v>
      </c>
      <c r="F163" s="37">
        <v>3</v>
      </c>
    </row>
    <row r="164" spans="5:6" x14ac:dyDescent="0.2">
      <c r="E164" s="659" t="s">
        <v>224</v>
      </c>
      <c r="F164" s="37">
        <v>2</v>
      </c>
    </row>
    <row r="165" spans="5:6" x14ac:dyDescent="0.2">
      <c r="E165" s="659" t="s">
        <v>225</v>
      </c>
      <c r="F165" s="37">
        <v>2</v>
      </c>
    </row>
    <row r="166" spans="5:6" x14ac:dyDescent="0.2">
      <c r="E166" s="659" t="s">
        <v>251</v>
      </c>
      <c r="F166" s="37">
        <v>3</v>
      </c>
    </row>
    <row r="167" spans="5:6" x14ac:dyDescent="0.2">
      <c r="E167" s="659" t="s">
        <v>226</v>
      </c>
      <c r="F167" s="37">
        <v>2</v>
      </c>
    </row>
    <row r="168" spans="5:6" x14ac:dyDescent="0.2">
      <c r="E168" s="659" t="s">
        <v>235</v>
      </c>
      <c r="F168" s="37">
        <v>3</v>
      </c>
    </row>
    <row r="169" spans="5:6" x14ac:dyDescent="0.2">
      <c r="E169" s="659" t="s">
        <v>245</v>
      </c>
      <c r="F169" s="37">
        <v>2</v>
      </c>
    </row>
    <row r="170" spans="5:6" x14ac:dyDescent="0.2">
      <c r="E170" s="659" t="s">
        <v>227</v>
      </c>
      <c r="F170" s="37">
        <v>2</v>
      </c>
    </row>
    <row r="171" spans="5:6" x14ac:dyDescent="0.2">
      <c r="E171" s="659" t="s">
        <v>246</v>
      </c>
      <c r="F171" s="37">
        <v>2</v>
      </c>
    </row>
    <row r="172" spans="5:6" x14ac:dyDescent="0.2">
      <c r="E172" s="659" t="s">
        <v>247</v>
      </c>
      <c r="F172" s="37">
        <v>2</v>
      </c>
    </row>
    <row r="173" spans="5:6" x14ac:dyDescent="0.2">
      <c r="E173" s="659" t="s">
        <v>230</v>
      </c>
      <c r="F173" s="37">
        <v>2</v>
      </c>
    </row>
    <row r="174" spans="5:6" x14ac:dyDescent="0.2">
      <c r="E174" s="659" t="s">
        <v>248</v>
      </c>
      <c r="F174" s="37">
        <v>3</v>
      </c>
    </row>
    <row r="175" spans="5:6" x14ac:dyDescent="0.2">
      <c r="E175" s="659" t="s">
        <v>249</v>
      </c>
      <c r="F175" s="37">
        <v>3</v>
      </c>
    </row>
    <row r="176" spans="5:6" x14ac:dyDescent="0.2">
      <c r="E176" s="659" t="s">
        <v>250</v>
      </c>
      <c r="F176" s="37">
        <v>3</v>
      </c>
    </row>
    <row r="177" spans="5:6" x14ac:dyDescent="0.2">
      <c r="E177" s="659" t="s">
        <v>693</v>
      </c>
      <c r="F177" s="37">
        <v>2</v>
      </c>
    </row>
    <row r="178" spans="5:6" x14ac:dyDescent="0.2">
      <c r="E178" s="659" t="s">
        <v>694</v>
      </c>
      <c r="F178" s="37">
        <v>2</v>
      </c>
    </row>
    <row r="179" spans="5:6" x14ac:dyDescent="0.2">
      <c r="E179" s="659" t="s">
        <v>695</v>
      </c>
      <c r="F179" s="37">
        <v>3</v>
      </c>
    </row>
    <row r="180" spans="5:6" x14ac:dyDescent="0.2">
      <c r="E180" s="659" t="s">
        <v>696</v>
      </c>
      <c r="F180" s="37">
        <v>4</v>
      </c>
    </row>
    <row r="181" spans="5:6" x14ac:dyDescent="0.2">
      <c r="E181" s="659" t="s">
        <v>697</v>
      </c>
      <c r="F181" s="37">
        <v>2</v>
      </c>
    </row>
    <row r="182" spans="5:6" x14ac:dyDescent="0.2">
      <c r="E182" s="659" t="s">
        <v>698</v>
      </c>
      <c r="F182" s="37">
        <v>4</v>
      </c>
    </row>
    <row r="183" spans="5:6" x14ac:dyDescent="0.2">
      <c r="E183" s="659" t="s">
        <v>699</v>
      </c>
      <c r="F183" s="37">
        <v>1</v>
      </c>
    </row>
    <row r="184" spans="5:6" x14ac:dyDescent="0.2">
      <c r="E184" s="659" t="s">
        <v>252</v>
      </c>
      <c r="F184" s="37">
        <v>3</v>
      </c>
    </row>
    <row r="185" spans="5:6" x14ac:dyDescent="0.2">
      <c r="E185" s="659" t="s">
        <v>253</v>
      </c>
      <c r="F185" s="37">
        <v>2</v>
      </c>
    </row>
    <row r="186" spans="5:6" x14ac:dyDescent="0.2">
      <c r="E186" s="659" t="s">
        <v>254</v>
      </c>
      <c r="F186" s="37">
        <v>3</v>
      </c>
    </row>
    <row r="187" spans="5:6" x14ac:dyDescent="0.2">
      <c r="E187" s="659" t="s">
        <v>255</v>
      </c>
      <c r="F187" s="37">
        <v>3</v>
      </c>
    </row>
    <row r="188" spans="5:6" x14ac:dyDescent="0.2">
      <c r="E188" s="659" t="s">
        <v>256</v>
      </c>
      <c r="F188" s="37">
        <v>1</v>
      </c>
    </row>
    <row r="189" spans="5:6" x14ac:dyDescent="0.2">
      <c r="E189" s="659" t="s">
        <v>257</v>
      </c>
      <c r="F189" s="37">
        <v>3</v>
      </c>
    </row>
    <row r="190" spans="5:6" x14ac:dyDescent="0.2">
      <c r="E190" s="659" t="s">
        <v>700</v>
      </c>
      <c r="F190" s="37">
        <v>3</v>
      </c>
    </row>
    <row r="191" spans="5:6" x14ac:dyDescent="0.2">
      <c r="E191" s="659" t="s">
        <v>258</v>
      </c>
      <c r="F191" s="37">
        <v>3</v>
      </c>
    </row>
    <row r="192" spans="5:6" x14ac:dyDescent="0.2">
      <c r="E192" s="659" t="s">
        <v>701</v>
      </c>
      <c r="F192" s="37">
        <v>2</v>
      </c>
    </row>
    <row r="193" spans="5:6" x14ac:dyDescent="0.2">
      <c r="E193" s="659" t="s">
        <v>702</v>
      </c>
      <c r="F193" s="37">
        <v>2</v>
      </c>
    </row>
    <row r="194" spans="5:6" x14ac:dyDescent="0.2">
      <c r="E194" s="659" t="s">
        <v>259</v>
      </c>
      <c r="F194" s="37">
        <v>3</v>
      </c>
    </row>
    <row r="195" spans="5:6" x14ac:dyDescent="0.2">
      <c r="E195" s="659" t="s">
        <v>261</v>
      </c>
      <c r="F195" s="37">
        <v>2</v>
      </c>
    </row>
    <row r="196" spans="5:6" x14ac:dyDescent="0.2">
      <c r="E196" s="659" t="s">
        <v>260</v>
      </c>
      <c r="F196" s="37">
        <v>3</v>
      </c>
    </row>
    <row r="197" spans="5:6" x14ac:dyDescent="0.2">
      <c r="E197" s="659" t="s">
        <v>262</v>
      </c>
      <c r="F197" s="37">
        <v>2</v>
      </c>
    </row>
    <row r="198" spans="5:6" x14ac:dyDescent="0.2">
      <c r="E198" s="659" t="s">
        <v>263</v>
      </c>
      <c r="F198" s="37">
        <v>2</v>
      </c>
    </row>
    <row r="199" spans="5:6" x14ac:dyDescent="0.2">
      <c r="E199" s="659" t="s">
        <v>703</v>
      </c>
      <c r="F199" s="37">
        <v>4</v>
      </c>
    </row>
    <row r="200" spans="5:6" x14ac:dyDescent="0.2">
      <c r="E200" s="659" t="s">
        <v>264</v>
      </c>
      <c r="F200" s="37">
        <v>4</v>
      </c>
    </row>
    <row r="201" spans="5:6" x14ac:dyDescent="0.2">
      <c r="E201" s="659" t="s">
        <v>265</v>
      </c>
      <c r="F201" s="37">
        <v>2</v>
      </c>
    </row>
    <row r="202" spans="5:6" x14ac:dyDescent="0.2">
      <c r="E202" s="659" t="s">
        <v>704</v>
      </c>
      <c r="F202" s="37">
        <v>3</v>
      </c>
    </row>
    <row r="203" spans="5:6" x14ac:dyDescent="0.2">
      <c r="E203" s="659" t="s">
        <v>705</v>
      </c>
      <c r="F203" s="37">
        <v>3</v>
      </c>
    </row>
    <row r="204" spans="5:6" x14ac:dyDescent="0.2">
      <c r="E204" s="659" t="s">
        <v>706</v>
      </c>
      <c r="F204" s="37">
        <v>1</v>
      </c>
    </row>
    <row r="205" spans="5:6" x14ac:dyDescent="0.2">
      <c r="E205" s="659" t="s">
        <v>266</v>
      </c>
      <c r="F205" s="37">
        <v>2</v>
      </c>
    </row>
    <row r="206" spans="5:6" x14ac:dyDescent="0.2">
      <c r="E206" s="659" t="s">
        <v>267</v>
      </c>
      <c r="F206" s="37">
        <v>1</v>
      </c>
    </row>
    <row r="207" spans="5:6" x14ac:dyDescent="0.2">
      <c r="E207" s="659" t="s">
        <v>268</v>
      </c>
      <c r="F207" s="37">
        <v>3</v>
      </c>
    </row>
    <row r="208" spans="5:6" x14ac:dyDescent="0.2">
      <c r="E208" s="659" t="s">
        <v>269</v>
      </c>
      <c r="F208" s="37">
        <v>3</v>
      </c>
    </row>
    <row r="209" spans="5:6" x14ac:dyDescent="0.2">
      <c r="E209" s="659" t="s">
        <v>270</v>
      </c>
      <c r="F209" s="37">
        <v>3</v>
      </c>
    </row>
    <row r="210" spans="5:6" x14ac:dyDescent="0.2">
      <c r="E210" s="659" t="s">
        <v>271</v>
      </c>
      <c r="F210" s="37">
        <v>1</v>
      </c>
    </row>
    <row r="211" spans="5:6" x14ac:dyDescent="0.2">
      <c r="E211" s="659" t="s">
        <v>707</v>
      </c>
      <c r="F211" s="37">
        <v>3</v>
      </c>
    </row>
    <row r="212" spans="5:6" x14ac:dyDescent="0.2">
      <c r="E212" s="659" t="s">
        <v>708</v>
      </c>
      <c r="F212" s="37">
        <v>2</v>
      </c>
    </row>
    <row r="213" spans="5:6" x14ac:dyDescent="0.2">
      <c r="E213" s="659" t="s">
        <v>709</v>
      </c>
      <c r="F213" s="37">
        <v>4</v>
      </c>
    </row>
    <row r="214" spans="5:6" x14ac:dyDescent="0.2">
      <c r="E214" s="659" t="s">
        <v>710</v>
      </c>
      <c r="F214" s="37">
        <v>4</v>
      </c>
    </row>
    <row r="215" spans="5:6" x14ac:dyDescent="0.2">
      <c r="E215" s="659" t="s">
        <v>711</v>
      </c>
      <c r="F215" s="37">
        <v>4</v>
      </c>
    </row>
    <row r="216" spans="5:6" x14ac:dyDescent="0.2">
      <c r="E216" s="659" t="s">
        <v>712</v>
      </c>
      <c r="F216" s="37">
        <v>4</v>
      </c>
    </row>
    <row r="217" spans="5:6" x14ac:dyDescent="0.2">
      <c r="E217" s="659" t="s">
        <v>713</v>
      </c>
      <c r="F217" s="37">
        <v>2</v>
      </c>
    </row>
    <row r="218" spans="5:6" x14ac:dyDescent="0.2">
      <c r="E218" s="659" t="s">
        <v>714</v>
      </c>
      <c r="F218" s="37">
        <v>3</v>
      </c>
    </row>
    <row r="219" spans="5:6" x14ac:dyDescent="0.2">
      <c r="E219" s="659" t="s">
        <v>715</v>
      </c>
      <c r="F219" s="37">
        <v>2</v>
      </c>
    </row>
    <row r="220" spans="5:6" x14ac:dyDescent="0.2">
      <c r="E220" s="659" t="s">
        <v>716</v>
      </c>
      <c r="F220" s="37">
        <v>1</v>
      </c>
    </row>
    <row r="221" spans="5:6" x14ac:dyDescent="0.2">
      <c r="E221" s="659" t="s">
        <v>272</v>
      </c>
      <c r="F221" s="37">
        <v>3</v>
      </c>
    </row>
    <row r="222" spans="5:6" x14ac:dyDescent="0.2">
      <c r="E222" s="659" t="s">
        <v>273</v>
      </c>
      <c r="F222" s="37">
        <v>2</v>
      </c>
    </row>
    <row r="223" spans="5:6" x14ac:dyDescent="0.2">
      <c r="E223" s="659" t="s">
        <v>274</v>
      </c>
      <c r="F223" s="37">
        <v>3</v>
      </c>
    </row>
    <row r="224" spans="5:6" x14ac:dyDescent="0.2">
      <c r="E224" s="659" t="s">
        <v>275</v>
      </c>
      <c r="F224" s="37">
        <v>3</v>
      </c>
    </row>
    <row r="225" spans="5:6" x14ac:dyDescent="0.2">
      <c r="E225" s="659" t="s">
        <v>276</v>
      </c>
      <c r="F225" s="37">
        <v>2</v>
      </c>
    </row>
    <row r="226" spans="5:6" x14ac:dyDescent="0.2">
      <c r="E226" s="659" t="s">
        <v>717</v>
      </c>
      <c r="F226" s="37">
        <v>3</v>
      </c>
    </row>
    <row r="227" spans="5:6" x14ac:dyDescent="0.2">
      <c r="E227" s="659" t="s">
        <v>718</v>
      </c>
      <c r="F227" s="37">
        <v>1</v>
      </c>
    </row>
    <row r="228" spans="5:6" x14ac:dyDescent="0.2">
      <c r="E228" s="659" t="s">
        <v>277</v>
      </c>
      <c r="F228" s="37">
        <v>3</v>
      </c>
    </row>
    <row r="229" spans="5:6" x14ac:dyDescent="0.2">
      <c r="E229" s="659" t="s">
        <v>278</v>
      </c>
      <c r="F229" s="37">
        <v>2</v>
      </c>
    </row>
    <row r="230" spans="5:6" x14ac:dyDescent="0.2">
      <c r="E230" s="659" t="s">
        <v>719</v>
      </c>
      <c r="F230" s="37">
        <v>4</v>
      </c>
    </row>
    <row r="231" spans="5:6" x14ac:dyDescent="0.2">
      <c r="E231" s="659" t="s">
        <v>720</v>
      </c>
      <c r="F231" s="37">
        <v>2</v>
      </c>
    </row>
    <row r="232" spans="5:6" x14ac:dyDescent="0.2">
      <c r="E232" s="659" t="s">
        <v>290</v>
      </c>
      <c r="F232" s="37">
        <v>3</v>
      </c>
    </row>
    <row r="233" spans="5:6" x14ac:dyDescent="0.2">
      <c r="E233" s="659" t="s">
        <v>291</v>
      </c>
      <c r="F233" s="37">
        <v>1</v>
      </c>
    </row>
    <row r="234" spans="5:6" x14ac:dyDescent="0.2">
      <c r="E234" s="659" t="s">
        <v>292</v>
      </c>
      <c r="F234" s="37">
        <v>2</v>
      </c>
    </row>
    <row r="235" spans="5:6" x14ac:dyDescent="0.2">
      <c r="E235" s="659" t="s">
        <v>730</v>
      </c>
      <c r="F235" s="37">
        <v>3</v>
      </c>
    </row>
    <row r="236" spans="5:6" x14ac:dyDescent="0.2">
      <c r="E236" s="659" t="s">
        <v>731</v>
      </c>
      <c r="F236" s="37">
        <v>2</v>
      </c>
    </row>
    <row r="237" spans="5:6" x14ac:dyDescent="0.2">
      <c r="E237" s="659" t="s">
        <v>279</v>
      </c>
      <c r="F237" s="37">
        <v>2</v>
      </c>
    </row>
    <row r="238" spans="5:6" x14ac:dyDescent="0.2">
      <c r="E238" s="659" t="s">
        <v>280</v>
      </c>
      <c r="F238" s="37">
        <v>3</v>
      </c>
    </row>
    <row r="239" spans="5:6" x14ac:dyDescent="0.2">
      <c r="E239" s="659" t="s">
        <v>281</v>
      </c>
      <c r="F239" s="37">
        <v>2</v>
      </c>
    </row>
    <row r="240" spans="5:6" x14ac:dyDescent="0.2">
      <c r="E240" s="659" t="s">
        <v>282</v>
      </c>
      <c r="F240" s="37">
        <v>3</v>
      </c>
    </row>
    <row r="241" spans="5:6" x14ac:dyDescent="0.2">
      <c r="E241" s="659" t="s">
        <v>283</v>
      </c>
      <c r="F241" s="37">
        <v>4</v>
      </c>
    </row>
    <row r="242" spans="5:6" x14ac:dyDescent="0.2">
      <c r="E242" s="659" t="s">
        <v>732</v>
      </c>
      <c r="F242" s="37">
        <v>3</v>
      </c>
    </row>
    <row r="243" spans="5:6" x14ac:dyDescent="0.2">
      <c r="E243" s="659" t="s">
        <v>284</v>
      </c>
      <c r="F243" s="37">
        <v>3</v>
      </c>
    </row>
    <row r="244" spans="5:6" x14ac:dyDescent="0.2">
      <c r="E244" s="659" t="s">
        <v>286</v>
      </c>
      <c r="F244" s="37">
        <v>2</v>
      </c>
    </row>
    <row r="245" spans="5:6" x14ac:dyDescent="0.2">
      <c r="E245" s="659" t="s">
        <v>285</v>
      </c>
      <c r="F245" s="37">
        <v>2</v>
      </c>
    </row>
    <row r="246" spans="5:6" x14ac:dyDescent="0.2">
      <c r="E246" s="659" t="s">
        <v>287</v>
      </c>
      <c r="F246" s="37">
        <v>3</v>
      </c>
    </row>
    <row r="247" spans="5:6" x14ac:dyDescent="0.2">
      <c r="E247" s="659" t="s">
        <v>733</v>
      </c>
      <c r="F247" s="37">
        <v>2</v>
      </c>
    </row>
    <row r="248" spans="5:6" x14ac:dyDescent="0.2">
      <c r="E248" s="659" t="s">
        <v>734</v>
      </c>
      <c r="F248" s="37">
        <v>3</v>
      </c>
    </row>
    <row r="249" spans="5:6" x14ac:dyDescent="0.2">
      <c r="E249" s="659" t="s">
        <v>735</v>
      </c>
      <c r="F249" s="37">
        <v>3</v>
      </c>
    </row>
    <row r="250" spans="5:6" x14ac:dyDescent="0.2">
      <c r="E250" s="659" t="s">
        <v>736</v>
      </c>
      <c r="F250" s="37">
        <v>3</v>
      </c>
    </row>
    <row r="251" spans="5:6" x14ac:dyDescent="0.2">
      <c r="E251" s="659" t="s">
        <v>737</v>
      </c>
      <c r="F251" s="37">
        <v>3</v>
      </c>
    </row>
    <row r="252" spans="5:6" x14ac:dyDescent="0.2">
      <c r="E252" s="659" t="s">
        <v>738</v>
      </c>
      <c r="F252" s="37">
        <v>4</v>
      </c>
    </row>
    <row r="253" spans="5:6" x14ac:dyDescent="0.2">
      <c r="E253" s="659" t="s">
        <v>288</v>
      </c>
      <c r="F253" s="37">
        <v>4</v>
      </c>
    </row>
    <row r="254" spans="5:6" x14ac:dyDescent="0.2">
      <c r="E254" s="659" t="s">
        <v>289</v>
      </c>
      <c r="F254" s="37">
        <v>3</v>
      </c>
    </row>
    <row r="255" spans="5:6" x14ac:dyDescent="0.2">
      <c r="E255" s="659" t="s">
        <v>739</v>
      </c>
      <c r="F255" s="37">
        <v>4</v>
      </c>
    </row>
  </sheetData>
  <mergeCells count="11">
    <mergeCell ref="L3:O3"/>
    <mergeCell ref="H5:H19"/>
    <mergeCell ref="T3:Z3"/>
    <mergeCell ref="R53:T53"/>
    <mergeCell ref="U53:W53"/>
    <mergeCell ref="X74:Z74"/>
    <mergeCell ref="W73:Z73"/>
    <mergeCell ref="H20:H34"/>
    <mergeCell ref="H35:H49"/>
    <mergeCell ref="H50:H64"/>
    <mergeCell ref="H65:H79"/>
  </mergeCells>
  <phoneticPr fontId="2" type="noConversion"/>
  <pageMargins left="0.5" right="0.5" top="0.5" bottom="0.5" header="0.25" footer="0.25"/>
  <pageSetup scale="86" orientation="portrait" r:id="rId1"/>
  <headerFooter alignWithMargins="0">
    <oddHeader>&amp;R&amp;8&amp;F</oddHeader>
    <oddFooter>&amp;L&amp;"Arial,Bold"&amp;8Printed: &amp;"Arial,Regular"&amp;D, &amp;T&amp;C&amp;8&amp;A&amp;R&amp;8&amp;P / &amp;N</oddFooter>
  </headerFooter>
  <rowBreaks count="2" manualBreakCount="2">
    <brk id="49" min="7" max="14" man="1"/>
    <brk id="51" min="16" max="26" man="1"/>
  </rowBreaks>
  <colBreaks count="2" manualBreakCount="2">
    <brk id="6" max="1048575" man="1"/>
    <brk id="16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F52"/>
  <sheetViews>
    <sheetView topLeftCell="A12" zoomScale="90" zoomScaleNormal="90" workbookViewId="0">
      <selection activeCell="I31" sqref="I31"/>
    </sheetView>
  </sheetViews>
  <sheetFormatPr defaultRowHeight="12.75" x14ac:dyDescent="0.2"/>
  <cols>
    <col min="1" max="1" width="18" customWidth="1"/>
    <col min="2" max="2" width="16.85546875" customWidth="1"/>
    <col min="3" max="3" width="13.85546875" bestFit="1" customWidth="1"/>
    <col min="5" max="5" width="14.140625" customWidth="1"/>
    <col min="6" max="6" width="13.7109375" customWidth="1"/>
  </cols>
  <sheetData>
    <row r="1" spans="1:6" ht="15.75" x14ac:dyDescent="0.2">
      <c r="A1" s="1440" t="s">
        <v>2256</v>
      </c>
      <c r="B1" s="2"/>
      <c r="C1" s="2"/>
      <c r="D1" s="2"/>
      <c r="E1" s="2"/>
      <c r="F1" s="2"/>
    </row>
    <row r="2" spans="1:6" x14ac:dyDescent="0.2">
      <c r="A2" s="1227"/>
      <c r="B2" s="2"/>
      <c r="C2" s="2"/>
      <c r="D2" s="2"/>
      <c r="E2" s="2"/>
      <c r="F2" s="2"/>
    </row>
    <row r="3" spans="1:6" x14ac:dyDescent="0.2">
      <c r="A3" s="82" t="s">
        <v>1024</v>
      </c>
      <c r="B3" s="917" t="str">
        <f>DF_State</f>
        <v>CT</v>
      </c>
      <c r="C3" s="2"/>
      <c r="D3" s="2"/>
      <c r="E3" s="2"/>
      <c r="F3" s="2"/>
    </row>
    <row r="4" spans="1:6" x14ac:dyDescent="0.2">
      <c r="A4" s="82" t="s">
        <v>2104</v>
      </c>
      <c r="B4" s="1441" t="str">
        <f>UI_CustNumber</f>
        <v>0004514584</v>
      </c>
      <c r="C4" s="2"/>
      <c r="D4" s="2"/>
      <c r="E4" s="2"/>
      <c r="F4" s="2"/>
    </row>
    <row r="5" spans="1:6" ht="16.5" customHeight="1" x14ac:dyDescent="0.2">
      <c r="A5" s="82"/>
      <c r="B5" s="984"/>
      <c r="C5" s="2"/>
      <c r="D5" s="2"/>
      <c r="E5" s="2"/>
      <c r="F5" s="2"/>
    </row>
    <row r="6" spans="1:6" x14ac:dyDescent="0.2">
      <c r="A6" s="82" t="s">
        <v>2258</v>
      </c>
      <c r="B6" s="1442">
        <v>40603</v>
      </c>
      <c r="C6" s="2"/>
      <c r="D6" s="2"/>
      <c r="E6" s="2"/>
      <c r="F6" s="1443"/>
    </row>
    <row r="7" spans="1:6" x14ac:dyDescent="0.2">
      <c r="A7" s="82"/>
      <c r="B7" s="834"/>
      <c r="C7" s="2"/>
      <c r="D7" s="2"/>
      <c r="E7" s="2"/>
      <c r="F7" s="1443"/>
    </row>
    <row r="8" spans="1:6" x14ac:dyDescent="0.2">
      <c r="A8" s="82" t="s">
        <v>2259</v>
      </c>
      <c r="B8" s="1442">
        <v>40544</v>
      </c>
      <c r="C8" s="2"/>
      <c r="D8" s="2"/>
      <c r="E8" s="2"/>
      <c r="F8" s="1443"/>
    </row>
    <row r="9" spans="1:6" x14ac:dyDescent="0.2">
      <c r="A9" s="82"/>
      <c r="B9" s="984"/>
      <c r="C9" s="2"/>
      <c r="D9" s="2"/>
      <c r="E9" s="2"/>
      <c r="F9" s="1443"/>
    </row>
    <row r="10" spans="1:6" x14ac:dyDescent="0.2">
      <c r="A10" s="82" t="s">
        <v>2257</v>
      </c>
      <c r="B10" s="1593" t="s">
        <v>2307</v>
      </c>
      <c r="C10" s="1593"/>
      <c r="D10" s="1593"/>
      <c r="E10" s="2"/>
      <c r="F10" s="2"/>
    </row>
    <row r="11" spans="1:6" x14ac:dyDescent="0.2">
      <c r="A11" s="2"/>
      <c r="B11" s="2"/>
      <c r="C11" s="2"/>
      <c r="D11" s="2"/>
      <c r="E11" s="2"/>
      <c r="F11" s="2"/>
    </row>
    <row r="12" spans="1:6" x14ac:dyDescent="0.2">
      <c r="A12" s="2"/>
      <c r="B12" s="2"/>
      <c r="C12" s="2"/>
      <c r="D12" s="2"/>
      <c r="E12" s="2"/>
      <c r="F12" s="2"/>
    </row>
    <row r="13" spans="1:6" ht="13.5" thickBot="1" x14ac:dyDescent="0.25">
      <c r="A13" s="1464" t="s">
        <v>55</v>
      </c>
      <c r="B13" s="1465"/>
      <c r="C13" s="1465"/>
      <c r="D13" s="1465"/>
      <c r="E13" s="1465"/>
      <c r="F13" s="2"/>
    </row>
    <row r="14" spans="1:6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  <c r="F14" s="2"/>
    </row>
    <row r="15" spans="1:6" x14ac:dyDescent="0.2">
      <c r="A15" s="1445">
        <v>1</v>
      </c>
      <c r="B15" s="1453" t="s">
        <v>2308</v>
      </c>
      <c r="C15" s="1446">
        <f ca="1">IF(ISBLANK(B15),"",INDIRECT($B15&amp;"!"&amp;"$I$47"))</f>
        <v>3920</v>
      </c>
      <c r="D15" s="2"/>
      <c r="E15" s="1446">
        <f ca="1">IF(ISBLANK(B15),"",INDIRECT($B15&amp;"!"&amp;"$I$44"))</f>
        <v>310</v>
      </c>
      <c r="F15" s="2"/>
    </row>
    <row r="16" spans="1:6" x14ac:dyDescent="0.2">
      <c r="A16" s="1453">
        <v>2</v>
      </c>
      <c r="B16" s="1453" t="s">
        <v>2309</v>
      </c>
      <c r="C16" s="1446">
        <f t="shared" ref="C16:C19" ca="1" si="0">IF(ISBLANK(B16),"",INDIRECT($B16&amp;"!"&amp;"$I$47"))</f>
        <v>3920</v>
      </c>
      <c r="D16" s="2"/>
      <c r="E16" s="1446">
        <f t="shared" ref="E16:E19" ca="1" si="1">IF(ISBLANK(B16),"",INDIRECT($B16&amp;"!"&amp;"$I$44"))</f>
        <v>310</v>
      </c>
      <c r="F16" s="2"/>
    </row>
    <row r="17" spans="1:6" x14ac:dyDescent="0.2">
      <c r="A17" s="1453">
        <v>3</v>
      </c>
      <c r="B17" s="1453" t="s">
        <v>2310</v>
      </c>
      <c r="C17" s="1446">
        <f t="shared" ca="1" si="0"/>
        <v>3920</v>
      </c>
      <c r="D17" s="2"/>
      <c r="E17" s="1446">
        <f t="shared" ca="1" si="1"/>
        <v>350</v>
      </c>
      <c r="F17" s="2"/>
    </row>
    <row r="18" spans="1:6" x14ac:dyDescent="0.2">
      <c r="A18" s="1453">
        <v>4</v>
      </c>
      <c r="B18" s="1453"/>
      <c r="C18" s="1446" t="str">
        <f t="shared" ca="1" si="0"/>
        <v/>
      </c>
      <c r="D18" s="2"/>
      <c r="E18" s="1446" t="str">
        <f t="shared" ca="1" si="1"/>
        <v/>
      </c>
      <c r="F18" s="2"/>
    </row>
    <row r="19" spans="1:6" ht="13.5" thickBot="1" x14ac:dyDescent="0.25">
      <c r="A19" s="1084">
        <v>5</v>
      </c>
      <c r="B19" s="1453"/>
      <c r="C19" s="1446" t="str">
        <f t="shared" ca="1" si="0"/>
        <v/>
      </c>
      <c r="D19" s="2"/>
      <c r="E19" s="1446" t="str">
        <f t="shared" ca="1" si="1"/>
        <v/>
      </c>
      <c r="F19" s="2"/>
    </row>
    <row r="20" spans="1:6" x14ac:dyDescent="0.2">
      <c r="A20" s="1450"/>
      <c r="B20" s="1451" t="s">
        <v>2271</v>
      </c>
      <c r="C20" s="1452">
        <f ca="1">SUM(C15:C19)</f>
        <v>11760</v>
      </c>
      <c r="D20" s="1450"/>
      <c r="E20" s="1452">
        <f ca="1">SUM(E15:E19)</f>
        <v>970</v>
      </c>
      <c r="F20" s="2"/>
    </row>
    <row r="21" spans="1:6" x14ac:dyDescent="0.2">
      <c r="A21" s="2"/>
      <c r="B21" s="2"/>
      <c r="C21" s="2"/>
      <c r="D21" s="2"/>
      <c r="E21" s="2"/>
      <c r="F21" s="2"/>
    </row>
    <row r="22" spans="1:6" ht="13.5" thickBot="1" x14ac:dyDescent="0.25">
      <c r="A22" s="1464" t="s">
        <v>2219</v>
      </c>
      <c r="B22" s="1465"/>
      <c r="C22" s="1465"/>
      <c r="D22" s="1465"/>
      <c r="E22" s="1465"/>
      <c r="F22" s="2"/>
    </row>
    <row r="23" spans="1:6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  <c r="F23" s="2"/>
    </row>
    <row r="24" spans="1:6" x14ac:dyDescent="0.2">
      <c r="A24" s="1445">
        <v>1</v>
      </c>
      <c r="B24" s="1445" t="s">
        <v>2311</v>
      </c>
      <c r="C24" s="1446">
        <f ca="1">IF(ISBLANK(B24),"",INDIRECT($B24&amp;"!"&amp;"$I$54"))</f>
        <v>3560</v>
      </c>
      <c r="D24" s="2"/>
      <c r="E24" s="1446">
        <f ca="1">IF(ISBLANK(B24),"",INDIRECT($B24&amp;"!"&amp;"$I$49"))</f>
        <v>310</v>
      </c>
      <c r="F24" s="2"/>
    </row>
    <row r="25" spans="1:6" x14ac:dyDescent="0.2">
      <c r="A25" s="1453">
        <v>2</v>
      </c>
      <c r="B25" s="1445" t="s">
        <v>2312</v>
      </c>
      <c r="C25" s="1446">
        <f t="shared" ref="C25:C28" ca="1" si="2">IF(ISBLANK(B25),"",INDIRECT($B25&amp;"!"&amp;"$I$54"))</f>
        <v>3560</v>
      </c>
      <c r="D25" s="146"/>
      <c r="E25" s="1446">
        <f t="shared" ref="E25:E28" ca="1" si="3">IF(ISBLANK(B25),"",INDIRECT($B25&amp;"!"&amp;"$I$49"))</f>
        <v>310</v>
      </c>
      <c r="F25" s="2"/>
    </row>
    <row r="26" spans="1:6" x14ac:dyDescent="0.2">
      <c r="A26" s="1445">
        <v>3</v>
      </c>
      <c r="B26" s="1445" t="s">
        <v>2313</v>
      </c>
      <c r="C26" s="1446">
        <f t="shared" ca="1" si="2"/>
        <v>3560</v>
      </c>
      <c r="D26" s="146"/>
      <c r="E26" s="1446">
        <f t="shared" ca="1" si="3"/>
        <v>320</v>
      </c>
      <c r="F26" s="2"/>
    </row>
    <row r="27" spans="1:6" x14ac:dyDescent="0.2">
      <c r="A27" s="1453">
        <v>4</v>
      </c>
      <c r="B27" s="1453"/>
      <c r="C27" s="1446" t="str">
        <f t="shared" ca="1" si="2"/>
        <v/>
      </c>
      <c r="D27" s="146"/>
      <c r="E27" s="1446" t="str">
        <f t="shared" ca="1" si="3"/>
        <v/>
      </c>
      <c r="F27" s="2"/>
    </row>
    <row r="28" spans="1:6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  <c r="F28" s="2"/>
    </row>
    <row r="29" spans="1:6" x14ac:dyDescent="0.2">
      <c r="A29" s="1450"/>
      <c r="B29" s="1451" t="s">
        <v>2271</v>
      </c>
      <c r="C29" s="1452">
        <f ca="1">SUM(C24:C28)</f>
        <v>10680</v>
      </c>
      <c r="D29" s="1450"/>
      <c r="E29" s="1452">
        <f ca="1">SUM(E24:E28)</f>
        <v>940</v>
      </c>
      <c r="F29" s="2"/>
    </row>
    <row r="30" spans="1:6" x14ac:dyDescent="0.2">
      <c r="A30" s="2"/>
      <c r="B30" s="2"/>
      <c r="C30" s="2"/>
      <c r="D30" s="2"/>
      <c r="E30" s="2"/>
      <c r="F30" s="2"/>
    </row>
    <row r="31" spans="1:6" ht="13.5" thickBot="1" x14ac:dyDescent="0.25">
      <c r="A31" s="1464" t="s">
        <v>2220</v>
      </c>
      <c r="B31" s="1465"/>
      <c r="C31" s="1465"/>
      <c r="D31" s="1465"/>
      <c r="E31" s="1465"/>
      <c r="F31" s="2"/>
    </row>
    <row r="32" spans="1:6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  <c r="F32" s="2"/>
    </row>
    <row r="33" spans="1:6" x14ac:dyDescent="0.2">
      <c r="A33" s="1445">
        <v>1</v>
      </c>
      <c r="B33" s="1445"/>
      <c r="C33" s="1446" t="str">
        <f ca="1">IF(ISBLANK(B33),"",INDIRECT($B33&amp;"!"&amp;"$I$29"))</f>
        <v/>
      </c>
      <c r="D33" s="2"/>
      <c r="E33" s="1446" t="str">
        <f ca="1">IF(ISBLANK(B33),"",INDIRECT($B33&amp;"!"&amp;"$I$26"))</f>
        <v/>
      </c>
      <c r="F33" s="2"/>
    </row>
    <row r="34" spans="1:6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D34" s="2"/>
      <c r="E34" s="1446" t="str">
        <f t="shared" ref="E34:E37" ca="1" si="5">IF(ISBLANK(B34),"",INDIRECT($B34&amp;"!"&amp;"$I$26"))</f>
        <v/>
      </c>
      <c r="F34" s="2"/>
    </row>
    <row r="35" spans="1:6" x14ac:dyDescent="0.2">
      <c r="A35" s="1445">
        <v>3</v>
      </c>
      <c r="B35" s="1453"/>
      <c r="C35" s="1446" t="str">
        <f t="shared" ca="1" si="4"/>
        <v/>
      </c>
      <c r="D35" s="2"/>
      <c r="E35" s="1446" t="str">
        <f t="shared" ca="1" si="5"/>
        <v/>
      </c>
      <c r="F35" s="2"/>
    </row>
    <row r="36" spans="1:6" x14ac:dyDescent="0.2">
      <c r="A36" s="1453">
        <v>4</v>
      </c>
      <c r="B36" s="1453"/>
      <c r="C36" s="1446" t="str">
        <f t="shared" ca="1" si="4"/>
        <v/>
      </c>
      <c r="D36" s="2"/>
      <c r="E36" s="1446" t="str">
        <f t="shared" ca="1" si="5"/>
        <v/>
      </c>
      <c r="F36" s="2"/>
    </row>
    <row r="37" spans="1:6" ht="13.5" thickBot="1" x14ac:dyDescent="0.25">
      <c r="A37" s="1084">
        <v>5</v>
      </c>
      <c r="B37" s="1453"/>
      <c r="C37" s="1446" t="str">
        <f t="shared" ca="1" si="4"/>
        <v/>
      </c>
      <c r="D37" s="2"/>
      <c r="E37" s="1446" t="str">
        <f t="shared" ca="1" si="5"/>
        <v/>
      </c>
      <c r="F37" s="2"/>
    </row>
    <row r="38" spans="1:6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  <c r="F38" s="2"/>
    </row>
    <row r="39" spans="1:6" x14ac:dyDescent="0.2">
      <c r="A39" s="2"/>
      <c r="B39" s="2"/>
      <c r="C39" s="2"/>
      <c r="D39" s="2"/>
      <c r="E39" s="2"/>
      <c r="F39" s="2"/>
    </row>
    <row r="40" spans="1:6" x14ac:dyDescent="0.2">
      <c r="A40" s="2"/>
      <c r="B40" s="2"/>
      <c r="C40" s="2"/>
      <c r="D40" s="2"/>
      <c r="E40" s="2"/>
      <c r="F40" s="2"/>
    </row>
    <row r="41" spans="1:6" ht="13.5" thickBot="1" x14ac:dyDescent="0.25">
      <c r="A41" s="1464" t="s">
        <v>2221</v>
      </c>
      <c r="B41" s="1465"/>
      <c r="C41" s="1465"/>
      <c r="D41" s="1465"/>
      <c r="E41" s="1465"/>
      <c r="F41" s="2"/>
    </row>
    <row r="42" spans="1:6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  <c r="F42" s="2"/>
    </row>
    <row r="43" spans="1:6" x14ac:dyDescent="0.2">
      <c r="A43" s="1445">
        <v>1</v>
      </c>
      <c r="B43" s="1445"/>
      <c r="C43" s="1446" t="str">
        <f ca="1">IF(ISBLANK(B43),"",INDIRECT($B43&amp;"!"&amp;"$I$21"))</f>
        <v/>
      </c>
      <c r="D43" s="2"/>
      <c r="E43" s="1446" t="str">
        <f ca="1">IF(ISBLANK(B43),"",INDIRECT($B43&amp;"!"&amp;"$I$18"))</f>
        <v/>
      </c>
      <c r="F43" s="2"/>
    </row>
    <row r="44" spans="1:6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D44" s="2"/>
      <c r="E44" s="1446" t="str">
        <f t="shared" ref="E44:E47" ca="1" si="7">IF(ISBLANK(B44),"",INDIRECT($B44&amp;"!"&amp;"$I$18"))</f>
        <v/>
      </c>
      <c r="F44" s="2"/>
    </row>
    <row r="45" spans="1:6" x14ac:dyDescent="0.2">
      <c r="A45" s="1445">
        <v>3</v>
      </c>
      <c r="B45" s="1453"/>
      <c r="C45" s="1446" t="str">
        <f t="shared" ca="1" si="6"/>
        <v/>
      </c>
      <c r="D45" s="2"/>
      <c r="E45" s="1446" t="str">
        <f t="shared" ca="1" si="7"/>
        <v/>
      </c>
      <c r="F45" s="2"/>
    </row>
    <row r="46" spans="1:6" x14ac:dyDescent="0.2">
      <c r="A46" s="1453">
        <v>4</v>
      </c>
      <c r="B46" s="1453"/>
      <c r="C46" s="1446" t="str">
        <f t="shared" ca="1" si="6"/>
        <v/>
      </c>
      <c r="D46" s="2"/>
      <c r="E46" s="1446" t="str">
        <f t="shared" ca="1" si="7"/>
        <v/>
      </c>
      <c r="F46" s="2"/>
    </row>
    <row r="47" spans="1:6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  <c r="F47" s="2"/>
    </row>
    <row r="48" spans="1:6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  <c r="F48" s="2"/>
    </row>
    <row r="49" spans="1:6" x14ac:dyDescent="0.2">
      <c r="A49" s="2"/>
      <c r="B49" s="2"/>
      <c r="C49" s="2"/>
      <c r="D49" s="2"/>
      <c r="E49" s="2"/>
      <c r="F49" s="2"/>
    </row>
    <row r="50" spans="1:6" ht="13.5" thickBot="1" x14ac:dyDescent="0.25">
      <c r="A50" s="2"/>
      <c r="B50" s="2"/>
      <c r="C50" s="2"/>
      <c r="D50" s="2"/>
      <c r="E50" s="2"/>
      <c r="F50" s="2"/>
    </row>
    <row r="51" spans="1:6" ht="13.5" thickBot="1" x14ac:dyDescent="0.25">
      <c r="A51" s="2"/>
      <c r="B51" s="2"/>
      <c r="C51" s="2"/>
      <c r="D51" s="788" t="s">
        <v>2272</v>
      </c>
      <c r="E51" s="1448">
        <f ca="1">SUM(C20:E20,C29:E29,C38:E38,C48:E48)</f>
        <v>24350</v>
      </c>
      <c r="F51" s="2"/>
    </row>
    <row r="52" spans="1:6" x14ac:dyDescent="0.2">
      <c r="A52" s="2"/>
      <c r="B52" s="2"/>
      <c r="C52" s="2"/>
      <c r="D52" s="2"/>
      <c r="E52" s="2"/>
      <c r="F52" s="2"/>
    </row>
  </sheetData>
  <mergeCells count="1">
    <mergeCell ref="B10:D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R76"/>
  <sheetViews>
    <sheetView topLeftCell="L4" zoomScale="90" zoomScaleNormal="90" zoomScaleSheetLayoutView="85" workbookViewId="0">
      <selection activeCell="R34" sqref="R34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V2" s="168" t="s">
        <v>1019</v>
      </c>
      <c r="W2" s="207">
        <f>HLOOKUP(C11,Table_StateRates,5,FALSE)</f>
        <v>1.38</v>
      </c>
      <c r="X2" s="207">
        <f>HLOOKUP(C11,Table_StateRates,5,FALSE)</f>
        <v>1.38</v>
      </c>
      <c r="Y2" s="207">
        <f>HLOOKUP(C11,Table_StateRates,5,FALSE)</f>
        <v>1.38</v>
      </c>
      <c r="Z2" s="207">
        <f>HLOOKUP(C11,Table_StateRates,5,FALSE)</f>
        <v>1.38</v>
      </c>
      <c r="AB2" s="546"/>
      <c r="AC2" s="545" t="s">
        <v>1019</v>
      </c>
      <c r="AD2" s="207">
        <f>HLOOKUP(C11,Table_StateRates,5,FALSE)</f>
        <v>1.38</v>
      </c>
      <c r="AE2" s="207">
        <f>HLOOKUP(C11,Table_StateRates,5,FALSE)</f>
        <v>1.38</v>
      </c>
      <c r="AF2" s="207">
        <f>HLOOKUP(C11,Table_StateRates,5,FALSE)</f>
        <v>1.38</v>
      </c>
      <c r="AG2" s="207">
        <f>HLOOKUP(C11,Table_StateRates,5,FALSE)</f>
        <v>1.38</v>
      </c>
      <c r="AJ2" s="1117" t="s">
        <v>916</v>
      </c>
      <c r="AK2" s="207">
        <f>HLOOKUP(C11,Table_StateRates,5,FALSE)</f>
        <v>1.38</v>
      </c>
      <c r="AL2" s="207">
        <f>HLOOKUP(C11,Table_StateRates,5,FALSE)</f>
        <v>1.38</v>
      </c>
      <c r="AM2" s="207">
        <f>HLOOKUP(C11,Table_StateRates,5,FALSE)</f>
        <v>1.38</v>
      </c>
      <c r="AN2" s="207">
        <f>HLOOKUP(C11,Table_StateRates,5,FALSE)</f>
        <v>1.38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 t="str">
        <f>Summary1</f>
        <v>#14 - R15 - MISC (BLANKET)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46"/>
      <c r="V4" s="83" t="s">
        <v>2166</v>
      </c>
      <c r="W4" s="1312">
        <f>PRODUCT(W2:W3)</f>
        <v>2.6219999999999999</v>
      </c>
      <c r="X4" s="1312">
        <f>PRODUCT(X2:X3)</f>
        <v>2.6219999999999999</v>
      </c>
      <c r="Y4" s="1312">
        <f>PRODUCT(Y2:Y3)</f>
        <v>2.6219999999999999</v>
      </c>
      <c r="Z4" s="1312">
        <f>PRODUCT(Z2:Z3)</f>
        <v>2.6219999999999999</v>
      </c>
      <c r="AB4" s="60"/>
      <c r="AC4" s="83" t="s">
        <v>2166</v>
      </c>
      <c r="AD4" s="1312">
        <f>PRODUCT(AD2:AD3)</f>
        <v>2.6219999999999999</v>
      </c>
      <c r="AE4" s="1312">
        <f>PRODUCT(AE2:AE3)</f>
        <v>2.6219999999999999</v>
      </c>
      <c r="AF4" s="1312">
        <f>PRODUCT(AF2:AF3)</f>
        <v>2.6219999999999999</v>
      </c>
      <c r="AG4" s="1312">
        <f>PRODUCT(AG2:AG3)</f>
        <v>2.6219999999999999</v>
      </c>
      <c r="AI4" s="60"/>
      <c r="AJ4" s="83" t="s">
        <v>2166</v>
      </c>
      <c r="AK4" s="1312">
        <f>PRODUCT(AK2:AK3)</f>
        <v>2.6219999999999999</v>
      </c>
      <c r="AL4" s="1312">
        <f>PRODUCT(AL2:AL3)</f>
        <v>2.6219999999999999</v>
      </c>
      <c r="AM4" s="1312">
        <f>PRODUCT(AM2:AM3)</f>
        <v>2.6219999999999999</v>
      </c>
      <c r="AN4" s="1312">
        <f>PRODUCT(AN2:AN3)</f>
        <v>2.6219999999999999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2130</v>
      </c>
      <c r="J5" s="258">
        <f>IF(C27="Yes",Q36,0)</f>
        <v>900</v>
      </c>
      <c r="K5" s="259">
        <f>IF(AND(C27="Yes",C12="SP"),R36,0)</f>
        <v>890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0.126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4.8000000000000001E-2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0.126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4.8000000000000001E-2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0.126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0.126</v>
      </c>
      <c r="AL5" s="247">
        <f>Q5</f>
        <v>4.2000000000000003E-2</v>
      </c>
      <c r="AM5" s="247">
        <f>R5</f>
        <v>4.8000000000000001E-2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980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0.88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0.88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1.38</v>
      </c>
      <c r="AS6" s="299">
        <f>HLOOKUP(C11,Table_StateRates,5,FALSE)</f>
        <v>1.38</v>
      </c>
      <c r="AT6" s="299">
        <f>HLOOKUP(C11,Table_StateRates,5,FALSE)</f>
        <v>1.38</v>
      </c>
      <c r="AU6" s="299">
        <f>HLOOKUP(C11,Table_StateRates,5,FALSE)</f>
        <v>1.38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1.38</v>
      </c>
      <c r="BE6" s="453"/>
      <c r="BF6" s="186" t="s">
        <v>1019</v>
      </c>
      <c r="BG6" s="208">
        <f>HLOOKUP(C11,Table_StateRates,5,FALSE)</f>
        <v>1.38</v>
      </c>
      <c r="BH6" s="146"/>
      <c r="BI6" s="453"/>
      <c r="BJ6" s="186" t="s">
        <v>1019</v>
      </c>
      <c r="BK6" s="208">
        <f>HLOOKUP(C11,Table_StateRates,5,FALSE)</f>
        <v>1.38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0.88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0.88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0.29099999999999998</v>
      </c>
      <c r="AE7" s="1315">
        <f>ROUND(PRODUCT(AE4:AE6),3)</f>
        <v>0.11</v>
      </c>
      <c r="AF7" s="1315">
        <f>ROUND(PRODUCT(AF4:AF6),3)</f>
        <v>2.5999999999999999E-2</v>
      </c>
      <c r="AG7" s="1315">
        <f>ROUND(PRODUCT(AG4:AG6),3)</f>
        <v>2.5999999999999999E-2</v>
      </c>
      <c r="AH7" s="207"/>
      <c r="AI7" s="146"/>
      <c r="AJ7" s="301" t="s">
        <v>2243</v>
      </c>
      <c r="AK7" s="1315">
        <f>ROUND(PRODUCT(AK4:AK6),3)</f>
        <v>0.29099999999999998</v>
      </c>
      <c r="AL7" s="1315">
        <f>ROUND(PRODUCT(AL4:AL6),3)</f>
        <v>0.11</v>
      </c>
      <c r="AM7" s="1315">
        <f>ROUND(PRODUCT(AM4:AM6),3)</f>
        <v>0.126</v>
      </c>
      <c r="AN7" s="1315">
        <f>ROUND(PRODUCT(AN4:AN6),3)</f>
        <v>3.9E-2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0.9</v>
      </c>
      <c r="AS7" s="299">
        <f>IF(F7="Yes",1,IF(C48&gt;=80,VLOOKUP(C48,Table_CoIns1,2,FALSE),1+ IF(P5&lt;B49,VLOOKUP(B62,Table_CIUnder80,5,FALSE),0.5)))</f>
        <v>0.9</v>
      </c>
      <c r="AT7" s="299">
        <f>IF(F7="Yes",1,IF(C48&gt;=80,VLOOKUP(C48,Table_CoIns1,2,FALSE),1+ IF(P5&lt;B49,VLOOKUP(B62,Table_CIUnder80,5,FALSE),0.5)))</f>
        <v>0.9</v>
      </c>
      <c r="AU7" s="299">
        <f>IF(F7="Yes",1,IF(C48&gt;=80,VLOOKUP(C48,Table_CoIns1,2,FALSE),1+ IF(P5&lt;B49,VLOOKUP(B62,Table_CIUnder80,5,FALSE),0.5)))</f>
        <v>0.9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0.29099999999999998</v>
      </c>
      <c r="X8" s="1315">
        <f>ROUND(PRODUCT(X4:X7),3)</f>
        <v>0.11</v>
      </c>
      <c r="Y8" s="1315">
        <f>ROUND(PRODUCT(Y4:Y7),3)</f>
        <v>0.126</v>
      </c>
      <c r="Z8" s="1315">
        <f>ROUND(PRODUCT(Z4:Z7),3)</f>
        <v>3.9E-2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0.9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0.29099999999999998</v>
      </c>
      <c r="Q9" s="1313">
        <f>ROUND(PRODUCT(Q4:Q8),3)</f>
        <v>0.11</v>
      </c>
      <c r="R9" s="1313">
        <f>ROUND(PRODUCT(R4:R8),3)</f>
        <v>0.126</v>
      </c>
      <c r="S9" s="1313">
        <f>ROUND(PRODUCT(S4:S8),3)</f>
        <v>3.9E-2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0.9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857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1859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7.2999999999999995E-2</v>
      </c>
      <c r="X11" s="1315">
        <f>ROUND(PRODUCT(X8:X10),3)</f>
        <v>2.8000000000000001E-2</v>
      </c>
      <c r="Y11" s="1315">
        <f>ROUND(PRODUCT(Y8:Y10),3)</f>
        <v>3.2000000000000001E-2</v>
      </c>
      <c r="Z11" s="1315">
        <f>ROUND(PRODUCT(Z8:Z10),3)</f>
        <v>0.01</v>
      </c>
      <c r="AB11" s="146"/>
      <c r="AC11" s="83" t="s">
        <v>2167</v>
      </c>
      <c r="AD11" s="1313">
        <f>ROUND(PRODUCT(AD7:AD10),3)</f>
        <v>0.14599999999999999</v>
      </c>
      <c r="AE11" s="1313">
        <f>ROUND(PRODUCT(AE7:AE10),3)</f>
        <v>5.5E-2</v>
      </c>
      <c r="AF11" s="1313">
        <f>ROUND(PRODUCT(AF7:AF10),3)</f>
        <v>2.5999999999999999E-2</v>
      </c>
      <c r="AG11" s="1313">
        <f>ROUND(PRODUCT(AG7:AG10),3)</f>
        <v>2.5999999999999999E-2</v>
      </c>
      <c r="AH11" s="426"/>
      <c r="AI11" s="146"/>
      <c r="AJ11" s="1210" t="s">
        <v>2243</v>
      </c>
      <c r="AK11" s="1424">
        <f>AK7</f>
        <v>0.29099999999999998</v>
      </c>
      <c r="AL11" s="1424">
        <f>AL7</f>
        <v>0.11</v>
      </c>
      <c r="AM11" s="1424">
        <f>AM7</f>
        <v>0.126</v>
      </c>
      <c r="AN11" s="1424">
        <f>AN7</f>
        <v>3.9E-2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564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894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2</v>
      </c>
      <c r="C13" s="1106">
        <v>1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4.3999999999999997E-2</v>
      </c>
      <c r="AL13" s="1423">
        <f>ROUND(PRODUCT(AL11:AL12),3)</f>
        <v>1.7000000000000001E-2</v>
      </c>
      <c r="AM13" s="1423">
        <f>ROUND(PRODUCT(AM11:AM12),3)</f>
        <v>1.9E-2</v>
      </c>
      <c r="AN13" s="1423">
        <f>ROUND(PRODUCT(AN11:AN12),3)</f>
        <v>6.0000000000000001E-3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1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1.38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1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0.14599999999999999</v>
      </c>
      <c r="AE16" s="757">
        <f>AE11</f>
        <v>5.5E-2</v>
      </c>
      <c r="AF16" s="757">
        <f>AF11</f>
        <v>2.5999999999999999E-2</v>
      </c>
      <c r="AG16" s="757">
        <f>AG11</f>
        <v>2.5999999999999999E-2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1.38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0.14599999999999999</v>
      </c>
      <c r="AE17" s="1315">
        <f>ROUND(PRODUCT(AE15:AE16),3)</f>
        <v>5.5E-2</v>
      </c>
      <c r="AF17" s="1315">
        <f>ROUND(PRODUCT(AF15:AF16),3)</f>
        <v>2.5999999999999999E-2</v>
      </c>
      <c r="AG17" s="1315">
        <f>ROUND(PRODUCT(AG15:AG16),3)</f>
        <v>2.5999999999999999E-2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>
        <v>3</v>
      </c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6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IF(TC1_PP1!F26="Yes","PP","Available")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1.38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5">
        <f>ROUND(PRODUCT(P9:P12,IF(AND(C59="Yes",C61="Sprinkler",C62="Yes"),P13-P14,P13),P15:P20),3)</f>
        <v>0.29099999999999998</v>
      </c>
      <c r="Q21" s="1315">
        <f>ROUND(PRODUCT(Q9:Q20),3)</f>
        <v>0.11</v>
      </c>
      <c r="R21" s="1315">
        <f>ROUND(PRODUCT(R9:R20),3)</f>
        <v>0.126</v>
      </c>
      <c r="S21" s="1315">
        <f>ROUND(PRODUCT(S9:S20),3)</f>
        <v>3.9E-2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11.4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0.9</v>
      </c>
      <c r="Q22" s="247">
        <f>IF(F7="Yes",1,IF(C48&gt;=80,VLOOKUP(C48,Table_CoIns2,2,FALSE),1+ IF(Q5&lt;B49,VLOOKUP(B62,Table_CIUnder80,5,FALSE),0.5)))</f>
        <v>0.9</v>
      </c>
      <c r="R22" s="247">
        <f>IF(F7="Yes",1,IF(C48&gt;=80,VLOOKUP(C48,Table_CoIns1,2,FALSE),1+ IF(P5&lt;B49,VLOOKUP(B62,Table_CIUnder80,5,FALSE),0.5)))</f>
        <v>0.9</v>
      </c>
      <c r="S22" s="247">
        <f>IF(F7="Yes",1,IF(C48&gt;=80,VLOOKUP(C48,Table_CoIns1,2,FALSE),1+ IF(P5&lt;B49,VLOOKUP(B62,Table_CIUnder80,5,FALSE),0.5)))</f>
        <v>0.9</v>
      </c>
      <c r="V22" s="83" t="s">
        <v>1150</v>
      </c>
      <c r="W22" s="1315">
        <f>ROUND(PRODUCT(W11:W14,IF(AND(C59="Yes",C61="Sprinkler",C62="Yes"),W15-W16,W15),W17:W21),3)</f>
        <v>7.2999999999999995E-2</v>
      </c>
      <c r="X22" s="1315">
        <f>ROUND(PRODUCT(X11:X21),3)</f>
        <v>2.8000000000000001E-2</v>
      </c>
      <c r="Y22" s="1315">
        <f>ROUND(PRODUCT(Y11:Y21),3)</f>
        <v>3.2000000000000001E-2</v>
      </c>
      <c r="Z22" s="1315">
        <f>ROUND(PRODUCT(Z11:Z21),3)</f>
        <v>0.01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0.9</v>
      </c>
      <c r="BD22" s="423"/>
      <c r="BE22" s="453"/>
      <c r="BF22" s="186" t="s">
        <v>1019</v>
      </c>
      <c r="BG22" s="208">
        <f>HLOOKUP(C11,Table_StateRates,5,FALSE)</f>
        <v>1.38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0.29099999999999998</v>
      </c>
      <c r="AL23" s="1424">
        <f>AL7</f>
        <v>0.11</v>
      </c>
      <c r="AM23" s="1424">
        <f>AM7</f>
        <v>0.126</v>
      </c>
      <c r="AN23" s="1424">
        <f>AN7</f>
        <v>3.9E-2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1.1399999999999999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4.8000000000000001E-2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1.38</v>
      </c>
      <c r="AS24" s="299">
        <f>HLOOKUP(C11,Table_StateRates,5,FALSE)</f>
        <v>1.38</v>
      </c>
      <c r="AT24" s="299">
        <f>HLOOKUP(C11,Table_StateRates,5,FALSE)</f>
        <v>1.38</v>
      </c>
      <c r="AU24" s="299">
        <f>HLOOKUP(C11,Table_StateRates,5,FALSE)</f>
        <v>1.38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4.3999999999999997E-2</v>
      </c>
      <c r="AL25" s="1423">
        <f>ROUND(PRODUCT(AL23:AL24),3)</f>
        <v>1.7000000000000001E-2</v>
      </c>
      <c r="AM25" s="1423">
        <f>ROUND(PRODUCT(AM23:AM24),3)</f>
        <v>1.9E-2</v>
      </c>
      <c r="AN25" s="1423">
        <f>ROUND(PRODUCT(AN23:AN24),3)</f>
        <v>6.0000000000000001E-3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0.9</v>
      </c>
      <c r="AS25" s="299">
        <f>IF(F7="Yes",1,IF(C48&gt;=80,VLOOKUP(C48,Table_CoIns1,2,FALSE),1+ IF(P5&lt;B49,VLOOKUP(B62,Table_CIUnder80,5,FALSE),0.5)))</f>
        <v>0.9</v>
      </c>
      <c r="AT25" s="299">
        <f>IF(F7="Yes",1,IF(C48&gt;=80,VLOOKUP(C48,Table_CoIns1,2,FALSE),1+ IF(P5&lt;B49,VLOOKUP(B62,Table_CIUnder80,5,FALSE),0.5)))</f>
        <v>0.9</v>
      </c>
      <c r="AU25" s="299">
        <f>IF(F7="Yes",1,IF(C48&gt;=80,VLOOKUP(C48,Table_CoIns1,2,FALSE),1+ IF(P5&lt;B49,VLOOKUP(B62,Table_CIUnder80,5,FALSE),0.5)))</f>
        <v>0.9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564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0.9</v>
      </c>
      <c r="Q26" s="1314">
        <f>ROUND(PRODUCT(Q22:Q25),3)</f>
        <v>0.9</v>
      </c>
      <c r="R26" s="1314">
        <f>ROUND(PRODUCT(R22:R25),3)</f>
        <v>0.9</v>
      </c>
      <c r="S26" s="1314">
        <f>ROUND(PRODUCT(S22:S25),3)</f>
        <v>0.9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4.8000000000000001E-2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1.38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0.29099999999999998</v>
      </c>
      <c r="Q27" s="757">
        <f>Q21</f>
        <v>0.11</v>
      </c>
      <c r="R27" s="757">
        <f>R21</f>
        <v>0.126</v>
      </c>
      <c r="S27" s="757">
        <f>S21</f>
        <v>3.9E-2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1.1399999999999999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0.21299999999999999</v>
      </c>
      <c r="Q28" s="1315">
        <f>IF($C$30="Yes",C31,ROUND(PRODUCT(Q26:Q27),3))</f>
        <v>0.09</v>
      </c>
      <c r="R28" s="1315">
        <f>IF($C$30="Yes",B32,ROUND(PRODUCT(R26:R27),3))</f>
        <v>8.8999999999999996E-2</v>
      </c>
      <c r="S28" s="1315">
        <f>IF($C$30="Yes",C32,ROUND(PRODUCT(S26:S27),3))</f>
        <v>0</v>
      </c>
      <c r="AC28" s="168" t="s">
        <v>1019</v>
      </c>
      <c r="AD28" s="207">
        <f>HLOOKUP(C11,Table_StateRates,5,FALSE)</f>
        <v>1.38</v>
      </c>
      <c r="AE28" s="207">
        <f>HLOOKUP(C11,Table_StateRates,5,FALSE)</f>
        <v>1.38</v>
      </c>
      <c r="AF28" s="207">
        <f>HLOOKUP(C11,Table_StateRates,5,FALSE)</f>
        <v>1.38</v>
      </c>
      <c r="AG28" s="207">
        <f>HLOOKUP(C11,Table_StateRates,5,FALSE)</f>
        <v>1.38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0.9</v>
      </c>
      <c r="AE29" s="247">
        <f>IF(F7="Yes",1,IF(C48&gt;=80,VLOOKUP(C48,Table_CoIns1,2,FALSE),1+ IF(P5&lt;B49,VLOOKUP(B62,Table_CIUnder80,5,FALSE),0.5)))</f>
        <v>0.9</v>
      </c>
      <c r="AF29" s="247">
        <f>IF(F7="Yes",1,IF(C48&gt;=80,VLOOKUP(C48,Table_CoIns1,2,FALSE),1+ IF(P5&lt;B49,VLOOKUP(B62,Table_CIUnder80,5,FALSE),0.5)))</f>
        <v>0.9</v>
      </c>
      <c r="AG29" s="247">
        <f>IF(F7="Yes",1,IF(C48&gt;=80,VLOOKUP(C48,Table_CoIns1,2,FALSE),1+ IF(P5&lt;B49,VLOOKUP(B62,Table_CIUnder80,5,FALSE),0.5)))</f>
        <v>0.9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833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1.38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0.78600000000000003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0.7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0.72499999999999998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0.72499999999999998</v>
      </c>
      <c r="V31" s="168" t="s">
        <v>407</v>
      </c>
      <c r="W31" s="247">
        <f>P28</f>
        <v>0.21299999999999999</v>
      </c>
      <c r="X31" s="247">
        <f>Q28</f>
        <v>0.09</v>
      </c>
      <c r="Y31" s="247">
        <f>R28</f>
        <v>8.8999999999999996E-2</v>
      </c>
      <c r="Z31" s="247">
        <f>S28</f>
        <v>0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1.9E-2</v>
      </c>
      <c r="AS31" s="247">
        <f>ROUND(PRODUCT(AS21:AS30),3)</f>
        <v>1.4E-2</v>
      </c>
      <c r="AT31" s="247">
        <f>ROUND(PRODUCT(AT21:AT30),3)</f>
        <v>1.4E-2</v>
      </c>
      <c r="AU31" s="247">
        <f>ROUND(PRODUCT(AU21:AU30),3)</f>
        <v>1.4E-2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</v>
      </c>
      <c r="S32" s="247">
        <v>1</v>
      </c>
      <c r="U32" s="185"/>
      <c r="V32" s="187" t="s">
        <v>408</v>
      </c>
      <c r="W32" s="208">
        <f>IF(C48&gt;80,P22,1)</f>
        <v>0.9</v>
      </c>
      <c r="X32" s="208">
        <f>IF(C48&gt;80,Q22,1)</f>
        <v>0.9</v>
      </c>
      <c r="Y32" s="208">
        <f>IF(C48&gt;80,R22,1)</f>
        <v>0.9</v>
      </c>
      <c r="Z32" s="208">
        <f>IF(C48&gt;80,S22,1)</f>
        <v>0.9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10000</v>
      </c>
      <c r="Q33" s="238">
        <f>IF(ISNUMBER(C45),C45/100,0)</f>
        <v>10000</v>
      </c>
      <c r="R33" s="238">
        <f>IF(ISNUMBER(C45),C45/100,0)</f>
        <v>10000</v>
      </c>
      <c r="S33" s="238">
        <f>IF(ISNUMBER(C45),C45/100,0)</f>
        <v>10000</v>
      </c>
      <c r="U33" s="546"/>
      <c r="V33" s="301" t="s">
        <v>409</v>
      </c>
      <c r="W33" s="247">
        <f>ROUND(W31/W32,3)</f>
        <v>0.23699999999999999</v>
      </c>
      <c r="X33" s="247">
        <f>ROUND(X31/X32,3)</f>
        <v>0.1</v>
      </c>
      <c r="Y33" s="247">
        <f>ROUND(Y31/Y32,3)</f>
        <v>9.9000000000000005E-2</v>
      </c>
      <c r="Z33" s="247">
        <f>ROUND(Z31/Z32,3)</f>
        <v>0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2130</v>
      </c>
      <c r="Q34" s="1481">
        <f>IF($C$30="Yes",ROUND(PRODUCT(Q28,Q33),0),ROUND(PRODUCT(Q28,Q31:Q33),0))</f>
        <v>900</v>
      </c>
      <c r="R34" s="1481">
        <f>IF($C$30="Yes",ROUND(PRODUCT(R28,R33),0),ROUND(PRODUCT(R28,R31:R33),0))</f>
        <v>890</v>
      </c>
      <c r="S34" s="1481">
        <f>IF($C$30="Yes",ROUND(PRODUCT(S28,S33),0),ROUND(PRODUCT(S28,S31:S33),0))</f>
        <v>0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9.9000000000000005E-2</v>
      </c>
      <c r="AF34" s="247">
        <f>ROUND(PRODUCT(AF26:AF33),3)</f>
        <v>0.113</v>
      </c>
      <c r="AG34" s="247">
        <f>ROUND(PRODUCT(AG26:AG33),3)</f>
        <v>3.5000000000000003E-2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48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0.29099999999999998</v>
      </c>
      <c r="AL35" s="247">
        <f>AL7</f>
        <v>0.11</v>
      </c>
      <c r="AM35" s="247">
        <f>AM7</f>
        <v>0.126</v>
      </c>
      <c r="AN35" s="247">
        <f>AN7</f>
        <v>3.9E-2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2130</v>
      </c>
      <c r="Q36" s="248">
        <f>SUM(Q34:Q35)</f>
        <v>900</v>
      </c>
      <c r="R36" s="248">
        <f>SUM(R34:R35)</f>
        <v>890</v>
      </c>
      <c r="S36" s="248">
        <f>SUM(S34:S35)</f>
        <v>0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1.38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1.38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7.0999999999999994E-2</v>
      </c>
      <c r="X39" s="247">
        <f>ROUND(PRODUCT(X33:X38),3)</f>
        <v>0.03</v>
      </c>
      <c r="Y39" s="247">
        <f>ROUND(PRODUCT(Y33:Y38),3)</f>
        <v>0.03</v>
      </c>
      <c r="Z39" s="247">
        <f>ROUND(PRODUCT(Z33:Z38),3)</f>
        <v>0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0.126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1.38</v>
      </c>
      <c r="AZ39" s="423"/>
      <c r="BA39" s="542"/>
      <c r="BB39" s="597" t="s">
        <v>1019</v>
      </c>
      <c r="BC39" s="279">
        <f>HLOOKUP(C11,Table_StateRates,5,FALSE)</f>
        <v>1.38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2130</v>
      </c>
      <c r="Q40" s="248">
        <f>Q34</f>
        <v>900</v>
      </c>
      <c r="R40" s="248">
        <f>R34</f>
        <v>890</v>
      </c>
      <c r="S40" s="248">
        <f>S34</f>
        <v>0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3.9E-2</v>
      </c>
      <c r="AZ40" s="559"/>
      <c r="BA40" s="423"/>
      <c r="BB40" s="810" t="s">
        <v>1134</v>
      </c>
      <c r="BC40" s="426">
        <f>ROUND(PRODUCT(BC35:BC39),3)</f>
        <v>3.9E-2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0.88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0.88</v>
      </c>
      <c r="AZ41" s="559"/>
      <c r="BA41" s="423"/>
      <c r="BB41" s="906" t="s">
        <v>1178</v>
      </c>
      <c r="BC41" s="423">
        <f>IF(OR(C28="S",C28="T",C28="SC"),1,VLOOKUP(C14,Table_ProtClass,IF(C15&lt;=3,2,3),FALSE))</f>
        <v>0.88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0.13100000000000001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0.9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310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0.29099999999999998</v>
      </c>
      <c r="AL44" s="247">
        <f>AL7</f>
        <v>0.11</v>
      </c>
      <c r="AM44" s="247">
        <f>AM7</f>
        <v>0.126</v>
      </c>
      <c r="AN44" s="247">
        <f>AN7</f>
        <v>3.9E-2</v>
      </c>
      <c r="AO44" s="557"/>
      <c r="AP44" s="2"/>
      <c r="AQ44" s="168" t="s">
        <v>1019</v>
      </c>
      <c r="AR44" s="207">
        <f>HLOOKUP(C11,Table_StateRates,5,FALSE)</f>
        <v>1.38</v>
      </c>
      <c r="AS44" s="207">
        <f>HLOOKUP(C11,Table_StateRates,5,FALSE)</f>
        <v>1.38</v>
      </c>
      <c r="AT44" s="207">
        <f>HLOOKUP(C11,Table_StateRates,5,FALSE)</f>
        <v>1.38</v>
      </c>
      <c r="AU44" s="207">
        <f>HLOOKUP(C11,Table_StateRates,5,FALSE)</f>
        <v>1.38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8.9999999999999993E-3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1000000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3.1E-2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10000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1.38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3920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310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946">
        <v>100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4230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0.126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4.8000000000000001E-2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0.14499999999999999</v>
      </c>
      <c r="AS50" s="247">
        <f>ROUND(PRODUCT(AS39:AS49),3)</f>
        <v>5.5E-2</v>
      </c>
      <c r="AT50" s="247">
        <f>ROUND(PRODUCT(AT39:AT49),3)</f>
        <v>1.6E-2</v>
      </c>
      <c r="AU50" s="247">
        <f>ROUND(PRODUCT(AU39:AU49),3)</f>
        <v>1.6E-2</v>
      </c>
      <c r="AW50" s="566"/>
      <c r="AX50" s="990" t="s">
        <v>395</v>
      </c>
      <c r="AY50" s="813">
        <f>SUM(AY47,BC46)</f>
        <v>310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1.38</v>
      </c>
      <c r="X51" s="207">
        <f>HLOOKUP(C11,Table_StateRates,5,FALSE)</f>
        <v>1.38</v>
      </c>
      <c r="Y51" s="207">
        <f>HLOOKUP(C11,Table_StateRates,5,FALSE)</f>
        <v>1.38</v>
      </c>
      <c r="Z51" s="207">
        <f>HLOOKUP(C11,Table_StateRates,5,FALSE)</f>
        <v>1.38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4.2999999999999997E-2</v>
      </c>
      <c r="X56" s="247">
        <f>ROUND(PRODUCT(X49:X55),3)</f>
        <v>1.4E-2</v>
      </c>
      <c r="Y56" s="247">
        <f>ROUND(PRODUCT(Y49:Y55),3)</f>
        <v>0.126</v>
      </c>
      <c r="Z56" s="247">
        <f>ROUND(PRODUCT(Z49:Z55),3)</f>
        <v>3.9E-2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4.2999999999999997E-2</v>
      </c>
      <c r="X59" s="247">
        <f>MAX(X56:X57)</f>
        <v>1.4E-2</v>
      </c>
      <c r="Y59" s="247">
        <f>MAX(Y56:Y57)</f>
        <v>0.126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94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BQ24:BR24"/>
    <mergeCell ref="AW1:BC1"/>
    <mergeCell ref="AW32:BC32"/>
  </mergeCells>
  <phoneticPr fontId="2" type="noConversion"/>
  <conditionalFormatting sqref="B24">
    <cfRule type="expression" dxfId="383" priority="11" stopIfTrue="1">
      <formula>IF($C$24="Yes",FALSE,TRUE)</formula>
    </cfRule>
  </conditionalFormatting>
  <conditionalFormatting sqref="E16">
    <cfRule type="expression" dxfId="382" priority="12" stopIfTrue="1">
      <formula>IF($C$58="Yes",TRUE,FALSE)</formula>
    </cfRule>
  </conditionalFormatting>
  <conditionalFormatting sqref="C18">
    <cfRule type="expression" dxfId="381" priority="8">
      <formula>IF($C$12="SP",TRUE,FALSE)</formula>
    </cfRule>
    <cfRule type="expression" dxfId="380" priority="10">
      <formula>IF($C$12="SP",TRUE,FALSE)</formula>
    </cfRule>
  </conditionalFormatting>
  <conditionalFormatting sqref="A18">
    <cfRule type="expression" dxfId="379" priority="9">
      <formula>IF($C$12="SP",TRUE,FALSE)</formula>
    </cfRule>
  </conditionalFormatting>
  <conditionalFormatting sqref="B21">
    <cfRule type="expression" dxfId="378" priority="4">
      <formula>IF($C$21="Yes",TRUE,FALSE)</formula>
    </cfRule>
  </conditionalFormatting>
  <conditionalFormatting sqref="B31:C31">
    <cfRule type="expression" dxfId="377" priority="3">
      <formula>IF($C$30="Yes",TRUE,FALSE)</formula>
    </cfRule>
  </conditionalFormatting>
  <conditionalFormatting sqref="C32">
    <cfRule type="expression" dxfId="376" priority="2">
      <formula>IF(AND($C$30="Yes",$C$12="BR"),TRUE,FALSE)</formula>
    </cfRule>
  </conditionalFormatting>
  <conditionalFormatting sqref="B32">
    <cfRule type="expression" dxfId="375" priority="1">
      <formula>IF(AND($C$30="Yes",$C$12="SP"),TRUE,FALSE)</formula>
    </cfRule>
  </conditionalFormatting>
  <dataValidations xWindow="480" yWindow="523" count="97"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custom" allowBlank="1" showInputMessage="1" showErrorMessage="1" sqref="C25 F46 D23 B10 D43:E43 F33:F35 F38:F39 A38 A43">
      <formula1>FALSE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allowBlank="1" showInputMessage="1" showErrorMessage="1" promptTitle="Occupancy Type Description" prompt="Displays the description of the choice made in the cell to the left.  " sqref="B33 B40"/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="Bldg Lookup Value" sqref="F36">
      <formula1>FALSE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custom" allowBlank="1" showInputMessage="1" showErrorMessage="1" prompt="EQ Table Lookup Value" sqref="F49">
      <formula1>FALSE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allowBlank="1" showInputMessage="1" showErrorMessage="1" promptTitle="Special Class Pty: Grp II Symbol" prompt="Group II Symbol supplied for the Special Class Property selected." sqref="E24"/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  <ignoredErrors>
    <ignoredError sqref="BO7 AY2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78"/>
  <sheetViews>
    <sheetView topLeftCell="Q19"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1.38</v>
      </c>
      <c r="Q2" s="423">
        <f>HLOOKUP(C11,Table_StateRates,5,FALSE)</f>
        <v>1.38</v>
      </c>
      <c r="R2" s="423">
        <f>HLOOKUP(C11,Table_StateRates,5,FALSE)</f>
        <v>1.38</v>
      </c>
      <c r="S2" s="423">
        <f>HLOOKUP(C11,Table_StateRates,5,FALSE)</f>
        <v>1.38</v>
      </c>
      <c r="U2" s="1290"/>
      <c r="V2" s="1294" t="s">
        <v>2165</v>
      </c>
      <c r="W2" s="1300">
        <f>$P$28</f>
        <v>0.17399999999999999</v>
      </c>
      <c r="X2" s="1300">
        <f>$Q$28</f>
        <v>7.6999999999999999E-2</v>
      </c>
      <c r="Y2" s="1300">
        <f>$R$28</f>
        <v>0.105</v>
      </c>
      <c r="Z2" s="1300">
        <f>$S$28</f>
        <v>0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>P28</f>
        <v>0.17399999999999999</v>
      </c>
      <c r="AU2" s="247">
        <f>Q28</f>
        <v>7.6999999999999999E-2</v>
      </c>
      <c r="AV2" s="247">
        <f>IF(AND(C27="Yes",C12="SP"),VLOOKUP(C33,Table_Special_PP,3,0),0)</f>
        <v>0.113</v>
      </c>
      <c r="AW2" s="247">
        <f>S28</f>
        <v>0</v>
      </c>
      <c r="AZ2" s="1117" t="s">
        <v>2154</v>
      </c>
      <c r="BA2" s="247">
        <f>P28</f>
        <v>0.17399999999999999</v>
      </c>
      <c r="BB2" s="2">
        <f>Q28</f>
        <v>7.6999999999999999E-2</v>
      </c>
      <c r="BC2" s="558">
        <f>R28</f>
        <v>0.105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 t="str">
        <f>Summary1</f>
        <v>#14 - R15 - MISC (BLANKET)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0.627</v>
      </c>
      <c r="X3" s="247">
        <f t="shared" ref="X3:Z3" si="0">Q$31</f>
        <v>0.47799999999999998</v>
      </c>
      <c r="Y3" s="247">
        <f t="shared" si="0"/>
        <v>0.36099999999999999</v>
      </c>
      <c r="Z3" s="247">
        <f t="shared" si="0"/>
        <v>0.36099999999999999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0.13800000000000001</v>
      </c>
      <c r="AE3" s="2">
        <f>IF(OR(C28="S",C28="T"),C29,VLOOKUP(C16,Table_G2SymLC,3,FALSE)*IF(C60&lt;&gt;"Yes",B16,1))</f>
        <v>5.6000000000000001E-2</v>
      </c>
      <c r="AF3" s="247">
        <f>R5</f>
        <v>0.113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>P28</f>
        <v>0.17399999999999999</v>
      </c>
      <c r="AM3" s="4">
        <f>Q28</f>
        <v>7.6999999999999999E-2</v>
      </c>
      <c r="AN3" s="780">
        <f ca="1">IF(AND(C27="Yes",C12="SP"),IF(C13=1,R28,IF(C13=2,INDIRECT(VLOOKUP(C33,Table_Special_PP,6,FALSE)),"Select Type")),0)</f>
        <v>0.105</v>
      </c>
      <c r="AO3" s="4">
        <f>S28</f>
        <v>0</v>
      </c>
      <c r="AP3" s="4" t="e">
        <f>IF(#REF!="Yes",#REF!,0)</f>
        <v>#REF!</v>
      </c>
      <c r="AR3" s="185"/>
      <c r="AS3" s="187" t="s">
        <v>408</v>
      </c>
      <c r="AT3" s="455">
        <f>IF(C44&gt;80,VLOOKUP(C44,Table_CoIns1,2,FALSE),1)</f>
        <v>0.9</v>
      </c>
      <c r="AU3" s="455">
        <f>IF(C44&gt;80,VLOOKUP(C44,Table_CoIns1,2,FALSE),1)</f>
        <v>0.9</v>
      </c>
      <c r="AV3" s="455">
        <f>IF(C44&gt;80,VLOOKUP(C44,Table_CoIns1,2,FALSE),1)</f>
        <v>0.9</v>
      </c>
      <c r="AW3" s="455">
        <f>IF(C44&gt;80,VLOOKUP(C44,Table_CoIns1,2,FALSE),1)</f>
        <v>0.9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>ROUND(AT2/AT3,3)</f>
        <v>0.193</v>
      </c>
      <c r="AU4" s="247">
        <f>ROUND(AU2/AU3,3)</f>
        <v>8.5999999999999993E-2</v>
      </c>
      <c r="AV4" s="247">
        <f>ROUND(AV2/AV3,3)</f>
        <v>0.126</v>
      </c>
      <c r="AW4" s="247">
        <f>ROUND(AW2/AW3,3)</f>
        <v>0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>
        <f>IF(C27="Yes",P35,0)</f>
        <v>1740</v>
      </c>
      <c r="J5" s="258">
        <f>IF(C27="Yes",Q35,0)</f>
        <v>770</v>
      </c>
      <c r="K5" s="258">
        <f>IF(AND(C27="Yes",C12="SP"),R35,0)</f>
        <v>1050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0.13800000000000001</v>
      </c>
      <c r="Q5" s="247">
        <f>IF(OR(C28="S",C28="T"),C29,VLOOKUP(C16,Table_G2SymLC,3,FALSE)*IF(C60&lt;&gt;"Yes",B16,1))</f>
        <v>5.6000000000000001E-2</v>
      </c>
      <c r="R5" s="247">
        <f>IF(AND(C27="Yes",C12="SP"),VLOOKUP(C33,Table_Special_PP,3,0),0)</f>
        <v>0.113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>ROUND(PRODUCT(W2:W4),0)</f>
        <v>0</v>
      </c>
      <c r="X5" s="1306">
        <f>ROUND(PRODUCT(X2:X4),0)</f>
        <v>0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>ROUND(PRODUCT(AL3:AL4),3)</f>
        <v>1.7000000000000001E-2</v>
      </c>
      <c r="AM5" s="4">
        <f>ROUND(PRODUCT(AM3:AM4),3)</f>
        <v>8.0000000000000002E-3</v>
      </c>
      <c r="AN5" s="780">
        <f ca="1">ROUND(PRODUCT(AN3:AN4),3)</f>
        <v>1.0999999999999999E-2</v>
      </c>
      <c r="AO5" s="4">
        <f>ROUND(PRODUCT(AO3:AO4),3)</f>
        <v>0</v>
      </c>
      <c r="AP5" s="4" t="e">
        <f>ROUND(PRODUCT(AP3:AP4),3)</f>
        <v>#REF!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1.38</v>
      </c>
      <c r="BJ5" s="299">
        <f>HLOOKUP(C11,Table_StateRates,5,FALSE)</f>
        <v>1.38</v>
      </c>
      <c r="BK5" s="299">
        <f>HLOOKUP(C11,Table_StateRates,5,FALSE)</f>
        <v>1.38</v>
      </c>
      <c r="BL5" s="299">
        <f>HLOOKUP(C11,Table_StateRates,5,FALSE)</f>
        <v>1.38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980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0.88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0.26200000000000001</v>
      </c>
      <c r="AE6" s="247">
        <f>ROUND(PRODUCT(AE3:AE5),3)</f>
        <v>0.106</v>
      </c>
      <c r="AF6" s="247">
        <f>ROUND(PRODUCT(AF3:AF5),3)</f>
        <v>0.215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0.9</v>
      </c>
      <c r="BJ6" s="299">
        <f>IF(C44&gt;=80,VLOOKUP(C44,Table_CoIns1,2,FALSE),1+ IF(P5&lt;B45,VLOOKUP(B58,Table_CIUnder80,5,FALSE),0.5))</f>
        <v>0.9</v>
      </c>
      <c r="BK6" s="299">
        <f>IF(C44&gt;=80,VLOOKUP(C44,Table_CoIns1,2,FALSE),1+ IF(P5&lt;B45,VLOOKUP(B58,Table_CIUnder80,5,FALSE),0.5))</f>
        <v>0.9</v>
      </c>
      <c r="BL6" s="299">
        <f>IF(C44&gt;=80,VLOOKUP(C44,Table_CoIns1,2,FALSE),1+ IF(P5&lt;B45,VLOOKUP(B58,Table_CIUnder80,5,FALSE),0.5))</f>
        <v>0.9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1.38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>SUM(W5:W6)</f>
        <v>0</v>
      </c>
      <c r="X7" s="1301">
        <f>SUM(X5:X6)</f>
        <v>0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#REF!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0.318</v>
      </c>
      <c r="Q8" s="1315">
        <f>ROUND(PRODUCT(Q4:Q7),3)</f>
        <v>0.14699999999999999</v>
      </c>
      <c r="R8" s="1315">
        <f>ROUND(PRODUCT(R4:R7),3)</f>
        <v>0.29599999999999999</v>
      </c>
      <c r="S8" s="1315">
        <f>ROUND(PRODUCT(S4:S7),3)</f>
        <v>5.5E-2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0.9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0.13100000000000001</v>
      </c>
      <c r="AE9" s="247">
        <f>ROUND(PRODUCT(AE6:AE8),3)</f>
        <v>5.2999999999999999E-2</v>
      </c>
      <c r="AF9" s="247">
        <f>ROUND(PRODUCT(AF6:AF8),3)</f>
        <v>0.108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>ROUND(PRODUCT(AT4:AT7),3)</f>
        <v>0.24099999999999999</v>
      </c>
      <c r="AU9" s="247">
        <f>ROUND(PRODUCT(AU4:AU7),3)</f>
        <v>0.108</v>
      </c>
      <c r="AV9" s="247">
        <f>ROUND(PRODUCT(AV4:AV7),3)</f>
        <v>0.158</v>
      </c>
      <c r="AW9" s="247">
        <f>ROUND(PRODUCT(AW4:AW7),3)</f>
        <v>0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0.9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>W5</f>
        <v>0</v>
      </c>
      <c r="X10" s="1301">
        <f>X5</f>
        <v>0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10000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10000</v>
      </c>
      <c r="AU10" s="238">
        <f>IF(F13="Yes",E14/100,C41/100)</f>
        <v>10000</v>
      </c>
      <c r="AV10" s="238">
        <f>IF(F13="Yes",E14/100,C41/100)</f>
        <v>10000</v>
      </c>
      <c r="AW10" s="238">
        <f>IF(F13="Yes",E14/100,C41/100)</f>
        <v>10000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1859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#REF!</v>
      </c>
      <c r="AM11" s="146"/>
      <c r="AN11" s="146"/>
      <c r="AO11" s="301"/>
      <c r="AP11" s="976"/>
      <c r="AS11" s="301"/>
      <c r="AT11" s="248">
        <f>ROUND(PRODUCT(AT9:AT10),0)</f>
        <v>2410</v>
      </c>
      <c r="AU11" s="248">
        <f>ROUND(PRODUCT(AU9:AU10),0)</f>
        <v>1080</v>
      </c>
      <c r="AV11" s="248">
        <f>ROUND(PRODUCT(AV9:AV10),0)</f>
        <v>1580</v>
      </c>
      <c r="AW11" s="248">
        <f>ROUND(PRODUCT(AW9:AW10),0)</f>
        <v>0</v>
      </c>
      <c r="AZ11" s="1117" t="s">
        <v>2154</v>
      </c>
      <c r="BA11" s="247">
        <f>P28</f>
        <v>0.17399999999999999</v>
      </c>
      <c r="BB11" s="2">
        <f>Q28</f>
        <v>7.6999999999999999E-2</v>
      </c>
      <c r="BC11" s="558">
        <f>R28</f>
        <v>0.105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#REF!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106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0.88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>IF(C12="SP",SUM(AT11:AV11),IF(C12="BR",SUM(AT11:AU11,AW11),AT11:AU11))</f>
        <v>5070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1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0.627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0.47799999999999998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0.36099999999999999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1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>ROUND(PRODUCT(BA11,BA14),3)</f>
        <v>0.109</v>
      </c>
      <c r="BB15" s="1315">
        <f>ROUND(PRODUCT(BB11,BB14),3)</f>
        <v>3.6999999999999998E-2</v>
      </c>
      <c r="BC15" s="1315">
        <f>ROUND(PRODUCT(BC11,BC14),3)</f>
        <v>3.7999999999999999E-2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18</v>
      </c>
      <c r="D16" s="195"/>
      <c r="E16" s="195"/>
      <c r="F16" s="1067"/>
      <c r="H16" s="788" t="s">
        <v>1289</v>
      </c>
      <c r="I16" s="248">
        <f>SUM(I5:I15)</f>
        <v>1740</v>
      </c>
      <c r="J16" s="248">
        <f>SUM(J5:J15)</f>
        <v>770</v>
      </c>
      <c r="K16" s="248">
        <f>SUM(K5:K15)</f>
        <v>1050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>$P$28</f>
        <v>0.17399999999999999</v>
      </c>
      <c r="X16" s="1300">
        <f>$Q$28</f>
        <v>7.6999999999999999E-2</v>
      </c>
      <c r="Y16" s="1300">
        <f>$R$28</f>
        <v>0.105</v>
      </c>
      <c r="Z16" s="1300">
        <f>$S$28</f>
        <v>0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0.627</v>
      </c>
      <c r="X17" s="247">
        <f t="shared" ref="X17" si="1">Q$31</f>
        <v>0.47799999999999998</v>
      </c>
      <c r="Y17" s="247">
        <f t="shared" ref="Y17" si="2">R$31</f>
        <v>0.36099999999999999</v>
      </c>
      <c r="Z17" s="247">
        <f t="shared" ref="Z17" si="3">S$31</f>
        <v>0.36099999999999999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0.26700000000000002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>
        <v>3</v>
      </c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1.38</v>
      </c>
      <c r="AE18" s="423">
        <f>HLOOKUP(C11,Table_StateRates,5,FALSE)</f>
        <v>1.38</v>
      </c>
      <c r="AF18" s="423">
        <f>HLOOKUP(C11,Table_StateRates,5,FALSE)</f>
        <v>1.38</v>
      </c>
      <c r="AG18" s="423">
        <f>HLOOKUP(C11,Table_StateRates,5,FALSE)</f>
        <v>1.38</v>
      </c>
      <c r="AI18" s="266"/>
      <c r="AJ18" s="266"/>
      <c r="AK18" s="268" t="s">
        <v>1019</v>
      </c>
      <c r="AL18" s="423">
        <f>HLOOKUP(C11,Table_StateRates,5,FALSE)</f>
        <v>1.38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7.6999999999999999E-2</v>
      </c>
      <c r="AV18" s="247">
        <f>IF(AND(C27="Yes",C12="SP"),VLOOKUP(C33,Table_Special_PP,3,0),0)</f>
        <v>0.113</v>
      </c>
      <c r="AW18" s="2">
        <f>S28</f>
        <v>0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>ROUND(PRODUCT(W16:W18),0)</f>
        <v>0</v>
      </c>
      <c r="X19" s="1306">
        <f>ROUND(PRODUCT(X16:X18),0)</f>
        <v>0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8.2000000000000003E-2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0.318</v>
      </c>
      <c r="Q20" s="1312">
        <f>ROUND(PRODUCT(Q8:Q19),3)</f>
        <v>0.14699999999999999</v>
      </c>
      <c r="R20" s="1312">
        <f>ROUND(PRODUCT(R8:R19),3)</f>
        <v>0.29599999999999999</v>
      </c>
      <c r="S20" s="1312">
        <f>ROUND(PRODUCT(S8:S19),3)</f>
        <v>5.5E-2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2.6219999999999999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7.6999999999999999E-2</v>
      </c>
      <c r="AV20" s="247">
        <f>PRODUCT(AV18:AV19)</f>
        <v>0.113</v>
      </c>
      <c r="AW20" s="247">
        <f>PRODUCT(AW18:AW19)</f>
        <v>0</v>
      </c>
      <c r="AZ20" s="168" t="s">
        <v>1335</v>
      </c>
      <c r="BA20" s="248">
        <f>F24</f>
        <v>0</v>
      </c>
      <c r="BD20" s="168" t="s">
        <v>1337</v>
      </c>
      <c r="BE20" s="248">
        <f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1.38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0.9</v>
      </c>
      <c r="Q21" s="423">
        <f>IF(C44&gt;=80,VLOOKUP(C44,Table_CoIns1,2,FALSE),1+ IF(P5&lt;B45,VLOOKUP(B58,Table_CIUnder80,5,FALSE),0.5))</f>
        <v>0.9</v>
      </c>
      <c r="R21" s="423">
        <f>IF(C44&gt;=80,VLOOKUP(C44,Table_CoIns1,2,FALSE),1+ IF(P5&lt;B45,VLOOKUP(B58,Table_CIUnder80,5,FALSE),0.5))</f>
        <v>0.9</v>
      </c>
      <c r="S21" s="423">
        <f>IF(C44&gt;=80,VLOOKUP(C44,Table_CoIns1,2,FALSE),1+ IF(P5&lt;B45,VLOOKUP(B58,Table_CIUnder80,5,FALSE),0.5))</f>
        <v>0.9</v>
      </c>
      <c r="T21" s="385"/>
      <c r="U21" s="1288"/>
      <c r="V21" s="1291" t="s">
        <v>2160</v>
      </c>
      <c r="W21" s="1301">
        <f>SUM(W19:W20)</f>
        <v>0</v>
      </c>
      <c r="X21" s="1301">
        <f>SUM(X19:X20)</f>
        <v>0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0.113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0.156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0.159</v>
      </c>
      <c r="AE22" s="247">
        <f>ROUND(PRODUCT(AE9:AE21),3)</f>
        <v>7.2999999999999995E-2</v>
      </c>
      <c r="AF22" s="247">
        <f>ROUND(PRODUCT(AF9:AF21),3)</f>
        <v>0.14899999999999999</v>
      </c>
      <c r="AG22" s="247">
        <f>ROUND(PRODUCT(AG9:AG21),3)</f>
        <v>2.8000000000000001E-2</v>
      </c>
      <c r="AJ22" s="216"/>
      <c r="AK22" s="1226" t="s">
        <v>1017</v>
      </c>
      <c r="AL22" s="1428">
        <f>IF(C44&gt;=80,VLOOKUP(C44,Table_CoIns1,2,FALSE),1+ IF(P5&lt;B45,VLOOKUP(B58,Table_CIUnder80,5,FALSE),0.5))</f>
        <v>0.9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1.38</v>
      </c>
      <c r="AU22" s="207">
        <f>HLOOKUP(C11,Table_StateRates,5,FALSE)</f>
        <v>1.38</v>
      </c>
      <c r="AV22" s="207">
        <f>HLOOKUP(C11,Table_StateRates,5,FALSE)</f>
        <v>1.38</v>
      </c>
      <c r="AW22" s="207">
        <f>HLOOKUP(C11,Table_StateRates,5,FALSE)</f>
        <v>1.38</v>
      </c>
      <c r="AZ22" s="83" t="s">
        <v>1334</v>
      </c>
      <c r="BA22" s="2">
        <f>ROUND(BA20/BA21,3)</f>
        <v>0</v>
      </c>
      <c r="BD22" s="83" t="s">
        <v>1339</v>
      </c>
      <c r="BE22" s="248">
        <f>IF(BE20=0,0,BE20-BE21)</f>
        <v>0</v>
      </c>
      <c r="BG22" s="146"/>
      <c r="BH22" s="545" t="s">
        <v>1019</v>
      </c>
      <c r="BI22" s="299">
        <f>HLOOKUP(C11,Table_StateRates,5,FALSE)</f>
        <v>1.38</v>
      </c>
      <c r="BJ22" s="299">
        <f>HLOOKUP(C11,Table_StateRates,5,FALSE)</f>
        <v>1.38</v>
      </c>
      <c r="BK22" s="299">
        <f>HLOOKUP(C11,Table_StateRates,5,FALSE)</f>
        <v>1.38</v>
      </c>
      <c r="BL22" s="299">
        <f>HLOOKUP(C11,Table_StateRates,5,FALSE)</f>
        <v>1.38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0.9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0.26700000000000002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0.9</v>
      </c>
      <c r="AU23" s="247">
        <f>IF(C44&gt;=80,VLOOKUP(C44,Table_CoIns1,2,FALSE),1+ IF(P5&lt;B45,VLOOKUP(B58,Table_CIUnder80,5,FALSE),0.5))</f>
        <v>0.9</v>
      </c>
      <c r="AV23" s="247">
        <f>IF(C44&gt;=80,VLOOKUP(C44,Table_CoIns1,2,FALSE),1+ IF(P5&lt;B45,VLOOKUP(B58,Table_CIUnder80,5,FALSE),0.5))</f>
        <v>0.9</v>
      </c>
      <c r="AW23" s="247">
        <f>IF(C44&gt;=80,VLOOKUP(C44,Table_CoIns1,2,FALSE),1+ IF(P5&lt;B45,VLOOKUP(B58,Table_CIUnder80,5,FALSE),0.5))</f>
        <v>0.9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0.9</v>
      </c>
      <c r="BJ23" s="299">
        <f>IF(C44&gt;=80,VLOOKUP(C44,Table_CoIns1,2,FALSE),1+ IF(P5&lt;B45,VLOOKUP(B58,Table_CIUnder80,5,FALSE),0.5))</f>
        <v>0.9</v>
      </c>
      <c r="BK23" s="299">
        <f>IF(C44&gt;=80,VLOOKUP(C44,Table_CoIns1,2,FALSE),1+ IF(P5&lt;B45,VLOOKUP(B58,Table_CIUnder80,5,FALSE),0.5))</f>
        <v>0.9</v>
      </c>
      <c r="BL23" s="299">
        <f>IF(C44&gt;=80,VLOOKUP(C44,Table_CoIns1,2,FALSE),1+ IF(P5&lt;B45,VLOOKUP(B58,Table_CIUnder80,5,FALSE),0.5))</f>
        <v>0.9</v>
      </c>
      <c r="BN23" s="266"/>
      <c r="BO23" s="568" t="s">
        <v>917</v>
      </c>
      <c r="BP23" s="426">
        <f ca="1">ROUND(PRODUCT(BP21:BP22),3)</f>
        <v>1.6E-2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>W19</f>
        <v>0</v>
      </c>
      <c r="X24" s="1301">
        <f>X19</f>
        <v>0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0.9</v>
      </c>
      <c r="Q25" s="1314">
        <f>ROUND(PRODUCT(Q21:Q24),3)</f>
        <v>0.9</v>
      </c>
      <c r="R25" s="1314">
        <f>ROUND(PRODUCT(R21:R24),3)</f>
        <v>0.9</v>
      </c>
      <c r="S25" s="1314">
        <f>ROUND(PRODUCT(S21:S24),3)</f>
        <v>0.9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IF(TC1_BLDG1!F20="Yes","Bldg","Available")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0.26700000000000002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0.318</v>
      </c>
      <c r="Q27" s="757">
        <f>Q20</f>
        <v>0.14699999999999999</v>
      </c>
      <c r="R27" s="757">
        <f>R20</f>
        <v>0.29599999999999999</v>
      </c>
      <c r="S27" s="757">
        <f>S20</f>
        <v>5.5E-2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1.6E-2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>IF($C$30="Yes",B31,ROUND(PRODUCT(P25:P27),3))</f>
        <v>0.17399999999999999</v>
      </c>
      <c r="Q28" s="1315">
        <f>IF($C$30="Yes",C31,ROUND(PRODUCT(Q25:Q27),3))</f>
        <v>7.6999999999999999E-2</v>
      </c>
      <c r="R28" s="1484">
        <f>IF($C$30="Yes",B32,ROUND(PRODUCT(R25:R27),4))</f>
        <v>0.105</v>
      </c>
      <c r="S28" s="1315">
        <f>IF($C$30="Yes",C32,ROUND(PRODUCT(S25:S27),3))</f>
        <v>0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0.182</v>
      </c>
      <c r="AV28" s="247">
        <f>ROUND(PRODUCT(AV20:AV27),3)</f>
        <v>0.26700000000000002</v>
      </c>
      <c r="AW28" s="247">
        <f>ROUND(PRODUCT(AW20:AW27),3)</f>
        <v>0</v>
      </c>
      <c r="AY28" s="60" t="s">
        <v>1583</v>
      </c>
      <c r="BH28" s="301" t="s">
        <v>1389</v>
      </c>
      <c r="BI28" s="247">
        <f>ROUND(PRODUCT(BI19:BI27),3)</f>
        <v>1.9E-2</v>
      </c>
      <c r="BJ28" s="247">
        <f>ROUND(PRODUCT(BJ19:BJ27),3)</f>
        <v>1.4E-2</v>
      </c>
      <c r="BK28" s="247">
        <f>ROUND(PRODUCT(BK19:BK27),3)</f>
        <v>0.05</v>
      </c>
      <c r="BL28" s="247">
        <f>ROUND(PRODUCT(BL19:BL27),3)</f>
        <v>1.4E-2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40" t="s">
        <v>833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>$P$28</f>
        <v>0.17399999999999999</v>
      </c>
      <c r="X30" s="1300">
        <f>$Q$28</f>
        <v>7.6999999999999999E-2</v>
      </c>
      <c r="Y30" s="1300">
        <f>$R$28</f>
        <v>0.105</v>
      </c>
      <c r="Z30" s="1300">
        <f>$S$28</f>
        <v>0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0.17399999999999999</v>
      </c>
      <c r="C31" s="1455">
        <v>7.6999999999999999E-2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0.627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0.47799999999999998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0.36099999999999999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0.36099999999999999</v>
      </c>
      <c r="T31" s="299"/>
      <c r="U31" s="1288"/>
      <c r="V31" s="1117" t="s">
        <v>2152</v>
      </c>
      <c r="W31" s="247">
        <f>P$31</f>
        <v>0.627</v>
      </c>
      <c r="X31" s="247">
        <f t="shared" ref="X31" si="4">Q$31</f>
        <v>0.47799999999999998</v>
      </c>
      <c r="Y31" s="247">
        <f t="shared" ref="Y31" si="5">R$31</f>
        <v>0.36099999999999999</v>
      </c>
      <c r="Z31" s="247">
        <f t="shared" ref="Z31" si="6">S$31</f>
        <v>0.36099999999999999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0.105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10000</v>
      </c>
      <c r="Q32" s="238">
        <f>IF(ISBLANK(C41),0,C41/100)</f>
        <v>10000</v>
      </c>
      <c r="R32" s="238">
        <f>IF(ISBLANK(C41),0,C41/100)</f>
        <v>10000</v>
      </c>
      <c r="S32" s="238">
        <f>IF(ISBLANK(C41),0,C41/100)</f>
        <v>10000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1.38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>IF($C$30="Yes",ROUND(PRODUCT(P28,P32),0),ROUND(PRODUCT(P28,P31:P32),0))</f>
        <v>1740</v>
      </c>
      <c r="Q33" s="1481">
        <f>IF($C$30="Yes",ROUND(PRODUCT(Q28,Q32),0),ROUND(PRODUCT(Q28,Q31:Q32),0))</f>
        <v>770</v>
      </c>
      <c r="R33" s="1481">
        <f>IF($C$30="Yes",ROUND(PRODUCT(R28,R32),0),ROUND(PRODUCT(R28,R31:R32),0))</f>
        <v>1050</v>
      </c>
      <c r="S33" s="1481">
        <f>IF($C$30="Yes",ROUND(PRODUCT(S28,S32),0),ROUND(PRODUCT(S28,S31:S32),0))</f>
        <v>0</v>
      </c>
      <c r="U33" s="1293"/>
      <c r="V33" s="1303" t="s">
        <v>2161</v>
      </c>
      <c r="W33" s="1306">
        <f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1.38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43</v>
      </c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>SUM(P33:P34)</f>
        <v>1740</v>
      </c>
      <c r="Q35" s="248">
        <f>SUM(Q33:Q34)</f>
        <v>770</v>
      </c>
      <c r="R35" s="248">
        <f>SUM(R33:R34)</f>
        <v>1050</v>
      </c>
      <c r="S35" s="248">
        <f>SUM(S33:S34)</f>
        <v>0</v>
      </c>
      <c r="T35" s="235"/>
      <c r="U35" s="1288"/>
      <c r="V35" s="1291" t="s">
        <v>2162</v>
      </c>
      <c r="W35" s="1301">
        <f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1.38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>P33</f>
        <v>1740</v>
      </c>
      <c r="Q39" s="248">
        <f>Q33</f>
        <v>770</v>
      </c>
      <c r="R39" s="248">
        <f>R33</f>
        <v>1050</v>
      </c>
      <c r="S39" s="248">
        <f>S33</f>
        <v>0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1.38</v>
      </c>
      <c r="BQ39" s="423"/>
      <c r="BR39" s="542"/>
      <c r="BS39" s="597" t="s">
        <v>1019</v>
      </c>
      <c r="BT39" s="279">
        <f>HLOOKUP(C11,Table_StateRates,5,FALSE)</f>
        <v>1.38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3.9E-2</v>
      </c>
      <c r="BQ40" s="559"/>
      <c r="BR40" s="423"/>
      <c r="BS40" s="810" t="s">
        <v>1134</v>
      </c>
      <c r="BT40" s="426">
        <f>ROUND(PRODUCT(BT35:BT39),3)</f>
        <v>3.9E-2</v>
      </c>
    </row>
    <row r="41" spans="1:72" ht="13.5" thickBot="1" x14ac:dyDescent="0.25">
      <c r="A41" s="203" t="s">
        <v>2112</v>
      </c>
      <c r="B41" s="104"/>
      <c r="C41" s="943">
        <v>1000000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0.88</v>
      </c>
      <c r="BQ41" s="426"/>
      <c r="BR41" s="423"/>
      <c r="BS41" s="906" t="s">
        <v>1178</v>
      </c>
      <c r="BT41" s="423">
        <f>IF(OR(C28="S",C28="T"),1,VLOOKUP(C14,Table_ProtClass,IF(C15&lt;=3,2,3),FALSE))</f>
        <v>0.88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0.9</v>
      </c>
      <c r="BQ43" s="266"/>
      <c r="BR43" s="423"/>
      <c r="BS43" s="810" t="s">
        <v>1150</v>
      </c>
      <c r="BT43" s="426">
        <f>ROUND(PRODUCT(BT40:BT42),3)</f>
        <v>1.7000000000000001E-2</v>
      </c>
    </row>
    <row r="44" spans="1:72" x14ac:dyDescent="0.2">
      <c r="A44" s="108" t="s">
        <v>1170</v>
      </c>
      <c r="B44" s="160"/>
      <c r="C44" s="1218">
        <v>100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>$P$28</f>
        <v>0.17399999999999999</v>
      </c>
      <c r="X44" s="1300">
        <f>$Q$28</f>
        <v>7.6999999999999999E-2</v>
      </c>
      <c r="Y44" s="1300">
        <f>$R$28</f>
        <v>0.105</v>
      </c>
      <c r="Z44" s="1300">
        <f>$S$28</f>
        <v>0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0.627</v>
      </c>
      <c r="X45" s="247">
        <f t="shared" ref="X45" si="7">Q$31</f>
        <v>0.47799999999999998</v>
      </c>
      <c r="Y45" s="247">
        <f t="shared" ref="Y45" si="8">R$31</f>
        <v>0.36099999999999999</v>
      </c>
      <c r="Z45" s="247">
        <f t="shared" ref="Z45" si="9">S$31</f>
        <v>0.36099999999999999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3.1E-2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10000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310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310</v>
      </c>
      <c r="T49" s="266"/>
      <c r="U49" s="1288"/>
      <c r="V49" s="1291" t="s">
        <v>2164</v>
      </c>
      <c r="W49" s="1301">
        <f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310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>SUM(I16:L16,I38,I46,I52)</f>
        <v>3560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>SUM(I54,I49)</f>
        <v>3870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1000000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D57:F57"/>
    <mergeCell ref="E34:F34"/>
    <mergeCell ref="BN32:BT32"/>
  </mergeCells>
  <phoneticPr fontId="2" type="noConversion"/>
  <conditionalFormatting sqref="B24">
    <cfRule type="expression" dxfId="374" priority="16" stopIfTrue="1">
      <formula>IF($C$24="Yes",FALSE,TRUE)</formula>
    </cfRule>
  </conditionalFormatting>
  <conditionalFormatting sqref="C18">
    <cfRule type="expression" dxfId="373" priority="14">
      <formula>IF($C$12="SP",TRUE,FALSE)</formula>
    </cfRule>
    <cfRule type="expression" dxfId="372" priority="15">
      <formula>IF($C$12="SP",TRUE,FALSE)</formula>
    </cfRule>
  </conditionalFormatting>
  <conditionalFormatting sqref="A18">
    <cfRule type="expression" dxfId="371" priority="13">
      <formula>IF($C$12="SP",TRUE,FALSE)</formula>
    </cfRule>
  </conditionalFormatting>
  <conditionalFormatting sqref="B21">
    <cfRule type="expression" dxfId="370" priority="9">
      <formula>IF($C$21="Yes",TRUE,FALSE)</formula>
    </cfRule>
  </conditionalFormatting>
  <conditionalFormatting sqref="B31:C31">
    <cfRule type="expression" dxfId="369" priority="7">
      <formula>IF($C$30="Yes",TRUE,FALSE)</formula>
    </cfRule>
  </conditionalFormatting>
  <conditionalFormatting sqref="C32">
    <cfRule type="expression" dxfId="368" priority="2">
      <formula>IF(AND($C$30="Yes",$C$12="BR"),TRUE,FALSE)</formula>
    </cfRule>
  </conditionalFormatting>
  <conditionalFormatting sqref="B32">
    <cfRule type="expression" dxfId="367" priority="1">
      <formula>IF(AND($C$30="Yes",$C$12="SP"),TRUE,FALSE)</formula>
    </cfRule>
  </conditionalFormatting>
  <dataValidations xWindow="226" yWindow="501" count="111"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custom" allowBlank="1" showInputMessage="1" showErrorMessage="1" errorTitle="Do Not Touch" error="This is used to generate the Coinsurance rate." sqref="B58 E62">
      <formula1>FALSE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allowBlank="1" showInputMessage="1" showErrorMessage="1" promptTitle="Occupancy Type Description" prompt="Displays the description of the choice made in the cell to the left.  " sqref="B38 B33"/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custom" allowBlank="1" showInputMessage="1" showErrorMessage="1" prompt="Personal Property Lookup Value" sqref="F4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EQ Table Lookup Value" sqref="F54:F5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Spoilage Coverage" prompt="Please Select:_x000a_{ Yes or No }" sqref="F32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custom" allowBlank="1" showInputMessage="1" showErrorMessage="1" prompt="Lookup Value for Spoil Coverage Loss Cost Table" sqref="F33">
      <formula1>FALSE</formula1>
    </dataValidation>
    <dataValidation type="custom" allowBlank="1" showInputMessage="1" showErrorMessage="1" prompt="Spoilage Loss Cost Column Reference" sqref="F37">
      <formula1>FALSE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R76"/>
  <sheetViews>
    <sheetView topLeftCell="AM25" zoomScale="90" zoomScaleNormal="90" zoomScaleSheetLayoutView="85" workbookViewId="0">
      <selection activeCell="R34" sqref="R34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V2" s="168" t="s">
        <v>1019</v>
      </c>
      <c r="W2" s="207">
        <f>HLOOKUP(C11,Table_StateRates,5,FALSE)</f>
        <v>1.38</v>
      </c>
      <c r="X2" s="207">
        <f>HLOOKUP(C11,Table_StateRates,5,FALSE)</f>
        <v>1.38</v>
      </c>
      <c r="Y2" s="207">
        <f>HLOOKUP(C11,Table_StateRates,5,FALSE)</f>
        <v>1.38</v>
      </c>
      <c r="Z2" s="207">
        <f>HLOOKUP(C11,Table_StateRates,5,FALSE)</f>
        <v>1.38</v>
      </c>
      <c r="AB2" s="546"/>
      <c r="AC2" s="545" t="s">
        <v>1019</v>
      </c>
      <c r="AD2" s="207">
        <f>HLOOKUP(C11,Table_StateRates,5,FALSE)</f>
        <v>1.38</v>
      </c>
      <c r="AE2" s="207">
        <f>HLOOKUP(C11,Table_StateRates,5,FALSE)</f>
        <v>1.38</v>
      </c>
      <c r="AF2" s="207">
        <f>HLOOKUP(C11,Table_StateRates,5,FALSE)</f>
        <v>1.38</v>
      </c>
      <c r="AG2" s="207">
        <f>HLOOKUP(C11,Table_StateRates,5,FALSE)</f>
        <v>1.38</v>
      </c>
      <c r="AJ2" s="1117" t="s">
        <v>916</v>
      </c>
      <c r="AK2" s="207">
        <f>HLOOKUP(C11,Table_StateRates,5,FALSE)</f>
        <v>1.38</v>
      </c>
      <c r="AL2" s="207">
        <f>HLOOKUP(C11,Table_StateRates,5,FALSE)</f>
        <v>1.38</v>
      </c>
      <c r="AM2" s="207">
        <f>HLOOKUP(C11,Table_StateRates,5,FALSE)</f>
        <v>1.38</v>
      </c>
      <c r="AN2" s="207">
        <f>HLOOKUP(C11,Table_StateRates,5,FALSE)</f>
        <v>1.38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 t="str">
        <f>Summary1</f>
        <v>#14 - R15 - MISC (BLANKET)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46"/>
      <c r="V4" s="83" t="s">
        <v>2166</v>
      </c>
      <c r="W4" s="1312">
        <f>PRODUCT(W2:W3)</f>
        <v>2.6219999999999999</v>
      </c>
      <c r="X4" s="1312">
        <f>PRODUCT(X2:X3)</f>
        <v>2.6219999999999999</v>
      </c>
      <c r="Y4" s="1312">
        <f>PRODUCT(Y2:Y3)</f>
        <v>2.6219999999999999</v>
      </c>
      <c r="Z4" s="1312">
        <f>PRODUCT(Z2:Z3)</f>
        <v>2.6219999999999999</v>
      </c>
      <c r="AB4" s="60"/>
      <c r="AC4" s="83" t="s">
        <v>2166</v>
      </c>
      <c r="AD4" s="1312">
        <f>PRODUCT(AD2:AD3)</f>
        <v>2.6219999999999999</v>
      </c>
      <c r="AE4" s="1312">
        <f>PRODUCT(AE2:AE3)</f>
        <v>2.6219999999999999</v>
      </c>
      <c r="AF4" s="1312">
        <f>PRODUCT(AF2:AF3)</f>
        <v>2.6219999999999999</v>
      </c>
      <c r="AG4" s="1312">
        <f>PRODUCT(AG2:AG3)</f>
        <v>2.6219999999999999</v>
      </c>
      <c r="AI4" s="60"/>
      <c r="AJ4" s="83" t="s">
        <v>2166</v>
      </c>
      <c r="AK4" s="1312">
        <f>PRODUCT(AK2:AK3)</f>
        <v>2.6219999999999999</v>
      </c>
      <c r="AL4" s="1312">
        <f>PRODUCT(AL2:AL3)</f>
        <v>2.6219999999999999</v>
      </c>
      <c r="AM4" s="1312">
        <f>PRODUCT(AM2:AM3)</f>
        <v>2.6219999999999999</v>
      </c>
      <c r="AN4" s="1312">
        <f>PRODUCT(AN2:AN3)</f>
        <v>2.6219999999999999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2130</v>
      </c>
      <c r="J5" s="258">
        <f>IF(C27="Yes",Q36,0)</f>
        <v>900</v>
      </c>
      <c r="K5" s="259">
        <f>IF(AND(C27="Yes",C12="SP"),R36,0)</f>
        <v>890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0.124</v>
      </c>
      <c r="Q5" s="247">
        <f>IF(OR(C28="S",C28="T"),C29,VLOOKUP(C16,Table_G2SymLC,2,FALSE)*IF(C64&lt;&gt;"Yes",B16,1))</f>
        <v>6.7000000000000004E-2</v>
      </c>
      <c r="R5" s="247">
        <f>IF(OR(ISBLANK(C13),C13="No"),0,VLOOKUP(1,Table_Special_Bldg,2,FALSE)*IF(AND(C12="SP",C13=2),VLOOKUP(2,Table_Special_Bldg,2,0),1))</f>
        <v>0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0.124</v>
      </c>
      <c r="X5" s="247">
        <f>IF(OR(C28="S",C28="T"),C29,VLOOKUP(C16,Table_G2SymLC,2,FALSE)*IF(C64&lt;&gt;"Yes",B16,1))</f>
        <v>6.7000000000000004E-2</v>
      </c>
      <c r="Y5" s="247">
        <f>IF(OR(ISBLANK(C13),C13="No"),0,VLOOKUP(C13,Table_Special_Bldg,2,FALSE))</f>
        <v>0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0.124</v>
      </c>
      <c r="AE5" s="247">
        <f>IF(OR(C28="S",C28="T"),C29,VLOOKUP(C16,Table_G2SymLC,2,FALSE)*IF(C64&lt;&gt;"Yes",B16,1))</f>
        <v>6.7000000000000004E-2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0.124</v>
      </c>
      <c r="AL5" s="247">
        <f>Q5</f>
        <v>6.7000000000000004E-2</v>
      </c>
      <c r="AM5" s="247">
        <f>R5</f>
        <v>0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980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0.88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0.88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1.38</v>
      </c>
      <c r="AS6" s="299">
        <f>HLOOKUP(C11,Table_StateRates,5,FALSE)</f>
        <v>1.38</v>
      </c>
      <c r="AT6" s="299">
        <f>HLOOKUP(C11,Table_StateRates,5,FALSE)</f>
        <v>1.38</v>
      </c>
      <c r="AU6" s="299">
        <f>HLOOKUP(C11,Table_StateRates,5,FALSE)</f>
        <v>1.38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1.38</v>
      </c>
      <c r="BE6" s="453"/>
      <c r="BF6" s="186" t="s">
        <v>1019</v>
      </c>
      <c r="BG6" s="208">
        <f>HLOOKUP(C11,Table_StateRates,5,FALSE)</f>
        <v>1.38</v>
      </c>
      <c r="BH6" s="146"/>
      <c r="BI6" s="453"/>
      <c r="BJ6" s="186" t="s">
        <v>1019</v>
      </c>
      <c r="BK6" s="208">
        <f>HLOOKUP(C11,Table_StateRates,5,FALSE)</f>
        <v>1.38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0.88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0.88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0.28599999999999998</v>
      </c>
      <c r="AE7" s="1315">
        <f>ROUND(PRODUCT(AE4:AE6),3)</f>
        <v>0.17599999999999999</v>
      </c>
      <c r="AF7" s="1315">
        <f>ROUND(PRODUCT(AF4:AF6),3)</f>
        <v>2.5999999999999999E-2</v>
      </c>
      <c r="AG7" s="1315">
        <f>ROUND(PRODUCT(AG4:AG6),3)</f>
        <v>2.5999999999999999E-2</v>
      </c>
      <c r="AH7" s="207"/>
      <c r="AI7" s="146"/>
      <c r="AJ7" s="301" t="s">
        <v>2243</v>
      </c>
      <c r="AK7" s="1315">
        <f>ROUND(PRODUCT(AK4:AK6),3)</f>
        <v>0.28599999999999998</v>
      </c>
      <c r="AL7" s="1315">
        <f>ROUND(PRODUCT(AL4:AL6),3)</f>
        <v>0.17599999999999999</v>
      </c>
      <c r="AM7" s="1315">
        <f>ROUND(PRODUCT(AM4:AM6),3)</f>
        <v>0</v>
      </c>
      <c r="AN7" s="1315">
        <f>ROUND(PRODUCT(AN4:AN6),3)</f>
        <v>3.9E-2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0.9</v>
      </c>
      <c r="AS7" s="299">
        <f>IF(F7="Yes",1,IF(C48&gt;=80,VLOOKUP(C48,Table_CoIns1,2,FALSE),1+ IF(P5&lt;B49,VLOOKUP(B62,Table_CIUnder80,5,FALSE),0.5)))</f>
        <v>0.9</v>
      </c>
      <c r="AT7" s="299">
        <f>IF(F7="Yes",1,IF(C48&gt;=80,VLOOKUP(C48,Table_CoIns1,2,FALSE),1+ IF(P5&lt;B49,VLOOKUP(B62,Table_CIUnder80,5,FALSE),0.5)))</f>
        <v>0.9</v>
      </c>
      <c r="AU7" s="299">
        <f>IF(F7="Yes",1,IF(C48&gt;=80,VLOOKUP(C48,Table_CoIns1,2,FALSE),1+ IF(P5&lt;B49,VLOOKUP(B62,Table_CIUnder80,5,FALSE),0.5)))</f>
        <v>0.9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0.28599999999999998</v>
      </c>
      <c r="X8" s="1315">
        <f>ROUND(PRODUCT(X4:X7),3)</f>
        <v>0.17599999999999999</v>
      </c>
      <c r="Y8" s="1315">
        <f>ROUND(PRODUCT(Y4:Y7),3)</f>
        <v>0</v>
      </c>
      <c r="Z8" s="1315">
        <f>ROUND(PRODUCT(Z4:Z7),3)</f>
        <v>3.9E-2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0.9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0.28599999999999998</v>
      </c>
      <c r="Q9" s="1313">
        <f>ROUND(PRODUCT(Q4:Q8),3)</f>
        <v>0.17599999999999999</v>
      </c>
      <c r="R9" s="1313">
        <f>ROUND(PRODUCT(R4:R8),3)</f>
        <v>0</v>
      </c>
      <c r="S9" s="1313">
        <f>ROUND(PRODUCT(S4:S8),3)</f>
        <v>3.9E-2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0.9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857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1859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7.1999999999999995E-2</v>
      </c>
      <c r="X11" s="1315">
        <f>ROUND(PRODUCT(X8:X10),3)</f>
        <v>4.3999999999999997E-2</v>
      </c>
      <c r="Y11" s="1315">
        <f>ROUND(PRODUCT(Y8:Y10),3)</f>
        <v>0</v>
      </c>
      <c r="Z11" s="1315">
        <f>ROUND(PRODUCT(Z8:Z10),3)</f>
        <v>0.01</v>
      </c>
      <c r="AB11" s="146"/>
      <c r="AC11" s="83" t="s">
        <v>2167</v>
      </c>
      <c r="AD11" s="1313">
        <f>ROUND(PRODUCT(AD7:AD10),3)</f>
        <v>0.14299999999999999</v>
      </c>
      <c r="AE11" s="1313">
        <f>ROUND(PRODUCT(AE7:AE10),3)</f>
        <v>8.7999999999999995E-2</v>
      </c>
      <c r="AF11" s="1313">
        <f>ROUND(PRODUCT(AF7:AF10),3)</f>
        <v>2.5999999999999999E-2</v>
      </c>
      <c r="AG11" s="1313">
        <f>ROUND(PRODUCT(AG7:AG10),3)</f>
        <v>2.5999999999999999E-2</v>
      </c>
      <c r="AH11" s="426"/>
      <c r="AI11" s="146"/>
      <c r="AJ11" s="1210" t="s">
        <v>2243</v>
      </c>
      <c r="AK11" s="1424">
        <f>AK7</f>
        <v>0.28599999999999998</v>
      </c>
      <c r="AL11" s="1424">
        <f>AL7</f>
        <v>0.17599999999999999</v>
      </c>
      <c r="AM11" s="1424">
        <f>AM7</f>
        <v>0</v>
      </c>
      <c r="AN11" s="1424">
        <f>AN7</f>
        <v>3.9E-2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894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3</v>
      </c>
      <c r="C13" s="1106" t="s">
        <v>857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4.2999999999999997E-2</v>
      </c>
      <c r="AL13" s="1423">
        <f>ROUND(PRODUCT(AL11:AL12),3)</f>
        <v>2.5999999999999999E-2</v>
      </c>
      <c r="AM13" s="1423">
        <f>ROUND(PRODUCT(AM11:AM12),3)</f>
        <v>0</v>
      </c>
      <c r="AN13" s="1423">
        <f>ROUND(PRODUCT(AN11:AN12),3)</f>
        <v>6.0000000000000001E-3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1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1.38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2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28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0.14299999999999999</v>
      </c>
      <c r="AE16" s="757">
        <f>AE11</f>
        <v>8.7999999999999995E-2</v>
      </c>
      <c r="AF16" s="757">
        <f>AF11</f>
        <v>2.5999999999999999E-2</v>
      </c>
      <c r="AG16" s="757">
        <f>AG11</f>
        <v>2.5999999999999999E-2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1.38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0.14299999999999999</v>
      </c>
      <c r="AE17" s="1315">
        <f>ROUND(PRODUCT(AE15:AE16),3)</f>
        <v>8.7999999999999995E-2</v>
      </c>
      <c r="AF17" s="1315">
        <f>ROUND(PRODUCT(AF15:AF16),3)</f>
        <v>2.5999999999999999E-2</v>
      </c>
      <c r="AG17" s="1315">
        <f>ROUND(PRODUCT(AG15:AG16),3)</f>
        <v>2.5999999999999999E-2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>
        <v>3</v>
      </c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0.13700000000000001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IF(TC1_PP2!F26="Yes","PP","Available")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1.38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0.28599999999999998</v>
      </c>
      <c r="Q21" s="1312">
        <f>ROUND(PRODUCT(Q9:Q20),3)</f>
        <v>0.17599999999999999</v>
      </c>
      <c r="R21" s="1312">
        <f>ROUND(PRODUCT(R9:R20),3)</f>
        <v>0</v>
      </c>
      <c r="S21" s="1315">
        <f>ROUND(PRODUCT(S9:S20),3)</f>
        <v>3.9E-2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0.26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0.9</v>
      </c>
      <c r="Q22" s="247">
        <f>IF(F7="Yes",1,IF(C48&gt;=80,VLOOKUP(C48,Table_CoIns2,2,FALSE),1+ IF(Q5&lt;B49,VLOOKUP(B62,Table_CIUnder80,5,FALSE),0.5)))</f>
        <v>0.9</v>
      </c>
      <c r="R22" s="247">
        <f>IF(F7="Yes",1,IF(C48&gt;=80,VLOOKUP(C48,Table_CoIns1,2,FALSE),1+ IF(P5&lt;B49,VLOOKUP(B62,Table_CIUnder80,5,FALSE),0.5)))</f>
        <v>0.9</v>
      </c>
      <c r="S22" s="247">
        <f>IF(F7="Yes",1,IF(C48&gt;=80,VLOOKUP(C48,Table_CoIns1,2,FALSE),1+ IF(P5&lt;B49,VLOOKUP(B62,Table_CIUnder80,5,FALSE),0.5)))</f>
        <v>0.9</v>
      </c>
      <c r="V22" s="83" t="s">
        <v>1150</v>
      </c>
      <c r="W22" s="1315">
        <f>ROUND(PRODUCT(W11:W14,IF(AND(C59="Yes",C61="Sprinkler",C62="Yes"),W15-W16,W15),W17:W21),3)</f>
        <v>7.1999999999999995E-2</v>
      </c>
      <c r="X22" s="1315">
        <f>ROUND(PRODUCT(X11:X21),3)</f>
        <v>4.3999999999999997E-2</v>
      </c>
      <c r="Y22" s="1315">
        <f>ROUND(PRODUCT(Y11:Y21),3)</f>
        <v>0</v>
      </c>
      <c r="Z22" s="1315">
        <f>ROUND(PRODUCT(Z11:Z21),3)</f>
        <v>0.01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0.9</v>
      </c>
      <c r="BD22" s="423"/>
      <c r="BE22" s="453"/>
      <c r="BF22" s="186" t="s">
        <v>1019</v>
      </c>
      <c r="BG22" s="208">
        <f>HLOOKUP(C11,Table_StateRates,5,FALSE)</f>
        <v>1.38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0.28599999999999998</v>
      </c>
      <c r="AL23" s="1424">
        <f>AL7</f>
        <v>0.17599999999999999</v>
      </c>
      <c r="AM23" s="1424">
        <f>AM7</f>
        <v>0</v>
      </c>
      <c r="AN23" s="1424">
        <f>AN7</f>
        <v>3.9E-2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2.5999999999999999E-2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6.7000000000000004E-2</v>
      </c>
      <c r="AF24" s="247">
        <f>IF(OR(ISBLANK(C13),C13="No"),0,VLOOKUP(C13,Table_Special_Bldg,2,FALSE))</f>
        <v>0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1.38</v>
      </c>
      <c r="AS24" s="299">
        <f>HLOOKUP(C11,Table_StateRates,5,FALSE)</f>
        <v>1.38</v>
      </c>
      <c r="AT24" s="299">
        <f>HLOOKUP(C11,Table_StateRates,5,FALSE)</f>
        <v>1.38</v>
      </c>
      <c r="AU24" s="299">
        <f>HLOOKUP(C11,Table_StateRates,5,FALSE)</f>
        <v>1.38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4.2999999999999997E-2</v>
      </c>
      <c r="AL25" s="1423">
        <f>ROUND(PRODUCT(AL23:AL24),3)</f>
        <v>2.5999999999999999E-2</v>
      </c>
      <c r="AM25" s="1423">
        <f>ROUND(PRODUCT(AM23:AM24),3)</f>
        <v>0</v>
      </c>
      <c r="AN25" s="1423">
        <f>ROUND(PRODUCT(AN23:AN24),3)</f>
        <v>6.0000000000000001E-3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0.9</v>
      </c>
      <c r="AS25" s="299">
        <f>IF(F7="Yes",1,IF(C48&gt;=80,VLOOKUP(C48,Table_CoIns1,2,FALSE),1+ IF(P5&lt;B49,VLOOKUP(B62,Table_CIUnder80,5,FALSE),0.5)))</f>
        <v>0.9</v>
      </c>
      <c r="AT25" s="299">
        <f>IF(F7="Yes",1,IF(C48&gt;=80,VLOOKUP(C48,Table_CoIns1,2,FALSE),1+ IF(P5&lt;B49,VLOOKUP(B62,Table_CIUnder80,5,FALSE),0.5)))</f>
        <v>0.9</v>
      </c>
      <c r="AU25" s="299">
        <f>IF(F7="Yes",1,IF(C48&gt;=80,VLOOKUP(C48,Table_CoIns1,2,FALSE),1+ IF(P5&lt;B49,VLOOKUP(B62,Table_CIUnder80,5,FALSE),0.5)))</f>
        <v>0.9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0.9</v>
      </c>
      <c r="Q26" s="1314">
        <f>ROUND(PRODUCT(Q22:Q25),3)</f>
        <v>0.9</v>
      </c>
      <c r="R26" s="1314">
        <f>ROUND(PRODUCT(R22:R25),3)</f>
        <v>0.9</v>
      </c>
      <c r="S26" s="1314">
        <f>ROUND(PRODUCT(S22:S25),3)</f>
        <v>0.9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6.7000000000000004E-2</v>
      </c>
      <c r="AF26" s="247">
        <f>PRODUCT(AF24:AF25)</f>
        <v>0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1.38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0.28599999999999998</v>
      </c>
      <c r="Q27" s="757">
        <f>Q21</f>
        <v>0.17599999999999999</v>
      </c>
      <c r="R27" s="757">
        <f>R21</f>
        <v>0</v>
      </c>
      <c r="S27" s="757">
        <f>S21</f>
        <v>3.9E-2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2.5999999999999999E-2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0.21299999999999999</v>
      </c>
      <c r="Q28" s="1315">
        <f>IF($C$30="Yes",C31,ROUND(PRODUCT(Q26:Q27),3))</f>
        <v>0.09</v>
      </c>
      <c r="R28" s="1315">
        <f>IF($C$30="Yes",B32,ROUND(PRODUCT(R26:R27),3))</f>
        <v>8.8999999999999996E-2</v>
      </c>
      <c r="S28" s="1315">
        <f>IF($C$30="Yes",C32,ROUND(PRODUCT(S26:S27),3))</f>
        <v>0</v>
      </c>
      <c r="AC28" s="168" t="s">
        <v>1019</v>
      </c>
      <c r="AD28" s="207">
        <f>HLOOKUP(C11,Table_StateRates,5,FALSE)</f>
        <v>1.38</v>
      </c>
      <c r="AE28" s="207">
        <f>HLOOKUP(C11,Table_StateRates,5,FALSE)</f>
        <v>1.38</v>
      </c>
      <c r="AF28" s="207">
        <f>HLOOKUP(C11,Table_StateRates,5,FALSE)</f>
        <v>1.38</v>
      </c>
      <c r="AG28" s="207">
        <f>HLOOKUP(C11,Table_StateRates,5,FALSE)</f>
        <v>1.38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0.9</v>
      </c>
      <c r="AE29" s="247">
        <f>IF(F7="Yes",1,IF(C48&gt;=80,VLOOKUP(C48,Table_CoIns1,2,FALSE),1+ IF(P5&lt;B49,VLOOKUP(B62,Table_CIUnder80,5,FALSE),0.5)))</f>
        <v>0.9</v>
      </c>
      <c r="AF29" s="247">
        <f>IF(F7="Yes",1,IF(C48&gt;=80,VLOOKUP(C48,Table_CoIns1,2,FALSE),1+ IF(P5&lt;B49,VLOOKUP(B62,Table_CIUnder80,5,FALSE),0.5)))</f>
        <v>0.9</v>
      </c>
      <c r="AG29" s="247">
        <f>IF(F7="Yes",1,IF(C48&gt;=80,VLOOKUP(C48,Table_CoIns1,2,FALSE),1+ IF(P5&lt;B49,VLOOKUP(B62,Table_CIUnder80,5,FALSE),0.5)))</f>
        <v>0.9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833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1.38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0.78600000000000003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0.7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0.72499999999999998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0.72499999999999998</v>
      </c>
      <c r="V31" s="168" t="s">
        <v>407</v>
      </c>
      <c r="W31" s="247">
        <f>P28</f>
        <v>0.21299999999999999</v>
      </c>
      <c r="X31" s="247">
        <f>Q28</f>
        <v>0.09</v>
      </c>
      <c r="Y31" s="247">
        <f>R28</f>
        <v>8.8999999999999996E-2</v>
      </c>
      <c r="Z31" s="247">
        <f>S28</f>
        <v>0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1.9E-2</v>
      </c>
      <c r="AS31" s="247">
        <f>ROUND(PRODUCT(AS21:AS30),3)</f>
        <v>1.4E-2</v>
      </c>
      <c r="AT31" s="247">
        <f>ROUND(PRODUCT(AT21:AT30),3)</f>
        <v>1.4E-2</v>
      </c>
      <c r="AU31" s="247">
        <f>ROUND(PRODUCT(AU21:AU30),3)</f>
        <v>1.4E-2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</v>
      </c>
      <c r="S32" s="247">
        <v>1</v>
      </c>
      <c r="U32" s="185"/>
      <c r="V32" s="187" t="s">
        <v>408</v>
      </c>
      <c r="W32" s="208">
        <f>IF(C48&gt;80,P22,1)</f>
        <v>0.9</v>
      </c>
      <c r="X32" s="208">
        <f>IF(C48&gt;80,Q22,1)</f>
        <v>0.9</v>
      </c>
      <c r="Y32" s="208">
        <f>IF(C48&gt;80,R22,1)</f>
        <v>0.9</v>
      </c>
      <c r="Z32" s="208">
        <f>IF(C48&gt;80,S22,1)</f>
        <v>0.9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10000</v>
      </c>
      <c r="Q33" s="238">
        <f>IF(ISNUMBER(C45),C45/100,0)</f>
        <v>10000</v>
      </c>
      <c r="R33" s="238">
        <f>IF(ISNUMBER(C45),C45/100,0)</f>
        <v>10000</v>
      </c>
      <c r="S33" s="238">
        <f>IF(ISNUMBER(C45),C45/100,0)</f>
        <v>10000</v>
      </c>
      <c r="U33" s="546"/>
      <c r="V33" s="301" t="s">
        <v>409</v>
      </c>
      <c r="W33" s="247">
        <f>ROUND(W31/W32,3)</f>
        <v>0.23699999999999999</v>
      </c>
      <c r="X33" s="247">
        <f>ROUND(X31/X32,3)</f>
        <v>0.1</v>
      </c>
      <c r="Y33" s="247">
        <f>ROUND(Y31/Y32,3)</f>
        <v>9.9000000000000005E-2</v>
      </c>
      <c r="Z33" s="247">
        <f>ROUND(Z31/Z32,3)</f>
        <v>0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2130</v>
      </c>
      <c r="Q34" s="1481">
        <f>IF($C$30="Yes",ROUND(PRODUCT(Q28,Q33),0),ROUND(PRODUCT(Q28,Q31:Q33),0))</f>
        <v>900</v>
      </c>
      <c r="R34" s="1481">
        <f>IF($C$30="Yes",ROUND(PRODUCT(R28,R33),0),ROUND(PRODUCT(R28,R31:R33),0))</f>
        <v>890</v>
      </c>
      <c r="S34" s="1481">
        <f>IF($C$30="Yes",ROUND(PRODUCT(S28,S33),0),ROUND(PRODUCT(S28,S31:S33),0))</f>
        <v>0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0.158</v>
      </c>
      <c r="AF34" s="247">
        <f>ROUND(PRODUCT(AF26:AF33),3)</f>
        <v>0</v>
      </c>
      <c r="AG34" s="247">
        <f>ROUND(PRODUCT(AG26:AG33),3)</f>
        <v>3.5000000000000003E-2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43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0.28599999999999998</v>
      </c>
      <c r="AL35" s="247">
        <f>AL7</f>
        <v>0.17599999999999999</v>
      </c>
      <c r="AM35" s="247">
        <f>AM7</f>
        <v>0</v>
      </c>
      <c r="AN35" s="247">
        <f>AN7</f>
        <v>3.9E-2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2130</v>
      </c>
      <c r="Q36" s="248">
        <f>SUM(Q34:Q35)</f>
        <v>900</v>
      </c>
      <c r="R36" s="248">
        <f>SUM(R34:R35)</f>
        <v>890</v>
      </c>
      <c r="S36" s="248">
        <f>SUM(S34:S35)</f>
        <v>0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1.38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1.38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7.0999999999999994E-2</v>
      </c>
      <c r="X39" s="247">
        <f>ROUND(PRODUCT(X33:X38),3)</f>
        <v>0.03</v>
      </c>
      <c r="Y39" s="247">
        <f>ROUND(PRODUCT(Y33:Y38),3)</f>
        <v>0.03</v>
      </c>
      <c r="Z39" s="247">
        <f>ROUND(PRODUCT(Z33:Z38),3)</f>
        <v>0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0.124</v>
      </c>
      <c r="AS39" s="247">
        <f>IF(OR(C28="S",C28="T"),C29,VLOOKUP(C16,Table_G2SymLC,2,FALSE)*IF(C64&lt;&gt;"Yes",B16,1))</f>
        <v>6.7000000000000004E-2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1.38</v>
      </c>
      <c r="AZ39" s="423"/>
      <c r="BA39" s="542"/>
      <c r="BB39" s="597" t="s">
        <v>1019</v>
      </c>
      <c r="BC39" s="279">
        <f>HLOOKUP(C11,Table_StateRates,5,FALSE)</f>
        <v>1.38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2130</v>
      </c>
      <c r="Q40" s="248">
        <f>Q34</f>
        <v>900</v>
      </c>
      <c r="R40" s="248">
        <f>R34</f>
        <v>890</v>
      </c>
      <c r="S40" s="248">
        <f>S34</f>
        <v>0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3.9E-2</v>
      </c>
      <c r="AZ40" s="559"/>
      <c r="BA40" s="423"/>
      <c r="BB40" s="810" t="s">
        <v>1134</v>
      </c>
      <c r="BC40" s="426">
        <f>ROUND(PRODUCT(BC35:BC39),3)</f>
        <v>3.9E-2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0.88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0.88</v>
      </c>
      <c r="AZ41" s="559"/>
      <c r="BA41" s="423"/>
      <c r="BB41" s="906" t="s">
        <v>1178</v>
      </c>
      <c r="BC41" s="423">
        <f>IF(OR(C28="S",C28="T",C28="SC"),1,VLOOKUP(C14,Table_ProtClass,IF(C15&lt;=3,2,3),FALSE))</f>
        <v>0.88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0.13100000000000001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0.9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310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0.28599999999999998</v>
      </c>
      <c r="AL44" s="247">
        <f>AL7</f>
        <v>0.17599999999999999</v>
      </c>
      <c r="AM44" s="247">
        <f>AM7</f>
        <v>0</v>
      </c>
      <c r="AN44" s="247">
        <f>AN7</f>
        <v>3.9E-2</v>
      </c>
      <c r="AO44" s="557"/>
      <c r="AP44" s="2"/>
      <c r="AQ44" s="168" t="s">
        <v>1019</v>
      </c>
      <c r="AR44" s="207">
        <f>HLOOKUP(C11,Table_StateRates,5,FALSE)</f>
        <v>1.38</v>
      </c>
      <c r="AS44" s="207">
        <f>HLOOKUP(C11,Table_StateRates,5,FALSE)</f>
        <v>1.38</v>
      </c>
      <c r="AT44" s="207">
        <f>HLOOKUP(C11,Table_StateRates,5,FALSE)</f>
        <v>1.38</v>
      </c>
      <c r="AU44" s="207">
        <f>HLOOKUP(C11,Table_StateRates,5,FALSE)</f>
        <v>1.38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8.9999999999999993E-3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1000000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3.1E-2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10000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1.38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3920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310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100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4230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0.124</v>
      </c>
      <c r="X49" s="247">
        <f>IF(OR(C28="S",C28="T"),C29,VLOOKUP(C16,Table_G2SymLC,2,FALSE)*IF(C64&lt;&gt;"Yes",B16,1))</f>
        <v>6.7000000000000004E-2</v>
      </c>
      <c r="Y49" s="247">
        <f>IF(OR(ISBLANK(C13),C13="No"),0,VLOOKUP(C13,Table_Special_Bldg,2,FALSE))</f>
        <v>0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0.14299999999999999</v>
      </c>
      <c r="AS50" s="247">
        <f>ROUND(PRODUCT(AS39:AS49),3)</f>
        <v>8.7999999999999995E-2</v>
      </c>
      <c r="AT50" s="247">
        <f>ROUND(PRODUCT(AT39:AT49),3)</f>
        <v>1.6E-2</v>
      </c>
      <c r="AU50" s="247">
        <f>ROUND(PRODUCT(AU39:AU49),3)</f>
        <v>1.6E-2</v>
      </c>
      <c r="AW50" s="566"/>
      <c r="AX50" s="990" t="s">
        <v>395</v>
      </c>
      <c r="AY50" s="813">
        <f>SUM(AY47,BC46)</f>
        <v>310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1.38</v>
      </c>
      <c r="X51" s="207">
        <f>HLOOKUP(C11,Table_StateRates,5,FALSE)</f>
        <v>1.38</v>
      </c>
      <c r="Y51" s="207">
        <f>HLOOKUP(C11,Table_StateRates,5,FALSE)</f>
        <v>1.38</v>
      </c>
      <c r="Z51" s="207">
        <f>HLOOKUP(C11,Table_StateRates,5,FALSE)</f>
        <v>1.38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4.2000000000000003E-2</v>
      </c>
      <c r="X56" s="247">
        <f>ROUND(PRODUCT(X49:X55),3)</f>
        <v>2.3E-2</v>
      </c>
      <c r="Y56" s="247">
        <f>ROUND(PRODUCT(Y49:Y55),3)</f>
        <v>0</v>
      </c>
      <c r="Z56" s="247">
        <f>ROUND(PRODUCT(Z49:Z55),3)</f>
        <v>3.9E-2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4.2000000000000003E-2</v>
      </c>
      <c r="X59" s="247">
        <f>MAX(X56:X57)</f>
        <v>2.3E-2</v>
      </c>
      <c r="Y59" s="247">
        <f>MAX(Y56:Y57)</f>
        <v>5.2999999999999999E-2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366" priority="22" stopIfTrue="1">
      <formula>IF($C$24="Yes",FALSE,TRUE)</formula>
    </cfRule>
  </conditionalFormatting>
  <conditionalFormatting sqref="E16">
    <cfRule type="expression" dxfId="365" priority="21" stopIfTrue="1">
      <formula>IF($C$58="Yes",TRUE,FALSE)</formula>
    </cfRule>
  </conditionalFormatting>
  <conditionalFormatting sqref="C18">
    <cfRule type="expression" dxfId="364" priority="19">
      <formula>IF($C$12="SP",TRUE,FALSE)</formula>
    </cfRule>
    <cfRule type="expression" dxfId="363" priority="20">
      <formula>IF($C$12="SP",TRUE,FALSE)</formula>
    </cfRule>
  </conditionalFormatting>
  <conditionalFormatting sqref="A18">
    <cfRule type="expression" dxfId="362" priority="18">
      <formula>IF($C$12="SP",TRUE,FALSE)</formula>
    </cfRule>
  </conditionalFormatting>
  <conditionalFormatting sqref="B21">
    <cfRule type="expression" dxfId="361" priority="17">
      <formula>IF($C$21="Yes",TRUE,FALSE)</formula>
    </cfRule>
  </conditionalFormatting>
  <conditionalFormatting sqref="C18">
    <cfRule type="expression" dxfId="360" priority="12">
      <formula>IF($C$12="SP",TRUE,FALSE)</formula>
    </cfRule>
    <cfRule type="expression" dxfId="359" priority="13">
      <formula>IF($C$12="SP",TRUE,FALSE)</formula>
    </cfRule>
  </conditionalFormatting>
  <conditionalFormatting sqref="C18">
    <cfRule type="expression" dxfId="358" priority="10">
      <formula>IF($C$12="SP",TRUE,FALSE)</formula>
    </cfRule>
    <cfRule type="expression" dxfId="357" priority="11">
      <formula>IF($C$12="SP",TRUE,FALSE)</formula>
    </cfRule>
  </conditionalFormatting>
  <conditionalFormatting sqref="C32">
    <cfRule type="expression" dxfId="356" priority="2">
      <formula>IF(AND($C$30="Yes",$C$12="BR"),TRUE,FALSE)</formula>
    </cfRule>
  </conditionalFormatting>
  <conditionalFormatting sqref="B32">
    <cfRule type="expression" dxfId="355" priority="1">
      <formula>IF(AND($C$30="Yes",$C$12="SP"),TRUE,FALSE)</formula>
    </cfRule>
  </conditionalFormatting>
  <conditionalFormatting sqref="B31:C31">
    <cfRule type="expression" dxfId="354" priority="3">
      <formula>IF($C$30="Yes",TRUE,FALSE)</formula>
    </cfRule>
  </conditionalFormatting>
  <dataValidations xWindow="337" yWindow="423" count="97"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allowBlank="1" showInputMessage="1" showErrorMessage="1" promptTitle="Special Class Pty: Grp II Symbol" prompt="Group II Symbol supplied for the Special Class Property selected." sqref="E24"/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custom" allowBlank="1" showInputMessage="1" showErrorMessage="1" prompt="EQ Table Lookup Value" sqref="F49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custom" allowBlank="1" showInputMessage="1" showErrorMessage="1" prompt="Bldg Lookup Value" sqref="F36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allowBlank="1" showInputMessage="1" showErrorMessage="1" promptTitle="Occupancy Type Description" prompt="Displays the description of the choice made in the cell to the left.  " sqref="B33 B40"/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custom" allowBlank="1" showInputMessage="1" showErrorMessage="1" sqref="C25 F46 D23 B10 D43:E43 F33:F35 F38:F39 A38 A43">
      <formula1>FALSE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A78"/>
  <sheetViews>
    <sheetView topLeftCell="A19"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1.38</v>
      </c>
      <c r="Q2" s="423">
        <f>HLOOKUP(C11,Table_StateRates,5,FALSE)</f>
        <v>1.38</v>
      </c>
      <c r="R2" s="423">
        <f>HLOOKUP(C11,Table_StateRates,5,FALSE)</f>
        <v>1.38</v>
      </c>
      <c r="S2" s="423">
        <f>HLOOKUP(C11,Table_StateRates,5,FALSE)</f>
        <v>1.38</v>
      </c>
      <c r="U2" s="1290"/>
      <c r="V2" s="1294" t="s">
        <v>2165</v>
      </c>
      <c r="W2" s="1300">
        <f>$P$28</f>
        <v>0.17399999999999999</v>
      </c>
      <c r="X2" s="1300">
        <f>$Q$28</f>
        <v>7.6999999999999999E-2</v>
      </c>
      <c r="Y2" s="1300">
        <f>$R$28</f>
        <v>0.105</v>
      </c>
      <c r="Z2" s="1300">
        <f>$S$28</f>
        <v>0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>P28</f>
        <v>0.17399999999999999</v>
      </c>
      <c r="AU2" s="247">
        <f>Q28</f>
        <v>7.6999999999999999E-2</v>
      </c>
      <c r="AV2" s="247">
        <f>IF(AND(C27="Yes",C12="SP"),VLOOKUP(C33,Table_Special_PP,3,0),0)</f>
        <v>0.113</v>
      </c>
      <c r="AW2" s="247">
        <f>S28</f>
        <v>0</v>
      </c>
      <c r="AZ2" s="1117" t="s">
        <v>2154</v>
      </c>
      <c r="BA2" s="247">
        <f>P28</f>
        <v>0.17399999999999999</v>
      </c>
      <c r="BB2" s="2">
        <f>Q28</f>
        <v>7.6999999999999999E-2</v>
      </c>
      <c r="BC2" s="558">
        <f>R28</f>
        <v>0.105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 t="str">
        <f>Summary1</f>
        <v>#14 - R15 - MISC (BLANKET)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0.627</v>
      </c>
      <c r="X3" s="247">
        <f t="shared" ref="X3:Z3" si="0">Q$31</f>
        <v>0.47799999999999998</v>
      </c>
      <c r="Y3" s="247">
        <f t="shared" si="0"/>
        <v>0.36099999999999999</v>
      </c>
      <c r="Z3" s="247">
        <f t="shared" si="0"/>
        <v>0.36099999999999999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0.125</v>
      </c>
      <c r="AE3" s="2">
        <f>IF(OR(C28="S",C28="T"),C29,VLOOKUP(C16,Table_G2SymLC,3,FALSE)*IF(C60&lt;&gt;"Yes",B16,1))</f>
        <v>7.6999999999999999E-2</v>
      </c>
      <c r="AF3" s="247">
        <f>R5</f>
        <v>0.113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>P28</f>
        <v>0.17399999999999999</v>
      </c>
      <c r="AM3" s="4">
        <f>Q28</f>
        <v>7.6999999999999999E-2</v>
      </c>
      <c r="AN3" s="780" t="str">
        <f ca="1">IF(AND(C27="Yes",C12="SP"),IF(C13=1,R28,IF(C13=2,INDIRECT(VLOOKUP(C33,Table_Special_PP,6,FALSE)),"Select Type")),0)</f>
        <v>Select Type</v>
      </c>
      <c r="AO3" s="4">
        <f>S28</f>
        <v>0</v>
      </c>
      <c r="AP3" s="4" t="e">
        <f>IF(#REF!="Yes",#REF!,0)</f>
        <v>#REF!</v>
      </c>
      <c r="AR3" s="185"/>
      <c r="AS3" s="187" t="s">
        <v>408</v>
      </c>
      <c r="AT3" s="455">
        <f>IF(C44&gt;80,VLOOKUP(C44,Table_CoIns1,2,FALSE),1)</f>
        <v>0.9</v>
      </c>
      <c r="AU3" s="455">
        <f>IF(C44&gt;80,VLOOKUP(C44,Table_CoIns1,2,FALSE),1)</f>
        <v>0.9</v>
      </c>
      <c r="AV3" s="455">
        <f>IF(C44&gt;80,VLOOKUP(C44,Table_CoIns1,2,FALSE),1)</f>
        <v>0.9</v>
      </c>
      <c r="AW3" s="455">
        <f>IF(C44&gt;80,VLOOKUP(C44,Table_CoIns1,2,FALSE),1)</f>
        <v>0.9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>ROUND(AT2/AT3,3)</f>
        <v>0.193</v>
      </c>
      <c r="AU4" s="247">
        <f>ROUND(AU2/AU3,3)</f>
        <v>8.5999999999999993E-2</v>
      </c>
      <c r="AV4" s="247">
        <f>ROUND(AV2/AV3,3)</f>
        <v>0.126</v>
      </c>
      <c r="AW4" s="247">
        <f>ROUND(AW2/AW3,3)</f>
        <v>0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>
        <f>IF(C27="Yes",P35,0)</f>
        <v>1740</v>
      </c>
      <c r="J5" s="258">
        <f>IF(C27="Yes",Q35,0)</f>
        <v>770</v>
      </c>
      <c r="K5" s="258">
        <f>IF(AND(C27="Yes",C12="SP"),R35,0)</f>
        <v>1050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0.125</v>
      </c>
      <c r="Q5" s="247">
        <f>IF(OR(C28="S",C28="T"),C29,VLOOKUP(C16,Table_G2SymLC,3,FALSE)*IF(C60&lt;&gt;"Yes",B16,1))</f>
        <v>7.6999999999999999E-2</v>
      </c>
      <c r="R5" s="247">
        <f>IF(AND(C27="Yes",C12="SP"),VLOOKUP(C33,Table_Special_PP,3,0),0)</f>
        <v>0.113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>ROUND(PRODUCT(W2:W4),0)</f>
        <v>0</v>
      </c>
      <c r="X5" s="1306">
        <f>ROUND(PRODUCT(X2:X4),0)</f>
        <v>0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>ROUND(PRODUCT(AL3:AL4),3)</f>
        <v>1.7000000000000001E-2</v>
      </c>
      <c r="AM5" s="4">
        <f>ROUND(PRODUCT(AM3:AM4),3)</f>
        <v>8.0000000000000002E-3</v>
      </c>
      <c r="AN5" s="780">
        <f ca="1">ROUND(PRODUCT(AN3:AN4),3)</f>
        <v>0.1</v>
      </c>
      <c r="AO5" s="4">
        <f>ROUND(PRODUCT(AO3:AO4),3)</f>
        <v>0</v>
      </c>
      <c r="AP5" s="4" t="e">
        <f>ROUND(PRODUCT(AP3:AP4),3)</f>
        <v>#REF!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1.38</v>
      </c>
      <c r="BJ5" s="299">
        <f>HLOOKUP(C11,Table_StateRates,5,FALSE)</f>
        <v>1.38</v>
      </c>
      <c r="BK5" s="299">
        <f>HLOOKUP(C11,Table_StateRates,5,FALSE)</f>
        <v>1.38</v>
      </c>
      <c r="BL5" s="299">
        <f>HLOOKUP(C11,Table_StateRates,5,FALSE)</f>
        <v>1.38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980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0.88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0.23799999999999999</v>
      </c>
      <c r="AE6" s="247">
        <f>ROUND(PRODUCT(AE3:AE5),3)</f>
        <v>0.14599999999999999</v>
      </c>
      <c r="AF6" s="247">
        <f>ROUND(PRODUCT(AF3:AF5),3)</f>
        <v>0.215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0.9</v>
      </c>
      <c r="BJ6" s="299">
        <f>IF(C44&gt;=80,VLOOKUP(C44,Table_CoIns1,2,FALSE),1+ IF(P5&lt;B45,VLOOKUP(B58,Table_CIUnder80,5,FALSE),0.5))</f>
        <v>0.9</v>
      </c>
      <c r="BK6" s="299">
        <f>IF(C44&gt;=80,VLOOKUP(C44,Table_CoIns1,2,FALSE),1+ IF(P5&lt;B45,VLOOKUP(B58,Table_CIUnder80,5,FALSE),0.5))</f>
        <v>0.9</v>
      </c>
      <c r="BL6" s="299">
        <f>IF(C44&gt;=80,VLOOKUP(C44,Table_CoIns1,2,FALSE),1+ IF(P5&lt;B45,VLOOKUP(B58,Table_CIUnder80,5,FALSE),0.5))</f>
        <v>0.9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1.38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>SUM(W5:W6)</f>
        <v>0</v>
      </c>
      <c r="X7" s="1301">
        <f>SUM(X5:X6)</f>
        <v>0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#REF!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0.28799999999999998</v>
      </c>
      <c r="Q8" s="1315">
        <f>ROUND(PRODUCT(Q4:Q7),3)</f>
        <v>0.20200000000000001</v>
      </c>
      <c r="R8" s="1315">
        <f>ROUND(PRODUCT(R4:R7),3)</f>
        <v>0.29599999999999999</v>
      </c>
      <c r="S8" s="1315">
        <f>ROUND(PRODUCT(S4:S7),3)</f>
        <v>5.5E-2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0.9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0.11899999999999999</v>
      </c>
      <c r="AE9" s="247">
        <f>ROUND(PRODUCT(AE6:AE8),3)</f>
        <v>7.2999999999999995E-2</v>
      </c>
      <c r="AF9" s="247">
        <f>ROUND(PRODUCT(AF6:AF8),3)</f>
        <v>0.108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>ROUND(PRODUCT(AT4:AT7),3)</f>
        <v>0.24099999999999999</v>
      </c>
      <c r="AU9" s="247">
        <f>ROUND(PRODUCT(AU4:AU7),3)</f>
        <v>0.108</v>
      </c>
      <c r="AV9" s="247">
        <f>ROUND(PRODUCT(AV4:AV7),3)</f>
        <v>0.158</v>
      </c>
      <c r="AW9" s="247">
        <f>ROUND(PRODUCT(AW4:AW7),3)</f>
        <v>0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0.9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>W5</f>
        <v>0</v>
      </c>
      <c r="X10" s="1301">
        <f>X5</f>
        <v>0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10000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10000</v>
      </c>
      <c r="AU10" s="238">
        <f>IF(F13="Yes",E14/100,C41/100)</f>
        <v>10000</v>
      </c>
      <c r="AV10" s="238">
        <f>IF(F13="Yes",E14/100,C41/100)</f>
        <v>10000</v>
      </c>
      <c r="AW10" s="238">
        <f>IF(F13="Yes",E14/100,C41/100)</f>
        <v>10000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1859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#REF!</v>
      </c>
      <c r="AM11" s="146"/>
      <c r="AN11" s="146"/>
      <c r="AO11" s="301"/>
      <c r="AP11" s="976"/>
      <c r="AS11" s="301"/>
      <c r="AT11" s="248">
        <f>ROUND(PRODUCT(AT9:AT10),0)</f>
        <v>2410</v>
      </c>
      <c r="AU11" s="248">
        <f>ROUND(PRODUCT(AU9:AU10),0)</f>
        <v>1080</v>
      </c>
      <c r="AV11" s="248">
        <f>ROUND(PRODUCT(AV9:AV10),0)</f>
        <v>1580</v>
      </c>
      <c r="AW11" s="248">
        <f>ROUND(PRODUCT(AW9:AW10),0)</f>
        <v>0</v>
      </c>
      <c r="AZ11" s="1117" t="s">
        <v>2154</v>
      </c>
      <c r="BA11" s="247">
        <f>P28</f>
        <v>0.17399999999999999</v>
      </c>
      <c r="BB11" s="2">
        <f>Q28</f>
        <v>7.6999999999999999E-2</v>
      </c>
      <c r="BC11" s="558">
        <f>R28</f>
        <v>0.105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#REF!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 t="str">
        <f>IF(C13="No","NA",C13+2)</f>
        <v>NA</v>
      </c>
      <c r="C13" s="1106" t="s">
        <v>857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0.88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>IF(C12="SP",SUM(AT11:AV11),IF(C12="BR",SUM(AT11:AU11,AW11),AT11:AU11))</f>
        <v>5070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1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0.627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0.47799999999999998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0.36099999999999999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2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>ROUND(PRODUCT(BA11,BA14),3)</f>
        <v>0.109</v>
      </c>
      <c r="BB15" s="1315">
        <f>ROUND(PRODUCT(BB11,BB14),3)</f>
        <v>3.6999999999999998E-2</v>
      </c>
      <c r="BC15" s="1315">
        <f>ROUND(PRODUCT(BC11,BC14),3)</f>
        <v>3.7999999999999999E-2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28</v>
      </c>
      <c r="D16" s="195"/>
      <c r="E16" s="195"/>
      <c r="F16" s="1067"/>
      <c r="H16" s="788" t="s">
        <v>1289</v>
      </c>
      <c r="I16" s="248">
        <f>SUM(I5:I15)</f>
        <v>1740</v>
      </c>
      <c r="J16" s="248">
        <f>SUM(J5:J15)</f>
        <v>770</v>
      </c>
      <c r="K16" s="248">
        <f>SUM(K5:K15)</f>
        <v>1050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>$P$28</f>
        <v>0.17399999999999999</v>
      </c>
      <c r="X16" s="1300">
        <f>$Q$28</f>
        <v>7.6999999999999999E-2</v>
      </c>
      <c r="Y16" s="1300">
        <f>$R$28</f>
        <v>0.105</v>
      </c>
      <c r="Z16" s="1300">
        <f>$S$28</f>
        <v>0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0.627</v>
      </c>
      <c r="X17" s="247">
        <f t="shared" ref="X17:Z17" si="1">Q$31</f>
        <v>0.47799999999999998</v>
      </c>
      <c r="Y17" s="247">
        <f t="shared" si="1"/>
        <v>0.36099999999999999</v>
      </c>
      <c r="Z17" s="247">
        <f t="shared" si="1"/>
        <v>0.36099999999999999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0.26700000000000002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>
        <v>3</v>
      </c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1.38</v>
      </c>
      <c r="AE18" s="423">
        <f>HLOOKUP(C11,Table_StateRates,5,FALSE)</f>
        <v>1.38</v>
      </c>
      <c r="AF18" s="423">
        <f>HLOOKUP(C11,Table_StateRates,5,FALSE)</f>
        <v>1.38</v>
      </c>
      <c r="AG18" s="423">
        <f>HLOOKUP(C11,Table_StateRates,5,FALSE)</f>
        <v>1.38</v>
      </c>
      <c r="AI18" s="266"/>
      <c r="AJ18" s="266"/>
      <c r="AK18" s="268" t="s">
        <v>1019</v>
      </c>
      <c r="AL18" s="423">
        <f>HLOOKUP(C11,Table_StateRates,5,FALSE)</f>
        <v>1.38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7.6999999999999999E-2</v>
      </c>
      <c r="AV18" s="247">
        <f>IF(AND(C27="Yes",C12="SP"),VLOOKUP(C33,Table_Special_PP,3,0),0)</f>
        <v>0.113</v>
      </c>
      <c r="AW18" s="2">
        <f>S28</f>
        <v>0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>ROUND(PRODUCT(W16:W18),0)</f>
        <v>0</v>
      </c>
      <c r="X19" s="1306">
        <f>ROUND(PRODUCT(X16:X18),0)</f>
        <v>0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0.13800000000000001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0.28799999999999998</v>
      </c>
      <c r="Q20" s="1312">
        <f>ROUND(PRODUCT(Q8:Q19),3)</f>
        <v>0.20200000000000001</v>
      </c>
      <c r="R20" s="1312">
        <f>ROUND(PRODUCT(R8:R19),3)</f>
        <v>0.29599999999999999</v>
      </c>
      <c r="S20" s="1312">
        <f>ROUND(PRODUCT(S8:S19),3)</f>
        <v>5.5E-2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2.6219999999999999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7.6999999999999999E-2</v>
      </c>
      <c r="AV20" s="247">
        <f>PRODUCT(AV18:AV19)</f>
        <v>0.113</v>
      </c>
      <c r="AW20" s="247">
        <f>PRODUCT(AW18:AW19)</f>
        <v>0</v>
      </c>
      <c r="AZ20" s="168" t="s">
        <v>1335</v>
      </c>
      <c r="BA20" s="248">
        <f>F24</f>
        <v>0</v>
      </c>
      <c r="BD20" s="168" t="s">
        <v>1337</v>
      </c>
      <c r="BE20" s="248">
        <f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1.38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0.9</v>
      </c>
      <c r="Q21" s="423">
        <f>IF(C44&gt;=80,VLOOKUP(C44,Table_CoIns1,2,FALSE),1+ IF(P5&lt;B45,VLOOKUP(B58,Table_CIUnder80,5,FALSE),0.5))</f>
        <v>0.9</v>
      </c>
      <c r="R21" s="423">
        <f>IF(C44&gt;=80,VLOOKUP(C44,Table_CoIns1,2,FALSE),1+ IF(P5&lt;B45,VLOOKUP(B58,Table_CIUnder80,5,FALSE),0.5))</f>
        <v>0.9</v>
      </c>
      <c r="S21" s="423">
        <f>IF(C44&gt;=80,VLOOKUP(C44,Table_CoIns1,2,FALSE),1+ IF(P5&lt;B45,VLOOKUP(B58,Table_CIUnder80,5,FALSE),0.5))</f>
        <v>0.9</v>
      </c>
      <c r="T21" s="385"/>
      <c r="U21" s="1288"/>
      <c r="V21" s="1291" t="s">
        <v>2160</v>
      </c>
      <c r="W21" s="1301">
        <f>SUM(W19:W20)</f>
        <v>0</v>
      </c>
      <c r="X21" s="1301">
        <f>SUM(X19:X20)</f>
        <v>0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0.113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0.26200000000000001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0.14499999999999999</v>
      </c>
      <c r="AE22" s="247">
        <f>ROUND(PRODUCT(AE9:AE21),3)</f>
        <v>0.10100000000000001</v>
      </c>
      <c r="AF22" s="247">
        <f>ROUND(PRODUCT(AF9:AF21),3)</f>
        <v>0.14899999999999999</v>
      </c>
      <c r="AG22" s="247">
        <f>ROUND(PRODUCT(AG9:AG21),3)</f>
        <v>2.8000000000000001E-2</v>
      </c>
      <c r="AJ22" s="216"/>
      <c r="AK22" s="1226" t="s">
        <v>1017</v>
      </c>
      <c r="AL22" s="1428">
        <f>IF(C44&gt;=80,VLOOKUP(C44,Table_CoIns1,2,FALSE),1+ IF(P5&lt;B45,VLOOKUP(B58,Table_CIUnder80,5,FALSE),0.5))</f>
        <v>0.9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1.38</v>
      </c>
      <c r="AU22" s="207">
        <f>HLOOKUP(C11,Table_StateRates,5,FALSE)</f>
        <v>1.38</v>
      </c>
      <c r="AV22" s="207">
        <f>HLOOKUP(C11,Table_StateRates,5,FALSE)</f>
        <v>1.38</v>
      </c>
      <c r="AW22" s="207">
        <f>HLOOKUP(C11,Table_StateRates,5,FALSE)</f>
        <v>1.38</v>
      </c>
      <c r="AZ22" s="83" t="s">
        <v>1334</v>
      </c>
      <c r="BA22" s="2">
        <f>ROUND(BA20/BA21,3)</f>
        <v>0</v>
      </c>
      <c r="BD22" s="83" t="s">
        <v>1339</v>
      </c>
      <c r="BE22" s="248">
        <f>IF(BE20=0,0,BE20-BE21)</f>
        <v>0</v>
      </c>
      <c r="BG22" s="146"/>
      <c r="BH22" s="545" t="s">
        <v>1019</v>
      </c>
      <c r="BI22" s="299">
        <f>HLOOKUP(C11,Table_StateRates,5,FALSE)</f>
        <v>1.38</v>
      </c>
      <c r="BJ22" s="299">
        <f>HLOOKUP(C11,Table_StateRates,5,FALSE)</f>
        <v>1.38</v>
      </c>
      <c r="BK22" s="299">
        <f>HLOOKUP(C11,Table_StateRates,5,FALSE)</f>
        <v>1.38</v>
      </c>
      <c r="BL22" s="299">
        <f>HLOOKUP(C11,Table_StateRates,5,FALSE)</f>
        <v>1.38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0.9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0.26700000000000002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0.9</v>
      </c>
      <c r="AU23" s="247">
        <f>IF(C44&gt;=80,VLOOKUP(C44,Table_CoIns1,2,FALSE),1+ IF(P5&lt;B45,VLOOKUP(B58,Table_CIUnder80,5,FALSE),0.5))</f>
        <v>0.9</v>
      </c>
      <c r="AV23" s="247">
        <f>IF(C44&gt;=80,VLOOKUP(C44,Table_CoIns1,2,FALSE),1+ IF(P5&lt;B45,VLOOKUP(B58,Table_CIUnder80,5,FALSE),0.5))</f>
        <v>0.9</v>
      </c>
      <c r="AW23" s="247">
        <f>IF(C44&gt;=80,VLOOKUP(C44,Table_CoIns1,2,FALSE),1+ IF(P5&lt;B45,VLOOKUP(B58,Table_CIUnder80,5,FALSE),0.5))</f>
        <v>0.9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0.9</v>
      </c>
      <c r="BJ23" s="299">
        <f>IF(C44&gt;=80,VLOOKUP(C44,Table_CoIns1,2,FALSE),1+ IF(P5&lt;B45,VLOOKUP(B58,Table_CIUnder80,5,FALSE),0.5))</f>
        <v>0.9</v>
      </c>
      <c r="BK23" s="299">
        <f>IF(C44&gt;=80,VLOOKUP(C44,Table_CoIns1,2,FALSE),1+ IF(P5&lt;B45,VLOOKUP(B58,Table_CIUnder80,5,FALSE),0.5))</f>
        <v>0.9</v>
      </c>
      <c r="BL23" s="299">
        <f>IF(C44&gt;=80,VLOOKUP(C44,Table_CoIns1,2,FALSE),1+ IF(P5&lt;B45,VLOOKUP(B58,Table_CIUnder80,5,FALSE),0.5))</f>
        <v>0.9</v>
      </c>
      <c r="BN23" s="266"/>
      <c r="BO23" s="568" t="s">
        <v>917</v>
      </c>
      <c r="BP23" s="426">
        <f ca="1">ROUND(PRODUCT(BP21:BP22),3)</f>
        <v>2.5999999999999999E-2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>W19</f>
        <v>0</v>
      </c>
      <c r="X24" s="1301">
        <f>X19</f>
        <v>0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0.9</v>
      </c>
      <c r="Q25" s="1314">
        <f>ROUND(PRODUCT(Q21:Q24),3)</f>
        <v>0.9</v>
      </c>
      <c r="R25" s="1314">
        <f>ROUND(PRODUCT(R21:R24),3)</f>
        <v>0.9</v>
      </c>
      <c r="S25" s="1314">
        <f>ROUND(PRODUCT(S21:S24),3)</f>
        <v>0.9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IF(TC1_BLDG2!F20="Yes","Bldg","Available")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0.26700000000000002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0.28799999999999998</v>
      </c>
      <c r="Q27" s="757">
        <f>Q20</f>
        <v>0.20200000000000001</v>
      </c>
      <c r="R27" s="757">
        <f>R20</f>
        <v>0.29599999999999999</v>
      </c>
      <c r="S27" s="757">
        <f>S20</f>
        <v>5.5E-2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2.5999999999999999E-2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>IF($C$30="Yes",B31,ROUND(PRODUCT(P25:P27),3))</f>
        <v>0.17399999999999999</v>
      </c>
      <c r="Q28" s="1315">
        <f>IF($C$30="Yes",C31,ROUND(PRODUCT(Q25:Q27),3))</f>
        <v>7.6999999999999999E-2</v>
      </c>
      <c r="R28" s="1484">
        <f>IF($C$30="Yes",B32,ROUND(PRODUCT(R25:R27),4))</f>
        <v>0.105</v>
      </c>
      <c r="S28" s="1315">
        <f>IF($C$30="Yes",C32,ROUND(PRODUCT(S25:S27),3))</f>
        <v>0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0.182</v>
      </c>
      <c r="AV28" s="247">
        <f>ROUND(PRODUCT(AV20:AV27),3)</f>
        <v>0.26700000000000002</v>
      </c>
      <c r="AW28" s="247">
        <f>ROUND(PRODUCT(AW20:AW27),3)</f>
        <v>0</v>
      </c>
      <c r="AY28" s="60" t="s">
        <v>1583</v>
      </c>
      <c r="BH28" s="301" t="s">
        <v>1389</v>
      </c>
      <c r="BI28" s="247">
        <f>ROUND(PRODUCT(BI19:BI27),3)</f>
        <v>1.9E-2</v>
      </c>
      <c r="BJ28" s="247">
        <f>ROUND(PRODUCT(BJ19:BJ27),3)</f>
        <v>1.4E-2</v>
      </c>
      <c r="BK28" s="247">
        <f>ROUND(PRODUCT(BK19:BK27),3)</f>
        <v>0.05</v>
      </c>
      <c r="BL28" s="247">
        <f>ROUND(PRODUCT(BL19:BL27),3)</f>
        <v>1.4E-2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40" t="s">
        <v>833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>$P$28</f>
        <v>0.17399999999999999</v>
      </c>
      <c r="X30" s="1300">
        <f>$Q$28</f>
        <v>7.6999999999999999E-2</v>
      </c>
      <c r="Y30" s="1300">
        <f>$R$28</f>
        <v>0.105</v>
      </c>
      <c r="Z30" s="1300">
        <f>$S$28</f>
        <v>0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0.17399999999999999</v>
      </c>
      <c r="C31" s="1455">
        <v>7.6999999999999999E-2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0.627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0.47799999999999998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0.36099999999999999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0.36099999999999999</v>
      </c>
      <c r="T31" s="299"/>
      <c r="U31" s="1288"/>
      <c r="V31" s="1117" t="s">
        <v>2152</v>
      </c>
      <c r="W31" s="247">
        <f>P$31</f>
        <v>0.627</v>
      </c>
      <c r="X31" s="247">
        <f t="shared" ref="X31:Z31" si="2">Q$31</f>
        <v>0.47799999999999998</v>
      </c>
      <c r="Y31" s="247">
        <f t="shared" si="2"/>
        <v>0.36099999999999999</v>
      </c>
      <c r="Z31" s="247">
        <f t="shared" si="2"/>
        <v>0.36099999999999999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0.105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10000</v>
      </c>
      <c r="Q32" s="238">
        <f>IF(ISBLANK(C41),0,C41/100)</f>
        <v>10000</v>
      </c>
      <c r="R32" s="238">
        <f>IF(ISBLANK(C41),0,C41/100)</f>
        <v>10000</v>
      </c>
      <c r="S32" s="238">
        <f>IF(ISBLANK(C41),0,C41/100)</f>
        <v>10000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1.38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>IF($C$30="Yes",ROUND(PRODUCT(P28,P32),0),ROUND(PRODUCT(P28,P31:P32),0))</f>
        <v>1740</v>
      </c>
      <c r="Q33" s="1481">
        <f>IF($C$30="Yes",ROUND(PRODUCT(Q28,Q32),0),ROUND(PRODUCT(Q28,Q31:Q32),0))</f>
        <v>770</v>
      </c>
      <c r="R33" s="1481">
        <f>IF($C$30="Yes",ROUND(PRODUCT(R28,R32),0),ROUND(PRODUCT(R28,R31:R32),0))</f>
        <v>1050</v>
      </c>
      <c r="S33" s="1481">
        <f>IF($C$30="Yes",ROUND(PRODUCT(S28,S32),0),ROUND(PRODUCT(S28,S31:S32),0))</f>
        <v>0</v>
      </c>
      <c r="U33" s="1293"/>
      <c r="V33" s="1303" t="s">
        <v>2161</v>
      </c>
      <c r="W33" s="1306">
        <f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1.38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44</v>
      </c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>SUM(P33:P34)</f>
        <v>1740</v>
      </c>
      <c r="Q35" s="248">
        <f>SUM(Q33:Q34)</f>
        <v>770</v>
      </c>
      <c r="R35" s="248">
        <f>SUM(R33:R34)</f>
        <v>1050</v>
      </c>
      <c r="S35" s="248">
        <f>SUM(S33:S34)</f>
        <v>0</v>
      </c>
      <c r="T35" s="235"/>
      <c r="U35" s="1288"/>
      <c r="V35" s="1291" t="s">
        <v>2162</v>
      </c>
      <c r="W35" s="1301">
        <f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1.38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>P33</f>
        <v>1740</v>
      </c>
      <c r="Q39" s="248">
        <f>Q33</f>
        <v>770</v>
      </c>
      <c r="R39" s="248">
        <f>R33</f>
        <v>1050</v>
      </c>
      <c r="S39" s="248">
        <f>S33</f>
        <v>0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1.38</v>
      </c>
      <c r="BQ39" s="423"/>
      <c r="BR39" s="542"/>
      <c r="BS39" s="597" t="s">
        <v>1019</v>
      </c>
      <c r="BT39" s="279">
        <f>HLOOKUP(C11,Table_StateRates,5,FALSE)</f>
        <v>1.38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3.9E-2</v>
      </c>
      <c r="BQ40" s="559"/>
      <c r="BR40" s="423"/>
      <c r="BS40" s="810" t="s">
        <v>1134</v>
      </c>
      <c r="BT40" s="426">
        <f>ROUND(PRODUCT(BT35:BT39),3)</f>
        <v>3.9E-2</v>
      </c>
    </row>
    <row r="41" spans="1:72" ht="13.5" thickBot="1" x14ac:dyDescent="0.25">
      <c r="A41" s="203" t="s">
        <v>2112</v>
      </c>
      <c r="B41" s="104"/>
      <c r="C41" s="943">
        <v>1000000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0.88</v>
      </c>
      <c r="BQ41" s="426"/>
      <c r="BR41" s="423"/>
      <c r="BS41" s="906" t="s">
        <v>1178</v>
      </c>
      <c r="BT41" s="423">
        <f>IF(OR(C28="S",C28="T"),1,VLOOKUP(C14,Table_ProtClass,IF(C15&lt;=3,2,3),FALSE))</f>
        <v>0.88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0.9</v>
      </c>
      <c r="BQ43" s="266"/>
      <c r="BR43" s="423"/>
      <c r="BS43" s="810" t="s">
        <v>1150</v>
      </c>
      <c r="BT43" s="426">
        <f>ROUND(PRODUCT(BT40:BT42),3)</f>
        <v>1.7000000000000001E-2</v>
      </c>
    </row>
    <row r="44" spans="1:72" x14ac:dyDescent="0.2">
      <c r="A44" s="108" t="s">
        <v>1170</v>
      </c>
      <c r="B44" s="160"/>
      <c r="C44" s="1218">
        <v>100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>$P$28</f>
        <v>0.17399999999999999</v>
      </c>
      <c r="X44" s="1300">
        <f>$Q$28</f>
        <v>7.6999999999999999E-2</v>
      </c>
      <c r="Y44" s="1300">
        <f>$R$28</f>
        <v>0.105</v>
      </c>
      <c r="Z44" s="1300">
        <f>$S$28</f>
        <v>0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0.627</v>
      </c>
      <c r="X45" s="247">
        <f t="shared" ref="X45:Z45" si="3">Q$31</f>
        <v>0.47799999999999998</v>
      </c>
      <c r="Y45" s="247">
        <f t="shared" si="3"/>
        <v>0.36099999999999999</v>
      </c>
      <c r="Z45" s="247">
        <f t="shared" si="3"/>
        <v>0.36099999999999999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3.1E-2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10000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310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310</v>
      </c>
      <c r="T49" s="266"/>
      <c r="U49" s="1288"/>
      <c r="V49" s="1291" t="s">
        <v>2164</v>
      </c>
      <c r="W49" s="1301">
        <f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310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>SUM(I16:L16,I38,I46,I52)</f>
        <v>3560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>SUM(I54,I49)</f>
        <v>3870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1000000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353" priority="16" stopIfTrue="1">
      <formula>IF($C$24="Yes",FALSE,TRUE)</formula>
    </cfRule>
  </conditionalFormatting>
  <conditionalFormatting sqref="C18">
    <cfRule type="expression" dxfId="352" priority="14">
      <formula>IF($C$12="SP",TRUE,FALSE)</formula>
    </cfRule>
    <cfRule type="expression" dxfId="351" priority="15">
      <formula>IF($C$12="SP",TRUE,FALSE)</formula>
    </cfRule>
  </conditionalFormatting>
  <conditionalFormatting sqref="A18">
    <cfRule type="expression" dxfId="350" priority="13">
      <formula>IF($C$12="SP",TRUE,FALSE)</formula>
    </cfRule>
  </conditionalFormatting>
  <conditionalFormatting sqref="B21">
    <cfRule type="expression" dxfId="349" priority="12">
      <formula>IF($C$21="Yes",TRUE,FALSE)</formula>
    </cfRule>
  </conditionalFormatting>
  <conditionalFormatting sqref="B31:C31">
    <cfRule type="expression" dxfId="348" priority="3">
      <formula>IF($C$30="Yes",TRUE,FALSE)</formula>
    </cfRule>
  </conditionalFormatting>
  <conditionalFormatting sqref="C32">
    <cfRule type="expression" dxfId="347" priority="2">
      <formula>IF(AND($C$30="Yes",$C$12="BR"),TRUE,FALSE)</formula>
    </cfRule>
  </conditionalFormatting>
  <conditionalFormatting sqref="B32">
    <cfRule type="expression" dxfId="346" priority="1">
      <formula>IF(AND($C$30="Yes",$C$12="SP"),TRUE,FALSE)</formula>
    </cfRule>
  </conditionalFormatting>
  <dataValidations count="111"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type="custom" allowBlank="1" showInputMessage="1" showErrorMessage="1" prompt="Spoilage Loss Cost Column Reference" sqref="F37">
      <formula1>FALSE</formula1>
    </dataValidation>
    <dataValidation type="custom" allowBlank="1" showInputMessage="1" showErrorMessage="1" prompt="Lookup Value for Spoil Coverage Loss Cost Table" sqref="F33">
      <formula1>FALSE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Spoilage Coverage" prompt="Please Select:_x000a_{ Yes or No }" sqref="F32">
      <formula1>List_YN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custom" allowBlank="1" showInputMessage="1" showErrorMessage="1" prompt="EQ Table Lookup Value" sqref="F54:F5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Personal Property Lookup Value" sqref="F45">
      <formula1>FALSE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allowBlank="1" showInputMessage="1" showErrorMessage="1" promptTitle="Occupancy Type Description" prompt="Displays the description of the choice made in the cell to the left.  " sqref="B38 B33"/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custom" allowBlank="1" showInputMessage="1" showErrorMessage="1" errorTitle="Do Not Touch" error="This is used to generate the Coinsurance rate." sqref="B58 E62">
      <formula1>FALSE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R76"/>
  <sheetViews>
    <sheetView topLeftCell="K1" zoomScale="90" zoomScaleNormal="90" zoomScaleSheetLayoutView="85" workbookViewId="0">
      <selection activeCell="P24" sqref="P24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V2" s="168" t="s">
        <v>1019</v>
      </c>
      <c r="W2" s="207">
        <f>HLOOKUP(C11,Table_StateRates,5,FALSE)</f>
        <v>1.38</v>
      </c>
      <c r="X2" s="207">
        <f>HLOOKUP(C11,Table_StateRates,5,FALSE)</f>
        <v>1.38</v>
      </c>
      <c r="Y2" s="207">
        <f>HLOOKUP(C11,Table_StateRates,5,FALSE)</f>
        <v>1.38</v>
      </c>
      <c r="Z2" s="207">
        <f>HLOOKUP(C11,Table_StateRates,5,FALSE)</f>
        <v>1.38</v>
      </c>
      <c r="AB2" s="546"/>
      <c r="AC2" s="545" t="s">
        <v>1019</v>
      </c>
      <c r="AD2" s="207">
        <f>HLOOKUP(C11,Table_StateRates,5,FALSE)</f>
        <v>1.38</v>
      </c>
      <c r="AE2" s="207">
        <f>HLOOKUP(C11,Table_StateRates,5,FALSE)</f>
        <v>1.38</v>
      </c>
      <c r="AF2" s="207">
        <f>HLOOKUP(C11,Table_StateRates,5,FALSE)</f>
        <v>1.38</v>
      </c>
      <c r="AG2" s="207">
        <f>HLOOKUP(C11,Table_StateRates,5,FALSE)</f>
        <v>1.38</v>
      </c>
      <c r="AJ2" s="1117" t="s">
        <v>916</v>
      </c>
      <c r="AK2" s="207">
        <f>HLOOKUP(C11,Table_StateRates,5,FALSE)</f>
        <v>1.38</v>
      </c>
      <c r="AL2" s="207">
        <f>HLOOKUP(C11,Table_StateRates,5,FALSE)</f>
        <v>1.38</v>
      </c>
      <c r="AM2" s="207">
        <f>HLOOKUP(C11,Table_StateRates,5,FALSE)</f>
        <v>1.38</v>
      </c>
      <c r="AN2" s="207">
        <f>HLOOKUP(C11,Table_StateRates,5,FALSE)</f>
        <v>1.38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 t="str">
        <f>Summary1</f>
        <v>#14 - R15 - MISC (BLANKET)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46"/>
      <c r="V4" s="83" t="s">
        <v>2166</v>
      </c>
      <c r="W4" s="1312">
        <f>PRODUCT(W2:W3)</f>
        <v>2.6219999999999999</v>
      </c>
      <c r="X4" s="1312">
        <f>PRODUCT(X2:X3)</f>
        <v>2.6219999999999999</v>
      </c>
      <c r="Y4" s="1312">
        <f>PRODUCT(Y2:Y3)</f>
        <v>2.6219999999999999</v>
      </c>
      <c r="Z4" s="1312">
        <f>PRODUCT(Z2:Z3)</f>
        <v>2.6219999999999999</v>
      </c>
      <c r="AB4" s="60"/>
      <c r="AC4" s="83" t="s">
        <v>2166</v>
      </c>
      <c r="AD4" s="1312">
        <f>PRODUCT(AD2:AD3)</f>
        <v>2.6219999999999999</v>
      </c>
      <c r="AE4" s="1312">
        <f>PRODUCT(AE2:AE3)</f>
        <v>2.6219999999999999</v>
      </c>
      <c r="AF4" s="1312">
        <f>PRODUCT(AF2:AF3)</f>
        <v>2.6219999999999999</v>
      </c>
      <c r="AG4" s="1312">
        <f>PRODUCT(AG2:AG3)</f>
        <v>2.6219999999999999</v>
      </c>
      <c r="AI4" s="60"/>
      <c r="AJ4" s="83" t="s">
        <v>2166</v>
      </c>
      <c r="AK4" s="1312">
        <f>PRODUCT(AK2:AK3)</f>
        <v>2.6219999999999999</v>
      </c>
      <c r="AL4" s="1312">
        <f>PRODUCT(AL2:AL3)</f>
        <v>2.6219999999999999</v>
      </c>
      <c r="AM4" s="1312">
        <f>PRODUCT(AM2:AM3)</f>
        <v>2.6219999999999999</v>
      </c>
      <c r="AN4" s="1312">
        <f>PRODUCT(AN2:AN3)</f>
        <v>2.6219999999999999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2130</v>
      </c>
      <c r="J5" s="258">
        <f>IF(C27="Yes",Q36,0)</f>
        <v>900</v>
      </c>
      <c r="K5" s="259">
        <f>IF(AND(C27="Yes",C12="SP"),R36,0)</f>
        <v>890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8.2000000000000003E-2</v>
      </c>
      <c r="Q5" s="247">
        <f>IF(OR(C28="S",C28="T"),C29,VLOOKUP(C16,Table_G2SymLC,2,FALSE)*IF(C64&lt;&gt;"Yes",B16,1))</f>
        <v>6.7000000000000004E-2</v>
      </c>
      <c r="R5" s="247">
        <f>IF(OR(ISBLANK(C13),C13="No"),0,VLOOKUP(1,Table_Special_Bldg,2,FALSE)*IF(AND(C12="SP",C13=2),VLOOKUP(2,Table_Special_Bldg,2,0),1))</f>
        <v>0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8.2000000000000003E-2</v>
      </c>
      <c r="X5" s="247">
        <f>IF(OR(C28="S",C28="T"),C29,VLOOKUP(C16,Table_G2SymLC,2,FALSE)*IF(C64&lt;&gt;"Yes",B16,1))</f>
        <v>6.7000000000000004E-2</v>
      </c>
      <c r="Y5" s="247">
        <f>IF(OR(ISBLANK(C13),C13="No"),0,VLOOKUP(C13,Table_Special_Bldg,2,FALSE))</f>
        <v>0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8.2000000000000003E-2</v>
      </c>
      <c r="AE5" s="247">
        <f>IF(OR(C28="S",C28="T"),C29,VLOOKUP(C16,Table_G2SymLC,2,FALSE)*IF(C64&lt;&gt;"Yes",B16,1))</f>
        <v>6.7000000000000004E-2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8.2000000000000003E-2</v>
      </c>
      <c r="AL5" s="247">
        <f>Q5</f>
        <v>6.7000000000000004E-2</v>
      </c>
      <c r="AM5" s="247">
        <f>R5</f>
        <v>0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980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1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1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1.38</v>
      </c>
      <c r="AS6" s="299">
        <f>HLOOKUP(C11,Table_StateRates,5,FALSE)</f>
        <v>1.38</v>
      </c>
      <c r="AT6" s="299">
        <f>HLOOKUP(C11,Table_StateRates,5,FALSE)</f>
        <v>1.38</v>
      </c>
      <c r="AU6" s="299">
        <f>HLOOKUP(C11,Table_StateRates,5,FALSE)</f>
        <v>1.38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1.38</v>
      </c>
      <c r="BE6" s="453"/>
      <c r="BF6" s="186" t="s">
        <v>1019</v>
      </c>
      <c r="BG6" s="208">
        <f>HLOOKUP(C11,Table_StateRates,5,FALSE)</f>
        <v>1.38</v>
      </c>
      <c r="BH6" s="146"/>
      <c r="BI6" s="453"/>
      <c r="BJ6" s="186" t="s">
        <v>1019</v>
      </c>
      <c r="BK6" s="208">
        <f>HLOOKUP(C11,Table_StateRates,5,FALSE)</f>
        <v>1.38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1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1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0.215</v>
      </c>
      <c r="AE7" s="1315">
        <f>ROUND(PRODUCT(AE4:AE6),3)</f>
        <v>0.17599999999999999</v>
      </c>
      <c r="AF7" s="1315">
        <f>ROUND(PRODUCT(AF4:AF6),3)</f>
        <v>2.5999999999999999E-2</v>
      </c>
      <c r="AG7" s="1315">
        <f>ROUND(PRODUCT(AG4:AG6),3)</f>
        <v>2.5999999999999999E-2</v>
      </c>
      <c r="AH7" s="207"/>
      <c r="AI7" s="146"/>
      <c r="AJ7" s="301" t="s">
        <v>2243</v>
      </c>
      <c r="AK7" s="1315">
        <f>ROUND(PRODUCT(AK4:AK6),3)</f>
        <v>0.215</v>
      </c>
      <c r="AL7" s="1315">
        <f>ROUND(PRODUCT(AL4:AL6),3)</f>
        <v>0.17599999999999999</v>
      </c>
      <c r="AM7" s="1315">
        <f>ROUND(PRODUCT(AM4:AM6),3)</f>
        <v>0</v>
      </c>
      <c r="AN7" s="1315">
        <f>ROUND(PRODUCT(AN4:AN6),3)</f>
        <v>3.9E-2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0.9</v>
      </c>
      <c r="AS7" s="299">
        <f>IF(F7="Yes",1,IF(C48&gt;=80,VLOOKUP(C48,Table_CoIns1,2,FALSE),1+ IF(P5&lt;B49,VLOOKUP(B62,Table_CIUnder80,5,FALSE),0.5)))</f>
        <v>0.9</v>
      </c>
      <c r="AT7" s="299">
        <f>IF(F7="Yes",1,IF(C48&gt;=80,VLOOKUP(C48,Table_CoIns1,2,FALSE),1+ IF(P5&lt;B49,VLOOKUP(B62,Table_CIUnder80,5,FALSE),0.5)))</f>
        <v>0.9</v>
      </c>
      <c r="AU7" s="299">
        <f>IF(F7="Yes",1,IF(C48&gt;=80,VLOOKUP(C48,Table_CoIns1,2,FALSE),1+ IF(P5&lt;B49,VLOOKUP(B62,Table_CIUnder80,5,FALSE),0.5)))</f>
        <v>0.9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0.215</v>
      </c>
      <c r="X8" s="1315">
        <f>ROUND(PRODUCT(X4:X7),3)</f>
        <v>0.17599999999999999</v>
      </c>
      <c r="Y8" s="1315">
        <f>ROUND(PRODUCT(Y4:Y7),3)</f>
        <v>0</v>
      </c>
      <c r="Z8" s="1315">
        <f>ROUND(PRODUCT(Z4:Z7),3)</f>
        <v>3.9E-2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0.9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0.215</v>
      </c>
      <c r="Q9" s="1313">
        <f>ROUND(PRODUCT(Q4:Q8),3)</f>
        <v>0.17599999999999999</v>
      </c>
      <c r="R9" s="1313">
        <f>ROUND(PRODUCT(R4:R8),3)</f>
        <v>0</v>
      </c>
      <c r="S9" s="1313">
        <f>ROUND(PRODUCT(S4:S8),3)</f>
        <v>3.9E-2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0.9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857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1859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5.3999999999999999E-2</v>
      </c>
      <c r="X11" s="1315">
        <f>ROUND(PRODUCT(X8:X10),3)</f>
        <v>4.3999999999999997E-2</v>
      </c>
      <c r="Y11" s="1315">
        <f>ROUND(PRODUCT(Y8:Y10),3)</f>
        <v>0</v>
      </c>
      <c r="Z11" s="1315">
        <f>ROUND(PRODUCT(Z8:Z10),3)</f>
        <v>0.01</v>
      </c>
      <c r="AB11" s="146"/>
      <c r="AC11" s="83" t="s">
        <v>2167</v>
      </c>
      <c r="AD11" s="1313">
        <f>ROUND(PRODUCT(AD7:AD10),3)</f>
        <v>0.108</v>
      </c>
      <c r="AE11" s="1313">
        <f>ROUND(PRODUCT(AE7:AE10),3)</f>
        <v>8.7999999999999995E-2</v>
      </c>
      <c r="AF11" s="1313">
        <f>ROUND(PRODUCT(AF7:AF10),3)</f>
        <v>2.5999999999999999E-2</v>
      </c>
      <c r="AG11" s="1313">
        <f>ROUND(PRODUCT(AG7:AG10),3)</f>
        <v>2.5999999999999999E-2</v>
      </c>
      <c r="AH11" s="426"/>
      <c r="AI11" s="146"/>
      <c r="AJ11" s="1210" t="s">
        <v>2243</v>
      </c>
      <c r="AK11" s="1424">
        <f>AK7</f>
        <v>0.215</v>
      </c>
      <c r="AL11" s="1424">
        <f>AL7</f>
        <v>0.17599999999999999</v>
      </c>
      <c r="AM11" s="1424">
        <f>AM7</f>
        <v>0</v>
      </c>
      <c r="AN11" s="1424">
        <f>AN7</f>
        <v>3.9E-2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894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4</v>
      </c>
      <c r="C13" s="1106" t="s">
        <v>857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3.2000000000000001E-2</v>
      </c>
      <c r="AL13" s="1423">
        <f>ROUND(PRODUCT(AL11:AL12),3)</f>
        <v>2.5999999999999999E-2</v>
      </c>
      <c r="AM13" s="1423">
        <f>ROUND(PRODUCT(AM11:AM12),3)</f>
        <v>0</v>
      </c>
      <c r="AN13" s="1423">
        <f>ROUND(PRODUCT(AN11:AN12),3)</f>
        <v>6.0000000000000001E-3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5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1.38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4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28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0.108</v>
      </c>
      <c r="AE16" s="757">
        <f>AE11</f>
        <v>8.7999999999999995E-2</v>
      </c>
      <c r="AF16" s="757">
        <f>AF11</f>
        <v>2.5999999999999999E-2</v>
      </c>
      <c r="AG16" s="757">
        <f>AG11</f>
        <v>2.5999999999999999E-2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1.38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0.108</v>
      </c>
      <c r="AE17" s="1315">
        <f>ROUND(PRODUCT(AE15:AE16),3)</f>
        <v>8.7999999999999995E-2</v>
      </c>
      <c r="AF17" s="1315">
        <f>ROUND(PRODUCT(AF15:AF16),3)</f>
        <v>2.5999999999999999E-2</v>
      </c>
      <c r="AG17" s="1315">
        <f>ROUND(PRODUCT(AG15:AG16),3)</f>
        <v>2.5999999999999999E-2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>
        <v>3</v>
      </c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0.1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IF(TC1_PP3!F26="Yes","PP","Available")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1.38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0.215</v>
      </c>
      <c r="Q21" s="1312">
        <f>ROUND(PRODUCT(Q9:Q20),3)</f>
        <v>0.17599999999999999</v>
      </c>
      <c r="R21" s="1312">
        <f>ROUND(PRODUCT(R9:R20),3)</f>
        <v>0</v>
      </c>
      <c r="S21" s="1315">
        <f>ROUND(PRODUCT(S9:S20),3)</f>
        <v>3.9E-2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0.19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0.9</v>
      </c>
      <c r="Q22" s="247">
        <f>IF(F7="Yes",1,IF(C48&gt;=80,VLOOKUP(C48,Table_CoIns2,2,FALSE),1+ IF(Q5&lt;B49,VLOOKUP(B62,Table_CIUnder80,5,FALSE),0.5)))</f>
        <v>0.9</v>
      </c>
      <c r="R22" s="247">
        <f>IF(F7="Yes",1,IF(C48&gt;=80,VLOOKUP(C48,Table_CoIns1,2,FALSE),1+ IF(P5&lt;B49,VLOOKUP(B62,Table_CIUnder80,5,FALSE),0.5)))</f>
        <v>0.9</v>
      </c>
      <c r="S22" s="247">
        <f>IF(F7="Yes",1,IF(C48&gt;=80,VLOOKUP(C48,Table_CoIns1,2,FALSE),1+ IF(P5&lt;B49,VLOOKUP(B62,Table_CIUnder80,5,FALSE),0.5)))</f>
        <v>0.9</v>
      </c>
      <c r="V22" s="83" t="s">
        <v>1150</v>
      </c>
      <c r="W22" s="1315">
        <f>ROUND(PRODUCT(W11:W14,IF(AND(C59="Yes",C61="Sprinkler",C62="Yes"),W15-W16,W15),W17:W21),3)</f>
        <v>5.3999999999999999E-2</v>
      </c>
      <c r="X22" s="1315">
        <f>ROUND(PRODUCT(X11:X21),3)</f>
        <v>4.3999999999999997E-2</v>
      </c>
      <c r="Y22" s="1315">
        <f>ROUND(PRODUCT(Y11:Y21),3)</f>
        <v>0</v>
      </c>
      <c r="Z22" s="1315">
        <f>ROUND(PRODUCT(Z11:Z21),3)</f>
        <v>0.01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0.9</v>
      </c>
      <c r="BD22" s="423"/>
      <c r="BE22" s="453"/>
      <c r="BF22" s="186" t="s">
        <v>1019</v>
      </c>
      <c r="BG22" s="208">
        <f>HLOOKUP(C11,Table_StateRates,5,FALSE)</f>
        <v>1.38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0.215</v>
      </c>
      <c r="AL23" s="1424">
        <f>AL7</f>
        <v>0.17599999999999999</v>
      </c>
      <c r="AM23" s="1424">
        <f>AM7</f>
        <v>0</v>
      </c>
      <c r="AN23" s="1424">
        <f>AN7</f>
        <v>3.9E-2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1.9E-2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6.7000000000000004E-2</v>
      </c>
      <c r="AF24" s="247">
        <f>IF(OR(ISBLANK(C13),C13="No"),0,VLOOKUP(C13,Table_Special_Bldg,2,FALSE))</f>
        <v>0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1.38</v>
      </c>
      <c r="AS24" s="299">
        <f>HLOOKUP(C11,Table_StateRates,5,FALSE)</f>
        <v>1.38</v>
      </c>
      <c r="AT24" s="299">
        <f>HLOOKUP(C11,Table_StateRates,5,FALSE)</f>
        <v>1.38</v>
      </c>
      <c r="AU24" s="299">
        <f>HLOOKUP(C11,Table_StateRates,5,FALSE)</f>
        <v>1.38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3.2000000000000001E-2</v>
      </c>
      <c r="AL25" s="1423">
        <f>ROUND(PRODUCT(AL23:AL24),3)</f>
        <v>2.5999999999999999E-2</v>
      </c>
      <c r="AM25" s="1423">
        <f>ROUND(PRODUCT(AM23:AM24),3)</f>
        <v>0</v>
      </c>
      <c r="AN25" s="1423">
        <f>ROUND(PRODUCT(AN23:AN24),3)</f>
        <v>6.0000000000000001E-3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0.9</v>
      </c>
      <c r="AS25" s="299">
        <f>IF(F7="Yes",1,IF(C48&gt;=80,VLOOKUP(C48,Table_CoIns1,2,FALSE),1+ IF(P5&lt;B49,VLOOKUP(B62,Table_CIUnder80,5,FALSE),0.5)))</f>
        <v>0.9</v>
      </c>
      <c r="AT25" s="299">
        <f>IF(F7="Yes",1,IF(C48&gt;=80,VLOOKUP(C48,Table_CoIns1,2,FALSE),1+ IF(P5&lt;B49,VLOOKUP(B62,Table_CIUnder80,5,FALSE),0.5)))</f>
        <v>0.9</v>
      </c>
      <c r="AU25" s="299">
        <f>IF(F7="Yes",1,IF(C48&gt;=80,VLOOKUP(C48,Table_CoIns1,2,FALSE),1+ IF(P5&lt;B49,VLOOKUP(B62,Table_CIUnder80,5,FALSE),0.5)))</f>
        <v>0.9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0.9</v>
      </c>
      <c r="Q26" s="1314">
        <f>ROUND(PRODUCT(Q22:Q25),3)</f>
        <v>0.9</v>
      </c>
      <c r="R26" s="1314">
        <f>ROUND(PRODUCT(R22:R25),3)</f>
        <v>0.9</v>
      </c>
      <c r="S26" s="1314">
        <f>ROUND(PRODUCT(S22:S25),3)</f>
        <v>0.9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6.7000000000000004E-2</v>
      </c>
      <c r="AF26" s="247">
        <f>PRODUCT(AF24:AF25)</f>
        <v>0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1.38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0.215</v>
      </c>
      <c r="Q27" s="757">
        <f>Q21</f>
        <v>0.17599999999999999</v>
      </c>
      <c r="R27" s="757">
        <f>R21</f>
        <v>0</v>
      </c>
      <c r="S27" s="757">
        <f>S21</f>
        <v>3.9E-2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1.9E-2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0.21299999999999999</v>
      </c>
      <c r="Q28" s="1315">
        <f>IF($C$30="Yes",C31,ROUND(PRODUCT(Q26:Q27),3))</f>
        <v>0.09</v>
      </c>
      <c r="R28" s="1315">
        <f>IF($C$30="Yes",B32,ROUND(PRODUCT(R26:R27),3))</f>
        <v>8.8999999999999996E-2</v>
      </c>
      <c r="S28" s="1315">
        <f>IF($C$30="Yes",C32,ROUND(PRODUCT(S26:S27),3))</f>
        <v>0</v>
      </c>
      <c r="AC28" s="168" t="s">
        <v>1019</v>
      </c>
      <c r="AD28" s="207">
        <f>HLOOKUP(C11,Table_StateRates,5,FALSE)</f>
        <v>1.38</v>
      </c>
      <c r="AE28" s="207">
        <f>HLOOKUP(C11,Table_StateRates,5,FALSE)</f>
        <v>1.38</v>
      </c>
      <c r="AF28" s="207">
        <f>HLOOKUP(C11,Table_StateRates,5,FALSE)</f>
        <v>1.38</v>
      </c>
      <c r="AG28" s="207">
        <f>HLOOKUP(C11,Table_StateRates,5,FALSE)</f>
        <v>1.38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0.9</v>
      </c>
      <c r="AE29" s="247">
        <f>IF(F7="Yes",1,IF(C48&gt;=80,VLOOKUP(C48,Table_CoIns1,2,FALSE),1+ IF(P5&lt;B49,VLOOKUP(B62,Table_CIUnder80,5,FALSE),0.5)))</f>
        <v>0.9</v>
      </c>
      <c r="AF29" s="247">
        <f>IF(F7="Yes",1,IF(C48&gt;=80,VLOOKUP(C48,Table_CoIns1,2,FALSE),1+ IF(P5&lt;B49,VLOOKUP(B62,Table_CIUnder80,5,FALSE),0.5)))</f>
        <v>0.9</v>
      </c>
      <c r="AG29" s="247">
        <f>IF(F7="Yes",1,IF(C48&gt;=80,VLOOKUP(C48,Table_CoIns1,2,FALSE),1+ IF(P5&lt;B49,VLOOKUP(B62,Table_CIUnder80,5,FALSE),0.5)))</f>
        <v>0.9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833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1.38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0.70599999999999996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0.7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0.72499999999999998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0.72499999999999998</v>
      </c>
      <c r="V31" s="168" t="s">
        <v>407</v>
      </c>
      <c r="W31" s="247">
        <f>P28</f>
        <v>0.21299999999999999</v>
      </c>
      <c r="X31" s="247">
        <f>Q28</f>
        <v>0.09</v>
      </c>
      <c r="Y31" s="247">
        <f>R28</f>
        <v>8.8999999999999996E-2</v>
      </c>
      <c r="Z31" s="247">
        <f>S28</f>
        <v>0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1.9E-2</v>
      </c>
      <c r="AS31" s="247">
        <f>ROUND(PRODUCT(AS21:AS30),3)</f>
        <v>1.4E-2</v>
      </c>
      <c r="AT31" s="247">
        <f>ROUND(PRODUCT(AT21:AT30),3)</f>
        <v>1.4E-2</v>
      </c>
      <c r="AU31" s="247">
        <f>ROUND(PRODUCT(AU21:AU30),3)</f>
        <v>1.4E-2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</v>
      </c>
      <c r="S32" s="247">
        <v>1</v>
      </c>
      <c r="U32" s="185"/>
      <c r="V32" s="187" t="s">
        <v>408</v>
      </c>
      <c r="W32" s="208">
        <f>IF(C48&gt;80,P22,1)</f>
        <v>0.9</v>
      </c>
      <c r="X32" s="208">
        <f>IF(C48&gt;80,Q22,1)</f>
        <v>0.9</v>
      </c>
      <c r="Y32" s="208">
        <f>IF(C48&gt;80,R22,1)</f>
        <v>0.9</v>
      </c>
      <c r="Z32" s="208">
        <f>IF(C48&gt;80,S22,1)</f>
        <v>0.9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10000</v>
      </c>
      <c r="Q33" s="238">
        <f>IF(ISNUMBER(C45),C45/100,0)</f>
        <v>10000</v>
      </c>
      <c r="R33" s="238">
        <f>IF(ISNUMBER(C45),C45/100,0)</f>
        <v>10000</v>
      </c>
      <c r="S33" s="238">
        <f>IF(ISNUMBER(C45),C45/100,0)</f>
        <v>10000</v>
      </c>
      <c r="U33" s="546"/>
      <c r="V33" s="301" t="s">
        <v>409</v>
      </c>
      <c r="W33" s="247">
        <f>ROUND(W31/W32,3)</f>
        <v>0.23699999999999999</v>
      </c>
      <c r="X33" s="247">
        <f>ROUND(X31/X32,3)</f>
        <v>0.1</v>
      </c>
      <c r="Y33" s="247">
        <f>ROUND(Y31/Y32,3)</f>
        <v>9.9000000000000005E-2</v>
      </c>
      <c r="Z33" s="247">
        <f>ROUND(Z31/Z32,3)</f>
        <v>0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2130</v>
      </c>
      <c r="Q34" s="1481">
        <f>IF($C$30="Yes",ROUND(PRODUCT(Q28,Q33),0),ROUND(PRODUCT(Q28,Q31:Q33),0))</f>
        <v>900</v>
      </c>
      <c r="R34" s="1481">
        <f>IF($C$30="Yes",ROUND(PRODUCT(R28,R33),0),ROUND(PRODUCT(R28,R31:R33),0))</f>
        <v>890</v>
      </c>
      <c r="S34" s="1481">
        <f>IF($C$30="Yes",ROUND(PRODUCT(S28,S33),0),ROUND(PRODUCT(S28,S31:S33),0))</f>
        <v>0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0.158</v>
      </c>
      <c r="AF34" s="247">
        <f>ROUND(PRODUCT(AF26:AF33),3)</f>
        <v>0</v>
      </c>
      <c r="AG34" s="247">
        <f>ROUND(PRODUCT(AG26:AG33),3)</f>
        <v>3.5000000000000003E-2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47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0.215</v>
      </c>
      <c r="AL35" s="247">
        <f>AL7</f>
        <v>0.17599999999999999</v>
      </c>
      <c r="AM35" s="247">
        <f>AM7</f>
        <v>0</v>
      </c>
      <c r="AN35" s="247">
        <f>AN7</f>
        <v>3.9E-2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2130</v>
      </c>
      <c r="Q36" s="248">
        <f>SUM(Q34:Q35)</f>
        <v>900</v>
      </c>
      <c r="R36" s="248">
        <f>SUM(R34:R35)</f>
        <v>890</v>
      </c>
      <c r="S36" s="248">
        <f>SUM(S34:S35)</f>
        <v>0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1.38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1.38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7.0999999999999994E-2</v>
      </c>
      <c r="X39" s="247">
        <f>ROUND(PRODUCT(X33:X38),3)</f>
        <v>0.03</v>
      </c>
      <c r="Y39" s="247">
        <f>ROUND(PRODUCT(Y33:Y38),3)</f>
        <v>0.03</v>
      </c>
      <c r="Z39" s="247">
        <f>ROUND(PRODUCT(Z33:Z38),3)</f>
        <v>0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8.2000000000000003E-2</v>
      </c>
      <c r="AS39" s="247">
        <f>IF(OR(C28="S",C28="T"),C29,VLOOKUP(C16,Table_G2SymLC,2,FALSE)*IF(C64&lt;&gt;"Yes",B16,1))</f>
        <v>6.7000000000000004E-2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1.38</v>
      </c>
      <c r="AZ39" s="423"/>
      <c r="BA39" s="542"/>
      <c r="BB39" s="597" t="s">
        <v>1019</v>
      </c>
      <c r="BC39" s="279">
        <f>HLOOKUP(C11,Table_StateRates,5,FALSE)</f>
        <v>1.38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2130</v>
      </c>
      <c r="Q40" s="248">
        <f>Q34</f>
        <v>900</v>
      </c>
      <c r="R40" s="248">
        <f>R34</f>
        <v>890</v>
      </c>
      <c r="S40" s="248">
        <f>S34</f>
        <v>0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3.9E-2</v>
      </c>
      <c r="AZ40" s="559"/>
      <c r="BA40" s="423"/>
      <c r="BB40" s="810" t="s">
        <v>1134</v>
      </c>
      <c r="BC40" s="426">
        <f>ROUND(PRODUCT(BC35:BC39),3)</f>
        <v>3.9E-2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1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1</v>
      </c>
      <c r="AZ41" s="559"/>
      <c r="BA41" s="423"/>
      <c r="BB41" s="906" t="s">
        <v>1178</v>
      </c>
      <c r="BC41" s="423">
        <f>IF(OR(C28="S",C28="T",C28="SC"),1,VLOOKUP(C14,Table_ProtClass,IF(C15&lt;=3,2,3),FALSE))</f>
        <v>1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0.13100000000000001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0.9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350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0.215</v>
      </c>
      <c r="AL44" s="247">
        <f>AL7</f>
        <v>0.17599999999999999</v>
      </c>
      <c r="AM44" s="247">
        <f>AM7</f>
        <v>0</v>
      </c>
      <c r="AN44" s="247">
        <f>AN7</f>
        <v>3.9E-2</v>
      </c>
      <c r="AO44" s="557"/>
      <c r="AP44" s="2"/>
      <c r="AQ44" s="168" t="s">
        <v>1019</v>
      </c>
      <c r="AR44" s="207">
        <f>HLOOKUP(C11,Table_StateRates,5,FALSE)</f>
        <v>1.38</v>
      </c>
      <c r="AS44" s="207">
        <f>HLOOKUP(C11,Table_StateRates,5,FALSE)</f>
        <v>1.38</v>
      </c>
      <c r="AT44" s="207">
        <f>HLOOKUP(C11,Table_StateRates,5,FALSE)</f>
        <v>1.38</v>
      </c>
      <c r="AU44" s="207">
        <f>HLOOKUP(C11,Table_StateRates,5,FALSE)</f>
        <v>1.38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0.01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1000000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3.5000000000000003E-2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10000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1.38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3920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350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100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4270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8.2000000000000003E-2</v>
      </c>
      <c r="X49" s="247">
        <f>IF(OR(C28="S",C28="T"),C29,VLOOKUP(C16,Table_G2SymLC,2,FALSE)*IF(C64&lt;&gt;"Yes",B16,1))</f>
        <v>6.7000000000000004E-2</v>
      </c>
      <c r="Y49" s="247">
        <f>IF(OR(ISBLANK(C13),C13="No"),0,VLOOKUP(C13,Table_Special_Bldg,2,FALSE))</f>
        <v>0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0.108</v>
      </c>
      <c r="AS50" s="247">
        <f>ROUND(PRODUCT(AS39:AS49),3)</f>
        <v>8.7999999999999995E-2</v>
      </c>
      <c r="AT50" s="247">
        <f>ROUND(PRODUCT(AT39:AT49),3)</f>
        <v>1.6E-2</v>
      </c>
      <c r="AU50" s="247">
        <f>ROUND(PRODUCT(AU39:AU49),3)</f>
        <v>1.6E-2</v>
      </c>
      <c r="AW50" s="566"/>
      <c r="AX50" s="990" t="s">
        <v>395</v>
      </c>
      <c r="AY50" s="813">
        <f>SUM(AY47,BC46)</f>
        <v>350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1.38</v>
      </c>
      <c r="X51" s="207">
        <f>HLOOKUP(C11,Table_StateRates,5,FALSE)</f>
        <v>1.38</v>
      </c>
      <c r="Y51" s="207">
        <f>HLOOKUP(C11,Table_StateRates,5,FALSE)</f>
        <v>1.38</v>
      </c>
      <c r="Z51" s="207">
        <f>HLOOKUP(C11,Table_StateRates,5,FALSE)</f>
        <v>1.38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2.8000000000000001E-2</v>
      </c>
      <c r="X56" s="247">
        <f>ROUND(PRODUCT(X49:X55),3)</f>
        <v>2.3E-2</v>
      </c>
      <c r="Y56" s="247">
        <f>ROUND(PRODUCT(Y49:Y55),3)</f>
        <v>0</v>
      </c>
      <c r="Z56" s="247">
        <f>ROUND(PRODUCT(Z49:Z55),3)</f>
        <v>3.9E-2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2.8000000000000001E-2</v>
      </c>
      <c r="X59" s="247">
        <f>MAX(X56:X57)</f>
        <v>2.3E-2</v>
      </c>
      <c r="Y59" s="247">
        <f>MAX(Y56:Y57)</f>
        <v>5.2999999999999999E-2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345" priority="22" stopIfTrue="1">
      <formula>IF($C$24="Yes",FALSE,TRUE)</formula>
    </cfRule>
  </conditionalFormatting>
  <conditionalFormatting sqref="E16">
    <cfRule type="expression" dxfId="344" priority="21" stopIfTrue="1">
      <formula>IF($C$58="Yes",TRUE,FALSE)</formula>
    </cfRule>
  </conditionalFormatting>
  <conditionalFormatting sqref="C18">
    <cfRule type="expression" dxfId="343" priority="19">
      <formula>IF($C$12="SP",TRUE,FALSE)</formula>
    </cfRule>
    <cfRule type="expression" dxfId="342" priority="20">
      <formula>IF($C$12="SP",TRUE,FALSE)</formula>
    </cfRule>
  </conditionalFormatting>
  <conditionalFormatting sqref="A18">
    <cfRule type="expression" dxfId="341" priority="18">
      <formula>IF($C$12="SP",TRUE,FALSE)</formula>
    </cfRule>
  </conditionalFormatting>
  <conditionalFormatting sqref="B21">
    <cfRule type="expression" dxfId="340" priority="17">
      <formula>IF($C$21="Yes",TRUE,FALSE)</formula>
    </cfRule>
  </conditionalFormatting>
  <conditionalFormatting sqref="C18">
    <cfRule type="expression" dxfId="339" priority="12">
      <formula>IF($C$12="SP",TRUE,FALSE)</formula>
    </cfRule>
    <cfRule type="expression" dxfId="338" priority="13">
      <formula>IF($C$12="SP",TRUE,FALSE)</formula>
    </cfRule>
  </conditionalFormatting>
  <conditionalFormatting sqref="C18">
    <cfRule type="expression" dxfId="337" priority="10">
      <formula>IF($C$12="SP",TRUE,FALSE)</formula>
    </cfRule>
    <cfRule type="expression" dxfId="336" priority="11">
      <formula>IF($C$12="SP",TRUE,FALSE)</formula>
    </cfRule>
  </conditionalFormatting>
  <conditionalFormatting sqref="C32">
    <cfRule type="expression" dxfId="335" priority="2">
      <formula>IF(AND($C$30="Yes",$C$12="BR"),TRUE,FALSE)</formula>
    </cfRule>
  </conditionalFormatting>
  <conditionalFormatting sqref="B32">
    <cfRule type="expression" dxfId="334" priority="1">
      <formula>IF(AND($C$30="Yes",$C$12="SP"),TRUE,FALSE)</formula>
    </cfRule>
  </conditionalFormatting>
  <conditionalFormatting sqref="B31:C31">
    <cfRule type="expression" dxfId="333" priority="3">
      <formula>IF($C$30="Yes",TRUE,FALSE)</formula>
    </cfRule>
  </conditionalFormatting>
  <dataValidations count="97"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custom" allowBlank="1" showInputMessage="1" showErrorMessage="1" sqref="C25 F46 D23 B10 D43:E43 F33:F35 F38:F39 A38 A43">
      <formula1>FALSE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allowBlank="1" showInputMessage="1" showErrorMessage="1" promptTitle="Occupancy Type Description" prompt="Displays the description of the choice made in the cell to the left.  " sqref="B33 B40"/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="Bldg Lookup Value" sqref="F36">
      <formula1>FALSE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custom" allowBlank="1" showInputMessage="1" showErrorMessage="1" prompt="EQ Table Lookup Value" sqref="F49">
      <formula1>FALSE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allowBlank="1" showInputMessage="1" showErrorMessage="1" promptTitle="Special Class Pty: Grp II Symbol" prompt="Group II Symbol supplied for the Special Class Property selected." sqref="E24"/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A78"/>
  <sheetViews>
    <sheetView topLeftCell="L7"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1.38</v>
      </c>
      <c r="Q2" s="423">
        <f>HLOOKUP(C11,Table_StateRates,5,FALSE)</f>
        <v>1.38</v>
      </c>
      <c r="R2" s="423">
        <f>HLOOKUP(C11,Table_StateRates,5,FALSE)</f>
        <v>1.38</v>
      </c>
      <c r="S2" s="423">
        <f>HLOOKUP(C11,Table_StateRates,5,FALSE)</f>
        <v>1.38</v>
      </c>
      <c r="U2" s="1290"/>
      <c r="V2" s="1294" t="s">
        <v>2165</v>
      </c>
      <c r="W2" s="1300">
        <f>$P$28</f>
        <v>0.17399999999999999</v>
      </c>
      <c r="X2" s="1300">
        <f>$Q$28</f>
        <v>7.6999999999999999E-2</v>
      </c>
      <c r="Y2" s="1300">
        <f>$R$28</f>
        <v>0.105</v>
      </c>
      <c r="Z2" s="1300">
        <f>$S$28</f>
        <v>0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>P28</f>
        <v>0.17399999999999999</v>
      </c>
      <c r="AU2" s="247">
        <f>Q28</f>
        <v>7.6999999999999999E-2</v>
      </c>
      <c r="AV2" s="247">
        <f>IF(AND(C27="Yes",C12="SP"),VLOOKUP(C33,Table_Special_PP,3,0),0)</f>
        <v>0.113</v>
      </c>
      <c r="AW2" s="247">
        <f>S28</f>
        <v>0</v>
      </c>
      <c r="AZ2" s="1117" t="s">
        <v>2154</v>
      </c>
      <c r="BA2" s="247">
        <f>P28</f>
        <v>0.17399999999999999</v>
      </c>
      <c r="BB2" s="2">
        <f>Q28</f>
        <v>7.6999999999999999E-2</v>
      </c>
      <c r="BC2" s="558">
        <f>R28</f>
        <v>0.105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 t="str">
        <f>Summary1</f>
        <v>#14 - R15 - MISC (BLANKET)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0.59</v>
      </c>
      <c r="X3" s="247">
        <f t="shared" ref="X3:Z3" si="0">Q$31</f>
        <v>0.47799999999999998</v>
      </c>
      <c r="Y3" s="247">
        <f t="shared" si="0"/>
        <v>0.36099999999999999</v>
      </c>
      <c r="Z3" s="247">
        <f t="shared" si="0"/>
        <v>0.36099999999999999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9.8000000000000004E-2</v>
      </c>
      <c r="AE3" s="2">
        <f>IF(OR(C28="S",C28="T"),C29,VLOOKUP(C16,Table_G2SymLC,3,FALSE)*IF(C60&lt;&gt;"Yes",B16,1))</f>
        <v>7.6999999999999999E-2</v>
      </c>
      <c r="AF3" s="247">
        <f>R5</f>
        <v>0.113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>P28</f>
        <v>0.17399999999999999</v>
      </c>
      <c r="AM3" s="4">
        <f>Q28</f>
        <v>7.6999999999999999E-2</v>
      </c>
      <c r="AN3" s="780">
        <f ca="1">IF(AND(C27="Yes",C12="SP"),IF(C13=1,R28,IF(C13=2,INDIRECT(VLOOKUP(C33,Table_Special_PP,6,FALSE)),"Select Type")),0)</f>
        <v>0.105</v>
      </c>
      <c r="AO3" s="4">
        <f>S28</f>
        <v>0</v>
      </c>
      <c r="AP3" s="4" t="e">
        <f>IF(#REF!="Yes",#REF!,0)</f>
        <v>#REF!</v>
      </c>
      <c r="AR3" s="185"/>
      <c r="AS3" s="187" t="s">
        <v>408</v>
      </c>
      <c r="AT3" s="455">
        <f>IF(C44&gt;80,VLOOKUP(C44,Table_CoIns1,2,FALSE),1)</f>
        <v>0.9</v>
      </c>
      <c r="AU3" s="455">
        <f>IF(C44&gt;80,VLOOKUP(C44,Table_CoIns1,2,FALSE),1)</f>
        <v>0.9</v>
      </c>
      <c r="AV3" s="455">
        <f>IF(C44&gt;80,VLOOKUP(C44,Table_CoIns1,2,FALSE),1)</f>
        <v>0.9</v>
      </c>
      <c r="AW3" s="455">
        <f>IF(C44&gt;80,VLOOKUP(C44,Table_CoIns1,2,FALSE),1)</f>
        <v>0.9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>ROUND(AT2/AT3,3)</f>
        <v>0.193</v>
      </c>
      <c r="AU4" s="247">
        <f>ROUND(AU2/AU3,3)</f>
        <v>8.5999999999999993E-2</v>
      </c>
      <c r="AV4" s="247">
        <f>ROUND(AV2/AV3,3)</f>
        <v>0.126</v>
      </c>
      <c r="AW4" s="247">
        <f>ROUND(AW2/AW3,3)</f>
        <v>0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>
        <f>IF(C27="Yes",P35,0)</f>
        <v>1740</v>
      </c>
      <c r="J5" s="258">
        <f>IF(C27="Yes",Q35,0)</f>
        <v>770</v>
      </c>
      <c r="K5" s="258">
        <f>IF(AND(C27="Yes",C12="SP"),R35,0)</f>
        <v>1050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9.8000000000000004E-2</v>
      </c>
      <c r="Q5" s="247">
        <f>IF(OR(C28="S",C28="T"),C29,VLOOKUP(C16,Table_G2SymLC,3,FALSE)*IF(C60&lt;&gt;"Yes",B16,1))</f>
        <v>7.6999999999999999E-2</v>
      </c>
      <c r="R5" s="247">
        <f>IF(AND(C27="Yes",C12="SP"),VLOOKUP(C33,Table_Special_PP,3,0),0)</f>
        <v>0.113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>ROUND(PRODUCT(W2:W4),0)</f>
        <v>0</v>
      </c>
      <c r="X5" s="1306">
        <f>ROUND(PRODUCT(X2:X4),0)</f>
        <v>0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>ROUND(PRODUCT(AL3:AL4),3)</f>
        <v>1.7000000000000001E-2</v>
      </c>
      <c r="AM5" s="4">
        <f>ROUND(PRODUCT(AM3:AM4),3)</f>
        <v>8.0000000000000002E-3</v>
      </c>
      <c r="AN5" s="780">
        <f ca="1">ROUND(PRODUCT(AN3:AN4),3)</f>
        <v>1.0999999999999999E-2</v>
      </c>
      <c r="AO5" s="4">
        <f>ROUND(PRODUCT(AO3:AO4),3)</f>
        <v>0</v>
      </c>
      <c r="AP5" s="4" t="e">
        <f>ROUND(PRODUCT(AP3:AP4),3)</f>
        <v>#REF!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1.38</v>
      </c>
      <c r="BJ5" s="299">
        <f>HLOOKUP(C11,Table_StateRates,5,FALSE)</f>
        <v>1.38</v>
      </c>
      <c r="BK5" s="299">
        <f>HLOOKUP(C11,Table_StateRates,5,FALSE)</f>
        <v>1.38</v>
      </c>
      <c r="BL5" s="299">
        <f>HLOOKUP(C11,Table_StateRates,5,FALSE)</f>
        <v>1.38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980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0.9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0.186</v>
      </c>
      <c r="AE6" s="247">
        <f>ROUND(PRODUCT(AE3:AE5),3)</f>
        <v>0.14599999999999999</v>
      </c>
      <c r="AF6" s="247">
        <f>ROUND(PRODUCT(AF3:AF5),3)</f>
        <v>0.215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0.9</v>
      </c>
      <c r="BJ6" s="299">
        <f>IF(C44&gt;=80,VLOOKUP(C44,Table_CoIns1,2,FALSE),1+ IF(P5&lt;B45,VLOOKUP(B58,Table_CIUnder80,5,FALSE),0.5))</f>
        <v>0.9</v>
      </c>
      <c r="BK6" s="299">
        <f>IF(C44&gt;=80,VLOOKUP(C44,Table_CoIns1,2,FALSE),1+ IF(P5&lt;B45,VLOOKUP(B58,Table_CIUnder80,5,FALSE),0.5))</f>
        <v>0.9</v>
      </c>
      <c r="BL6" s="299">
        <f>IF(C44&gt;=80,VLOOKUP(C44,Table_CoIns1,2,FALSE),1+ IF(P5&lt;B45,VLOOKUP(B58,Table_CIUnder80,5,FALSE),0.5))</f>
        <v>0.9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1.38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>SUM(W5:W6)</f>
        <v>0</v>
      </c>
      <c r="X7" s="1301">
        <f>SUM(X5:X6)</f>
        <v>0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#REF!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0.23100000000000001</v>
      </c>
      <c r="Q8" s="1315">
        <f>ROUND(PRODUCT(Q4:Q7),3)</f>
        <v>0.20200000000000001</v>
      </c>
      <c r="R8" s="1315">
        <f>ROUND(PRODUCT(R4:R7),3)</f>
        <v>0.29599999999999999</v>
      </c>
      <c r="S8" s="1315">
        <f>ROUND(PRODUCT(S4:S7),3)</f>
        <v>5.5E-2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0.9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9.2999999999999999E-2</v>
      </c>
      <c r="AE9" s="247">
        <f>ROUND(PRODUCT(AE6:AE8),3)</f>
        <v>7.2999999999999995E-2</v>
      </c>
      <c r="AF9" s="247">
        <f>ROUND(PRODUCT(AF6:AF8),3)</f>
        <v>0.108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>ROUND(PRODUCT(AT4:AT7),3)</f>
        <v>0.24099999999999999</v>
      </c>
      <c r="AU9" s="247">
        <f>ROUND(PRODUCT(AU4:AU7),3)</f>
        <v>0.108</v>
      </c>
      <c r="AV9" s="247">
        <f>ROUND(PRODUCT(AV4:AV7),3)</f>
        <v>0.158</v>
      </c>
      <c r="AW9" s="247">
        <f>ROUND(PRODUCT(AW4:AW7),3)</f>
        <v>0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0.9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>W5</f>
        <v>0</v>
      </c>
      <c r="X10" s="1301">
        <f>X5</f>
        <v>0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10000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10000</v>
      </c>
      <c r="AU10" s="238">
        <f>IF(F13="Yes",E14/100,C41/100)</f>
        <v>10000</v>
      </c>
      <c r="AV10" s="238">
        <f>IF(F13="Yes",E14/100,C41/100)</f>
        <v>10000</v>
      </c>
      <c r="AW10" s="238">
        <f>IF(F13="Yes",E14/100,C41/100)</f>
        <v>10000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1859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#REF!</v>
      </c>
      <c r="AM11" s="146"/>
      <c r="AN11" s="146"/>
      <c r="AO11" s="301"/>
      <c r="AP11" s="976"/>
      <c r="AS11" s="301"/>
      <c r="AT11" s="248">
        <f>ROUND(PRODUCT(AT9:AT10),0)</f>
        <v>2410</v>
      </c>
      <c r="AU11" s="248">
        <f>ROUND(PRODUCT(AU9:AU10),0)</f>
        <v>1080</v>
      </c>
      <c r="AV11" s="248">
        <f>ROUND(PRODUCT(AV9:AV10),0)</f>
        <v>1580</v>
      </c>
      <c r="AW11" s="248">
        <f>ROUND(PRODUCT(AW9:AW10),0)</f>
        <v>0</v>
      </c>
      <c r="AZ11" s="1117" t="s">
        <v>2154</v>
      </c>
      <c r="BA11" s="247">
        <f>P28</f>
        <v>0.17399999999999999</v>
      </c>
      <c r="BB11" s="2">
        <f>Q28</f>
        <v>7.6999999999999999E-2</v>
      </c>
      <c r="BC11" s="558">
        <f>R28</f>
        <v>0.105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#REF!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106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0.9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>IF(C12="SP",SUM(AT11:AV11),IF(C12="BR",SUM(AT11:AU11,AW11),AT11:AU11))</f>
        <v>5070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1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0.59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0.47799999999999998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0.36099999999999999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4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>ROUND(PRODUCT(BA11,BA14),3)</f>
        <v>0.10299999999999999</v>
      </c>
      <c r="BB15" s="1315">
        <f>ROUND(PRODUCT(BB11,BB14),3)</f>
        <v>3.6999999999999998E-2</v>
      </c>
      <c r="BC15" s="1315">
        <f>ROUND(PRODUCT(BC11,BC14),3)</f>
        <v>3.7999999999999999E-2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28</v>
      </c>
      <c r="D16" s="195"/>
      <c r="E16" s="195"/>
      <c r="F16" s="1067"/>
      <c r="H16" s="788" t="s">
        <v>1289</v>
      </c>
      <c r="I16" s="248">
        <f>SUM(I5:I15)</f>
        <v>1740</v>
      </c>
      <c r="J16" s="248">
        <f>SUM(J5:J15)</f>
        <v>770</v>
      </c>
      <c r="K16" s="248">
        <f>SUM(K5:K15)</f>
        <v>1050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>$P$28</f>
        <v>0.17399999999999999</v>
      </c>
      <c r="X16" s="1300">
        <f>$Q$28</f>
        <v>7.6999999999999999E-2</v>
      </c>
      <c r="Y16" s="1300">
        <f>$R$28</f>
        <v>0.105</v>
      </c>
      <c r="Z16" s="1300">
        <f>$S$28</f>
        <v>0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0.59</v>
      </c>
      <c r="X17" s="247">
        <f t="shared" ref="X17:Z17" si="1">Q$31</f>
        <v>0.47799999999999998</v>
      </c>
      <c r="Y17" s="247">
        <f t="shared" si="1"/>
        <v>0.36099999999999999</v>
      </c>
      <c r="Z17" s="247">
        <f t="shared" si="1"/>
        <v>0.36099999999999999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0.26700000000000002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>
        <v>3</v>
      </c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1.38</v>
      </c>
      <c r="AE18" s="423">
        <f>HLOOKUP(C11,Table_StateRates,5,FALSE)</f>
        <v>1.38</v>
      </c>
      <c r="AF18" s="423">
        <f>HLOOKUP(C11,Table_StateRates,5,FALSE)</f>
        <v>1.38</v>
      </c>
      <c r="AG18" s="423">
        <f>HLOOKUP(C11,Table_StateRates,5,FALSE)</f>
        <v>1.38</v>
      </c>
      <c r="AI18" s="266"/>
      <c r="AJ18" s="266"/>
      <c r="AK18" s="268" t="s">
        <v>1019</v>
      </c>
      <c r="AL18" s="423">
        <f>HLOOKUP(C11,Table_StateRates,5,FALSE)</f>
        <v>1.38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7.6999999999999999E-2</v>
      </c>
      <c r="AV18" s="247">
        <f>IF(AND(C27="Yes",C12="SP"),VLOOKUP(C33,Table_Special_PP,3,0),0)</f>
        <v>0.113</v>
      </c>
      <c r="AW18" s="2">
        <f>S28</f>
        <v>0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>ROUND(PRODUCT(W16:W18),0)</f>
        <v>0</v>
      </c>
      <c r="X19" s="1306">
        <f>ROUND(PRODUCT(X16:X18),0)</f>
        <v>0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0.111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0.23100000000000001</v>
      </c>
      <c r="Q20" s="1312">
        <f>ROUND(PRODUCT(Q8:Q19),3)</f>
        <v>0.20200000000000001</v>
      </c>
      <c r="R20" s="1312">
        <f>ROUND(PRODUCT(R8:R19),3)</f>
        <v>0.29599999999999999</v>
      </c>
      <c r="S20" s="1312">
        <f>ROUND(PRODUCT(S8:S19),3)</f>
        <v>5.5E-2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2.6219999999999999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7.6999999999999999E-2</v>
      </c>
      <c r="AV20" s="247">
        <f>PRODUCT(AV18:AV19)</f>
        <v>0.113</v>
      </c>
      <c r="AW20" s="247">
        <f>PRODUCT(AW18:AW19)</f>
        <v>0</v>
      </c>
      <c r="AZ20" s="168" t="s">
        <v>1335</v>
      </c>
      <c r="BA20" s="248">
        <f>F24</f>
        <v>0</v>
      </c>
      <c r="BD20" s="168" t="s">
        <v>1337</v>
      </c>
      <c r="BE20" s="248">
        <f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1.38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0.9</v>
      </c>
      <c r="Q21" s="423">
        <f>IF(C44&gt;=80,VLOOKUP(C44,Table_CoIns1,2,FALSE),1+ IF(P5&lt;B45,VLOOKUP(B58,Table_CIUnder80,5,FALSE),0.5))</f>
        <v>0.9</v>
      </c>
      <c r="R21" s="423">
        <f>IF(C44&gt;=80,VLOOKUP(C44,Table_CoIns1,2,FALSE),1+ IF(P5&lt;B45,VLOOKUP(B58,Table_CIUnder80,5,FALSE),0.5))</f>
        <v>0.9</v>
      </c>
      <c r="S21" s="423">
        <f>IF(C44&gt;=80,VLOOKUP(C44,Table_CoIns1,2,FALSE),1+ IF(P5&lt;B45,VLOOKUP(B58,Table_CIUnder80,5,FALSE),0.5))</f>
        <v>0.9</v>
      </c>
      <c r="T21" s="385"/>
      <c r="U21" s="1288"/>
      <c r="V21" s="1291" t="s">
        <v>2160</v>
      </c>
      <c r="W21" s="1301">
        <f>SUM(W19:W20)</f>
        <v>0</v>
      </c>
      <c r="X21" s="1301">
        <f>SUM(X19:X20)</f>
        <v>0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0.113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0.21099999999999999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0.11600000000000001</v>
      </c>
      <c r="AE22" s="247">
        <f>ROUND(PRODUCT(AE9:AE21),3)</f>
        <v>0.10100000000000001</v>
      </c>
      <c r="AF22" s="247">
        <f>ROUND(PRODUCT(AF9:AF21),3)</f>
        <v>0.14899999999999999</v>
      </c>
      <c r="AG22" s="247">
        <f>ROUND(PRODUCT(AG9:AG21),3)</f>
        <v>2.8000000000000001E-2</v>
      </c>
      <c r="AJ22" s="216"/>
      <c r="AK22" s="1226" t="s">
        <v>1017</v>
      </c>
      <c r="AL22" s="1428">
        <f>IF(C44&gt;=80,VLOOKUP(C44,Table_CoIns1,2,FALSE),1+ IF(P5&lt;B45,VLOOKUP(B58,Table_CIUnder80,5,FALSE),0.5))</f>
        <v>0.9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1.38</v>
      </c>
      <c r="AU22" s="207">
        <f>HLOOKUP(C11,Table_StateRates,5,FALSE)</f>
        <v>1.38</v>
      </c>
      <c r="AV22" s="207">
        <f>HLOOKUP(C11,Table_StateRates,5,FALSE)</f>
        <v>1.38</v>
      </c>
      <c r="AW22" s="207">
        <f>HLOOKUP(C11,Table_StateRates,5,FALSE)</f>
        <v>1.38</v>
      </c>
      <c r="AZ22" s="83" t="s">
        <v>1334</v>
      </c>
      <c r="BA22" s="2">
        <f>ROUND(BA20/BA21,3)</f>
        <v>0</v>
      </c>
      <c r="BD22" s="83" t="s">
        <v>1339</v>
      </c>
      <c r="BE22" s="248">
        <f>IF(BE20=0,0,BE20-BE21)</f>
        <v>0</v>
      </c>
      <c r="BG22" s="146"/>
      <c r="BH22" s="545" t="s">
        <v>1019</v>
      </c>
      <c r="BI22" s="299">
        <f>HLOOKUP(C11,Table_StateRates,5,FALSE)</f>
        <v>1.38</v>
      </c>
      <c r="BJ22" s="299">
        <f>HLOOKUP(C11,Table_StateRates,5,FALSE)</f>
        <v>1.38</v>
      </c>
      <c r="BK22" s="299">
        <f>HLOOKUP(C11,Table_StateRates,5,FALSE)</f>
        <v>1.38</v>
      </c>
      <c r="BL22" s="299">
        <f>HLOOKUP(C11,Table_StateRates,5,FALSE)</f>
        <v>1.38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0.9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0.26700000000000002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0.9</v>
      </c>
      <c r="AU23" s="247">
        <f>IF(C44&gt;=80,VLOOKUP(C44,Table_CoIns1,2,FALSE),1+ IF(P5&lt;B45,VLOOKUP(B58,Table_CIUnder80,5,FALSE),0.5))</f>
        <v>0.9</v>
      </c>
      <c r="AV23" s="247">
        <f>IF(C44&gt;=80,VLOOKUP(C44,Table_CoIns1,2,FALSE),1+ IF(P5&lt;B45,VLOOKUP(B58,Table_CIUnder80,5,FALSE),0.5))</f>
        <v>0.9</v>
      </c>
      <c r="AW23" s="247">
        <f>IF(C44&gt;=80,VLOOKUP(C44,Table_CoIns1,2,FALSE),1+ IF(P5&lt;B45,VLOOKUP(B58,Table_CIUnder80,5,FALSE),0.5))</f>
        <v>0.9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0.9</v>
      </c>
      <c r="BJ23" s="299">
        <f>IF(C44&gt;=80,VLOOKUP(C44,Table_CoIns1,2,FALSE),1+ IF(P5&lt;B45,VLOOKUP(B58,Table_CIUnder80,5,FALSE),0.5))</f>
        <v>0.9</v>
      </c>
      <c r="BK23" s="299">
        <f>IF(C44&gt;=80,VLOOKUP(C44,Table_CoIns1,2,FALSE),1+ IF(P5&lt;B45,VLOOKUP(B58,Table_CIUnder80,5,FALSE),0.5))</f>
        <v>0.9</v>
      </c>
      <c r="BL23" s="299">
        <f>IF(C44&gt;=80,VLOOKUP(C44,Table_CoIns1,2,FALSE),1+ IF(P5&lt;B45,VLOOKUP(B58,Table_CIUnder80,5,FALSE),0.5))</f>
        <v>0.9</v>
      </c>
      <c r="BN23" s="266"/>
      <c r="BO23" s="568" t="s">
        <v>917</v>
      </c>
      <c r="BP23" s="426">
        <f ca="1">ROUND(PRODUCT(BP21:BP22),3)</f>
        <v>2.1000000000000001E-2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>W19</f>
        <v>0</v>
      </c>
      <c r="X24" s="1301">
        <f>X19</f>
        <v>0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0.9</v>
      </c>
      <c r="Q25" s="1314">
        <f>ROUND(PRODUCT(Q21:Q24),3)</f>
        <v>0.9</v>
      </c>
      <c r="R25" s="1314">
        <f>ROUND(PRODUCT(R21:R24),3)</f>
        <v>0.9</v>
      </c>
      <c r="S25" s="1314">
        <f>ROUND(PRODUCT(S21:S24),3)</f>
        <v>0.9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IF(TC1_BLDG3!F20="Yes","Bldg","Available")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0.26700000000000002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0.23100000000000001</v>
      </c>
      <c r="Q27" s="757">
        <f>Q20</f>
        <v>0.20200000000000001</v>
      </c>
      <c r="R27" s="757">
        <f>R20</f>
        <v>0.29599999999999999</v>
      </c>
      <c r="S27" s="757">
        <f>S20</f>
        <v>5.5E-2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2.1000000000000001E-2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>IF($C$30="Yes",B31,ROUND(PRODUCT(P25:P27),3))</f>
        <v>0.17399999999999999</v>
      </c>
      <c r="Q28" s="1315">
        <f>IF($C$30="Yes",C31,ROUND(PRODUCT(Q25:Q27),3))</f>
        <v>7.6999999999999999E-2</v>
      </c>
      <c r="R28" s="1484">
        <f>IF($C$30="Yes",B32,ROUND(PRODUCT(R25:R27),4))</f>
        <v>0.105</v>
      </c>
      <c r="S28" s="1315">
        <f>IF($C$30="Yes",C32,ROUND(PRODUCT(S25:S27),3))</f>
        <v>0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0.182</v>
      </c>
      <c r="AV28" s="247">
        <f>ROUND(PRODUCT(AV20:AV27),3)</f>
        <v>0.26700000000000002</v>
      </c>
      <c r="AW28" s="247">
        <f>ROUND(PRODUCT(AW20:AW27),3)</f>
        <v>0</v>
      </c>
      <c r="AY28" s="60" t="s">
        <v>1583</v>
      </c>
      <c r="BH28" s="301" t="s">
        <v>1389</v>
      </c>
      <c r="BI28" s="247">
        <f>ROUND(PRODUCT(BI19:BI27),3)</f>
        <v>1.9E-2</v>
      </c>
      <c r="BJ28" s="247">
        <f>ROUND(PRODUCT(BJ19:BJ27),3)</f>
        <v>1.4E-2</v>
      </c>
      <c r="BK28" s="247">
        <f>ROUND(PRODUCT(BK19:BK27),3)</f>
        <v>0.05</v>
      </c>
      <c r="BL28" s="247">
        <f>ROUND(PRODUCT(BL19:BL27),3)</f>
        <v>1.4E-2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40" t="s">
        <v>833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>$P$28</f>
        <v>0.17399999999999999</v>
      </c>
      <c r="X30" s="1300">
        <f>$Q$28</f>
        <v>7.6999999999999999E-2</v>
      </c>
      <c r="Y30" s="1300">
        <f>$R$28</f>
        <v>0.105</v>
      </c>
      <c r="Z30" s="1300">
        <f>$S$28</f>
        <v>0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0.17399999999999999</v>
      </c>
      <c r="C31" s="1455">
        <v>7.6999999999999999E-2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0.59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0.47799999999999998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0.36099999999999999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0.36099999999999999</v>
      </c>
      <c r="T31" s="299"/>
      <c r="U31" s="1288"/>
      <c r="V31" s="1117" t="s">
        <v>2152</v>
      </c>
      <c r="W31" s="247">
        <f>P$31</f>
        <v>0.59</v>
      </c>
      <c r="X31" s="247">
        <f t="shared" ref="X31:Z31" si="2">Q$31</f>
        <v>0.47799999999999998</v>
      </c>
      <c r="Y31" s="247">
        <f t="shared" si="2"/>
        <v>0.36099999999999999</v>
      </c>
      <c r="Z31" s="247">
        <f t="shared" si="2"/>
        <v>0.36099999999999999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0.105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10000</v>
      </c>
      <c r="Q32" s="238">
        <f>IF(ISBLANK(C41),0,C41/100)</f>
        <v>10000</v>
      </c>
      <c r="R32" s="238">
        <f>IF(ISBLANK(C41),0,C41/100)</f>
        <v>10000</v>
      </c>
      <c r="S32" s="238">
        <f>IF(ISBLANK(C41),0,C41/100)</f>
        <v>10000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1.38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>IF($C$30="Yes",ROUND(PRODUCT(P28,P32),0),ROUND(PRODUCT(P28,P31:P32),0))</f>
        <v>1740</v>
      </c>
      <c r="Q33" s="1481">
        <f>IF($C$30="Yes",ROUND(PRODUCT(Q28,Q32),0),ROUND(PRODUCT(Q28,Q31:Q32),0))</f>
        <v>770</v>
      </c>
      <c r="R33" s="1481">
        <f>IF($C$30="Yes",ROUND(PRODUCT(R28,R32),0),ROUND(PRODUCT(R28,R31:R32),0))</f>
        <v>1050</v>
      </c>
      <c r="S33" s="1481">
        <f>IF($C$30="Yes",ROUND(PRODUCT(S28,S32),0),ROUND(PRODUCT(S28,S31:S32),0))</f>
        <v>0</v>
      </c>
      <c r="U33" s="1293"/>
      <c r="V33" s="1303" t="s">
        <v>2161</v>
      </c>
      <c r="W33" s="1306">
        <f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1.38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47</v>
      </c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>SUM(P33:P34)</f>
        <v>1740</v>
      </c>
      <c r="Q35" s="248">
        <f>SUM(Q33:Q34)</f>
        <v>770</v>
      </c>
      <c r="R35" s="248">
        <f>SUM(R33:R34)</f>
        <v>1050</v>
      </c>
      <c r="S35" s="248">
        <f>SUM(S33:S34)</f>
        <v>0</v>
      </c>
      <c r="T35" s="235"/>
      <c r="U35" s="1288"/>
      <c r="V35" s="1291" t="s">
        <v>2162</v>
      </c>
      <c r="W35" s="1301">
        <f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1.38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/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/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>P33</f>
        <v>1740</v>
      </c>
      <c r="Q39" s="248">
        <f>Q33</f>
        <v>770</v>
      </c>
      <c r="R39" s="248">
        <f>R33</f>
        <v>1050</v>
      </c>
      <c r="S39" s="248">
        <f>S33</f>
        <v>0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1.38</v>
      </c>
      <c r="BQ39" s="423"/>
      <c r="BR39" s="542"/>
      <c r="BS39" s="597" t="s">
        <v>1019</v>
      </c>
      <c r="BT39" s="279">
        <f>HLOOKUP(C11,Table_StateRates,5,FALSE)</f>
        <v>1.38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3.9E-2</v>
      </c>
      <c r="BQ40" s="559"/>
      <c r="BR40" s="423"/>
      <c r="BS40" s="810" t="s">
        <v>1134</v>
      </c>
      <c r="BT40" s="426">
        <f>ROUND(PRODUCT(BT35:BT39),3)</f>
        <v>3.9E-2</v>
      </c>
    </row>
    <row r="41" spans="1:72" ht="13.5" thickBot="1" x14ac:dyDescent="0.25">
      <c r="A41" s="203" t="s">
        <v>2112</v>
      </c>
      <c r="B41" s="104"/>
      <c r="C41" s="943">
        <v>1000000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0.9</v>
      </c>
      <c r="BQ41" s="426"/>
      <c r="BR41" s="423"/>
      <c r="BS41" s="906" t="s">
        <v>1178</v>
      </c>
      <c r="BT41" s="423">
        <f>IF(OR(C28="S",C28="T"),1,VLOOKUP(C14,Table_ProtClass,IF(C15&lt;=3,2,3),FALSE))</f>
        <v>0.9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0.9</v>
      </c>
      <c r="BQ43" s="266"/>
      <c r="BR43" s="423"/>
      <c r="BS43" s="810" t="s">
        <v>1150</v>
      </c>
      <c r="BT43" s="426">
        <f>ROUND(PRODUCT(BT40:BT42),3)</f>
        <v>1.7999999999999999E-2</v>
      </c>
    </row>
    <row r="44" spans="1:72" x14ac:dyDescent="0.2">
      <c r="A44" s="108" t="s">
        <v>1170</v>
      </c>
      <c r="B44" s="160"/>
      <c r="C44" s="1218">
        <v>100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>$P$28</f>
        <v>0.17399999999999999</v>
      </c>
      <c r="X44" s="1300">
        <f>$Q$28</f>
        <v>7.6999999999999999E-2</v>
      </c>
      <c r="Y44" s="1300">
        <f>$R$28</f>
        <v>0.105</v>
      </c>
      <c r="Z44" s="1300">
        <f>$S$28</f>
        <v>0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0.59</v>
      </c>
      <c r="X45" s="247">
        <f t="shared" ref="X45:Z45" si="3">Q$31</f>
        <v>0.47799999999999998</v>
      </c>
      <c r="Y45" s="247">
        <f t="shared" si="3"/>
        <v>0.36099999999999999</v>
      </c>
      <c r="Z45" s="247">
        <f t="shared" si="3"/>
        <v>0.36099999999999999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3.2000000000000001E-2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10000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320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320</v>
      </c>
      <c r="T49" s="266"/>
      <c r="U49" s="1288"/>
      <c r="V49" s="1291" t="s">
        <v>2164</v>
      </c>
      <c r="W49" s="1301">
        <f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320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>SUM(I16:L16,I38,I46,I52)</f>
        <v>3560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>SUM(I54,I49)</f>
        <v>3880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1000000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332" priority="16" stopIfTrue="1">
      <formula>IF($C$24="Yes",FALSE,TRUE)</formula>
    </cfRule>
  </conditionalFormatting>
  <conditionalFormatting sqref="C18">
    <cfRule type="expression" dxfId="331" priority="14">
      <formula>IF($C$12="SP",TRUE,FALSE)</formula>
    </cfRule>
    <cfRule type="expression" dxfId="330" priority="15">
      <formula>IF($C$12="SP",TRUE,FALSE)</formula>
    </cfRule>
  </conditionalFormatting>
  <conditionalFormatting sqref="A18">
    <cfRule type="expression" dxfId="329" priority="13">
      <formula>IF($C$12="SP",TRUE,FALSE)</formula>
    </cfRule>
  </conditionalFormatting>
  <conditionalFormatting sqref="B21">
    <cfRule type="expression" dxfId="328" priority="12">
      <formula>IF($C$21="Yes",TRUE,FALSE)</formula>
    </cfRule>
  </conditionalFormatting>
  <conditionalFormatting sqref="C32">
    <cfRule type="expression" dxfId="327" priority="2">
      <formula>IF(AND($C$30="Yes",$C$12="BR"),TRUE,FALSE)</formula>
    </cfRule>
  </conditionalFormatting>
  <conditionalFormatting sqref="B32">
    <cfRule type="expression" dxfId="326" priority="1">
      <formula>IF(AND($C$30="Yes",$C$12="SP"),TRUE,FALSE)</formula>
    </cfRule>
  </conditionalFormatting>
  <conditionalFormatting sqref="B31:C31">
    <cfRule type="expression" dxfId="325" priority="3">
      <formula>IF($C$30="Yes",TRUE,FALSE)</formula>
    </cfRule>
  </conditionalFormatting>
  <dataValidations count="111"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custom" allowBlank="1" showInputMessage="1" showErrorMessage="1" errorTitle="Do Not Touch" error="This is used to generate the Coinsurance rate." sqref="B58 E62">
      <formula1>FALSE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allowBlank="1" showInputMessage="1" showErrorMessage="1" promptTitle="Occupancy Type Description" prompt="Displays the description of the choice made in the cell to the left.  " sqref="B38 B33"/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custom" allowBlank="1" showInputMessage="1" showErrorMessage="1" prompt="Personal Property Lookup Value" sqref="F4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EQ Table Lookup Value" sqref="F54:F5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Spoilage Coverage" prompt="Please Select:_x000a_{ Yes or No }" sqref="F32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custom" allowBlank="1" showInputMessage="1" showErrorMessage="1" prompt="Lookup Value for Spoil Coverage Loss Cost Table" sqref="F33">
      <formula1>FALSE</formula1>
    </dataValidation>
    <dataValidation type="custom" allowBlank="1" showInputMessage="1" showErrorMessage="1" prompt="Spoilage Loss Cost Column Reference" sqref="F37">
      <formula1>FALSE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U80"/>
  <sheetViews>
    <sheetView zoomScale="90" zoomScaleNormal="90" workbookViewId="0"/>
  </sheetViews>
  <sheetFormatPr defaultRowHeight="12.75" x14ac:dyDescent="0.2"/>
  <cols>
    <col min="1" max="1" width="24.7109375" style="2" customWidth="1"/>
    <col min="2" max="2" width="12.28515625" style="2" customWidth="1"/>
    <col min="3" max="3" width="13.7109375" style="2" customWidth="1"/>
    <col min="4" max="4" width="7.5703125" style="2" customWidth="1"/>
    <col min="5" max="5" width="12.7109375" style="2" customWidth="1"/>
    <col min="6" max="6" width="9.85546875" style="2" customWidth="1"/>
    <col min="7" max="7" width="10.28515625" style="2" customWidth="1"/>
    <col min="8" max="8" width="11.42578125" style="2" customWidth="1"/>
    <col min="9" max="9" width="15.7109375" style="2" customWidth="1"/>
    <col min="10" max="10" width="6.7109375" style="2" customWidth="1"/>
    <col min="11" max="11" width="23.5703125" style="2" customWidth="1"/>
    <col min="12" max="15" width="12.85546875" style="2" customWidth="1"/>
    <col min="16" max="16" width="4.85546875" style="2" customWidth="1"/>
    <col min="17" max="17" width="27.28515625" style="2" bestFit="1" customWidth="1"/>
    <col min="18" max="18" width="11.85546875" style="2" customWidth="1"/>
    <col min="19" max="19" width="13.28515625" style="2" customWidth="1"/>
    <col min="20" max="21" width="12" style="2" bestFit="1" customWidth="1"/>
    <col min="22" max="23" width="10.85546875" style="2" bestFit="1" customWidth="1"/>
    <col min="24" max="24" width="3.42578125" style="2" customWidth="1"/>
    <col min="25" max="25" width="15.85546875" style="2" customWidth="1"/>
    <col min="26" max="26" width="24.42578125" style="2" customWidth="1"/>
    <col min="27" max="29" width="11.5703125" style="2" customWidth="1"/>
    <col min="30" max="30" width="10.42578125" style="2" customWidth="1"/>
    <col min="31" max="31" width="9.7109375" style="2" customWidth="1"/>
    <col min="32" max="32" width="4.85546875" style="2" customWidth="1"/>
    <col min="33" max="33" width="27.28515625" style="2" bestFit="1" customWidth="1"/>
    <col min="34" max="34" width="11.85546875" style="2" customWidth="1"/>
    <col min="35" max="35" width="13.28515625" style="2" customWidth="1"/>
    <col min="36" max="37" width="10.85546875" style="2" bestFit="1" customWidth="1"/>
    <col min="38" max="39" width="10.42578125" style="2" bestFit="1" customWidth="1"/>
    <col min="40" max="40" width="3.42578125" style="2" customWidth="1"/>
    <col min="41" max="41" width="15.85546875" style="2" customWidth="1"/>
    <col min="42" max="42" width="24.42578125" style="2" customWidth="1"/>
    <col min="43" max="45" width="11.5703125" style="2" customWidth="1"/>
    <col min="46" max="46" width="10.42578125" style="2" customWidth="1"/>
    <col min="47" max="47" width="9.7109375" style="2" customWidth="1"/>
    <col min="48" max="16384" width="9.140625" style="2"/>
  </cols>
  <sheetData>
    <row r="1" spans="1:47" ht="19.5" customHeight="1" thickBot="1" x14ac:dyDescent="0.25">
      <c r="A1" s="99" t="s">
        <v>834</v>
      </c>
      <c r="B1" s="94"/>
      <c r="C1" s="94"/>
      <c r="D1" s="105"/>
      <c r="E1" s="105"/>
      <c r="F1" s="105"/>
      <c r="G1" s="105"/>
      <c r="H1" s="105"/>
      <c r="I1" s="106" t="s">
        <v>840</v>
      </c>
      <c r="K1" s="1594" t="s">
        <v>2175</v>
      </c>
      <c r="L1" s="1595"/>
      <c r="M1" s="1595"/>
      <c r="N1" s="1595"/>
      <c r="O1" s="1596"/>
      <c r="Q1" s="1612" t="s">
        <v>2224</v>
      </c>
      <c r="R1" s="1613"/>
      <c r="S1" s="1613"/>
      <c r="T1" s="1613"/>
      <c r="U1" s="1613"/>
      <c r="V1" s="1613"/>
      <c r="W1" s="1614"/>
      <c r="Y1" s="1612" t="s">
        <v>2225</v>
      </c>
      <c r="Z1" s="1613"/>
      <c r="AA1" s="1613"/>
      <c r="AB1" s="1613"/>
      <c r="AC1" s="1613"/>
      <c r="AD1" s="1613"/>
      <c r="AE1" s="1614"/>
      <c r="AG1" s="1609" t="s">
        <v>2284</v>
      </c>
      <c r="AH1" s="1610"/>
      <c r="AI1" s="1610"/>
      <c r="AJ1" s="1610"/>
      <c r="AK1" s="1610"/>
      <c r="AL1" s="1610"/>
      <c r="AM1" s="1611"/>
      <c r="AO1" s="1609" t="s">
        <v>2285</v>
      </c>
      <c r="AP1" s="1610"/>
      <c r="AQ1" s="1610"/>
      <c r="AR1" s="1610"/>
      <c r="AS1" s="1610"/>
      <c r="AT1" s="1610"/>
      <c r="AU1" s="1611"/>
    </row>
    <row r="2" spans="1:47" ht="13.5" thickBot="1" x14ac:dyDescent="0.25">
      <c r="A2" s="500" t="s">
        <v>1832</v>
      </c>
      <c r="B2" s="501"/>
      <c r="C2" s="502"/>
      <c r="D2" s="500" t="s">
        <v>2213</v>
      </c>
      <c r="E2" s="508"/>
      <c r="F2" s="508"/>
      <c r="G2" s="508"/>
      <c r="H2" s="508"/>
      <c r="I2" s="509"/>
      <c r="K2" s="1479" t="str">
        <f>Summary1</f>
        <v>#14 - R15 - MISC (BLANKET)</v>
      </c>
      <c r="Q2" s="60" t="s">
        <v>2182</v>
      </c>
      <c r="S2" s="235" t="s">
        <v>2176</v>
      </c>
      <c r="T2" s="235" t="s">
        <v>2177</v>
      </c>
      <c r="U2" s="235" t="s">
        <v>2178</v>
      </c>
      <c r="V2" s="235" t="s">
        <v>2179</v>
      </c>
      <c r="W2" s="235" t="s">
        <v>2180</v>
      </c>
      <c r="Y2" s="60" t="s">
        <v>2182</v>
      </c>
      <c r="AA2" s="235" t="s">
        <v>2176</v>
      </c>
      <c r="AB2" s="235" t="s">
        <v>2177</v>
      </c>
      <c r="AC2" s="235" t="s">
        <v>2178</v>
      </c>
      <c r="AD2" s="235" t="s">
        <v>2179</v>
      </c>
      <c r="AE2" s="235" t="s">
        <v>2180</v>
      </c>
      <c r="AG2" s="60" t="s">
        <v>2182</v>
      </c>
      <c r="AI2" s="235" t="s">
        <v>2176</v>
      </c>
      <c r="AJ2" s="235" t="s">
        <v>2177</v>
      </c>
      <c r="AK2" s="235" t="s">
        <v>2178</v>
      </c>
      <c r="AL2" s="235" t="s">
        <v>2179</v>
      </c>
      <c r="AM2" s="235" t="s">
        <v>2180</v>
      </c>
      <c r="AO2" s="60" t="s">
        <v>2182</v>
      </c>
      <c r="AQ2" s="235" t="s">
        <v>2176</v>
      </c>
      <c r="AR2" s="235" t="s">
        <v>2177</v>
      </c>
      <c r="AS2" s="235" t="s">
        <v>2178</v>
      </c>
      <c r="AT2" s="235" t="s">
        <v>2179</v>
      </c>
      <c r="AU2" s="235" t="s">
        <v>2180</v>
      </c>
    </row>
    <row r="3" spans="1:47" ht="13.5" thickBot="1" x14ac:dyDescent="0.25">
      <c r="A3" s="505" t="s">
        <v>1024</v>
      </c>
      <c r="B3" s="506"/>
      <c r="C3" s="1268" t="str">
        <f>DF_State</f>
        <v>CT</v>
      </c>
      <c r="D3" s="1320" t="s">
        <v>2173</v>
      </c>
      <c r="E3" s="1323" t="s">
        <v>57</v>
      </c>
      <c r="F3" s="1323" t="s">
        <v>2170</v>
      </c>
      <c r="G3" s="1323" t="s">
        <v>2228</v>
      </c>
      <c r="H3" s="1323" t="s">
        <v>2171</v>
      </c>
      <c r="I3" s="1324" t="s">
        <v>2172</v>
      </c>
      <c r="K3" s="1105"/>
      <c r="L3" s="235" t="s">
        <v>1012</v>
      </c>
      <c r="M3" s="235" t="s">
        <v>1013</v>
      </c>
      <c r="N3" s="557" t="s">
        <v>838</v>
      </c>
      <c r="O3" s="557" t="s">
        <v>837</v>
      </c>
      <c r="Q3" s="60"/>
      <c r="R3" s="1117" t="s">
        <v>1197</v>
      </c>
      <c r="S3" s="2">
        <f>IF(ISTEXT($E4),VLOOKUP($E4,Table_G1_LC,MATCH($G4&amp;"B",List_ClassLC,0)+3,FALSE),0)</f>
        <v>0.126</v>
      </c>
      <c r="T3" s="2">
        <f>IF(ISTEXT($E5),VLOOKUP($E5,Table_G1_LC,MATCH($G5&amp;"B",List_ClassLC,0)+3,FALSE),0)</f>
        <v>0.124</v>
      </c>
      <c r="U3" s="2">
        <f>IF(ISTEXT($E6),VLOOKUP($E6,Table_G1_LC,MATCH($G6&amp;"B",List_ClassLC,0)+3,FALSE),0)</f>
        <v>0.113</v>
      </c>
      <c r="V3" s="2">
        <f>IF(ISTEXT($E7),VLOOKUP($E7,Table_G1_LC,MATCH($G7&amp;"B",List_ClassLC,0)+3,FALSE),0)</f>
        <v>0</v>
      </c>
      <c r="W3" s="2">
        <f>IF(ISTEXT($E8),VLOOKUP($E8,Table_G1_LC,MATCH($G8&amp;"B",List_ClassLC,0)+3,FALSE),0)</f>
        <v>0</v>
      </c>
      <c r="Y3" s="60"/>
      <c r="Z3" s="1117" t="s">
        <v>1197</v>
      </c>
      <c r="AA3" s="2">
        <f>IF(ISTEXT($E4),VLOOKUP($H4,Table_G2SymLC,2,FALSE),0)</f>
        <v>4.2000000000000003E-2</v>
      </c>
      <c r="AB3" s="2">
        <f>IF(ISTEXT($E5),VLOOKUP($H5,Table_G2SymLC,2,FALSE),0)</f>
        <v>4.2000000000000003E-2</v>
      </c>
      <c r="AC3" s="2">
        <f>IF(ISTEXT($E6),VLOOKUP($H6,Table_G2SymLC,2,FALSE),0)</f>
        <v>6.7000000000000004E-2</v>
      </c>
      <c r="AD3" s="2">
        <f>IF(ISTEXT($E7),VLOOKUP($H7,Table_G2SymLC,2,FALSE),0)</f>
        <v>0</v>
      </c>
      <c r="AE3" s="2">
        <f>IF(ISTEXT($E8),VLOOKUP($H8,Table_G2SymLC,2,FALSE),0)</f>
        <v>0</v>
      </c>
      <c r="AG3" s="60"/>
      <c r="AH3" s="1117" t="s">
        <v>1198</v>
      </c>
      <c r="AI3" s="2">
        <f>IF(ISTEXT($E13),VLOOKUP($E13,Table_G1_LC,MATCH($G13&amp;"C",List_ClassLC,0)+3,FALSE),0)</f>
        <v>0.13</v>
      </c>
      <c r="AJ3" s="2">
        <f>IF(ISTEXT($E14),VLOOKUP($E14,Table_G1_LC,MATCH($G14&amp;"C",List_ClassLC,0)+3,FALSE),0)</f>
        <v>0.125</v>
      </c>
      <c r="AK3" s="2">
        <f>IF(ISTEXT($E15),VLOOKUP($E15,Table_G1_LC,MATCH($G15&amp;"C",List_ClassLC,0)+3,FALSE),0)</f>
        <v>0.11799999999999999</v>
      </c>
      <c r="AL3" s="2">
        <f>IF(ISTEXT($E16),VLOOKUP($E16,Table_G1_LC,MATCH($G16&amp;"C",List_ClassLC,0)+3,FALSE),0)</f>
        <v>0</v>
      </c>
      <c r="AM3" s="2">
        <f>IF(ISTEXT($E17),VLOOKUP($E17,Table_G1_LC,MATCH($G17&amp;"C",List_ClassLC,0)+3,FALSE),0)</f>
        <v>0</v>
      </c>
      <c r="AO3" s="60"/>
      <c r="AP3" s="1117" t="s">
        <v>1198</v>
      </c>
      <c r="AQ3" s="2">
        <f>IF(ISTEXT($E13),VLOOKUP($H13,Table_G2SymLC,3,FALSE),0)</f>
        <v>5.6000000000000001E-2</v>
      </c>
      <c r="AR3" s="2">
        <f>IF(ISTEXT($E14),VLOOKUP($H14,Table_G2SymLC,3,FALSE),0)</f>
        <v>5.6000000000000001E-2</v>
      </c>
      <c r="AS3" s="2">
        <f>IF(ISTEXT($E15),VLOOKUP($H15,Table_G2SymLC,3,FALSE),0)</f>
        <v>7.6999999999999999E-2</v>
      </c>
      <c r="AT3" s="2">
        <f>IF(ISTEXT($E16),VLOOKUP($H16,Table_G2SymLC,3,FALSE),0)</f>
        <v>0</v>
      </c>
      <c r="AU3" s="2">
        <f>IF(ISTEXT($E17),VLOOKUP($H17,Table_G2SymLC,3,FALSE),0)</f>
        <v>0</v>
      </c>
    </row>
    <row r="4" spans="1:47" x14ac:dyDescent="0.2">
      <c r="A4" s="1036" t="s">
        <v>1828</v>
      </c>
      <c r="B4" s="1041"/>
      <c r="C4" s="1092"/>
      <c r="D4" s="1321">
        <v>1</v>
      </c>
      <c r="E4" s="1349" t="s">
        <v>48</v>
      </c>
      <c r="F4" s="1359">
        <v>1</v>
      </c>
      <c r="G4" s="1351">
        <v>1</v>
      </c>
      <c r="H4" s="1352" t="s">
        <v>18</v>
      </c>
      <c r="I4" s="1353">
        <v>1000000</v>
      </c>
      <c r="K4" s="1340" t="s">
        <v>55</v>
      </c>
      <c r="L4" s="1341"/>
      <c r="M4" s="1342"/>
      <c r="N4" s="1342"/>
      <c r="O4" s="1342"/>
      <c r="Q4" s="60"/>
      <c r="R4" s="1117" t="s">
        <v>1178</v>
      </c>
      <c r="S4" s="207">
        <f>IF(ISNUMBER($F4),VLOOKUP($F4,Table_ProtClass,IF($G4&lt;=3,2,3),FALSE),0)</f>
        <v>0.88</v>
      </c>
      <c r="T4" s="207">
        <f>IF(ISNUMBER($F5),VLOOKUP($F5,Table_ProtClass,IF($G5&lt;=3,2,3),FALSE),0)</f>
        <v>0.88</v>
      </c>
      <c r="U4" s="207">
        <f>IF(ISNUMBER($F6),VLOOKUP($F6,Table_ProtClass,IF($G6&lt;=3,2,3),FALSE),0)</f>
        <v>0.88</v>
      </c>
      <c r="V4" s="207">
        <f>IF(ISNUMBER($F7),VLOOKUP($F7,Table_ProtClass,IF($G7&lt;=3,2,3),FALSE),0)</f>
        <v>0</v>
      </c>
      <c r="W4" s="207">
        <f>IF(ISNUMBER($F8),VLOOKUP($F8,Table_ProtClass,IF($G8&lt;=3,2,3),FALSE),0)</f>
        <v>0</v>
      </c>
      <c r="Y4" s="60"/>
      <c r="Z4" s="1117" t="s">
        <v>1178</v>
      </c>
      <c r="AA4" s="207">
        <v>1</v>
      </c>
      <c r="AB4" s="207">
        <v>1</v>
      </c>
      <c r="AC4" s="207">
        <v>1</v>
      </c>
      <c r="AD4" s="207">
        <v>1</v>
      </c>
      <c r="AE4" s="207">
        <v>1</v>
      </c>
      <c r="AG4" s="60"/>
      <c r="AH4" s="1117" t="s">
        <v>1178</v>
      </c>
      <c r="AI4" s="207">
        <f>IF(ISNUMBER($F13),VLOOKUP($F13,Table_ProtClass,IF($G13&lt;=3,2,3),FALSE),0)</f>
        <v>0.88</v>
      </c>
      <c r="AJ4" s="207">
        <f>IF(ISNUMBER($F14),VLOOKUP($F14,Table_ProtClass,IF($G14&lt;=3,2,3),FALSE),0)</f>
        <v>0.88</v>
      </c>
      <c r="AK4" s="207">
        <f>IF(ISNUMBER($F15),VLOOKUP($F15,Table_ProtClass,IF($G15&lt;=3,2,3),FALSE),0)</f>
        <v>0.88</v>
      </c>
      <c r="AL4" s="207">
        <f>IF(ISNUMBER($F16),VLOOKUP($F16,Table_ProtClass,IF($G16&lt;=3,2,3),FALSE),0)</f>
        <v>0</v>
      </c>
      <c r="AM4" s="207">
        <f>IF(ISNUMBER($F17),VLOOKUP($F17,Table_ProtClass,IF($G17&lt;=3,2,3),FALSE),0)</f>
        <v>0</v>
      </c>
      <c r="AO4" s="60"/>
      <c r="AP4" s="1117" t="s">
        <v>1178</v>
      </c>
      <c r="AQ4" s="207">
        <v>1</v>
      </c>
      <c r="AR4" s="207">
        <v>1</v>
      </c>
      <c r="AS4" s="207">
        <v>1</v>
      </c>
      <c r="AT4" s="207">
        <v>1</v>
      </c>
      <c r="AU4" s="207">
        <v>1</v>
      </c>
    </row>
    <row r="5" spans="1:47" x14ac:dyDescent="0.2">
      <c r="A5" s="120"/>
      <c r="B5" s="95"/>
      <c r="C5" s="125"/>
      <c r="D5" s="1322">
        <v>2</v>
      </c>
      <c r="E5" s="1354" t="s">
        <v>43</v>
      </c>
      <c r="F5" s="1360">
        <v>1</v>
      </c>
      <c r="G5" s="1352">
        <v>2</v>
      </c>
      <c r="H5" s="1352" t="s">
        <v>18</v>
      </c>
      <c r="I5" s="1353">
        <v>1000000</v>
      </c>
      <c r="K5" s="1458" t="s">
        <v>2278</v>
      </c>
      <c r="L5" s="1463">
        <f>IF($C$21="Yes",$S$30, "NA")</f>
        <v>0.21299999999999999</v>
      </c>
      <c r="M5" s="1463">
        <f>IF($C$21="Yes",$AA$30, "NA")</f>
        <v>0.09</v>
      </c>
      <c r="N5" s="1463">
        <f>IF($C$21="Yes",$S$75, "NA")</f>
        <v>8.8999999999999996E-2</v>
      </c>
      <c r="O5" s="1463">
        <f>IF($C$21="Yes",$AA$75, "NA")</f>
        <v>2.8000000000000001E-2</v>
      </c>
      <c r="Q5" s="60"/>
      <c r="R5" s="545" t="s">
        <v>971</v>
      </c>
      <c r="S5" s="207">
        <f>HLOOKUP($C$10,Table_StateRates,6,FALSE)</f>
        <v>1.9</v>
      </c>
      <c r="T5" s="207">
        <f>HLOOKUP($C$10,Table_StateRates,6,FALSE)</f>
        <v>1.9</v>
      </c>
      <c r="U5" s="207">
        <f>HLOOKUP($C$10,Table_StateRates,6,FALSE)</f>
        <v>1.9</v>
      </c>
      <c r="V5" s="207">
        <f>HLOOKUP($C$10,Table_StateRates,6,FALSE)</f>
        <v>1.9</v>
      </c>
      <c r="W5" s="207">
        <f>HLOOKUP($C$10,Table_StateRates,6,FALSE)</f>
        <v>1.9</v>
      </c>
      <c r="Y5" s="60"/>
      <c r="Z5" s="545" t="s">
        <v>971</v>
      </c>
      <c r="AA5" s="207">
        <f>HLOOKUP($C$10,Table_StateRates,6,FALSE)</f>
        <v>1.9</v>
      </c>
      <c r="AB5" s="207">
        <f>HLOOKUP($C$10,Table_StateRates,6,FALSE)</f>
        <v>1.9</v>
      </c>
      <c r="AC5" s="207">
        <f>HLOOKUP($C$10,Table_StateRates,6,FALSE)</f>
        <v>1.9</v>
      </c>
      <c r="AD5" s="207">
        <f>HLOOKUP($C$10,Table_StateRates,6,FALSE)</f>
        <v>1.9</v>
      </c>
      <c r="AE5" s="207">
        <f>HLOOKUP($C$10,Table_StateRates,6,FALSE)</f>
        <v>1.9</v>
      </c>
      <c r="AG5" s="60"/>
      <c r="AH5" s="545" t="s">
        <v>971</v>
      </c>
      <c r="AI5" s="207">
        <f>HLOOKUP($C$10,Table_StateRates,6,FALSE)</f>
        <v>1.9</v>
      </c>
      <c r="AJ5" s="207">
        <f>HLOOKUP($C$10,Table_StateRates,6,FALSE)</f>
        <v>1.9</v>
      </c>
      <c r="AK5" s="207">
        <f>HLOOKUP($C$10,Table_StateRates,6,FALSE)</f>
        <v>1.9</v>
      </c>
      <c r="AL5" s="207">
        <f>HLOOKUP($C$10,Table_StateRates,6,FALSE)</f>
        <v>1.9</v>
      </c>
      <c r="AM5" s="207">
        <f>HLOOKUP($C$10,Table_StateRates,6,FALSE)</f>
        <v>1.9</v>
      </c>
      <c r="AO5" s="60"/>
      <c r="AP5" s="545" t="s">
        <v>971</v>
      </c>
      <c r="AQ5" s="207">
        <f>HLOOKUP($C$10,Table_StateRates,6,FALSE)</f>
        <v>1.9</v>
      </c>
      <c r="AR5" s="207">
        <f>HLOOKUP($C$10,Table_StateRates,6,FALSE)</f>
        <v>1.9</v>
      </c>
      <c r="AS5" s="207">
        <f>HLOOKUP($C$10,Table_StateRates,6,FALSE)</f>
        <v>1.9</v>
      </c>
      <c r="AT5" s="207">
        <f>HLOOKUP($C$10,Table_StateRates,6,FALSE)</f>
        <v>1.9</v>
      </c>
      <c r="AU5" s="207">
        <f>HLOOKUP($C$10,Table_StateRates,6,FALSE)</f>
        <v>1.9</v>
      </c>
    </row>
    <row r="6" spans="1:47" x14ac:dyDescent="0.2">
      <c r="A6" s="120" t="s">
        <v>969</v>
      </c>
      <c r="B6" s="95"/>
      <c r="C6" s="1093" t="s">
        <v>980</v>
      </c>
      <c r="D6" s="1322">
        <v>3</v>
      </c>
      <c r="E6" s="1354" t="s">
        <v>47</v>
      </c>
      <c r="F6" s="1360">
        <v>1</v>
      </c>
      <c r="G6" s="1352">
        <v>2</v>
      </c>
      <c r="H6" s="1352" t="s">
        <v>28</v>
      </c>
      <c r="I6" s="1353">
        <v>1000000</v>
      </c>
      <c r="K6" s="1344" t="s">
        <v>2204</v>
      </c>
      <c r="L6" s="258">
        <f>IF($C$21="Yes",S$35,0)</f>
        <v>2130</v>
      </c>
      <c r="M6" s="258">
        <f>IF($C$21="Yes",AA$35,0)</f>
        <v>900</v>
      </c>
      <c r="N6" s="259">
        <f>IF(AND($C$21="Yes",$C$11="SP"),S$80,0)</f>
        <v>890</v>
      </c>
      <c r="O6" s="259">
        <f>IF(AND($C$21="Yes",$C$11="BR"),AA$80,0)</f>
        <v>0</v>
      </c>
      <c r="Q6" s="60"/>
      <c r="R6" s="545" t="s">
        <v>2331</v>
      </c>
      <c r="S6" s="207">
        <f>$C$13</f>
        <v>1</v>
      </c>
      <c r="T6" s="207">
        <f t="shared" ref="T6:W6" si="0">$C$13</f>
        <v>1</v>
      </c>
      <c r="U6" s="207">
        <f t="shared" si="0"/>
        <v>1</v>
      </c>
      <c r="V6" s="207">
        <f t="shared" si="0"/>
        <v>1</v>
      </c>
      <c r="W6" s="207">
        <f t="shared" si="0"/>
        <v>1</v>
      </c>
      <c r="Y6" s="60"/>
      <c r="Z6" s="545" t="s">
        <v>1199</v>
      </c>
      <c r="AA6" s="207">
        <v>1</v>
      </c>
      <c r="AB6" s="207">
        <v>1</v>
      </c>
      <c r="AC6" s="207">
        <v>1</v>
      </c>
      <c r="AD6" s="207">
        <v>1</v>
      </c>
      <c r="AE6" s="207">
        <v>1</v>
      </c>
      <c r="AG6" s="60"/>
      <c r="AH6" s="1210" t="s">
        <v>1199</v>
      </c>
      <c r="AI6" s="207">
        <f>$C$13</f>
        <v>1</v>
      </c>
      <c r="AJ6" s="207">
        <f t="shared" ref="AJ6:AM6" si="1">$C$13</f>
        <v>1</v>
      </c>
      <c r="AK6" s="207">
        <f t="shared" si="1"/>
        <v>1</v>
      </c>
      <c r="AL6" s="207">
        <f t="shared" si="1"/>
        <v>1</v>
      </c>
      <c r="AM6" s="207">
        <f t="shared" si="1"/>
        <v>1</v>
      </c>
      <c r="AO6" s="60"/>
      <c r="AP6" s="1210" t="s">
        <v>1199</v>
      </c>
      <c r="AQ6" s="207">
        <v>1</v>
      </c>
      <c r="AR6" s="207">
        <v>1</v>
      </c>
      <c r="AS6" s="207">
        <v>1</v>
      </c>
      <c r="AT6" s="207">
        <v>1</v>
      </c>
      <c r="AU6" s="207">
        <v>1</v>
      </c>
    </row>
    <row r="7" spans="1:47" x14ac:dyDescent="0.2">
      <c r="A7" s="143" t="s">
        <v>923</v>
      </c>
      <c r="B7" s="940" t="s">
        <v>857</v>
      </c>
      <c r="C7" s="1039"/>
      <c r="D7" s="1322">
        <v>4</v>
      </c>
      <c r="E7" s="1354"/>
      <c r="F7" s="1360"/>
      <c r="G7" s="1352"/>
      <c r="H7" s="1352"/>
      <c r="I7" s="1356"/>
      <c r="K7" s="1344" t="s">
        <v>2205</v>
      </c>
      <c r="L7" s="258">
        <f>IF($C$21="Yes",T$35,0)</f>
        <v>2130</v>
      </c>
      <c r="M7" s="258">
        <f>IF($C21="Yes",AB$35,0)</f>
        <v>900</v>
      </c>
      <c r="N7" s="259">
        <f>IF(AND($C$21="Yes",$C$11="SP"),T$80,0)</f>
        <v>890</v>
      </c>
      <c r="O7" s="259">
        <f>IF(AND($C$21="Yes",$C$11="BR"),AB$80,0)</f>
        <v>0</v>
      </c>
      <c r="Q7" s="60"/>
      <c r="R7" s="1210" t="s">
        <v>1018</v>
      </c>
      <c r="S7" s="207">
        <f>IF($B$16=250,DF_250Deductible,$C$16)</f>
        <v>1</v>
      </c>
      <c r="T7" s="207">
        <f>IF($B$16=250,DF_250Deductible,$C$16)</f>
        <v>1</v>
      </c>
      <c r="U7" s="207">
        <f>IF($B$16=250,DF_250Deductible,$C$16)</f>
        <v>1</v>
      </c>
      <c r="V7" s="207">
        <f>IF($B$16=250,DF_250Deductible,$C$16)</f>
        <v>1</v>
      </c>
      <c r="W7" s="207">
        <f>IF($B$16=250,DF_250Deductible,$C$16)</f>
        <v>1</v>
      </c>
      <c r="Y7" s="60"/>
      <c r="Z7" s="1210" t="s">
        <v>1018</v>
      </c>
      <c r="AA7" s="207">
        <f>IF($B$16=250,DF_250Deductible,$C$16)</f>
        <v>1</v>
      </c>
      <c r="AB7" s="207">
        <f>IF($B$16=250,DF_250Deductible,$C$16)</f>
        <v>1</v>
      </c>
      <c r="AC7" s="207">
        <f>IF($B$16=250,DF_250Deductible,$C$16)</f>
        <v>1</v>
      </c>
      <c r="AD7" s="207">
        <f>IF($B$16=250,DF_250Deductible,$C$16)</f>
        <v>1</v>
      </c>
      <c r="AE7" s="207">
        <f>IF($B$16=250,DF_250Deductible,$C$16)</f>
        <v>1</v>
      </c>
      <c r="AG7" s="60"/>
      <c r="AH7" s="1210" t="s">
        <v>1018</v>
      </c>
      <c r="AI7" s="207">
        <f>IF($B$18=250,DF_250Deductible,$C$18)</f>
        <v>1</v>
      </c>
      <c r="AJ7" s="207">
        <f>IF($B$18=250,DF_250Deductible,$C$18)</f>
        <v>1</v>
      </c>
      <c r="AK7" s="207">
        <f>IF($B$18=250,DF_250Deductible,$C$18)</f>
        <v>1</v>
      </c>
      <c r="AL7" s="207">
        <f>IF($B$18=250,DF_250Deductible,$C$18)</f>
        <v>1</v>
      </c>
      <c r="AM7" s="207">
        <f>IF($B$18=250,DF_250Deductible,$C$18)</f>
        <v>1</v>
      </c>
      <c r="AO7" s="60"/>
      <c r="AP7" s="1210" t="s">
        <v>1018</v>
      </c>
      <c r="AQ7" s="207">
        <f>IF($B$18=250,DF_250Deductible,$C$18)</f>
        <v>1</v>
      </c>
      <c r="AR7" s="207">
        <f>IF($B$18=250,DF_250Deductible,$C$18)</f>
        <v>1</v>
      </c>
      <c r="AS7" s="207">
        <f>IF($B$18=250,DF_250Deductible,$C$18)</f>
        <v>1</v>
      </c>
      <c r="AT7" s="207">
        <f>IF($B$18=250,DF_250Deductible,$C$18)</f>
        <v>1</v>
      </c>
      <c r="AU7" s="207">
        <f>IF($B$18=250,DF_250Deductible,$C$18)</f>
        <v>1</v>
      </c>
    </row>
    <row r="8" spans="1:47" x14ac:dyDescent="0.2">
      <c r="A8" s="120"/>
      <c r="B8" s="95"/>
      <c r="C8" s="1039"/>
      <c r="D8" s="1322">
        <v>5</v>
      </c>
      <c r="E8" s="1354"/>
      <c r="F8" s="1360"/>
      <c r="G8" s="1352"/>
      <c r="H8" s="1352"/>
      <c r="I8" s="1356"/>
      <c r="K8" s="1344" t="s">
        <v>2206</v>
      </c>
      <c r="L8" s="258">
        <f>IF($C$21="Yes",U$35,0)</f>
        <v>2130</v>
      </c>
      <c r="M8" s="258">
        <f>IF($C21="Yes",AC$35,0)</f>
        <v>900</v>
      </c>
      <c r="N8" s="259">
        <f>IF(AND($C$21="Yes",$C$11="SP"),U$80,0)</f>
        <v>890</v>
      </c>
      <c r="O8" s="259">
        <f>IF(AND($C$21="Yes",$C$11="BR"),AC$80,0)</f>
        <v>0</v>
      </c>
      <c r="Q8" s="185"/>
      <c r="R8" s="1226" t="s">
        <v>1019</v>
      </c>
      <c r="S8" s="208">
        <f>HLOOKUP($C$10,Table_StateRates,5,FALSE)</f>
        <v>1.38</v>
      </c>
      <c r="T8" s="208">
        <f>HLOOKUP(C10,Table_StateRates,5,FALSE)</f>
        <v>1.38</v>
      </c>
      <c r="U8" s="208">
        <f>HLOOKUP(C10,Table_StateRates,5,FALSE)</f>
        <v>1.38</v>
      </c>
      <c r="V8" s="208">
        <f>HLOOKUP(C10,Table_StateRates,5,FALSE)</f>
        <v>1.38</v>
      </c>
      <c r="W8" s="208">
        <f>HLOOKUP(C10,Table_StateRates,5,FALSE)</f>
        <v>1.38</v>
      </c>
      <c r="Y8" s="185"/>
      <c r="Z8" s="1226" t="s">
        <v>1019</v>
      </c>
      <c r="AA8" s="208">
        <f>HLOOKUP(C10,Table_StateRates,5,FALSE)</f>
        <v>1.38</v>
      </c>
      <c r="AB8" s="208">
        <f>HLOOKUP(C10,Table_StateRates,5,FALSE)</f>
        <v>1.38</v>
      </c>
      <c r="AC8" s="208">
        <f>HLOOKUP(C10,Table_StateRates,5,FALSE)</f>
        <v>1.38</v>
      </c>
      <c r="AD8" s="208">
        <f>HLOOKUP(C10,Table_StateRates,5,FALSE)</f>
        <v>1.38</v>
      </c>
      <c r="AE8" s="208">
        <f>HLOOKUP(C10,Table_StateRates,5,FALSE)</f>
        <v>1.38</v>
      </c>
      <c r="AG8" s="185"/>
      <c r="AH8" s="1226" t="s">
        <v>1019</v>
      </c>
      <c r="AI8" s="208">
        <f>HLOOKUP($C$10,Table_StateRates,5,FALSE)</f>
        <v>1.38</v>
      </c>
      <c r="AJ8" s="208">
        <f>HLOOKUP($C$10,Table_StateRates,5,FALSE)</f>
        <v>1.38</v>
      </c>
      <c r="AK8" s="208">
        <f>HLOOKUP($C$10,Table_StateRates,5,FALSE)</f>
        <v>1.38</v>
      </c>
      <c r="AL8" s="208">
        <f>HLOOKUP($C$10,Table_StateRates,5,FALSE)</f>
        <v>1.38</v>
      </c>
      <c r="AM8" s="208">
        <f>HLOOKUP($C$10,Table_StateRates,5,FALSE)</f>
        <v>1.38</v>
      </c>
      <c r="AO8" s="185"/>
      <c r="AP8" s="1226" t="s">
        <v>1019</v>
      </c>
      <c r="AQ8" s="208">
        <f>HLOOKUP($C$10,Table_StateRates,5,FALSE)</f>
        <v>1.38</v>
      </c>
      <c r="AR8" s="208">
        <f>HLOOKUP($C$10,Table_StateRates,5,FALSE)</f>
        <v>1.38</v>
      </c>
      <c r="AS8" s="208">
        <f>HLOOKUP($C$10,Table_StateRates,5,FALSE)</f>
        <v>1.38</v>
      </c>
      <c r="AT8" s="208">
        <f>HLOOKUP($C$10,Table_StateRates,5,FALSE)</f>
        <v>1.38</v>
      </c>
      <c r="AU8" s="208">
        <f>HLOOKUP($C$10,Table_StateRates,5,FALSE)</f>
        <v>1.38</v>
      </c>
    </row>
    <row r="9" spans="1:47" x14ac:dyDescent="0.2">
      <c r="A9" s="120" t="s">
        <v>1829</v>
      </c>
      <c r="B9" s="95"/>
      <c r="C9" s="1094">
        <v>1</v>
      </c>
      <c r="D9" s="1326"/>
      <c r="E9" s="1327"/>
      <c r="F9" s="1347"/>
      <c r="G9" s="1328"/>
      <c r="H9" s="1329" t="s">
        <v>2174</v>
      </c>
      <c r="I9" s="1325">
        <f>SUM(I4:I8)</f>
        <v>3000000</v>
      </c>
      <c r="K9" s="1344" t="s">
        <v>2207</v>
      </c>
      <c r="L9" s="258">
        <f>IF($C$21="Yes",V$35,0)</f>
        <v>0</v>
      </c>
      <c r="M9" s="258">
        <f>IF($C21="Yes",AD$35,0)</f>
        <v>0</v>
      </c>
      <c r="N9" s="259">
        <f>IF(AND($C$21="Yes",$C$11="SP"),V$80,0)</f>
        <v>0</v>
      </c>
      <c r="O9" s="259">
        <f>IF(AND($C$21="Yes",$C$11="BR"),AD$80,0)</f>
        <v>0</v>
      </c>
      <c r="Q9" s="60"/>
      <c r="R9" s="83" t="s">
        <v>2181</v>
      </c>
      <c r="S9" s="1315">
        <f>ROUND(PRODUCT(S3:S8),3)</f>
        <v>0.29099999999999998</v>
      </c>
      <c r="T9" s="1315">
        <f>ROUND(PRODUCT(T3:T8),3)</f>
        <v>0.28599999999999998</v>
      </c>
      <c r="U9" s="1315">
        <f>ROUND(PRODUCT(U3:U8),3)</f>
        <v>0.26100000000000001</v>
      </c>
      <c r="V9" s="1315">
        <f>ROUND(PRODUCT(V3:V8),3)</f>
        <v>0</v>
      </c>
      <c r="W9" s="1315">
        <f>ROUND(PRODUCT(W3:W8),3)</f>
        <v>0</v>
      </c>
      <c r="Y9" s="60"/>
      <c r="Z9" s="83" t="s">
        <v>2223</v>
      </c>
      <c r="AA9" s="1315">
        <f>ROUND(PRODUCT(AA3:AA8),3)</f>
        <v>0.11</v>
      </c>
      <c r="AB9" s="1315">
        <f>ROUND(PRODUCT(AB3:AB8),3)</f>
        <v>0.11</v>
      </c>
      <c r="AC9" s="1315">
        <f>ROUND(PRODUCT(AC3:AC8),3)</f>
        <v>0.17599999999999999</v>
      </c>
      <c r="AD9" s="1315">
        <f>ROUND(PRODUCT(AD3:AD8),3)</f>
        <v>0</v>
      </c>
      <c r="AE9" s="1315">
        <f>ROUND(PRODUCT(AE3:AE8),3)</f>
        <v>0</v>
      </c>
      <c r="AG9" s="60"/>
      <c r="AH9" s="83" t="s">
        <v>2181</v>
      </c>
      <c r="AI9" s="1315">
        <f>ROUND(PRODUCT(AI3:AI8),3)</f>
        <v>0.3</v>
      </c>
      <c r="AJ9" s="1315">
        <f>ROUND(PRODUCT(AJ3:AJ8),3)</f>
        <v>0.28799999999999998</v>
      </c>
      <c r="AK9" s="1315">
        <f>ROUND(PRODUCT(AK3:AK8),3)</f>
        <v>0.27200000000000002</v>
      </c>
      <c r="AL9" s="1315">
        <f>ROUND(PRODUCT(AL3:AL8),3)</f>
        <v>0</v>
      </c>
      <c r="AM9" s="1315">
        <f>ROUND(PRODUCT(AM3:AM8),3)</f>
        <v>0</v>
      </c>
      <c r="AO9" s="60"/>
      <c r="AP9" s="83" t="s">
        <v>2223</v>
      </c>
      <c r="AQ9" s="1312">
        <f>ROUND(PRODUCT(AQ3:AQ8),3)</f>
        <v>0.14699999999999999</v>
      </c>
      <c r="AR9" s="1312">
        <f>ROUND(PRODUCT(AR3:AR8),3)</f>
        <v>0.14699999999999999</v>
      </c>
      <c r="AS9" s="1312">
        <f>ROUND(PRODUCT(AS3:AS8),3)</f>
        <v>0.20200000000000001</v>
      </c>
      <c r="AT9" s="1312">
        <f>ROUND(PRODUCT(AT3:AT8),3)</f>
        <v>0</v>
      </c>
      <c r="AU9" s="1312">
        <f>ROUND(PRODUCT(AU3:AU8),3)</f>
        <v>0</v>
      </c>
    </row>
    <row r="10" spans="1:47" ht="13.5" thickBot="1" x14ac:dyDescent="0.25">
      <c r="A10" s="120" t="s">
        <v>835</v>
      </c>
      <c r="B10" s="1317"/>
      <c r="C10" s="1093" t="s">
        <v>1859</v>
      </c>
      <c r="D10" s="126"/>
      <c r="E10" s="541"/>
      <c r="F10" s="541"/>
      <c r="G10" s="96"/>
      <c r="H10" s="96"/>
      <c r="I10" s="1096"/>
      <c r="K10" s="1345" t="s">
        <v>2208</v>
      </c>
      <c r="L10" s="1357">
        <f>IF($C$21="Yes",W$35,0)</f>
        <v>0</v>
      </c>
      <c r="M10" s="1357">
        <f>IF($C21="Yes",AE$35,0)</f>
        <v>0</v>
      </c>
      <c r="N10" s="884">
        <f>IF(AND($C$21="Yes",$C$11="SP"),W$80,0)</f>
        <v>0</v>
      </c>
      <c r="O10" s="884">
        <f>IF(AND($C$21="Yes",$C$11="BR"),AE$80,0)</f>
        <v>0</v>
      </c>
      <c r="Q10" s="60"/>
      <c r="R10" s="83"/>
      <c r="S10" s="1312"/>
      <c r="T10" s="1312"/>
      <c r="U10" s="1312"/>
      <c r="V10" s="1312"/>
      <c r="W10" s="1312"/>
      <c r="AG10" s="60"/>
      <c r="AH10" s="83"/>
      <c r="AI10" s="1312"/>
      <c r="AJ10" s="1312"/>
      <c r="AK10" s="1312"/>
      <c r="AL10" s="1312"/>
      <c r="AM10" s="1312"/>
    </row>
    <row r="11" spans="1:47" x14ac:dyDescent="0.2">
      <c r="A11" s="415" t="s">
        <v>910</v>
      </c>
      <c r="B11" s="1318"/>
      <c r="C11" s="704" t="s">
        <v>894</v>
      </c>
      <c r="D11" s="500" t="s">
        <v>2215</v>
      </c>
      <c r="E11" s="508"/>
      <c r="F11" s="508"/>
      <c r="G11" s="508"/>
      <c r="H11" s="508"/>
      <c r="I11" s="509"/>
      <c r="K11" s="1343" t="s">
        <v>2218</v>
      </c>
      <c r="L11" s="485">
        <f>SUM(L6:L10)</f>
        <v>6390</v>
      </c>
      <c r="M11" s="485">
        <f>SUM(M6:M10)</f>
        <v>2700</v>
      </c>
      <c r="N11" s="485">
        <f>SUM(N6:N10)</f>
        <v>2670</v>
      </c>
      <c r="O11" s="485">
        <f>SUM(O6:O10)</f>
        <v>0</v>
      </c>
      <c r="Q11" s="60" t="s">
        <v>2183</v>
      </c>
      <c r="R11" s="83"/>
      <c r="S11" s="1312"/>
      <c r="T11" s="1312"/>
      <c r="U11" s="1312"/>
      <c r="V11" s="1312"/>
      <c r="W11" s="1312"/>
      <c r="Y11" s="60" t="s">
        <v>2183</v>
      </c>
      <c r="Z11" s="83"/>
      <c r="AA11" s="1312"/>
      <c r="AB11" s="1312"/>
      <c r="AC11" s="1312"/>
      <c r="AD11" s="1312"/>
      <c r="AE11" s="1312"/>
      <c r="AG11" s="60" t="s">
        <v>2183</v>
      </c>
      <c r="AH11" s="83"/>
      <c r="AI11" s="1312"/>
      <c r="AJ11" s="1312"/>
      <c r="AK11" s="1312"/>
      <c r="AL11" s="1312"/>
      <c r="AM11" s="1312"/>
      <c r="AO11" s="60" t="s">
        <v>2183</v>
      </c>
      <c r="AP11" s="83"/>
      <c r="AQ11" s="1312"/>
      <c r="AR11" s="1312"/>
      <c r="AS11" s="1312"/>
      <c r="AT11" s="1312"/>
      <c r="AU11" s="1312"/>
    </row>
    <row r="12" spans="1:47" ht="13.5" thickBot="1" x14ac:dyDescent="0.25">
      <c r="A12" s="507" t="s">
        <v>1069</v>
      </c>
      <c r="B12" s="95"/>
      <c r="C12" s="1319">
        <v>1</v>
      </c>
      <c r="D12" s="1320" t="s">
        <v>2173</v>
      </c>
      <c r="E12" s="1323" t="s">
        <v>57</v>
      </c>
      <c r="F12" s="1323" t="s">
        <v>2170</v>
      </c>
      <c r="G12" s="1323" t="s">
        <v>2228</v>
      </c>
      <c r="H12" s="1323" t="s">
        <v>2171</v>
      </c>
      <c r="I12" s="1324" t="s">
        <v>2172</v>
      </c>
      <c r="K12" s="1206"/>
      <c r="L12" s="485"/>
      <c r="M12" s="485"/>
      <c r="N12" s="485"/>
      <c r="O12" s="485"/>
      <c r="R12" s="1117" t="s">
        <v>2184</v>
      </c>
      <c r="S12" s="478">
        <f>IF(ISNUMBER($I4),$I4,0)</f>
        <v>1000000</v>
      </c>
      <c r="T12" s="478">
        <f>IF(ISNUMBER($I5),$I5,0)</f>
        <v>1000000</v>
      </c>
      <c r="U12" s="478">
        <f>IF(ISNUMBER($I6),$I6,0)</f>
        <v>1000000</v>
      </c>
      <c r="V12" s="478">
        <f>IF(ISNUMBER($I7),$I7,0)</f>
        <v>0</v>
      </c>
      <c r="W12" s="478">
        <f>IF(ISNUMBER($I8),$I8,0)</f>
        <v>0</v>
      </c>
      <c r="Z12" s="1117" t="s">
        <v>2184</v>
      </c>
      <c r="AA12" s="478">
        <f>IF(ISNUMBER($I$4),$I$4,0)</f>
        <v>1000000</v>
      </c>
      <c r="AB12" s="478">
        <f>IF(ISNUMBER($I$5),$I$5,0)</f>
        <v>1000000</v>
      </c>
      <c r="AC12" s="478">
        <f>IF(ISNUMBER($I$6),$I$6,0)</f>
        <v>1000000</v>
      </c>
      <c r="AD12" s="478">
        <f>IF(ISNUMBER($I$7),$I$7,0)</f>
        <v>0</v>
      </c>
      <c r="AE12" s="478">
        <f>IF(ISNUMBER($I$8),$I$8,0)</f>
        <v>0</v>
      </c>
      <c r="AH12" s="1117" t="s">
        <v>2184</v>
      </c>
      <c r="AI12" s="478">
        <f>IF(ISNUMBER($I13),$I13,0)</f>
        <v>1000000</v>
      </c>
      <c r="AJ12" s="478">
        <f>IF(ISNUMBER($I14),$I14,0)</f>
        <v>1000000</v>
      </c>
      <c r="AK12" s="478">
        <f>IF(ISNUMBER($I15),$I15,0)</f>
        <v>1000000</v>
      </c>
      <c r="AL12" s="478">
        <f>IF(ISNUMBER($I16),$I16,0)</f>
        <v>0</v>
      </c>
      <c r="AM12" s="478">
        <f>IF(ISNUMBER($I17),$I17,0)</f>
        <v>0</v>
      </c>
      <c r="AP12" s="1117" t="s">
        <v>2184</v>
      </c>
      <c r="AQ12" s="478">
        <f>IF(ISNUMBER($I$13),$I$13,0)</f>
        <v>1000000</v>
      </c>
      <c r="AR12" s="478">
        <f>IF(ISNUMBER($I$14),$I$14,0)</f>
        <v>1000000</v>
      </c>
      <c r="AS12" s="478">
        <f>IF(ISNUMBER($I$15),$I$15,0)</f>
        <v>1000000</v>
      </c>
      <c r="AT12" s="478">
        <f>IF(ISNUMBER($I$16),$I$16,0)</f>
        <v>0</v>
      </c>
      <c r="AU12" s="478">
        <f>IF(ISNUMBER($I$17),$I$17,0)</f>
        <v>0</v>
      </c>
    </row>
    <row r="13" spans="1:47" x14ac:dyDescent="0.2">
      <c r="A13" s="1485" t="s">
        <v>2333</v>
      </c>
      <c r="B13" s="95"/>
      <c r="C13" s="1486">
        <v>1</v>
      </c>
      <c r="D13" s="1321">
        <v>1</v>
      </c>
      <c r="E13" s="1349" t="s">
        <v>48</v>
      </c>
      <c r="F13" s="1359">
        <v>1</v>
      </c>
      <c r="G13" s="1351">
        <v>1</v>
      </c>
      <c r="H13" s="1352" t="s">
        <v>18</v>
      </c>
      <c r="I13" s="1353">
        <v>1000000</v>
      </c>
      <c r="K13" s="1340" t="s">
        <v>2219</v>
      </c>
      <c r="L13" s="1341"/>
      <c r="M13" s="1342"/>
      <c r="N13" s="1342"/>
      <c r="O13" s="1342"/>
      <c r="Q13" s="185"/>
      <c r="R13" s="1226" t="s">
        <v>2185</v>
      </c>
      <c r="S13" s="238">
        <f>$I$9</f>
        <v>3000000</v>
      </c>
      <c r="T13" s="238">
        <f>$I$9</f>
        <v>3000000</v>
      </c>
      <c r="U13" s="238">
        <f>$I$9</f>
        <v>3000000</v>
      </c>
      <c r="V13" s="238">
        <f>$I$9</f>
        <v>3000000</v>
      </c>
      <c r="W13" s="238">
        <f>$I$9</f>
        <v>3000000</v>
      </c>
      <c r="Y13" s="185"/>
      <c r="Z13" s="1226" t="s">
        <v>2185</v>
      </c>
      <c r="AA13" s="238">
        <f>$I$9</f>
        <v>3000000</v>
      </c>
      <c r="AB13" s="238">
        <f t="shared" ref="AB13:AE13" si="2">$I$9</f>
        <v>3000000</v>
      </c>
      <c r="AC13" s="238">
        <f t="shared" si="2"/>
        <v>3000000</v>
      </c>
      <c r="AD13" s="238">
        <f t="shared" si="2"/>
        <v>3000000</v>
      </c>
      <c r="AE13" s="238">
        <f t="shared" si="2"/>
        <v>3000000</v>
      </c>
      <c r="AG13" s="185"/>
      <c r="AH13" s="1226" t="s">
        <v>2185</v>
      </c>
      <c r="AI13" s="238">
        <f>$I$18</f>
        <v>3000000</v>
      </c>
      <c r="AJ13" s="238">
        <f t="shared" ref="AJ13:AM13" si="3">$I$18</f>
        <v>3000000</v>
      </c>
      <c r="AK13" s="238">
        <f t="shared" si="3"/>
        <v>3000000</v>
      </c>
      <c r="AL13" s="238">
        <f t="shared" si="3"/>
        <v>3000000</v>
      </c>
      <c r="AM13" s="238">
        <f t="shared" si="3"/>
        <v>3000000</v>
      </c>
      <c r="AO13" s="185"/>
      <c r="AP13" s="1226" t="s">
        <v>2185</v>
      </c>
      <c r="AQ13" s="238">
        <f>$I$18</f>
        <v>3000000</v>
      </c>
      <c r="AR13" s="238">
        <f t="shared" ref="AR13:AU13" si="4">$I$18</f>
        <v>3000000</v>
      </c>
      <c r="AS13" s="238">
        <f t="shared" si="4"/>
        <v>3000000</v>
      </c>
      <c r="AT13" s="238">
        <f t="shared" si="4"/>
        <v>3000000</v>
      </c>
      <c r="AU13" s="238">
        <f t="shared" si="4"/>
        <v>3000000</v>
      </c>
    </row>
    <row r="14" spans="1:47" x14ac:dyDescent="0.2">
      <c r="A14" s="1485" t="s">
        <v>2332</v>
      </c>
      <c r="B14" s="95"/>
      <c r="C14" s="1486">
        <v>1</v>
      </c>
      <c r="D14" s="1322">
        <v>2</v>
      </c>
      <c r="E14" s="1354" t="s">
        <v>43</v>
      </c>
      <c r="F14" s="1360">
        <v>1</v>
      </c>
      <c r="G14" s="1352">
        <v>2</v>
      </c>
      <c r="H14" s="1352" t="s">
        <v>18</v>
      </c>
      <c r="I14" s="1356">
        <v>1000000</v>
      </c>
      <c r="K14" s="1458" t="s">
        <v>2278</v>
      </c>
      <c r="L14" s="1463">
        <f>IF($C$22="Yes",$AI$30,"NA")</f>
        <v>0.17399999999999999</v>
      </c>
      <c r="M14" s="1463">
        <f>IF($C$22="Yes",$AQ$30,"NA")</f>
        <v>7.6999999999999999E-2</v>
      </c>
      <c r="N14" s="1463">
        <f>IF($C$22="Yes",$AI$75,"NA")</f>
        <v>0.105</v>
      </c>
      <c r="O14" s="1463">
        <f>IF($C$22="Yes",$AQ$75,"NA")</f>
        <v>0.02</v>
      </c>
      <c r="Q14" s="146"/>
      <c r="R14" s="301" t="s">
        <v>2187</v>
      </c>
      <c r="S14" s="1313">
        <f>ROUND(S12/S13,2)</f>
        <v>0.33</v>
      </c>
      <c r="T14" s="1313">
        <f>ROUND(T12/T13,2)</f>
        <v>0.33</v>
      </c>
      <c r="U14" s="1313">
        <f>ROUND(U12/U13,2)</f>
        <v>0.33</v>
      </c>
      <c r="V14" s="1313">
        <f>ROUND(V12/V13,2)</f>
        <v>0</v>
      </c>
      <c r="W14" s="1313">
        <f>ROUND(W12/W13,2)</f>
        <v>0</v>
      </c>
      <c r="Y14" s="146"/>
      <c r="Z14" s="301" t="s">
        <v>2187</v>
      </c>
      <c r="AA14" s="1313">
        <f>ROUND(AA12/AA13,2)</f>
        <v>0.33</v>
      </c>
      <c r="AB14" s="1313">
        <f>ROUND(AB12/AB13,2)</f>
        <v>0.33</v>
      </c>
      <c r="AC14" s="1313">
        <f>ROUND(AC12/AC13,2)</f>
        <v>0.33</v>
      </c>
      <c r="AD14" s="1313">
        <f>ROUND(AD12/AD13,2)</f>
        <v>0</v>
      </c>
      <c r="AE14" s="1313">
        <f>ROUND(AE12/AE13,2)</f>
        <v>0</v>
      </c>
      <c r="AG14" s="146"/>
      <c r="AH14" s="301" t="s">
        <v>2187</v>
      </c>
      <c r="AI14" s="1313">
        <f>ROUND(AI12/AI13,2)</f>
        <v>0.33</v>
      </c>
      <c r="AJ14" s="1313">
        <f>ROUND(AJ12/AJ13,2)</f>
        <v>0.33</v>
      </c>
      <c r="AK14" s="1313">
        <f>ROUND(AK12/AK13,2)</f>
        <v>0.33</v>
      </c>
      <c r="AL14" s="1313">
        <f>ROUND(AL12/AL13,2)</f>
        <v>0</v>
      </c>
      <c r="AM14" s="1313">
        <f>ROUND(AM12/AM13,2)</f>
        <v>0</v>
      </c>
      <c r="AO14" s="146"/>
      <c r="AP14" s="301" t="s">
        <v>2187</v>
      </c>
      <c r="AQ14" s="1313">
        <f>ROUND(AQ12/AQ13,2)</f>
        <v>0.33</v>
      </c>
      <c r="AR14" s="1313">
        <f>ROUND(AR12/AR13,2)</f>
        <v>0.33</v>
      </c>
      <c r="AS14" s="1313">
        <f>ROUND(AS12/AS13,2)</f>
        <v>0.33</v>
      </c>
      <c r="AT14" s="1313">
        <f>ROUND(AT12/AT13,2)</f>
        <v>0</v>
      </c>
      <c r="AU14" s="1313">
        <f>ROUND(AU12/AU13,2)</f>
        <v>0</v>
      </c>
    </row>
    <row r="15" spans="1:47" ht="13.5" customHeight="1" x14ac:dyDescent="0.2">
      <c r="A15" s="1316" t="s">
        <v>2226</v>
      </c>
      <c r="B15" s="160"/>
      <c r="C15" s="1330">
        <v>100</v>
      </c>
      <c r="D15" s="1322">
        <v>3</v>
      </c>
      <c r="E15" s="1354" t="s">
        <v>47</v>
      </c>
      <c r="F15" s="1360">
        <v>1</v>
      </c>
      <c r="G15" s="1352">
        <v>2</v>
      </c>
      <c r="H15" s="1352" t="s">
        <v>28</v>
      </c>
      <c r="I15" s="1356">
        <v>1000000</v>
      </c>
      <c r="K15" s="1344" t="s">
        <v>2204</v>
      </c>
      <c r="L15" s="258">
        <f>IF($C$22="Yes",AI$35,0)</f>
        <v>1740</v>
      </c>
      <c r="M15" s="258">
        <f>IF($C$22="Yes",AQ$35,0)</f>
        <v>770</v>
      </c>
      <c r="N15" s="259">
        <f>IF(AND($C$22="Yes",$C$11="SP"),AI$80,0)</f>
        <v>1050</v>
      </c>
      <c r="O15" s="259">
        <f>IF(AND($C$22="Yes",$C$11="BR"),AQ$80,0)</f>
        <v>0</v>
      </c>
      <c r="Q15" s="185"/>
      <c r="R15" s="1226" t="s">
        <v>2188</v>
      </c>
      <c r="S15" s="238">
        <f>PRODUCT(0.9,$I$9)</f>
        <v>2700000</v>
      </c>
      <c r="T15" s="238">
        <f>PRODUCT(0.9,$I$9)</f>
        <v>2700000</v>
      </c>
      <c r="U15" s="238">
        <f>PRODUCT(0.9,$I$9)</f>
        <v>2700000</v>
      </c>
      <c r="V15" s="238">
        <f>PRODUCT(0.9,$I$9)</f>
        <v>2700000</v>
      </c>
      <c r="W15" s="238">
        <f>PRODUCT(0.9,$I$9)</f>
        <v>2700000</v>
      </c>
      <c r="Y15" s="185"/>
      <c r="Z15" s="1226" t="s">
        <v>2188</v>
      </c>
      <c r="AA15" s="238">
        <f>PRODUCT(0.9,$I$9)</f>
        <v>2700000</v>
      </c>
      <c r="AB15" s="238">
        <f>PRODUCT(0.9,$I$9)</f>
        <v>2700000</v>
      </c>
      <c r="AC15" s="238">
        <f>PRODUCT(0.9,$I$9)</f>
        <v>2700000</v>
      </c>
      <c r="AD15" s="238">
        <f>PRODUCT(0.9,$I$9)</f>
        <v>2700000</v>
      </c>
      <c r="AE15" s="238">
        <f>PRODUCT(0.9,$I$9)</f>
        <v>2700000</v>
      </c>
      <c r="AG15" s="185"/>
      <c r="AH15" s="1226" t="s">
        <v>2188</v>
      </c>
      <c r="AI15" s="238">
        <f>PRODUCT(0.9,$I$18)</f>
        <v>2700000</v>
      </c>
      <c r="AJ15" s="238">
        <f>PRODUCT(0.9,$I$18)</f>
        <v>2700000</v>
      </c>
      <c r="AK15" s="238">
        <f>PRODUCT(0.9,$I$18)</f>
        <v>2700000</v>
      </c>
      <c r="AL15" s="238">
        <f>PRODUCT(0.9,$I$18)</f>
        <v>2700000</v>
      </c>
      <c r="AM15" s="238">
        <f>PRODUCT(0.9,$I$18)</f>
        <v>2700000</v>
      </c>
      <c r="AO15" s="185"/>
      <c r="AP15" s="1226" t="s">
        <v>2188</v>
      </c>
      <c r="AQ15" s="238">
        <f>PRODUCT(0.9,$I$18)</f>
        <v>2700000</v>
      </c>
      <c r="AR15" s="238">
        <f>PRODUCT(0.9,$I$18)</f>
        <v>2700000</v>
      </c>
      <c r="AS15" s="238">
        <f>PRODUCT(0.9,$I$18)</f>
        <v>2700000</v>
      </c>
      <c r="AT15" s="238">
        <f>PRODUCT(0.9,$I$18)</f>
        <v>2700000</v>
      </c>
      <c r="AU15" s="238">
        <f>PRODUCT(0.9,$I$18)</f>
        <v>2700000</v>
      </c>
    </row>
    <row r="16" spans="1:47" x14ac:dyDescent="0.2">
      <c r="A16" s="1316" t="s">
        <v>2323</v>
      </c>
      <c r="B16" s="1482">
        <v>500</v>
      </c>
      <c r="C16" s="1483">
        <v>1</v>
      </c>
      <c r="D16" s="1322">
        <v>4</v>
      </c>
      <c r="E16" s="1354"/>
      <c r="F16" s="1360"/>
      <c r="G16" s="1352"/>
      <c r="H16" s="1352"/>
      <c r="I16" s="1356"/>
      <c r="K16" s="1344" t="s">
        <v>2205</v>
      </c>
      <c r="L16" s="258">
        <f>IF($C$22="Yes",AJ$35,0)</f>
        <v>1740</v>
      </c>
      <c r="M16" s="258">
        <f>IF($C$22="Yes",AR$35,0)</f>
        <v>770</v>
      </c>
      <c r="N16" s="259">
        <f>IF(AND($C$22="Yes",$C$11="SP"),AJ$80,0)</f>
        <v>1050</v>
      </c>
      <c r="O16" s="259">
        <f>IF(AND($C$22="Yes",$C$11="BR"),AR$80,0)</f>
        <v>0</v>
      </c>
      <c r="R16" s="83" t="s">
        <v>2189</v>
      </c>
      <c r="S16" s="248">
        <f>PRODUCT(S14:S15)</f>
        <v>891000</v>
      </c>
      <c r="T16" s="248">
        <f>PRODUCT(T14:T15)</f>
        <v>891000</v>
      </c>
      <c r="U16" s="248">
        <f>PRODUCT(U14:U15)</f>
        <v>891000</v>
      </c>
      <c r="V16" s="248">
        <f>PRODUCT(V14:V15)</f>
        <v>0</v>
      </c>
      <c r="W16" s="248">
        <f>PRODUCT(W14:W15)</f>
        <v>0</v>
      </c>
      <c r="Z16" s="83" t="s">
        <v>2189</v>
      </c>
      <c r="AA16" s="248">
        <f>PRODUCT(AA14:AA15)</f>
        <v>891000</v>
      </c>
      <c r="AB16" s="248">
        <f>PRODUCT(AB14:AB15)</f>
        <v>891000</v>
      </c>
      <c r="AC16" s="248">
        <f>PRODUCT(AC14:AC15)</f>
        <v>891000</v>
      </c>
      <c r="AD16" s="248">
        <f>PRODUCT(AD14:AD15)</f>
        <v>0</v>
      </c>
      <c r="AE16" s="248">
        <f>PRODUCT(AE14:AE15)</f>
        <v>0</v>
      </c>
      <c r="AH16" s="83" t="s">
        <v>2189</v>
      </c>
      <c r="AI16" s="248">
        <f>PRODUCT(AI14:AI15)</f>
        <v>891000</v>
      </c>
      <c r="AJ16" s="248">
        <f>PRODUCT(AJ14:AJ15)</f>
        <v>891000</v>
      </c>
      <c r="AK16" s="248">
        <f>PRODUCT(AK14:AK15)</f>
        <v>891000</v>
      </c>
      <c r="AL16" s="248">
        <f>PRODUCT(AL14:AL15)</f>
        <v>0</v>
      </c>
      <c r="AM16" s="248">
        <f>PRODUCT(AM14:AM15)</f>
        <v>0</v>
      </c>
      <c r="AP16" s="83" t="s">
        <v>2189</v>
      </c>
      <c r="AQ16" s="248">
        <f>PRODUCT(AQ14:AQ15)</f>
        <v>891000</v>
      </c>
      <c r="AR16" s="248">
        <f>PRODUCT(AR14:AR15)</f>
        <v>891000</v>
      </c>
      <c r="AS16" s="248">
        <f>PRODUCT(AS14:AS15)</f>
        <v>891000</v>
      </c>
      <c r="AT16" s="248">
        <f>PRODUCT(AT14:AT15)</f>
        <v>0</v>
      </c>
      <c r="AU16" s="248">
        <f>PRODUCT(AU14:AU15)</f>
        <v>0</v>
      </c>
    </row>
    <row r="17" spans="1:47" ht="15" customHeight="1" x14ac:dyDescent="0.2">
      <c r="A17" s="1316" t="s">
        <v>2227</v>
      </c>
      <c r="B17" s="160"/>
      <c r="C17" s="1330">
        <v>100</v>
      </c>
      <c r="D17" s="1322">
        <v>5</v>
      </c>
      <c r="E17" s="1354"/>
      <c r="F17" s="1360"/>
      <c r="G17" s="1352"/>
      <c r="H17" s="1352"/>
      <c r="I17" s="1356"/>
      <c r="K17" s="1344" t="s">
        <v>2206</v>
      </c>
      <c r="L17" s="258">
        <f>IF($C$22="Yes",AK$35,0)</f>
        <v>1740</v>
      </c>
      <c r="M17" s="258">
        <f>IF($C$22="Yes",AS$35,0)</f>
        <v>770</v>
      </c>
      <c r="N17" s="259">
        <f>IF(AND($C$22="Yes",$C$11="SP"),AK$80,0)</f>
        <v>1050</v>
      </c>
      <c r="O17" s="259">
        <f>IF(AND($C$22="Yes",$C$11="BR"),AS$80,0)</f>
        <v>0</v>
      </c>
      <c r="Q17" s="1332"/>
      <c r="R17" s="1333" t="s">
        <v>2193</v>
      </c>
      <c r="S17" s="1334">
        <f>IF(S16=0,"N/A",IF(ISNA(MATCH(S16,List_LOI_Bldg,0)),VLOOKUP(S16,List_LOI_Bldg,1,TRUE),"N/A"))</f>
        <v>850000</v>
      </c>
      <c r="T17" s="1334">
        <f>IF(T16=0,"N/A",IF(ISNA(MATCH(T16,List_LOI_Bldg,0)),VLOOKUP(T16,List_LOI_Bldg,1,TRUE),"N/A"))</f>
        <v>850000</v>
      </c>
      <c r="U17" s="1334">
        <f>IF(U16=0,"N/A",IF(ISNA(MATCH(U16,List_LOI_Bldg,0)),VLOOKUP(U16,List_LOI_Bldg,1,TRUE),"N/A"))</f>
        <v>850000</v>
      </c>
      <c r="V17" s="1335" t="str">
        <f>IF(V16=0,"N/A",IF(ISNA(MATCH(V16,List_LOI_Bldg,0)),VLOOKUP(V16,List_LOI_Bldg,1,TRUE),"N/A"))</f>
        <v>N/A</v>
      </c>
      <c r="W17" s="1335" t="str">
        <f>IF(W16=0,"N/A",IF(ISNA(MATCH(W16,List_LOI_Bldg,0)),VLOOKUP(W16,List_LOI_Bldg,1,TRUE),"N/A"))</f>
        <v>N/A</v>
      </c>
      <c r="Y17" s="1332"/>
      <c r="Z17" s="1333" t="s">
        <v>2193</v>
      </c>
      <c r="AA17" s="1334">
        <f>IF(AA16=0,"N/A",IF(ISNA(MATCH(AA16,List_LOI_Bldg,0)),VLOOKUP(AA16,List_LOI_Bldg,1,TRUE),"N/A"))</f>
        <v>850000</v>
      </c>
      <c r="AB17" s="1334">
        <f>IF(AB16=0,"N/A",IF(ISNA(MATCH(AB16,List_LOI_Bldg,0)),VLOOKUP(AB16,List_LOI_Bldg,1,TRUE),"N/A"))</f>
        <v>850000</v>
      </c>
      <c r="AC17" s="1335">
        <f>IF(AC16=0,"N/A",IF(ISNA(MATCH(AC16,List_LOI_Bldg,0)),VLOOKUP(AC16,List_LOI_Bldg,1,TRUE),"N/A"))</f>
        <v>850000</v>
      </c>
      <c r="AD17" s="1335" t="str">
        <f>IF(AD16=0,"N/A",IF(ISNA(MATCH(AD16,List_LOI_Bldg,0)),VLOOKUP(AD16,List_LOI_Bldg,1,TRUE),"N/A"))</f>
        <v>N/A</v>
      </c>
      <c r="AE17" s="1335" t="str">
        <f>IF(AE16=0,"N/A",IF(ISNA(MATCH(AE16,List_LOI_Bldg,0)),VLOOKUP(AE16,List_LOI_Bldg,1,TRUE),"N/A"))</f>
        <v>N/A</v>
      </c>
      <c r="AG17" s="1332"/>
      <c r="AH17" s="1333" t="s">
        <v>2193</v>
      </c>
      <c r="AI17" s="1334">
        <f>IF(AI16=0,"N/A",IF(ISNA(MATCH(AI16,List_LOI_PP,0)),VLOOKUP(AI16,List_LOI_PP,1,TRUE),"N/A"))</f>
        <v>850000</v>
      </c>
      <c r="AJ17" s="1334">
        <f>IF(AJ16=0,"N/A",IF(ISNA(MATCH(AJ16,List_LOI_PP,0)),VLOOKUP(AJ16,List_LOI_PP,1,TRUE),"N/A"))</f>
        <v>850000</v>
      </c>
      <c r="AK17" s="1334">
        <f>IF(AK16=0,"N/A",IF(ISNA(MATCH(AK16,List_LOI_PP,0)),VLOOKUP(AK16,List_LOI_PP,1,TRUE),"N/A"))</f>
        <v>850000</v>
      </c>
      <c r="AL17" s="1335" t="str">
        <f>IF(AL16=0,"N/A",IF(ISNA(MATCH(AL16,List_LOI_PP,0)),VLOOKUP(AL16,List_LOI_PP,1,TRUE),"N/A"))</f>
        <v>N/A</v>
      </c>
      <c r="AM17" s="1335" t="str">
        <f>IF(AM16=0,"N/A",IF(ISNA(MATCH(AM16,List_LOI_PP,0)),VLOOKUP(AM16,List_LOI_PP,1,TRUE),"N/A"))</f>
        <v>N/A</v>
      </c>
      <c r="AO17" s="1332"/>
      <c r="AP17" s="1333" t="s">
        <v>2193</v>
      </c>
      <c r="AQ17" s="1334">
        <f>IF(AQ16=0,"N/A",IF(ISNA(MATCH(AQ16,List_LOI_PP,0)),VLOOKUP(AQ16,List_LOI_PP,1,TRUE),"N/A"))</f>
        <v>850000</v>
      </c>
      <c r="AR17" s="1334">
        <f>IF(AR16=0,"N/A",IF(ISNA(MATCH(AR16,List_LOI_PP,0)),VLOOKUP(AR16,List_LOI_PP,1,TRUE),"N/A"))</f>
        <v>850000</v>
      </c>
      <c r="AS17" s="1335">
        <f>IF(AS16=0,"N/A",IF(ISNA(MATCH(AS16,List_LOI_PP,0)),VLOOKUP(AS16,List_LOI_PP,1,TRUE),"N/A"))</f>
        <v>850000</v>
      </c>
      <c r="AT17" s="1335" t="str">
        <f>IF(AT16=0,"N/A",IF(ISNA(MATCH(AT16,List_LOI_PP,0)),VLOOKUP(AT16,List_LOI_PP,1,TRUE),"N/A"))</f>
        <v>N/A</v>
      </c>
      <c r="AU17" s="1335" t="str">
        <f>IF(AU16=0,"N/A",IF(ISNA(MATCH(AU16,List_LOI_PP,0)),VLOOKUP(AU16,List_LOI_PP,1,TRUE),"N/A"))</f>
        <v>N/A</v>
      </c>
    </row>
    <row r="18" spans="1:47" x14ac:dyDescent="0.2">
      <c r="A18" s="1316" t="s">
        <v>2323</v>
      </c>
      <c r="B18" s="1482">
        <v>500</v>
      </c>
      <c r="C18" s="1483">
        <v>1</v>
      </c>
      <c r="D18" s="1326"/>
      <c r="E18" s="1327"/>
      <c r="F18" s="1347"/>
      <c r="G18" s="1328"/>
      <c r="H18" s="1329" t="s">
        <v>2174</v>
      </c>
      <c r="I18" s="1325">
        <f>SUM(I13:I17)</f>
        <v>3000000</v>
      </c>
      <c r="K18" s="1344" t="s">
        <v>2207</v>
      </c>
      <c r="L18" s="258">
        <f>IF($C$22="Yes",AL$35,0)</f>
        <v>0</v>
      </c>
      <c r="M18" s="258">
        <f>IF($C$22="Yes",AT$35,0)</f>
        <v>0</v>
      </c>
      <c r="N18" s="259">
        <f>IF(AND($C$22="Yes",$C$11="SP"),AL$80,0)</f>
        <v>0</v>
      </c>
      <c r="O18" s="259">
        <f>IF(AND($C$22="Yes",$C$11="BR"),AT$80,0)</f>
        <v>0</v>
      </c>
      <c r="Q18" s="1336"/>
      <c r="R18" s="1337" t="s">
        <v>2194</v>
      </c>
      <c r="S18" s="1338">
        <f>IF(S17="N/A",0,INDEX(List_LOI_Bldg,MATCH(S17,List_LOI_Bldg,0)+1,1))</f>
        <v>900000</v>
      </c>
      <c r="T18" s="1338">
        <f>IF(T17="N/A",0,INDEX(List_LOI_Bldg,MATCH(T17,List_LOI_Bldg,0)+1,1))</f>
        <v>900000</v>
      </c>
      <c r="U18" s="1338">
        <f>IF(U17="N/A",0,INDEX(List_LOI_Bldg,MATCH(U17,List_LOI_Bldg,0)+1,1))</f>
        <v>900000</v>
      </c>
      <c r="V18" s="1338">
        <f>IF(V17="N/A",0,INDEX(List_LOI_Bldg,MATCH(V17,List_LOI_Bldg,0)+1,1))</f>
        <v>0</v>
      </c>
      <c r="W18" s="1338">
        <f>IF(W17="N/A",0,INDEX(List_LOI_Bldg,MATCH(W17,List_LOI_Bldg,0)+1,1))</f>
        <v>0</v>
      </c>
      <c r="Y18" s="1336"/>
      <c r="Z18" s="1337" t="s">
        <v>2194</v>
      </c>
      <c r="AA18" s="1338">
        <f>IF(AA17="N/A",0,INDEX(List_LOI_Bldg,MATCH(AA17,List_LOI_Bldg,0)+1,1))</f>
        <v>900000</v>
      </c>
      <c r="AB18" s="1338">
        <f>IF(AB17="N/A",0,INDEX(List_LOI_Bldg,MATCH(AB17,List_LOI_Bldg,0)+1,1))</f>
        <v>900000</v>
      </c>
      <c r="AC18" s="1338">
        <f>IF(AC17="N/A",0,INDEX(List_LOI_Bldg,MATCH(AC17,List_LOI_Bldg,0)+1,1))</f>
        <v>900000</v>
      </c>
      <c r="AD18" s="1338">
        <f>IF(AD17="N/A",0,INDEX(List_LOI_Bldg,MATCH(AD17,List_LOI_Bldg,0)+1,1))</f>
        <v>0</v>
      </c>
      <c r="AE18" s="1338">
        <f>IF(AE17="N/A",0,INDEX(List_LOI_Bldg,MATCH(AE17,List_LOI_Bldg,0)+1,1))</f>
        <v>0</v>
      </c>
      <c r="AG18" s="1336"/>
      <c r="AH18" s="1337" t="s">
        <v>2194</v>
      </c>
      <c r="AI18" s="1338">
        <f>IF(AI17="N/A",0,INDEX(List_LOI_PP,MATCH(AI17,List_LOI_PP,0)+1,1))</f>
        <v>900000</v>
      </c>
      <c r="AJ18" s="1338">
        <f>IF(AJ17="N/A",0,INDEX(List_LOI_PP,MATCH(AJ17,List_LOI_PP,0)+1,1))</f>
        <v>900000</v>
      </c>
      <c r="AK18" s="1338">
        <f>IF(AK17="N/A",0,INDEX(List_LOI_PP,MATCH(AK17,List_LOI_PP,0)+1,1))</f>
        <v>900000</v>
      </c>
      <c r="AL18" s="1338">
        <f>IF(AL17="N/A",0,INDEX(List_LOI_PP,MATCH(AL17,List_LOI_PP,0)+1,1))</f>
        <v>0</v>
      </c>
      <c r="AM18" s="1338">
        <f>IF(AM17="N/A",0,INDEX(List_LOI_PP,MATCH(AM17,List_LOI_PP,0)+1,1))</f>
        <v>0</v>
      </c>
      <c r="AO18" s="1336"/>
      <c r="AP18" s="1337" t="s">
        <v>2194</v>
      </c>
      <c r="AQ18" s="1338">
        <f>IF(AQ17="N/A",0,INDEX(List_LOI_PP,MATCH(AQ17,List_LOI_PP,0)+1,1))</f>
        <v>900000</v>
      </c>
      <c r="AR18" s="1338">
        <f>IF(AR17="N/A",0,INDEX(List_LOI_PP,MATCH(AR17,List_LOI_PP,0)+1,1))</f>
        <v>900000</v>
      </c>
      <c r="AS18" s="1338">
        <f>IF(AS17="N/A",0,INDEX(List_LOI_PP,MATCH(AS17,List_LOI_PP,0)+1,1))</f>
        <v>900000</v>
      </c>
      <c r="AT18" s="1338">
        <f>IF(AT17="N/A",0,INDEX(List_LOI_PP,MATCH(AT17,List_LOI_PP,0)+1,1))</f>
        <v>0</v>
      </c>
      <c r="AU18" s="1338">
        <f>IF(AU17="N/A",0,INDEX(List_LOI_PP,MATCH(AU17,List_LOI_PP,0)+1,1))</f>
        <v>0</v>
      </c>
    </row>
    <row r="19" spans="1:47" ht="13.5" thickBot="1" x14ac:dyDescent="0.25">
      <c r="A19" s="120"/>
      <c r="B19" s="95"/>
      <c r="C19" s="1039"/>
      <c r="D19" s="126"/>
      <c r="E19" s="541"/>
      <c r="F19" s="541"/>
      <c r="G19" s="96"/>
      <c r="H19" s="96"/>
      <c r="I19" s="1096"/>
      <c r="K19" s="1345" t="s">
        <v>2208</v>
      </c>
      <c r="L19" s="1357">
        <f>IF($C$22="Yes",AM$35,0)</f>
        <v>0</v>
      </c>
      <c r="M19" s="1357">
        <f>IF($C$22="Yes",AU$35,0)</f>
        <v>0</v>
      </c>
      <c r="N19" s="884">
        <f>IF(AND($C$22="Yes",$C$11="SP"),AM$80,0)</f>
        <v>0</v>
      </c>
      <c r="O19" s="884">
        <f>IF(AND($C$22="Yes",$C$11="BR"),AU$80,0)</f>
        <v>0</v>
      </c>
      <c r="Q19" s="185"/>
      <c r="R19" s="1226" t="s">
        <v>2195</v>
      </c>
      <c r="S19" s="1457">
        <f>IF(S16=0,0,IF(AND(S17="N/A",S16&gt;0),VLOOKUP(S16,Table_LOI_Bldg,MATCH($G4,List_Relatives,0)+1,FALSE),
ROUND(VLOOKUP(S17,Table_LOI_Bldg,MATCH($G4,List_Relatives,0)+1,FALSE) -
ROUND(PRODUCT((VLOOKUP(S17,Table_LOI_Bldg,MATCH($G4,List_Relatives,0)+1,FALSE) - VLOOKUP(S18,Table_LOI_Bldg,MATCH($G4,List_Relatives,0)+1,FALSE)),S16-S17)/(S18-S17),4),4)))</f>
        <v>0.8024</v>
      </c>
      <c r="T19" s="1457">
        <f>IF(T16=0,0,IF(AND(T17="N/A",T16&gt;0),VLOOKUP(T16,Table_LOI_Bldg,MATCH($G5,List_Relatives,0)+1,FALSE),
ROUND(VLOOKUP(T17,Table_LOI_Bldg,MATCH($G5,List_Relatives,0)+1,FALSE) -
ROUND(PRODUCT((VLOOKUP(T17,Table_LOI_Bldg,MATCH($G5,List_Relatives,0)+1,FALSE) - VLOOKUP(T18,Table_LOI_Bldg,MATCH($G5,List_Relatives,0)+1,FALSE)),T16-T17)/(T18-T17),4),4)))</f>
        <v>0.8024</v>
      </c>
      <c r="U19" s="1457">
        <f>IF(U16=0,0,IF(AND(U17="N/A",U16&gt;0),VLOOKUP(U16,Table_LOI_Bldg,MATCH($G6,List_Relatives,0)+1,FALSE),
ROUND(VLOOKUP(U17,Table_LOI_Bldg,MATCH($G6,List_Relatives,0)+1,FALSE) -
ROUND(PRODUCT((VLOOKUP(U17,Table_LOI_Bldg,MATCH($G6,List_Relatives,0)+1,FALSE) - VLOOKUP(U18,Table_LOI_Bldg,MATCH($G6,List_Relatives,0)+1,FALSE)),U16-U17)/(U18-U17),4),4)))</f>
        <v>0.8024</v>
      </c>
      <c r="V19" s="1457">
        <f>IF(V16=0,0,IF(AND(V17="N/A",V16&gt;0),VLOOKUP(V16,Table_LOI_Bldg,MATCH($G7,List_Relatives,0)+1,FALSE),
ROUND(VLOOKUP(V17,Table_LOI_Bldg,MATCH($G7,List_Relatives,0)+1,FALSE) -
ROUND(PRODUCT((VLOOKUP(V17,Table_LOI_Bldg,MATCH($G7,List_Relatives,0)+1,FALSE) - VLOOKUP(V18,Table_LOI_Bldg,MATCH($G7,List_Relatives,0)+1,FALSE)),V16-V17)/(V18-V17),4),4)))</f>
        <v>0</v>
      </c>
      <c r="W19" s="1457">
        <f>IF(W16=0,0,IF(AND(W17="N/A",W16&gt;0),VLOOKUP(W16,Table_LOI_Bldg,MATCH($G8,List_Relatives,0)+1,FALSE),
ROUND(VLOOKUP(W17,Table_LOI_Bldg,MATCH($G8,List_Relatives,0)+1,FALSE) -
ROUND(PRODUCT((VLOOKUP(W17,Table_LOI_Bldg,MATCH($G8,List_Relatives,0)+1,FALSE) - VLOOKUP(W18,Table_LOI_Bldg,MATCH($G8,List_Relatives,0)+1,FALSE)),W16-W17)/(W18-W17),4),4)))</f>
        <v>0</v>
      </c>
      <c r="Y19" s="185"/>
      <c r="Z19" s="1226" t="s">
        <v>2195</v>
      </c>
      <c r="AA19" s="1457">
        <f>IF(AA16=0,0,IF(AND(AA17="N/A",AA16&gt;0),VLOOKUP(AA16,Table_LOI_Bldg,MATCH("BA2",List_Relatives,0)+1,FALSE),
ROUND(VLOOKUP(AA17,Table_LOI_Bldg,MATCH("BA2",List_Relatives,0)+1,FALSE) -
ROUND(PRODUCT((VLOOKUP(AA17,Table_LOI_Bldg,MATCH("BA2",List_Relatives,0)+1,FALSE) - VLOOKUP(AA18,Table_LOI_Bldg,MATCH("BA2",List_Relatives,0)+1,FALSE)),AA16-AA17)/(AA18-AA17),4),4)))</f>
        <v>0.72099999999999997</v>
      </c>
      <c r="AB19" s="1457">
        <f>IF(AB16=0,0,IF(AND(AB17="N/A",AB16&gt;0),VLOOKUP(AB16,Table_LOI_Bldg,MATCH("BA2",List_Relatives,0)+1,FALSE),
ROUND(VLOOKUP(AB17,Table_LOI_Bldg,MATCH("BA2",List_Relatives,0)+1,FALSE) -
ROUND(PRODUCT((VLOOKUP(AB17,Table_LOI_Bldg,MATCH("BA2",List_Relatives,0)+1,FALSE) - VLOOKUP(AB18,Table_LOI_Bldg,MATCH("BA2",List_Relatives,0)+1,FALSE)),AB16-AB17)/(AB18-AB17),4),4)))</f>
        <v>0.72099999999999997</v>
      </c>
      <c r="AC19" s="1457">
        <f>IF(AC16=0,0,IF(AND(AC17="N/A",AC16&gt;0),VLOOKUP(AC16,Table_LOI_Bldg,MATCH("BA2",List_Relatives,0)+1,FALSE),
ROUND(VLOOKUP(AC17,Table_LOI_Bldg,MATCH("BA2",List_Relatives,0)+1,FALSE) -
ROUND(PRODUCT((VLOOKUP(AC17,Table_LOI_Bldg,MATCH("BA2",List_Relatives,0)+1,FALSE) - VLOOKUP(AC18,Table_LOI_Bldg,MATCH("BA2",List_Relatives,0)+1,FALSE)),AC16-AC17)/(AC18-AC17),4),4)))</f>
        <v>0.72099999999999997</v>
      </c>
      <c r="AD19" s="1457">
        <f>IF(AD16=0,0,IF(AND(AD17="N/A",AD16&gt;0),VLOOKUP(AD16,Table_LOI_Bldg,MATCH($G7,List_Relatives,0)+1,FALSE),
ROUND(VLOOKUP(AD17,Table_LOI_Bldg,MATCH($G7,List_Relatives,0)+1,FALSE) -
ROUND(PRODUCT((VLOOKUP(AD17,Table_LOI_Bldg,MATCH($G7,List_Relatives,0)+1,FALSE) - VLOOKUP(AD18,Table_LOI_Bldg,MATCH($G7,List_Relatives,0)+1,FALSE)),AD16-AD17)/(AD18-AD17),4),4)))</f>
        <v>0</v>
      </c>
      <c r="AE19" s="1457">
        <f>IF(AE16=0,0,IF(AND(AE17="N/A",AE16&gt;0),VLOOKUP(AE16,Table_LOI_Bldg,MATCH($G8,List_Relatives,0)+1,FALSE),
ROUND(VLOOKUP(AE17,Table_LOI_Bldg,MATCH($G8,List_Relatives,0)+1,FALSE) -
ROUND(PRODUCT((VLOOKUP(AE17,Table_LOI_Bldg,MATCH($G8,List_Relatives,0)+1,FALSE) - VLOOKUP(AE18,Table_LOI_Bldg,MATCH($G8,List_Relatives,0)+1,FALSE)),AE16-AE17)/(AE18-AE17),4),4)))</f>
        <v>0</v>
      </c>
      <c r="AG19" s="185"/>
      <c r="AH19" s="1226" t="s">
        <v>2195</v>
      </c>
      <c r="AI19" s="1457">
        <f>IF(AI16=0,0,IF(AND(AI17="N/A",AI16&gt;0),VLOOKUP(AI16,Table_LOI_PP,MATCH($G13,List_Relatives,0)+1,FALSE),
ROUND(VLOOKUP(AI17,Table_LOI_PP,MATCH($G13,List_Relatives,0)+1,FALSE) -
ROUND(PRODUCT((VLOOKUP(AI17,Table_LOI_PP,MATCH($G13,List_Relatives,0)+1,FALSE) - VLOOKUP(AI18,Table_LOI_PP,MATCH($G13,List_Relatives,0)+1,FALSE)),AI16-AI17)/(AI18-AI17),4),4)))</f>
        <v>0.6381</v>
      </c>
      <c r="AJ19" s="1457">
        <f>IF(AJ16=0,0,IF(AND(AJ17="N/A",AJ16&gt;0),VLOOKUP(AJ16,Table_LOI_PP,MATCH($G14,List_Relatives,0)+1,FALSE),
ROUND(VLOOKUP(AJ17,Table_LOI_PP,MATCH($G14,List_Relatives,0)+1,FALSE) -
ROUND(PRODUCT((VLOOKUP(AJ17,Table_LOI_PP,MATCH($G14,List_Relatives,0)+1,FALSE) - VLOOKUP(AJ18,Table_LOI_PP,MATCH($G14,List_Relatives,0)+1,FALSE)),AJ16-AJ17)/(AJ18-AJ17),4),4)))</f>
        <v>0.6381</v>
      </c>
      <c r="AK19" s="1457">
        <f>IF(AK16=0,0,IF(AND(AK17="N/A",AK16&gt;0),VLOOKUP(AK16,Table_LOI_PP,MATCH($G15,List_Relatives,0)+1,FALSE),
ROUND(VLOOKUP(AK17,Table_LOI_PP,MATCH($G15,List_Relatives,0)+1,FALSE) -
ROUND(PRODUCT((VLOOKUP(AK17,Table_LOI_PP,MATCH($G15,List_Relatives,0)+1,FALSE) - VLOOKUP(AK18,Table_LOI_PP,MATCH($G15,List_Relatives,0)+1,FALSE)),AK16-AK17)/(AK18-AK17),4),4)))</f>
        <v>0.6381</v>
      </c>
      <c r="AL19" s="1457">
        <f>IF(AL16=0,0,IF(AND(AL17="N/A",AL16&gt;0),VLOOKUP(AL16,Table_LOI_PP,MATCH($G16,List_Relatives,0)+1,FALSE),
ROUND(VLOOKUP(AL17,Table_LOI_PP,MATCH($G16,List_Relatives,0)+1,FALSE) -
ROUND(PRODUCT((VLOOKUP(AL17,Table_LOI_PP,MATCH($G16,List_Relatives,0)+1,FALSE) - VLOOKUP(AL18,Table_LOI_PP,MATCH($G16,List_Relatives,0)+1,FALSE)),AL16-AL17)/(AL18-AL17),4),4)))</f>
        <v>0</v>
      </c>
      <c r="AM19" s="1457">
        <f>IF(AM16=0,0,IF(AND(AM17="N/A",AM16&gt;0),VLOOKUP(AM16,Table_LOI_PP,MATCH($G17,List_Relatives,0)+1,FALSE),
ROUND(VLOOKUP(AM17,Table_LOI_PP,MATCH($G17,List_Relatives,0)+1,FALSE) -
ROUND(PRODUCT((VLOOKUP(AM17,Table_LOI_PP,MATCH($G17,List_Relatives,0)+1,FALSE) - VLOOKUP(AM18,Table_LOI_PP,MATCH($G17,List_Relatives,0)+1,FALSE)),AM16-AM17)/(AM18-AM17),4),4)))</f>
        <v>0</v>
      </c>
      <c r="AO19" s="185"/>
      <c r="AP19" s="1226" t="s">
        <v>2195</v>
      </c>
      <c r="AQ19" s="1457">
        <f>IF(AQ16=0,0,IF(AND(AQ17="N/A",AQ16&gt;0),VLOOKUP(AQ16,Table_LOI_PP,MATCH("BA2",List_Relatives,0)+1,FALSE),
ROUND(VLOOKUP(AQ17,Table_LOI_PP,MATCH("BA2",List_Relatives,0)+1,FALSE) -
ROUND(PRODUCT((VLOOKUP(AQ17,Table_LOI_PP,MATCH("BA2",List_Relatives,0)+1,FALSE) - VLOOKUP(AQ18,Table_LOI_PP,MATCH("BA2",List_Relatives,0)+1,FALSE)),AQ16-AQ17)/(AQ18-AQ17),4),4)))</f>
        <v>0.49130000000000001</v>
      </c>
      <c r="AR19" s="1457">
        <f>IF(AR16=0,0,IF(AND(AR17="N/A",AR16&gt;0),VLOOKUP(AR16,Table_LOI_PP,MATCH("BA2",List_Relatives,0)+1,FALSE),
ROUND(VLOOKUP(AR17,Table_LOI_PP,MATCH("BA2",List_Relatives,0)+1,FALSE) -
ROUND(PRODUCT((VLOOKUP(AR17,Table_LOI_PP,MATCH("BA2",List_Relatives,0)+1,FALSE) - VLOOKUP(AR18,Table_LOI_PP,MATCH("BA2",List_Relatives,0)+1,FALSE)),AR16-AR17)/(AR18-AR17),4),4)))</f>
        <v>0.49130000000000001</v>
      </c>
      <c r="AS19" s="1457">
        <f>IF(AS16=0,0,IF(AND(AS17="N/A",AS16&gt;0),VLOOKUP(AS16,Table_LOI_PP,MATCH("BA2",List_Relatives,0)+1,FALSE),
ROUND(VLOOKUP(AS17,Table_LOI_PP,MATCH("BA2",List_Relatives,0)+1,FALSE) -
ROUND(PRODUCT((VLOOKUP(AS17,Table_LOI_PP,MATCH("BA2",List_Relatives,0)+1,FALSE) - VLOOKUP(AS18,Table_LOI_PP,MATCH("BA2",List_Relatives,0)+1,FALSE)),AS16-AS17)/(AS18-AS17),4),4)))</f>
        <v>0.49130000000000001</v>
      </c>
      <c r="AT19" s="1457">
        <f>IF(AT16=0,0,IF(AND(AT17="N/A",AT16&gt;0),VLOOKUP(AT16,Table_LOI_PP,MATCH($G16,List_Relatives,0)+1,FALSE),
ROUND(VLOOKUP(AT17,Table_LOI_PP,MATCH($G16,List_Relatives,0)+1,FALSE) -
ROUND(PRODUCT((VLOOKUP(AT17,Table_LOI_PP,MATCH($G16,List_Relatives,0)+1,FALSE) - VLOOKUP(AT18,Table_LOI_PP,MATCH($G16,List_Relatives,0)+1,FALSE)),AT16-AT17)/(AT18-AT17),4),4)))</f>
        <v>0</v>
      </c>
      <c r="AU19" s="1457">
        <f>IF(AU16=0,0,IF(AND(AU17="N/A",AU16&gt;0),VLOOKUP(AU16,Table_LOI_PP,MATCH($G17,List_Relatives,0)+1,FALSE),
ROUND(VLOOKUP(AU17,Table_LOI_PP,MATCH($G17,List_Relatives,0)+1,FALSE) -
ROUND(PRODUCT((VLOOKUP(AU17,Table_LOI_PP,MATCH($G17,List_Relatives,0)+1,FALSE) - VLOOKUP(AU18,Table_LOI_PP,MATCH($G17,List_Relatives,0)+1,FALSE)),AU16-AU17)/(AU18-AU17),4),4)))</f>
        <v>0</v>
      </c>
    </row>
    <row r="20" spans="1:47" ht="13.5" thickBot="1" x14ac:dyDescent="0.25">
      <c r="A20" s="529" t="s">
        <v>2214</v>
      </c>
      <c r="B20" s="531"/>
      <c r="C20" s="532"/>
      <c r="D20" s="500" t="s">
        <v>2216</v>
      </c>
      <c r="E20" s="508"/>
      <c r="F20" s="508"/>
      <c r="G20" s="508"/>
      <c r="H20" s="508"/>
      <c r="I20" s="509"/>
      <c r="K20" s="1343" t="s">
        <v>2218</v>
      </c>
      <c r="L20" s="485">
        <f>SUM(L15:L19)</f>
        <v>5220</v>
      </c>
      <c r="M20" s="485">
        <f>SUM(M15:M19)</f>
        <v>2310</v>
      </c>
      <c r="N20" s="485">
        <f>SUM(N15:N19)</f>
        <v>3150</v>
      </c>
      <c r="O20" s="485">
        <f>SUM(O15:O19)</f>
        <v>0</v>
      </c>
      <c r="R20" s="83" t="s">
        <v>2196</v>
      </c>
      <c r="S20" s="247">
        <f>PRODUCT(S9,S19)</f>
        <v>0.23349839999999999</v>
      </c>
      <c r="T20" s="247">
        <f>PRODUCT(T9,T19)</f>
        <v>0.22948639999999998</v>
      </c>
      <c r="U20" s="2">
        <f>PRODUCT(U9,U19)</f>
        <v>0.20942640000000001</v>
      </c>
      <c r="V20" s="2">
        <f>PRODUCT(V9,V19)</f>
        <v>0</v>
      </c>
      <c r="W20" s="2">
        <f>PRODUCT(W9,W19)</f>
        <v>0</v>
      </c>
      <c r="Z20" s="83" t="s">
        <v>2196</v>
      </c>
      <c r="AA20" s="2">
        <f>PRODUCT(AA9,AA19)</f>
        <v>7.9309999999999992E-2</v>
      </c>
      <c r="AB20" s="2">
        <f>PRODUCT(AB9,AB19)</f>
        <v>7.9309999999999992E-2</v>
      </c>
      <c r="AC20" s="2">
        <f>PRODUCT(AC9,AC19)</f>
        <v>0.12689599999999998</v>
      </c>
      <c r="AD20" s="2">
        <f>PRODUCT(AD9,AD19)</f>
        <v>0</v>
      </c>
      <c r="AE20" s="2">
        <f>PRODUCT(AE9,AE19)</f>
        <v>0</v>
      </c>
      <c r="AH20" s="83" t="s">
        <v>2196</v>
      </c>
      <c r="AI20" s="247">
        <f>PRODUCT(AI9,AI19)</f>
        <v>0.19142999999999999</v>
      </c>
      <c r="AJ20" s="247">
        <f>PRODUCT(AJ9,AJ19)</f>
        <v>0.18377279999999999</v>
      </c>
      <c r="AK20" s="2">
        <f>PRODUCT(AK9,AK19)</f>
        <v>0.1735632</v>
      </c>
      <c r="AL20" s="2">
        <f>PRODUCT(AL9,AL19)</f>
        <v>0</v>
      </c>
      <c r="AM20" s="2">
        <f>PRODUCT(AM9,AM19)</f>
        <v>0</v>
      </c>
      <c r="AP20" s="83" t="s">
        <v>2196</v>
      </c>
      <c r="AQ20" s="2">
        <f>PRODUCT(AQ9,AQ19)</f>
        <v>7.2221099999999996E-2</v>
      </c>
      <c r="AR20" s="2">
        <f>PRODUCT(AR9,AR19)</f>
        <v>7.2221099999999996E-2</v>
      </c>
      <c r="AS20" s="2">
        <f>PRODUCT(AS9,AS19)</f>
        <v>9.9242600000000014E-2</v>
      </c>
      <c r="AT20" s="2">
        <f>PRODUCT(AT9,AT19)</f>
        <v>0</v>
      </c>
      <c r="AU20" s="2">
        <f>PRODUCT(AU9,AU19)</f>
        <v>0</v>
      </c>
    </row>
    <row r="21" spans="1:47" ht="13.5" thickBot="1" x14ac:dyDescent="0.25">
      <c r="A21" s="1346" t="s">
        <v>856</v>
      </c>
      <c r="B21" s="95"/>
      <c r="C21" s="1097" t="s">
        <v>833</v>
      </c>
      <c r="D21" s="1320" t="s">
        <v>2173</v>
      </c>
      <c r="E21" s="1323" t="s">
        <v>57</v>
      </c>
      <c r="F21" s="1323"/>
      <c r="G21" s="1323"/>
      <c r="H21" s="1323" t="s">
        <v>2171</v>
      </c>
      <c r="I21" s="1324" t="s">
        <v>2172</v>
      </c>
      <c r="K21" s="685"/>
      <c r="L21" s="726"/>
      <c r="M21" s="726"/>
      <c r="N21" s="726"/>
      <c r="O21" s="726"/>
      <c r="Q21" s="185"/>
      <c r="R21" s="1226" t="s">
        <v>2197</v>
      </c>
      <c r="S21" s="238">
        <f>IF(ISNUMBER($I4),$I4,0)</f>
        <v>1000000</v>
      </c>
      <c r="T21" s="238">
        <f>IF(ISNUMBER($I5),$I5,0)</f>
        <v>1000000</v>
      </c>
      <c r="U21" s="238">
        <f>IF(ISNUMBER($I6),$I6,0)</f>
        <v>1000000</v>
      </c>
      <c r="V21" s="238">
        <f>IF(ISNUMBER($I7),$I7,0)</f>
        <v>0</v>
      </c>
      <c r="W21" s="238">
        <f>IF(ISNUMBER($I8),$I8,0)</f>
        <v>0</v>
      </c>
      <c r="Y21" s="185"/>
      <c r="Z21" s="1226" t="s">
        <v>2197</v>
      </c>
      <c r="AA21" s="238">
        <f>IF(ISNUMBER($I4),$I4,0)</f>
        <v>1000000</v>
      </c>
      <c r="AB21" s="238">
        <f>IF(ISNUMBER($I5),$I5,0)</f>
        <v>1000000</v>
      </c>
      <c r="AC21" s="238">
        <f>IF(ISNUMBER($I6),$I6,0)</f>
        <v>1000000</v>
      </c>
      <c r="AD21" s="238">
        <f>IF(ISNUMBER($I7),$I7,0)</f>
        <v>0</v>
      </c>
      <c r="AE21" s="238">
        <f>IF(ISNUMBER($I8),$I8,0)</f>
        <v>0</v>
      </c>
      <c r="AG21" s="185"/>
      <c r="AH21" s="1226" t="s">
        <v>2197</v>
      </c>
      <c r="AI21" s="238">
        <f>IF(ISNUMBER($I13),$I13,0)</f>
        <v>1000000</v>
      </c>
      <c r="AJ21" s="238">
        <f>IF(ISNUMBER($I14),$I14,0)</f>
        <v>1000000</v>
      </c>
      <c r="AK21" s="238">
        <f>IF(ISNUMBER($I15),$I15,0)</f>
        <v>1000000</v>
      </c>
      <c r="AL21" s="238">
        <f>IF(ISNUMBER($I16),$I16,0)</f>
        <v>0</v>
      </c>
      <c r="AM21" s="238">
        <f>IF(ISNUMBER($I17),$I17,0)</f>
        <v>0</v>
      </c>
      <c r="AO21" s="185"/>
      <c r="AP21" s="1226" t="s">
        <v>2197</v>
      </c>
      <c r="AQ21" s="238">
        <f>IF(ISNUMBER($I13),$I13,0)</f>
        <v>1000000</v>
      </c>
      <c r="AR21" s="238">
        <f>IF(ISNUMBER($I14),$I14,0)</f>
        <v>1000000</v>
      </c>
      <c r="AS21" s="238">
        <f>IF(ISNUMBER($I15),$I15,0)</f>
        <v>1000000</v>
      </c>
      <c r="AT21" s="238">
        <f>IF(ISNUMBER($I16),$I16,0)</f>
        <v>0</v>
      </c>
      <c r="AU21" s="238">
        <f>IF(ISNUMBER($I17),$I17,0)</f>
        <v>0</v>
      </c>
    </row>
    <row r="22" spans="1:47" x14ac:dyDescent="0.2">
      <c r="A22" s="1346" t="s">
        <v>1068</v>
      </c>
      <c r="B22" s="95"/>
      <c r="C22" s="1348" t="s">
        <v>833</v>
      </c>
      <c r="D22" s="1321">
        <v>1</v>
      </c>
      <c r="E22" s="1349"/>
      <c r="F22" s="1350"/>
      <c r="G22" s="1351"/>
      <c r="H22" s="1352"/>
      <c r="I22" s="1353"/>
      <c r="K22" s="1340" t="s">
        <v>2220</v>
      </c>
      <c r="L22" s="1341"/>
      <c r="M22" s="1342"/>
      <c r="N22" s="1342"/>
      <c r="O22" s="1342"/>
      <c r="R22" s="83" t="s">
        <v>2198</v>
      </c>
      <c r="S22" s="1339">
        <f>PRODUCT(S20:S21)</f>
        <v>233498.4</v>
      </c>
      <c r="T22" s="1339">
        <f>PRODUCT(T20:T21)</f>
        <v>229486.39999999997</v>
      </c>
      <c r="U22" s="1339">
        <f>PRODUCT(U20:U21)</f>
        <v>209426.40000000002</v>
      </c>
      <c r="V22" s="1339">
        <f>PRODUCT(V20:V21)</f>
        <v>0</v>
      </c>
      <c r="W22" s="1339">
        <f>PRODUCT(W20:W21)</f>
        <v>0</v>
      </c>
      <c r="Z22" s="83" t="s">
        <v>2198</v>
      </c>
      <c r="AA22" s="1339">
        <f>PRODUCT(AA20:AA21)</f>
        <v>79309.999999999985</v>
      </c>
      <c r="AB22" s="1339">
        <f>PRODUCT(AB20:AB21)</f>
        <v>79309.999999999985</v>
      </c>
      <c r="AC22" s="1339">
        <f>PRODUCT(AC20:AC21)</f>
        <v>126895.99999999999</v>
      </c>
      <c r="AD22" s="1339">
        <f>PRODUCT(AD20:AD21)</f>
        <v>0</v>
      </c>
      <c r="AE22" s="1339">
        <f>PRODUCT(AE20:AE21)</f>
        <v>0</v>
      </c>
      <c r="AH22" s="83" t="s">
        <v>2198</v>
      </c>
      <c r="AI22" s="1339">
        <f>PRODUCT(AI20:AI21)</f>
        <v>191430</v>
      </c>
      <c r="AJ22" s="1339">
        <f>PRODUCT(AJ20:AJ21)</f>
        <v>183772.79999999999</v>
      </c>
      <c r="AK22" s="1339">
        <f>PRODUCT(AK20:AK21)</f>
        <v>173563.2</v>
      </c>
      <c r="AL22" s="1339">
        <f>PRODUCT(AL20:AL21)</f>
        <v>0</v>
      </c>
      <c r="AM22" s="1339">
        <f>PRODUCT(AM20:AM21)</f>
        <v>0</v>
      </c>
      <c r="AP22" s="83" t="s">
        <v>2198</v>
      </c>
      <c r="AQ22" s="1339">
        <f>PRODUCT(AQ20:AQ21)</f>
        <v>72221.099999999991</v>
      </c>
      <c r="AR22" s="1339">
        <f>PRODUCT(AR20:AR21)</f>
        <v>72221.099999999991</v>
      </c>
      <c r="AS22" s="1339">
        <f>PRODUCT(AS20:AS21)</f>
        <v>99242.60000000002</v>
      </c>
      <c r="AT22" s="1339">
        <f>PRODUCT(AT20:AT21)</f>
        <v>0</v>
      </c>
      <c r="AU22" s="1339">
        <f>PRODUCT(AU20:AU21)</f>
        <v>0</v>
      </c>
    </row>
    <row r="23" spans="1:47" x14ac:dyDescent="0.2">
      <c r="A23" s="1346" t="s">
        <v>306</v>
      </c>
      <c r="B23" s="95"/>
      <c r="C23" s="1348" t="s">
        <v>857</v>
      </c>
      <c r="D23" s="1322">
        <v>2</v>
      </c>
      <c r="E23" s="1354"/>
      <c r="F23" s="1355"/>
      <c r="G23" s="1352"/>
      <c r="H23" s="1352"/>
      <c r="I23" s="1356"/>
      <c r="K23" s="1458" t="s">
        <v>2278</v>
      </c>
      <c r="L23" s="1459"/>
      <c r="M23" s="1460"/>
      <c r="N23" s="1460"/>
      <c r="O23" s="1461"/>
    </row>
    <row r="24" spans="1:47" x14ac:dyDescent="0.2">
      <c r="A24" s="1346" t="s">
        <v>962</v>
      </c>
      <c r="B24" s="95"/>
      <c r="C24" s="1348" t="s">
        <v>857</v>
      </c>
      <c r="D24" s="1322">
        <v>3</v>
      </c>
      <c r="E24" s="1354"/>
      <c r="F24" s="1355"/>
      <c r="G24" s="1352"/>
      <c r="H24" s="1352"/>
      <c r="I24" s="1356"/>
      <c r="K24" s="1344" t="s">
        <v>2204</v>
      </c>
      <c r="L24" s="258"/>
      <c r="M24" s="258"/>
      <c r="N24" s="259"/>
      <c r="O24" s="259"/>
      <c r="Q24" s="60" t="s">
        <v>2199</v>
      </c>
      <c r="Y24" s="60" t="s">
        <v>2199</v>
      </c>
      <c r="AG24" s="60" t="s">
        <v>2199</v>
      </c>
      <c r="AO24" s="60" t="s">
        <v>2199</v>
      </c>
    </row>
    <row r="25" spans="1:47" ht="13.5" thickBot="1" x14ac:dyDescent="0.25">
      <c r="A25" s="526"/>
      <c r="B25" s="96"/>
      <c r="C25" s="1076"/>
      <c r="D25" s="1322">
        <v>4</v>
      </c>
      <c r="E25" s="1354"/>
      <c r="F25" s="1355"/>
      <c r="G25" s="1352"/>
      <c r="H25" s="1352"/>
      <c r="I25" s="1356"/>
      <c r="K25" s="1344" t="s">
        <v>2205</v>
      </c>
      <c r="L25" s="258"/>
      <c r="M25" s="259"/>
      <c r="N25" s="259"/>
      <c r="O25" s="259"/>
      <c r="R25" s="1117" t="s">
        <v>2200</v>
      </c>
      <c r="S25" s="1339">
        <f>SUM(S22:W22)</f>
        <v>672411.2</v>
      </c>
      <c r="Z25" s="1117" t="s">
        <v>2200</v>
      </c>
      <c r="AA25" s="1339">
        <f>SUM(AA22:AE22)</f>
        <v>285515.99999999994</v>
      </c>
      <c r="AH25" s="1117" t="s">
        <v>2200</v>
      </c>
      <c r="AI25" s="1339">
        <f>SUM(AI22:AM22)</f>
        <v>548766</v>
      </c>
      <c r="AP25" s="1117" t="s">
        <v>2200</v>
      </c>
      <c r="AQ25" s="1339">
        <f>SUM(AQ22:AU22)</f>
        <v>243684.8</v>
      </c>
    </row>
    <row r="26" spans="1:47" x14ac:dyDescent="0.2">
      <c r="D26" s="1322">
        <v>5</v>
      </c>
      <c r="E26" s="1354"/>
      <c r="F26" s="1355"/>
      <c r="G26" s="1352"/>
      <c r="H26" s="1352"/>
      <c r="I26" s="1356"/>
      <c r="K26" s="1344" t="s">
        <v>2206</v>
      </c>
      <c r="L26" s="248"/>
      <c r="M26" s="248"/>
      <c r="N26" s="248"/>
      <c r="O26" s="248"/>
      <c r="Q26" s="185"/>
      <c r="R26" s="1226" t="s">
        <v>2186</v>
      </c>
      <c r="S26" s="238">
        <f>$I$9</f>
        <v>3000000</v>
      </c>
      <c r="Y26" s="185"/>
      <c r="Z26" s="1226" t="s">
        <v>2186</v>
      </c>
      <c r="AA26" s="238">
        <f>$I$9</f>
        <v>3000000</v>
      </c>
      <c r="AG26" s="185"/>
      <c r="AH26" s="1226" t="s">
        <v>2186</v>
      </c>
      <c r="AI26" s="238">
        <f>$I$18</f>
        <v>3000000</v>
      </c>
      <c r="AO26" s="185"/>
      <c r="AP26" s="1226" t="s">
        <v>2186</v>
      </c>
      <c r="AQ26" s="238">
        <f>$I$18</f>
        <v>3000000</v>
      </c>
    </row>
    <row r="27" spans="1:47" x14ac:dyDescent="0.2">
      <c r="D27" s="1326"/>
      <c r="E27" s="1327"/>
      <c r="F27" s="1347"/>
      <c r="G27" s="1328"/>
      <c r="H27" s="1329" t="s">
        <v>2174</v>
      </c>
      <c r="I27" s="1325">
        <f>SUM(I22:I26)</f>
        <v>0</v>
      </c>
      <c r="K27" s="1344" t="s">
        <v>2207</v>
      </c>
      <c r="L27" s="485"/>
      <c r="M27" s="485"/>
      <c r="N27" s="485"/>
      <c r="O27" s="485"/>
      <c r="R27" s="1117" t="s">
        <v>2201</v>
      </c>
      <c r="S27" s="2">
        <f>ROUND(S25/S26,3)</f>
        <v>0.224</v>
      </c>
      <c r="Z27" s="1117" t="s">
        <v>2229</v>
      </c>
      <c r="AA27" s="2">
        <f>ROUND(AA25/AA26,4)</f>
        <v>9.5200000000000007E-2</v>
      </c>
      <c r="AH27" s="1117" t="s">
        <v>2201</v>
      </c>
      <c r="AI27" s="2">
        <f>ROUND(AI25/AI26,3)</f>
        <v>0.183</v>
      </c>
      <c r="AP27" s="1117" t="s">
        <v>2229</v>
      </c>
      <c r="AQ27" s="2">
        <f>ROUND(AQ25/AQ26,4)</f>
        <v>8.1199999999999994E-2</v>
      </c>
    </row>
    <row r="28" spans="1:47" ht="13.5" thickBot="1" x14ac:dyDescent="0.25">
      <c r="D28" s="126"/>
      <c r="E28" s="541"/>
      <c r="F28" s="541"/>
      <c r="G28" s="96"/>
      <c r="H28" s="96"/>
      <c r="I28" s="1096"/>
      <c r="K28" s="1345" t="s">
        <v>2208</v>
      </c>
      <c r="L28" s="238"/>
      <c r="M28" s="238"/>
      <c r="N28" s="238"/>
      <c r="O28" s="238"/>
      <c r="Q28" s="146"/>
      <c r="R28" s="1210" t="s">
        <v>2202</v>
      </c>
      <c r="S28" s="299">
        <f>VLOOKUP($C$15,Table_CoIns_Blanket,2,0)</f>
        <v>0.95</v>
      </c>
      <c r="Y28" s="146"/>
      <c r="Z28" s="1210" t="s">
        <v>2202</v>
      </c>
      <c r="AA28" s="299">
        <f>VLOOKUP($C$15,Table_CoIns_Blanket,2,0)</f>
        <v>0.95</v>
      </c>
      <c r="AG28" s="146"/>
      <c r="AH28" s="1210" t="s">
        <v>2202</v>
      </c>
      <c r="AI28" s="299">
        <f>VLOOKUP($C$15,Table_CoIns_Blanket,2,0)</f>
        <v>0.95</v>
      </c>
      <c r="AO28" s="146"/>
      <c r="AP28" s="1210" t="s">
        <v>2202</v>
      </c>
      <c r="AQ28" s="299">
        <f>VLOOKUP($C$15,Table_CoIns_Blanket,2,0)</f>
        <v>0.95</v>
      </c>
    </row>
    <row r="29" spans="1:47" x14ac:dyDescent="0.2">
      <c r="D29" s="500" t="s">
        <v>2217</v>
      </c>
      <c r="E29" s="508"/>
      <c r="F29" s="508"/>
      <c r="G29" s="508"/>
      <c r="H29" s="508"/>
      <c r="I29" s="509"/>
      <c r="K29" s="1343" t="s">
        <v>2218</v>
      </c>
      <c r="L29" s="485">
        <f>SUM(L24:L28)</f>
        <v>0</v>
      </c>
      <c r="M29" s="485">
        <f>SUM(M24:M28)</f>
        <v>0</v>
      </c>
      <c r="N29" s="485">
        <f>SUM(N24:N28)</f>
        <v>0</v>
      </c>
      <c r="O29" s="485">
        <f>SUM(O24:O28)</f>
        <v>0</v>
      </c>
      <c r="Q29" s="185"/>
      <c r="R29" s="1226" t="s">
        <v>1020</v>
      </c>
      <c r="S29" s="208">
        <f>IF($C$6="PAC",VLOOKUP(B7,Table_PakMods,MATCH($C$10,List_Company,0)+1,FALSE),1)</f>
        <v>1</v>
      </c>
      <c r="Y29" s="185"/>
      <c r="Z29" s="1226" t="s">
        <v>1020</v>
      </c>
      <c r="AA29" s="208">
        <f>IF($C$6="PAC",VLOOKUP(B7,Table_PakMods,MATCH($C$10,List_Company,0)+1,FALSE),1)</f>
        <v>1</v>
      </c>
      <c r="AG29" s="185"/>
      <c r="AH29" s="1226" t="s">
        <v>1020</v>
      </c>
      <c r="AI29" s="208">
        <f>IF($C$6="PAC",VLOOKUP(B7,Table_PakMods,MATCH($C$10,List_Company,0)+1,FALSE),1)</f>
        <v>1</v>
      </c>
      <c r="AO29" s="185"/>
      <c r="AP29" s="1226" t="s">
        <v>1020</v>
      </c>
      <c r="AQ29" s="208">
        <f>IF($C$6="PAC",VLOOKUP(B7,Table_PakMods,MATCH($C$10,List_Company,0)+1,FALSE),1)</f>
        <v>1</v>
      </c>
    </row>
    <row r="30" spans="1:47" ht="13.5" thickBot="1" x14ac:dyDescent="0.25">
      <c r="D30" s="1320" t="s">
        <v>2173</v>
      </c>
      <c r="E30" s="1323" t="s">
        <v>57</v>
      </c>
      <c r="F30" s="1323"/>
      <c r="G30" s="1323" t="s">
        <v>2222</v>
      </c>
      <c r="H30" s="1323" t="s">
        <v>2171</v>
      </c>
      <c r="I30" s="1324" t="s">
        <v>2172</v>
      </c>
      <c r="K30" s="702"/>
      <c r="L30" s="575"/>
      <c r="M30" s="478"/>
      <c r="N30" s="575"/>
      <c r="O30" s="575"/>
      <c r="R30" s="83" t="s">
        <v>2203</v>
      </c>
      <c r="S30" s="60">
        <f>ROUND(PRODUCT(S27:S29),3)</f>
        <v>0.21299999999999999</v>
      </c>
      <c r="Z30" s="83" t="s">
        <v>2230</v>
      </c>
      <c r="AA30" s="60">
        <f>ROUND(PRODUCT(AA27:AA29),3)</f>
        <v>0.09</v>
      </c>
      <c r="AH30" s="83" t="s">
        <v>2203</v>
      </c>
      <c r="AI30" s="60">
        <f>ROUND(PRODUCT(AI27:AI29),3)</f>
        <v>0.17399999999999999</v>
      </c>
      <c r="AP30" s="83" t="s">
        <v>2230</v>
      </c>
      <c r="AQ30" s="60">
        <f>ROUND(PRODUCT(AQ27:AQ29),3)</f>
        <v>7.6999999999999999E-2</v>
      </c>
    </row>
    <row r="31" spans="1:47" x14ac:dyDescent="0.2">
      <c r="D31" s="1321">
        <v>1</v>
      </c>
      <c r="E31" s="1349"/>
      <c r="F31" s="1350"/>
      <c r="G31" s="1351"/>
      <c r="H31" s="1352"/>
      <c r="I31" s="1353"/>
      <c r="K31" s="1340" t="s">
        <v>2221</v>
      </c>
      <c r="L31" s="1341"/>
      <c r="M31" s="1342"/>
      <c r="N31" s="1342"/>
      <c r="O31" s="1342"/>
    </row>
    <row r="32" spans="1:47" x14ac:dyDescent="0.2">
      <c r="D32" s="1322">
        <v>2</v>
      </c>
      <c r="E32" s="1354"/>
      <c r="F32" s="1355"/>
      <c r="G32" s="1352"/>
      <c r="H32" s="1352"/>
      <c r="I32" s="1356"/>
      <c r="K32" s="1458" t="s">
        <v>2278</v>
      </c>
      <c r="L32" s="1459"/>
      <c r="M32" s="1460"/>
      <c r="N32" s="1460"/>
      <c r="O32" s="1461"/>
      <c r="Q32" s="60" t="s">
        <v>2209</v>
      </c>
      <c r="S32" s="235" t="s">
        <v>2176</v>
      </c>
      <c r="T32" s="235" t="s">
        <v>2177</v>
      </c>
      <c r="U32" s="235" t="s">
        <v>2178</v>
      </c>
      <c r="V32" s="235" t="s">
        <v>2179</v>
      </c>
      <c r="W32" s="235" t="s">
        <v>2180</v>
      </c>
      <c r="Y32" s="60" t="s">
        <v>2209</v>
      </c>
      <c r="AA32" s="235" t="s">
        <v>2176</v>
      </c>
      <c r="AB32" s="235" t="s">
        <v>2177</v>
      </c>
      <c r="AC32" s="235" t="s">
        <v>2178</v>
      </c>
      <c r="AD32" s="235" t="s">
        <v>2179</v>
      </c>
      <c r="AE32" s="235" t="s">
        <v>2180</v>
      </c>
      <c r="AG32" s="60" t="s">
        <v>2209</v>
      </c>
      <c r="AI32" s="235" t="s">
        <v>2176</v>
      </c>
      <c r="AJ32" s="235" t="s">
        <v>2177</v>
      </c>
      <c r="AK32" s="235" t="s">
        <v>2178</v>
      </c>
      <c r="AL32" s="235" t="s">
        <v>2179</v>
      </c>
      <c r="AM32" s="235" t="s">
        <v>2180</v>
      </c>
      <c r="AO32" s="60" t="s">
        <v>2209</v>
      </c>
      <c r="AQ32" s="235" t="s">
        <v>2176</v>
      </c>
      <c r="AR32" s="235" t="s">
        <v>2177</v>
      </c>
      <c r="AS32" s="235" t="s">
        <v>2178</v>
      </c>
      <c r="AT32" s="235" t="s">
        <v>2179</v>
      </c>
      <c r="AU32" s="235" t="s">
        <v>2180</v>
      </c>
    </row>
    <row r="33" spans="4:47" x14ac:dyDescent="0.2">
      <c r="D33" s="1322">
        <v>3</v>
      </c>
      <c r="E33" s="1354"/>
      <c r="F33" s="1355"/>
      <c r="G33" s="1352"/>
      <c r="H33" s="1352"/>
      <c r="I33" s="1356"/>
      <c r="K33" s="1344" t="s">
        <v>2204</v>
      </c>
      <c r="L33" s="258"/>
      <c r="M33" s="258"/>
      <c r="N33" s="259"/>
      <c r="O33" s="259"/>
      <c r="Q33" s="1227"/>
      <c r="R33" s="1117" t="s">
        <v>2212</v>
      </c>
      <c r="S33" s="478">
        <f>IF(ISNUMBER($I4),$I4/100,0)</f>
        <v>10000</v>
      </c>
      <c r="T33" s="478">
        <f>IF(ISNUMBER($I5),$I5/100,0)</f>
        <v>10000</v>
      </c>
      <c r="U33" s="478">
        <f>IF(ISNUMBER($I6),$I6/100,0)</f>
        <v>10000</v>
      </c>
      <c r="V33" s="478">
        <f>IF(ISNUMBER($I7),$I7/100,0)</f>
        <v>0</v>
      </c>
      <c r="W33" s="478">
        <f>IF(ISNUMBER($I8),$I8/100,0)</f>
        <v>0</v>
      </c>
      <c r="Y33" s="1227"/>
      <c r="Z33" s="1117" t="s">
        <v>2212</v>
      </c>
      <c r="AA33" s="478">
        <f>IF(ISNUMBER($I4),$I4/100,0)</f>
        <v>10000</v>
      </c>
      <c r="AB33" s="478">
        <f>IF(ISNUMBER($I5),$I5/100,0)</f>
        <v>10000</v>
      </c>
      <c r="AC33" s="478">
        <f>IF(ISNUMBER($I6),$I6/100,0)</f>
        <v>10000</v>
      </c>
      <c r="AD33" s="478">
        <f>IF(ISNUMBER($I7),$I7/100,0)</f>
        <v>0</v>
      </c>
      <c r="AE33" s="478">
        <f>IF(ISNUMBER($I8),$I8/100,0)</f>
        <v>0</v>
      </c>
      <c r="AG33" s="1227"/>
      <c r="AH33" s="1117" t="s">
        <v>2212</v>
      </c>
      <c r="AI33" s="478">
        <f>IF(ISNUMBER($I13),$I13/100,0)</f>
        <v>10000</v>
      </c>
      <c r="AJ33" s="478">
        <f>IF(ISNUMBER($I14),$I14/100,0)</f>
        <v>10000</v>
      </c>
      <c r="AK33" s="478">
        <f>IF(ISNUMBER($I15),$I15/100,0)</f>
        <v>10000</v>
      </c>
      <c r="AL33" s="478">
        <f>IF(ISNUMBER($I16),$I16/100,0)</f>
        <v>0</v>
      </c>
      <c r="AM33" s="478">
        <f>IF(ISNUMBER($I17),$I17/100,0)</f>
        <v>0</v>
      </c>
      <c r="AO33" s="1227"/>
      <c r="AP33" s="1117" t="s">
        <v>2212</v>
      </c>
      <c r="AQ33" s="478">
        <f>IF(ISNUMBER($I13),$I13/100,0)</f>
        <v>10000</v>
      </c>
      <c r="AR33" s="478">
        <f>IF(ISNUMBER($I14),$I14/100,0)</f>
        <v>10000</v>
      </c>
      <c r="AS33" s="478">
        <f>IF(ISNUMBER($I15),$I15/100,0)</f>
        <v>10000</v>
      </c>
      <c r="AT33" s="478">
        <f>IF(ISNUMBER($I16),$I16/100,0)</f>
        <v>0</v>
      </c>
      <c r="AU33" s="478">
        <f>IF(ISNUMBER($I17),$I17/100,0)</f>
        <v>0</v>
      </c>
    </row>
    <row r="34" spans="4:47" x14ac:dyDescent="0.2">
      <c r="D34" s="1322">
        <v>4</v>
      </c>
      <c r="E34" s="1354"/>
      <c r="F34" s="1355"/>
      <c r="G34" s="1352"/>
      <c r="H34" s="1352"/>
      <c r="I34" s="1356"/>
      <c r="K34" s="1344" t="s">
        <v>2205</v>
      </c>
      <c r="L34" s="258"/>
      <c r="M34" s="259"/>
      <c r="N34" s="259"/>
      <c r="O34" s="259"/>
      <c r="Q34" s="185"/>
      <c r="R34" s="1226" t="s">
        <v>2210</v>
      </c>
      <c r="S34" s="185">
        <f>$S$30</f>
        <v>0.21299999999999999</v>
      </c>
      <c r="T34" s="185">
        <f>$S$30</f>
        <v>0.21299999999999999</v>
      </c>
      <c r="U34" s="185">
        <f>$S$30</f>
        <v>0.21299999999999999</v>
      </c>
      <c r="V34" s="185">
        <f>$S$30</f>
        <v>0.21299999999999999</v>
      </c>
      <c r="W34" s="185">
        <f>$S$30</f>
        <v>0.21299999999999999</v>
      </c>
      <c r="Y34" s="185"/>
      <c r="Z34" s="1226" t="s">
        <v>2210</v>
      </c>
      <c r="AA34" s="185">
        <f>$AA$30</f>
        <v>0.09</v>
      </c>
      <c r="AB34" s="185">
        <f>$AA$30</f>
        <v>0.09</v>
      </c>
      <c r="AC34" s="185">
        <f>$AA$30</f>
        <v>0.09</v>
      </c>
      <c r="AD34" s="185">
        <f>$AA$30</f>
        <v>0.09</v>
      </c>
      <c r="AE34" s="185">
        <f>$AA$30</f>
        <v>0.09</v>
      </c>
      <c r="AG34" s="185"/>
      <c r="AH34" s="1226" t="s">
        <v>2210</v>
      </c>
      <c r="AI34" s="185">
        <f>$AI$30</f>
        <v>0.17399999999999999</v>
      </c>
      <c r="AJ34" s="185">
        <f t="shared" ref="AJ34:AM34" si="5">$AI$30</f>
        <v>0.17399999999999999</v>
      </c>
      <c r="AK34" s="185">
        <f t="shared" si="5"/>
        <v>0.17399999999999999</v>
      </c>
      <c r="AL34" s="185">
        <f t="shared" si="5"/>
        <v>0.17399999999999999</v>
      </c>
      <c r="AM34" s="185">
        <f t="shared" si="5"/>
        <v>0.17399999999999999</v>
      </c>
      <c r="AO34" s="185"/>
      <c r="AP34" s="1226" t="s">
        <v>2210</v>
      </c>
      <c r="AQ34" s="455">
        <f>$AQ$30</f>
        <v>7.6999999999999999E-2</v>
      </c>
      <c r="AR34" s="455">
        <f t="shared" ref="AR34:AU34" si="6">$AQ$30</f>
        <v>7.6999999999999999E-2</v>
      </c>
      <c r="AS34" s="455">
        <f t="shared" si="6"/>
        <v>7.6999999999999999E-2</v>
      </c>
      <c r="AT34" s="455">
        <f t="shared" si="6"/>
        <v>7.6999999999999999E-2</v>
      </c>
      <c r="AU34" s="455">
        <f t="shared" si="6"/>
        <v>7.6999999999999999E-2</v>
      </c>
    </row>
    <row r="35" spans="4:47" x14ac:dyDescent="0.2">
      <c r="D35" s="1322">
        <v>5</v>
      </c>
      <c r="E35" s="1354"/>
      <c r="F35" s="1355"/>
      <c r="G35" s="1352"/>
      <c r="H35" s="1352"/>
      <c r="I35" s="1356"/>
      <c r="K35" s="1344" t="s">
        <v>2206</v>
      </c>
      <c r="L35" s="248"/>
      <c r="M35" s="248"/>
      <c r="N35" s="248"/>
      <c r="O35" s="248"/>
      <c r="R35" s="83" t="s">
        <v>2211</v>
      </c>
      <c r="S35" s="248">
        <f>ROUND(PRODUCT(S33:S34),0)</f>
        <v>2130</v>
      </c>
      <c r="T35" s="248">
        <f>ROUND(PRODUCT(T33:T34),0)</f>
        <v>2130</v>
      </c>
      <c r="U35" s="248">
        <f>ROUND(PRODUCT(U33:U34),0)</f>
        <v>2130</v>
      </c>
      <c r="V35" s="248">
        <f>ROUND(PRODUCT(V33:V34),0)</f>
        <v>0</v>
      </c>
      <c r="W35" s="248">
        <f>ROUND(PRODUCT(W33:W34),0)</f>
        <v>0</v>
      </c>
      <c r="Z35" s="83" t="s">
        <v>2231</v>
      </c>
      <c r="AA35" s="248">
        <f>ROUND(PRODUCT(AA33:AA34),0)</f>
        <v>900</v>
      </c>
      <c r="AB35" s="248">
        <f>ROUND(PRODUCT(AB33:AB34),0)</f>
        <v>900</v>
      </c>
      <c r="AC35" s="248">
        <f>ROUND(PRODUCT(AC33:AC34),0)</f>
        <v>900</v>
      </c>
      <c r="AD35" s="248">
        <f>ROUND(PRODUCT(AD33:AD34),0)</f>
        <v>0</v>
      </c>
      <c r="AE35" s="248">
        <f>ROUND(PRODUCT(AE33:AE34),0)</f>
        <v>0</v>
      </c>
      <c r="AH35" s="83" t="s">
        <v>2211</v>
      </c>
      <c r="AI35" s="248">
        <f>ROUND(PRODUCT(AI33:AI34),0)</f>
        <v>1740</v>
      </c>
      <c r="AJ35" s="248">
        <f>ROUND(PRODUCT(AJ33:AJ34),0)</f>
        <v>1740</v>
      </c>
      <c r="AK35" s="248">
        <f>ROUND(PRODUCT(AK33:AK34),0)</f>
        <v>1740</v>
      </c>
      <c r="AL35" s="248">
        <f>ROUND(PRODUCT(AL33:AL34),0)</f>
        <v>0</v>
      </c>
      <c r="AM35" s="248">
        <f>ROUND(PRODUCT(AM33:AM34),0)</f>
        <v>0</v>
      </c>
      <c r="AP35" s="83" t="s">
        <v>2231</v>
      </c>
      <c r="AQ35" s="248">
        <f>ROUND(PRODUCT(AQ33:AQ34),0)</f>
        <v>770</v>
      </c>
      <c r="AR35" s="248">
        <f>ROUND(PRODUCT(AR33:AR34),0)</f>
        <v>770</v>
      </c>
      <c r="AS35" s="248">
        <f>ROUND(PRODUCT(AS33:AS34),0)</f>
        <v>770</v>
      </c>
      <c r="AT35" s="248">
        <f>ROUND(PRODUCT(AT33:AT34),0)</f>
        <v>0</v>
      </c>
      <c r="AU35" s="248">
        <f>ROUND(PRODUCT(AU33:AU34),0)</f>
        <v>0</v>
      </c>
    </row>
    <row r="36" spans="4:47" x14ac:dyDescent="0.2">
      <c r="D36" s="1326"/>
      <c r="E36" s="1327"/>
      <c r="F36" s="1347"/>
      <c r="G36" s="1328"/>
      <c r="H36" s="1329" t="s">
        <v>2174</v>
      </c>
      <c r="I36" s="1325">
        <f>SUM(I31:I35)</f>
        <v>0</v>
      </c>
      <c r="K36" s="1344" t="s">
        <v>2207</v>
      </c>
      <c r="L36" s="485"/>
      <c r="M36" s="485"/>
      <c r="N36" s="485"/>
      <c r="O36" s="485"/>
    </row>
    <row r="37" spans="4:47" ht="13.5" thickBot="1" x14ac:dyDescent="0.25">
      <c r="D37" s="126"/>
      <c r="E37" s="541"/>
      <c r="F37" s="541"/>
      <c r="G37" s="96"/>
      <c r="H37" s="96"/>
      <c r="I37" s="1096"/>
      <c r="K37" s="1345" t="s">
        <v>2208</v>
      </c>
      <c r="L37" s="238"/>
      <c r="M37" s="238"/>
      <c r="N37" s="238"/>
      <c r="O37" s="238"/>
    </row>
    <row r="38" spans="4:47" x14ac:dyDescent="0.2">
      <c r="I38" s="139"/>
      <c r="K38" s="1343" t="s">
        <v>2218</v>
      </c>
      <c r="L38" s="485">
        <f>SUM(L33:L37)</f>
        <v>0</v>
      </c>
      <c r="M38" s="485">
        <f>SUM(M33:M37)</f>
        <v>0</v>
      </c>
      <c r="N38" s="485">
        <f>SUM(N33:N37)</f>
        <v>0</v>
      </c>
      <c r="O38" s="485">
        <f>SUM(O33:O37)</f>
        <v>0</v>
      </c>
    </row>
    <row r="39" spans="4:47" x14ac:dyDescent="0.2">
      <c r="K39" s="793"/>
      <c r="L39" s="478"/>
      <c r="M39" s="146"/>
      <c r="N39" s="146"/>
      <c r="O39" s="146"/>
    </row>
    <row r="40" spans="4:47" x14ac:dyDescent="0.2">
      <c r="K40" s="793"/>
      <c r="L40" s="146"/>
      <c r="M40" s="146"/>
      <c r="N40" s="146"/>
      <c r="O40" s="146"/>
    </row>
    <row r="41" spans="4:47" x14ac:dyDescent="0.2">
      <c r="K41" s="146"/>
      <c r="L41" s="478"/>
      <c r="M41" s="146"/>
      <c r="N41" s="146"/>
      <c r="O41" s="146"/>
    </row>
    <row r="42" spans="4:47" x14ac:dyDescent="0.2">
      <c r="J42" s="8"/>
      <c r="K42" s="146"/>
      <c r="L42" s="478"/>
      <c r="M42" s="146"/>
      <c r="N42" s="146"/>
      <c r="O42" s="146"/>
    </row>
    <row r="43" spans="4:47" x14ac:dyDescent="0.2">
      <c r="J43" s="8"/>
      <c r="K43" s="146"/>
      <c r="L43" s="146"/>
      <c r="M43" s="146"/>
      <c r="N43" s="146"/>
      <c r="O43" s="146"/>
    </row>
    <row r="44" spans="4:47" x14ac:dyDescent="0.2">
      <c r="J44" s="8"/>
      <c r="K44" s="146"/>
      <c r="L44" s="146"/>
      <c r="M44" s="146"/>
      <c r="N44" s="146"/>
      <c r="O44" s="146"/>
    </row>
    <row r="45" spans="4:47" ht="13.5" thickBot="1" x14ac:dyDescent="0.25">
      <c r="J45" s="8"/>
      <c r="K45" s="146"/>
      <c r="L45" s="146"/>
      <c r="M45" s="146"/>
      <c r="N45" s="146"/>
      <c r="O45" s="146"/>
    </row>
    <row r="46" spans="4:47" ht="13.5" thickBot="1" x14ac:dyDescent="0.25">
      <c r="J46" s="8"/>
      <c r="K46" s="146"/>
      <c r="L46" s="146"/>
      <c r="M46" s="146"/>
      <c r="N46" s="146"/>
      <c r="O46" s="146"/>
      <c r="Q46" s="1612" t="s">
        <v>2279</v>
      </c>
      <c r="R46" s="1613"/>
      <c r="S46" s="1613"/>
      <c r="T46" s="1613"/>
      <c r="U46" s="1613"/>
      <c r="V46" s="1613"/>
      <c r="W46" s="1614"/>
      <c r="Y46" s="1612" t="s">
        <v>2280</v>
      </c>
      <c r="Z46" s="1613"/>
      <c r="AA46" s="1613"/>
      <c r="AB46" s="1613"/>
      <c r="AC46" s="1613"/>
      <c r="AD46" s="1613"/>
      <c r="AE46" s="1614"/>
      <c r="AG46" s="1609" t="s">
        <v>2286</v>
      </c>
      <c r="AH46" s="1610"/>
      <c r="AI46" s="1610"/>
      <c r="AJ46" s="1610"/>
      <c r="AK46" s="1610"/>
      <c r="AL46" s="1610"/>
      <c r="AM46" s="1611"/>
      <c r="AO46" s="1609" t="s">
        <v>2287</v>
      </c>
      <c r="AP46" s="1610"/>
      <c r="AQ46" s="1610"/>
      <c r="AR46" s="1610"/>
      <c r="AS46" s="1610"/>
      <c r="AT46" s="1610"/>
      <c r="AU46" s="1611"/>
    </row>
    <row r="47" spans="4:47" x14ac:dyDescent="0.2">
      <c r="K47" s="146"/>
      <c r="L47" s="146"/>
      <c r="M47" s="146"/>
      <c r="N47" s="146"/>
      <c r="O47" s="146"/>
      <c r="Q47" s="60" t="s">
        <v>2182</v>
      </c>
      <c r="S47" s="235" t="s">
        <v>2176</v>
      </c>
      <c r="T47" s="235" t="s">
        <v>2177</v>
      </c>
      <c r="U47" s="235" t="s">
        <v>2178</v>
      </c>
      <c r="V47" s="235" t="s">
        <v>2179</v>
      </c>
      <c r="W47" s="235" t="s">
        <v>2180</v>
      </c>
      <c r="Y47" s="60" t="s">
        <v>2182</v>
      </c>
      <c r="AA47" s="235" t="s">
        <v>2176</v>
      </c>
      <c r="AB47" s="235" t="s">
        <v>2177</v>
      </c>
      <c r="AC47" s="235" t="s">
        <v>2178</v>
      </c>
      <c r="AD47" s="235" t="s">
        <v>2179</v>
      </c>
      <c r="AE47" s="235" t="s">
        <v>2180</v>
      </c>
      <c r="AG47" s="60" t="s">
        <v>2182</v>
      </c>
      <c r="AI47" s="235" t="s">
        <v>2176</v>
      </c>
      <c r="AJ47" s="235" t="s">
        <v>2177</v>
      </c>
      <c r="AK47" s="235" t="s">
        <v>2178</v>
      </c>
      <c r="AL47" s="235" t="s">
        <v>2179</v>
      </c>
      <c r="AM47" s="235" t="s">
        <v>2180</v>
      </c>
      <c r="AO47" s="60" t="s">
        <v>2182</v>
      </c>
      <c r="AQ47" s="235" t="s">
        <v>2176</v>
      </c>
      <c r="AR47" s="235" t="s">
        <v>2177</v>
      </c>
      <c r="AS47" s="235" t="s">
        <v>2178</v>
      </c>
      <c r="AT47" s="235" t="s">
        <v>2179</v>
      </c>
      <c r="AU47" s="235" t="s">
        <v>2180</v>
      </c>
    </row>
    <row r="48" spans="4:47" x14ac:dyDescent="0.2">
      <c r="K48" s="146"/>
      <c r="L48" s="146"/>
      <c r="M48" s="146"/>
      <c r="N48" s="146"/>
      <c r="O48" s="146"/>
      <c r="Q48" s="60"/>
      <c r="R48" s="1117" t="s">
        <v>1197</v>
      </c>
      <c r="S48" s="2">
        <f>IF(OR(ISBLANK($C$12),$C$12="No"),0,IF(ISTEXT($E4),VLOOKUP(1,Table_Special_Bldg,2,FALSE)*IF(AND($C$11="SP",$C$12=2),VLOOKUP(2,Table_Special_Bldg,2,0),1),0))</f>
        <v>4.8000000000000001E-2</v>
      </c>
      <c r="T48" s="2">
        <f>IF(OR(ISBLANK($C$12),$C$12="No"),0,IF(ISTEXT($E5),VLOOKUP(1,Table_Special_Bldg,2,FALSE)*IF(AND($C$11="SP",$C$12=2),VLOOKUP(2,Table_Special_Bldg,2,0),1),0))</f>
        <v>4.8000000000000001E-2</v>
      </c>
      <c r="U48" s="2">
        <f>IF(OR(ISBLANK($C$12),$C$12="No"),0,IF(ISTEXT($E6),VLOOKUP(1,Table_Special_Bldg,2,FALSE)*IF(AND($C$11="SP",$C$12=2),VLOOKUP(2,Table_Special_Bldg,2,0),1),0))</f>
        <v>4.8000000000000001E-2</v>
      </c>
      <c r="V48" s="2">
        <f>IF(OR(ISBLANK($C$12),$C$12="No"),0,IF(ISTEXT($E7),VLOOKUP(1,Table_Special_Bldg,2,FALSE)*IF(AND($C$11="SP",$C$12=2),VLOOKUP(2,Table_Special_Bldg,2,0),1),0))</f>
        <v>0</v>
      </c>
      <c r="W48" s="2">
        <f>IF(OR(ISBLANK($C$12),$C$12="No"),0,IF(ISTEXT($E8),VLOOKUP(1,Table_Special_Bldg,2,FALSE)*IF(AND($C$11="SP",$C$12=2),VLOOKUP(2,Table_Special_Bldg,2,0),1),0))</f>
        <v>0</v>
      </c>
      <c r="Y48" s="60"/>
      <c r="Z48" s="1117" t="s">
        <v>2283</v>
      </c>
      <c r="AA48" s="1462">
        <f>IF(OR($G$4=5,$G$4=6),1,2)</f>
        <v>2</v>
      </c>
      <c r="AB48" s="1462">
        <f>IF(OR($G$5=5,$G$5=6),1,2)</f>
        <v>2</v>
      </c>
      <c r="AC48" s="1462">
        <f>IF(OR($G$6=5,$G$6=6),1,2)</f>
        <v>2</v>
      </c>
      <c r="AD48" s="1462">
        <f>IF(OR($G$7=5,$G$7=6),1,2)</f>
        <v>2</v>
      </c>
      <c r="AE48" s="1462">
        <f>IF(OR($G$8=5,$G$8=6),1,2)</f>
        <v>2</v>
      </c>
      <c r="AH48" s="1117" t="s">
        <v>2315</v>
      </c>
      <c r="AI48" s="168">
        <f>IF(ISTEXT($E13),VLOOKUP($E13,Table_G1_LC,3,0),"NA")</f>
        <v>6</v>
      </c>
      <c r="AJ48" s="168">
        <f>IF(ISTEXT($E14),VLOOKUP($E14,Table_G1_LC,3,0),"NA")</f>
        <v>6</v>
      </c>
      <c r="AK48" s="168">
        <f>IF(ISTEXT($E15),VLOOKUP($E15,Table_G1_LC,3,0),"NA")</f>
        <v>6</v>
      </c>
      <c r="AL48" s="168" t="str">
        <f>IF(ISTEXT($E16),VLOOKUP($E16,Table_G1_LC,3,0),"NA")</f>
        <v>NA</v>
      </c>
      <c r="AM48" s="168" t="str">
        <f>IF(ISTEXT($E17),VLOOKUP($E17,Table_G1_LC,3,0),"NA")</f>
        <v>NA</v>
      </c>
      <c r="AO48" s="60"/>
      <c r="AP48" s="1117" t="s">
        <v>2283</v>
      </c>
      <c r="AQ48" s="1462">
        <f>IF(OR($G$13=5,$G$13=6),1,2)</f>
        <v>2</v>
      </c>
      <c r="AR48" s="1462">
        <f>IF(OR($G$14=5,$G$14=6),1,2)</f>
        <v>2</v>
      </c>
      <c r="AS48" s="1462">
        <f>IF(OR($G$15=5,$G$15=6),1,2)</f>
        <v>2</v>
      </c>
      <c r="AT48" s="1462">
        <f>IF(OR($G$16=5,$G$16=6),1,2)</f>
        <v>2</v>
      </c>
      <c r="AU48" s="1462">
        <f>IF(OR($G$17=5,$G$17=6),1,2)</f>
        <v>2</v>
      </c>
    </row>
    <row r="49" spans="10:47" x14ac:dyDescent="0.2">
      <c r="K49" s="146"/>
      <c r="L49" s="146"/>
      <c r="M49" s="146"/>
      <c r="N49" s="146"/>
      <c r="O49" s="146"/>
      <c r="Q49" s="60"/>
      <c r="R49" s="1117" t="s">
        <v>1178</v>
      </c>
      <c r="S49" s="207">
        <v>1</v>
      </c>
      <c r="T49" s="207">
        <v>1</v>
      </c>
      <c r="U49" s="207">
        <v>1</v>
      </c>
      <c r="V49" s="207">
        <v>1</v>
      </c>
      <c r="W49" s="207">
        <v>1</v>
      </c>
      <c r="Y49" s="60"/>
      <c r="Z49" s="1117" t="s">
        <v>1197</v>
      </c>
      <c r="AA49" s="2">
        <f>IF(ISTEXT($E4),HLOOKUP(AA48,Table_BroadLC,IF($E$4&lt;&gt;"1150",2,4),FALSE),0)</f>
        <v>1.4999999999999999E-2</v>
      </c>
      <c r="AB49" s="2">
        <f>IF(ISTEXT($E5),HLOOKUP(AB48,Table_BroadLC,IF($E$5&lt;&gt;"1150",2,4),FALSE),0)</f>
        <v>1.4999999999999999E-2</v>
      </c>
      <c r="AC49" s="2">
        <f>IF(ISTEXT($E6),HLOOKUP(AC48,Table_BroadLC,IF($E$6&lt;&gt;"1150",2,4),FALSE),0)</f>
        <v>1.4999999999999999E-2</v>
      </c>
      <c r="AD49" s="2">
        <f>IF(ISTEXT($E7),HLOOKUP(AD48,Table_BroadLC,IF($E$7&lt;&gt;"1150",2,4),FALSE),0)</f>
        <v>0</v>
      </c>
      <c r="AE49" s="2">
        <f>IF(ISTEXT($E8),HLOOKUP(AE48,Table_BroadLC,IF($E$8&lt;&gt;"1150",2,4),FALSE),0)</f>
        <v>0</v>
      </c>
      <c r="AG49" s="60"/>
      <c r="AH49" s="1117" t="s">
        <v>1198</v>
      </c>
      <c r="AI49" s="2">
        <f>IF(OR(ISBLANK($C$12),$C$12="No"),0,IF(ISTEXT($E13),VLOOKUP(AI48,Table_Special_PP,3,FALSE)*IF(AND($C$11="SP",$C$12=2),VLOOKUP(AI48,Table_Special_PP,4,0),1),0))</f>
        <v>0.113</v>
      </c>
      <c r="AJ49" s="2">
        <f>IF(OR(ISBLANK($C$12),$C$12="No"),0,IF(ISTEXT($E14),VLOOKUP(AJ48,Table_Special_PP,3,FALSE)*IF(AND($C$11="SP",$C$12=2),VLOOKUP(AJ48,Table_Special_PP,4,0),1),0))</f>
        <v>0.113</v>
      </c>
      <c r="AK49" s="2">
        <f>IF(OR(ISBLANK($C$12),$C$12="No"),0,IF(ISTEXT($E15),VLOOKUP(AK48,Table_Special_PP,3,FALSE)*IF(AND($C$11="SP",$C$12=2),VLOOKUP(AK48,Table_Special_PP,4,0),1),0))</f>
        <v>0.113</v>
      </c>
      <c r="AL49" s="2">
        <f>IF(OR(ISBLANK($C$12),$C$12="No"),0,IF(ISTEXT($E16),VLOOKUP(AL48,Table_Special_PP,3,FALSE)*IF(AND($C$11="SP",$C$12=2),VLOOKUP(AL48,Table_Special_PP,4,0),1),0))</f>
        <v>0</v>
      </c>
      <c r="AM49" s="2">
        <f>IF(OR(ISBLANK($C$12),$C$12="No"),0,IF(ISTEXT($E17),VLOOKUP(AM48,Table_Special_PP,3,FALSE)*IF(AND($C$11="SP",$C$12=2),VLOOKUP(AM48,Table_Special_PP,4,0),1),0))</f>
        <v>0</v>
      </c>
      <c r="AO49" s="60"/>
      <c r="AP49" s="1117" t="s">
        <v>1198</v>
      </c>
      <c r="AQ49" s="2">
        <f>IF(ISTEXT($E13),HLOOKUP(AQ48,Table_BroadLC,IF($E$4&lt;&gt;"1150",3,4),FALSE),0)</f>
        <v>2.1000000000000001E-2</v>
      </c>
      <c r="AR49" s="2">
        <f>IF(ISTEXT($E14),HLOOKUP(AR48,Table_BroadLC,IF($E$5&lt;&gt;"1150",3,4),FALSE),0)</f>
        <v>2.1000000000000001E-2</v>
      </c>
      <c r="AS49" s="2">
        <f>IF(ISTEXT($E15),HLOOKUP(AS48,Table_BroadLC,IF($E$6&lt;&gt;"1150",3,4),FALSE),0)</f>
        <v>2.1000000000000001E-2</v>
      </c>
      <c r="AT49" s="2">
        <f>IF(ISTEXT($E16),HLOOKUP(AT48,Table_BroadLC,IF($E$7&lt;&gt;"1150",3,4),FALSE),0)</f>
        <v>0</v>
      </c>
      <c r="AU49" s="2">
        <f>IF(ISTEXT($E17),HLOOKUP(AU48,Table_BroadLC,IF($E$8&lt;&gt;"1150",3,4),FALSE),0)</f>
        <v>0</v>
      </c>
    </row>
    <row r="50" spans="10:47" x14ac:dyDescent="0.2">
      <c r="K50" s="146"/>
      <c r="L50" s="146"/>
      <c r="M50" s="146"/>
      <c r="N50" s="146"/>
      <c r="O50" s="146"/>
      <c r="Q50" s="60"/>
      <c r="R50" s="545" t="s">
        <v>971</v>
      </c>
      <c r="S50" s="207">
        <f>HLOOKUP($C$10,Table_StateRates,6,FALSE)</f>
        <v>1.9</v>
      </c>
      <c r="T50" s="207">
        <f>HLOOKUP($C$10,Table_StateRates,6,FALSE)</f>
        <v>1.9</v>
      </c>
      <c r="U50" s="207">
        <f>HLOOKUP($C$10,Table_StateRates,6,FALSE)</f>
        <v>1.9</v>
      </c>
      <c r="V50" s="207">
        <f>HLOOKUP($C$10,Table_StateRates,6,FALSE)</f>
        <v>1.9</v>
      </c>
      <c r="W50" s="207">
        <f>HLOOKUP($C$10,Table_StateRates,6,FALSE)</f>
        <v>1.9</v>
      </c>
      <c r="Y50" s="60"/>
      <c r="Z50" s="545" t="s">
        <v>971</v>
      </c>
      <c r="AA50" s="207">
        <f>HLOOKUP($C$10,Table_StateRates,6,FALSE)</f>
        <v>1.9</v>
      </c>
      <c r="AB50" s="207">
        <f>HLOOKUP($C$10,Table_StateRates,6,FALSE)</f>
        <v>1.9</v>
      </c>
      <c r="AC50" s="207">
        <f>HLOOKUP($C$10,Table_StateRates,6,FALSE)</f>
        <v>1.9</v>
      </c>
      <c r="AD50" s="207">
        <f>HLOOKUP($C$10,Table_StateRates,6,FALSE)</f>
        <v>1.9</v>
      </c>
      <c r="AE50" s="207">
        <f>HLOOKUP($C$10,Table_StateRates,6,FALSE)</f>
        <v>1.9</v>
      </c>
      <c r="AG50" s="60"/>
      <c r="AH50" s="545" t="s">
        <v>971</v>
      </c>
      <c r="AI50" s="207">
        <f>HLOOKUP($C$10,Table_StateRates,6,FALSE)</f>
        <v>1.9</v>
      </c>
      <c r="AJ50" s="207">
        <f>HLOOKUP($C$10,Table_StateRates,6,FALSE)</f>
        <v>1.9</v>
      </c>
      <c r="AK50" s="207">
        <f>HLOOKUP($C$10,Table_StateRates,6,FALSE)</f>
        <v>1.9</v>
      </c>
      <c r="AL50" s="207">
        <f>HLOOKUP($C$10,Table_StateRates,6,FALSE)</f>
        <v>1.9</v>
      </c>
      <c r="AM50" s="207">
        <f>HLOOKUP($C$10,Table_StateRates,6,FALSE)</f>
        <v>1.9</v>
      </c>
      <c r="AO50" s="60"/>
      <c r="AP50" s="545" t="s">
        <v>971</v>
      </c>
      <c r="AQ50" s="207">
        <f>HLOOKUP($C$10,Table_StateRates,6,FALSE)</f>
        <v>1.9</v>
      </c>
      <c r="AR50" s="207">
        <f>HLOOKUP($C$10,Table_StateRates,6,FALSE)</f>
        <v>1.9</v>
      </c>
      <c r="AS50" s="207">
        <f>HLOOKUP($C$10,Table_StateRates,6,FALSE)</f>
        <v>1.9</v>
      </c>
      <c r="AT50" s="207">
        <f>HLOOKUP($C$10,Table_StateRates,6,FALSE)</f>
        <v>1.9</v>
      </c>
      <c r="AU50" s="207">
        <f>HLOOKUP($C$10,Table_StateRates,6,FALSE)</f>
        <v>1.9</v>
      </c>
    </row>
    <row r="51" spans="10:47" x14ac:dyDescent="0.2">
      <c r="J51" s="8"/>
      <c r="K51" s="146"/>
      <c r="L51" s="146"/>
      <c r="M51" s="146"/>
      <c r="N51" s="146"/>
      <c r="O51" s="146"/>
      <c r="Q51" s="60"/>
      <c r="R51" s="1210" t="s">
        <v>1018</v>
      </c>
      <c r="S51" s="207">
        <f>IF($B$16=250,DF_250Deductible,$C$16)</f>
        <v>1</v>
      </c>
      <c r="T51" s="207">
        <f>IF($B$16=250,DF_250Deductible,$C$16)</f>
        <v>1</v>
      </c>
      <c r="U51" s="207">
        <f>IF($B$16=250,DF_250Deductible,$C$16)</f>
        <v>1</v>
      </c>
      <c r="V51" s="207">
        <f>IF($B$16=250,DF_250Deductible,$C$16)</f>
        <v>1</v>
      </c>
      <c r="W51" s="207">
        <f>IF($B$16=250,DF_250Deductible,$C$16)</f>
        <v>1</v>
      </c>
      <c r="Y51" s="60"/>
      <c r="Z51" s="1210" t="s">
        <v>1018</v>
      </c>
      <c r="AA51" s="207">
        <f>IF($B$16=250,DF_250Deductible,$C$16)</f>
        <v>1</v>
      </c>
      <c r="AB51" s="207">
        <f>IF($B$16=250,DF_250Deductible,$C$16)</f>
        <v>1</v>
      </c>
      <c r="AC51" s="207">
        <f>IF($B$16=250,DF_250Deductible,$C$16)</f>
        <v>1</v>
      </c>
      <c r="AD51" s="207">
        <f>IF($B$16=250,DF_250Deductible,$C$16)</f>
        <v>1</v>
      </c>
      <c r="AE51" s="207">
        <f>IF($B$16=250,DF_250Deductible,$C$16)</f>
        <v>1</v>
      </c>
      <c r="AG51" s="60"/>
      <c r="AH51" s="1210" t="s">
        <v>1018</v>
      </c>
      <c r="AI51" s="207">
        <f>IF($B$18=250,DF_250Deductible,$C$18)</f>
        <v>1</v>
      </c>
      <c r="AJ51" s="207">
        <f>IF($B$18=250,DF_250Deductible,$C$18)</f>
        <v>1</v>
      </c>
      <c r="AK51" s="207">
        <f>IF($B$18=250,DF_250Deductible,$C$18)</f>
        <v>1</v>
      </c>
      <c r="AL51" s="207">
        <f>IF($B$18=250,DF_250Deductible,$C$18)</f>
        <v>1</v>
      </c>
      <c r="AM51" s="207">
        <f>IF($B$18=250,DF_250Deductible,$C$18)</f>
        <v>1</v>
      </c>
      <c r="AO51" s="60"/>
      <c r="AP51" s="1210" t="s">
        <v>1018</v>
      </c>
      <c r="AQ51" s="207">
        <f>IF($B$18=250,DF_250Deductible,$C$18)</f>
        <v>1</v>
      </c>
      <c r="AR51" s="207">
        <f>IF($B$18=250,DF_250Deductible,$C$18)</f>
        <v>1</v>
      </c>
      <c r="AS51" s="207">
        <f>IF($B$18=250,DF_250Deductible,$C$18)</f>
        <v>1</v>
      </c>
      <c r="AT51" s="207">
        <f>IF($B$18=250,DF_250Deductible,$C$18)</f>
        <v>1</v>
      </c>
      <c r="AU51" s="207">
        <f>IF($B$18=250,DF_250Deductible,$C$18)</f>
        <v>1</v>
      </c>
    </row>
    <row r="52" spans="10:47" x14ac:dyDescent="0.2">
      <c r="J52" s="8"/>
      <c r="K52" s="146"/>
      <c r="L52" s="146"/>
      <c r="M52" s="146"/>
      <c r="N52" s="146"/>
      <c r="O52" s="146"/>
      <c r="Q52" s="185"/>
      <c r="R52" s="1226" t="s">
        <v>1019</v>
      </c>
      <c r="S52" s="208">
        <f>HLOOKUP($C$10,Table_StateRates,5,FALSE)</f>
        <v>1.38</v>
      </c>
      <c r="T52" s="208">
        <f>HLOOKUP($C$10,Table_StateRates,5,FALSE)</f>
        <v>1.38</v>
      </c>
      <c r="U52" s="208">
        <f>HLOOKUP($C$10,Table_StateRates,5,FALSE)</f>
        <v>1.38</v>
      </c>
      <c r="V52" s="208">
        <f>HLOOKUP($C$10,Table_StateRates,5,FALSE)</f>
        <v>1.38</v>
      </c>
      <c r="W52" s="208">
        <f>HLOOKUP($C$10,Table_StateRates,5,FALSE)</f>
        <v>1.38</v>
      </c>
      <c r="Y52" s="185"/>
      <c r="Z52" s="1226" t="s">
        <v>1019</v>
      </c>
      <c r="AA52" s="208">
        <f>HLOOKUP($C$10,Table_StateRates,5,FALSE)</f>
        <v>1.38</v>
      </c>
      <c r="AB52" s="208">
        <f>HLOOKUP($C$10,Table_StateRates,5,FALSE)</f>
        <v>1.38</v>
      </c>
      <c r="AC52" s="208">
        <f>HLOOKUP($C$10,Table_StateRates,5,FALSE)</f>
        <v>1.38</v>
      </c>
      <c r="AD52" s="208">
        <f>HLOOKUP($C$10,Table_StateRates,5,FALSE)</f>
        <v>1.38</v>
      </c>
      <c r="AE52" s="208">
        <f>HLOOKUP($C$10,Table_StateRates,5,FALSE)</f>
        <v>1.38</v>
      </c>
      <c r="AG52" s="185"/>
      <c r="AH52" s="1226" t="s">
        <v>1019</v>
      </c>
      <c r="AI52" s="208">
        <f>HLOOKUP($C$10,Table_StateRates,5,FALSE)</f>
        <v>1.38</v>
      </c>
      <c r="AJ52" s="208">
        <f>HLOOKUP($C$10,Table_StateRates,5,FALSE)</f>
        <v>1.38</v>
      </c>
      <c r="AK52" s="208">
        <f>HLOOKUP($C$10,Table_StateRates,5,FALSE)</f>
        <v>1.38</v>
      </c>
      <c r="AL52" s="208">
        <f>HLOOKUP($C$10,Table_StateRates,5,FALSE)</f>
        <v>1.38</v>
      </c>
      <c r="AM52" s="208">
        <f>HLOOKUP($C$10,Table_StateRates,5,FALSE)</f>
        <v>1.38</v>
      </c>
      <c r="AO52" s="185"/>
      <c r="AP52" s="1226" t="s">
        <v>1019</v>
      </c>
      <c r="AQ52" s="208">
        <f>HLOOKUP($C$10,Table_StateRates,5,FALSE)</f>
        <v>1.38</v>
      </c>
      <c r="AR52" s="208">
        <f>HLOOKUP($C$10,Table_StateRates,5,FALSE)</f>
        <v>1.38</v>
      </c>
      <c r="AS52" s="208">
        <f>HLOOKUP($C$10,Table_StateRates,5,FALSE)</f>
        <v>1.38</v>
      </c>
      <c r="AT52" s="208">
        <f>HLOOKUP($C$10,Table_StateRates,5,FALSE)</f>
        <v>1.38</v>
      </c>
      <c r="AU52" s="208">
        <f>HLOOKUP($C$10,Table_StateRates,5,FALSE)</f>
        <v>1.38</v>
      </c>
    </row>
    <row r="53" spans="10:47" x14ac:dyDescent="0.2">
      <c r="J53" s="8"/>
      <c r="K53" s="146"/>
      <c r="L53" s="146"/>
      <c r="M53" s="146"/>
      <c r="N53" s="146"/>
      <c r="O53" s="146"/>
      <c r="Q53" s="60"/>
      <c r="R53" s="83" t="s">
        <v>2281</v>
      </c>
      <c r="S53" s="1315">
        <f>ROUND(PRODUCT(S48:S52),3)</f>
        <v>0.126</v>
      </c>
      <c r="T53" s="1315">
        <f>ROUND(PRODUCT(T48:T52),3)</f>
        <v>0.126</v>
      </c>
      <c r="U53" s="1315">
        <f>ROUND(PRODUCT(U48:U52),3)</f>
        <v>0.126</v>
      </c>
      <c r="V53" s="1315">
        <f>ROUND(PRODUCT(V48:V52),3)</f>
        <v>0</v>
      </c>
      <c r="W53" s="1315">
        <f>ROUND(PRODUCT(W48:W52),3)</f>
        <v>0</v>
      </c>
      <c r="Y53" s="60"/>
      <c r="Z53" s="83" t="s">
        <v>2282</v>
      </c>
      <c r="AA53" s="1315">
        <f>ROUND(PRODUCT(AA49:AA52),3)</f>
        <v>3.9E-2</v>
      </c>
      <c r="AB53" s="1315">
        <f>ROUND(PRODUCT(AB49:AB52),3)</f>
        <v>3.9E-2</v>
      </c>
      <c r="AC53" s="1315">
        <f>ROUND(PRODUCT(AC49:AC52),3)</f>
        <v>3.9E-2</v>
      </c>
      <c r="AD53" s="1315">
        <f>ROUND(PRODUCT(AD49:AD52),3)</f>
        <v>0</v>
      </c>
      <c r="AE53" s="1315">
        <f>ROUND(PRODUCT(AE49:AE52),3)</f>
        <v>0</v>
      </c>
      <c r="AG53" s="60"/>
      <c r="AH53" s="83" t="s">
        <v>2281</v>
      </c>
      <c r="AI53" s="1315">
        <f>ROUND(PRODUCT(AI49:AI52),3)</f>
        <v>0.29599999999999999</v>
      </c>
      <c r="AJ53" s="1315">
        <f>ROUND(PRODUCT(AJ49:AJ52),3)</f>
        <v>0.29599999999999999</v>
      </c>
      <c r="AK53" s="1315">
        <f>ROUND(PRODUCT(AK49:AK52),3)</f>
        <v>0.29599999999999999</v>
      </c>
      <c r="AL53" s="1315">
        <f>ROUND(PRODUCT(AL49:AL52),3)</f>
        <v>0</v>
      </c>
      <c r="AM53" s="1315">
        <f>ROUND(PRODUCT(AM49:AM52),3)</f>
        <v>0</v>
      </c>
      <c r="AO53" s="60"/>
      <c r="AP53" s="83" t="s">
        <v>2282</v>
      </c>
      <c r="AQ53" s="1315">
        <f>ROUND(PRODUCT(AQ49:AQ52),3)</f>
        <v>5.5E-2</v>
      </c>
      <c r="AR53" s="1315">
        <f>ROUND(PRODUCT(AR49:AR52),3)</f>
        <v>5.5E-2</v>
      </c>
      <c r="AS53" s="1315">
        <f>ROUND(PRODUCT(AS49:AS52),3)</f>
        <v>5.5E-2</v>
      </c>
      <c r="AT53" s="1315">
        <f>ROUND(PRODUCT(AT49:AT52),3)</f>
        <v>0</v>
      </c>
      <c r="AU53" s="1315">
        <f>ROUND(PRODUCT(AU49:AU52),3)</f>
        <v>0</v>
      </c>
    </row>
    <row r="54" spans="10:47" x14ac:dyDescent="0.2">
      <c r="J54" s="8"/>
      <c r="K54" s="146"/>
      <c r="L54" s="146"/>
      <c r="M54" s="146"/>
      <c r="N54" s="146"/>
      <c r="O54" s="146"/>
      <c r="Q54" s="60"/>
      <c r="R54" s="83"/>
      <c r="S54" s="1312"/>
      <c r="T54" s="1312"/>
      <c r="U54" s="1312"/>
      <c r="V54" s="1312"/>
      <c r="W54" s="1312"/>
      <c r="AG54" s="60"/>
      <c r="AH54" s="83"/>
      <c r="AI54" s="1312"/>
      <c r="AJ54" s="1312"/>
      <c r="AK54" s="1312"/>
      <c r="AL54" s="1312"/>
      <c r="AM54" s="1312"/>
    </row>
    <row r="55" spans="10:47" x14ac:dyDescent="0.2">
      <c r="J55" s="8"/>
      <c r="K55" s="146"/>
      <c r="L55" s="146"/>
      <c r="M55" s="146"/>
      <c r="N55" s="146"/>
      <c r="O55" s="146"/>
      <c r="Q55" s="60" t="s">
        <v>2183</v>
      </c>
      <c r="R55" s="83"/>
      <c r="S55" s="1312"/>
      <c r="T55" s="1312"/>
      <c r="U55" s="1312"/>
      <c r="V55" s="1312"/>
      <c r="W55" s="1312"/>
      <c r="Y55" s="60" t="s">
        <v>2183</v>
      </c>
      <c r="Z55" s="83"/>
      <c r="AA55" s="1312"/>
      <c r="AB55" s="1312"/>
      <c r="AC55" s="1312"/>
      <c r="AD55" s="1312"/>
      <c r="AE55" s="1312"/>
      <c r="AG55" s="60" t="s">
        <v>2183</v>
      </c>
      <c r="AH55" s="83"/>
      <c r="AI55" s="1312"/>
      <c r="AJ55" s="1312"/>
      <c r="AK55" s="1312"/>
      <c r="AL55" s="1312"/>
      <c r="AM55" s="1312"/>
      <c r="AO55" s="60" t="s">
        <v>2183</v>
      </c>
      <c r="AP55" s="83"/>
      <c r="AQ55" s="1312"/>
      <c r="AR55" s="1312"/>
      <c r="AS55" s="1312"/>
      <c r="AT55" s="1312"/>
      <c r="AU55" s="1312"/>
    </row>
    <row r="56" spans="10:47" x14ac:dyDescent="0.2">
      <c r="J56" s="8"/>
      <c r="K56" s="146"/>
      <c r="L56" s="146"/>
      <c r="M56" s="146"/>
      <c r="N56" s="146"/>
      <c r="O56" s="146"/>
      <c r="R56" s="1117" t="s">
        <v>2184</v>
      </c>
      <c r="S56" s="478">
        <f>IF(ISNUMBER($I4),$I4,0)</f>
        <v>1000000</v>
      </c>
      <c r="T56" s="478">
        <f>IF(ISNUMBER($I5),$I5,0)</f>
        <v>1000000</v>
      </c>
      <c r="U56" s="478">
        <f>IF(ISNUMBER($I6),$I6,0)</f>
        <v>1000000</v>
      </c>
      <c r="V56" s="478">
        <f>IF(ISNUMBER($I7),$I7,0)</f>
        <v>0</v>
      </c>
      <c r="W56" s="478">
        <f>IF(ISNUMBER($I8),$I8,0)</f>
        <v>0</v>
      </c>
      <c r="Z56" s="1117" t="s">
        <v>2184</v>
      </c>
      <c r="AA56" s="478">
        <f>IF(ISNUMBER($I$4),$I$4,0)</f>
        <v>1000000</v>
      </c>
      <c r="AB56" s="478">
        <f>IF(ISNUMBER($I$5),$I$5,0)</f>
        <v>1000000</v>
      </c>
      <c r="AC56" s="478">
        <f>IF(ISNUMBER($I$6),$I$6,0)</f>
        <v>1000000</v>
      </c>
      <c r="AD56" s="478">
        <f>IF(ISNUMBER($I$7),$I$7,0)</f>
        <v>0</v>
      </c>
      <c r="AE56" s="478">
        <f>IF(ISNUMBER($I$8),$I$8,0)</f>
        <v>0</v>
      </c>
      <c r="AH56" s="1117" t="s">
        <v>2184</v>
      </c>
      <c r="AI56" s="478">
        <f>IF(ISNUMBER($I13),$I13,0)</f>
        <v>1000000</v>
      </c>
      <c r="AJ56" s="478">
        <f>IF(ISNUMBER($I14),$I14,0)</f>
        <v>1000000</v>
      </c>
      <c r="AK56" s="478">
        <f>IF(ISNUMBER($I15),$I15,0)</f>
        <v>1000000</v>
      </c>
      <c r="AL56" s="478">
        <f>IF(ISNUMBER($I16),$I16,0)</f>
        <v>0</v>
      </c>
      <c r="AM56" s="478">
        <f>IF(ISNUMBER($I17),$I17,0)</f>
        <v>0</v>
      </c>
      <c r="AP56" s="1117" t="s">
        <v>2184</v>
      </c>
      <c r="AQ56" s="478">
        <f>IF(ISNUMBER($I$13),$I$13,0)</f>
        <v>1000000</v>
      </c>
      <c r="AR56" s="478">
        <f>IF(ISNUMBER($I$14),$I$14,0)</f>
        <v>1000000</v>
      </c>
      <c r="AS56" s="478">
        <f>IF(ISNUMBER($I$15),$I$15,0)</f>
        <v>1000000</v>
      </c>
      <c r="AT56" s="478">
        <f>IF(ISNUMBER($I$16),$I$16,0)</f>
        <v>0</v>
      </c>
      <c r="AU56" s="478">
        <f>IF(ISNUMBER($I$17),$I$17,0)</f>
        <v>0</v>
      </c>
    </row>
    <row r="57" spans="10:47" x14ac:dyDescent="0.2">
      <c r="J57" s="8"/>
      <c r="K57" s="146"/>
      <c r="L57" s="146"/>
      <c r="M57" s="146"/>
      <c r="N57" s="146"/>
      <c r="O57" s="146"/>
      <c r="Q57" s="185"/>
      <c r="R57" s="1226" t="s">
        <v>2185</v>
      </c>
      <c r="S57" s="238">
        <f>$I$9</f>
        <v>3000000</v>
      </c>
      <c r="T57" s="238">
        <f>$I$9</f>
        <v>3000000</v>
      </c>
      <c r="U57" s="238">
        <f>$I$9</f>
        <v>3000000</v>
      </c>
      <c r="V57" s="238">
        <f>$I$9</f>
        <v>3000000</v>
      </c>
      <c r="W57" s="238">
        <f>$I$9</f>
        <v>3000000</v>
      </c>
      <c r="Y57" s="185"/>
      <c r="Z57" s="1226" t="s">
        <v>2185</v>
      </c>
      <c r="AA57" s="238">
        <f>$I$9</f>
        <v>3000000</v>
      </c>
      <c r="AB57" s="238">
        <f t="shared" ref="AB57:AE57" si="7">$I$9</f>
        <v>3000000</v>
      </c>
      <c r="AC57" s="238">
        <f t="shared" si="7"/>
        <v>3000000</v>
      </c>
      <c r="AD57" s="238">
        <f t="shared" si="7"/>
        <v>3000000</v>
      </c>
      <c r="AE57" s="238">
        <f t="shared" si="7"/>
        <v>3000000</v>
      </c>
      <c r="AG57" s="185"/>
      <c r="AH57" s="1226" t="s">
        <v>2185</v>
      </c>
      <c r="AI57" s="238">
        <f>$I$18</f>
        <v>3000000</v>
      </c>
      <c r="AJ57" s="238">
        <f t="shared" ref="AJ57:AM57" si="8">$I$18</f>
        <v>3000000</v>
      </c>
      <c r="AK57" s="238">
        <f t="shared" si="8"/>
        <v>3000000</v>
      </c>
      <c r="AL57" s="238">
        <f t="shared" si="8"/>
        <v>3000000</v>
      </c>
      <c r="AM57" s="238">
        <f t="shared" si="8"/>
        <v>3000000</v>
      </c>
      <c r="AO57" s="185"/>
      <c r="AP57" s="1226" t="s">
        <v>2185</v>
      </c>
      <c r="AQ57" s="238">
        <f>$I$18</f>
        <v>3000000</v>
      </c>
      <c r="AR57" s="238">
        <f t="shared" ref="AR57:AU57" si="9">$I$18</f>
        <v>3000000</v>
      </c>
      <c r="AS57" s="238">
        <f t="shared" si="9"/>
        <v>3000000</v>
      </c>
      <c r="AT57" s="238">
        <f t="shared" si="9"/>
        <v>3000000</v>
      </c>
      <c r="AU57" s="238">
        <f t="shared" si="9"/>
        <v>3000000</v>
      </c>
    </row>
    <row r="58" spans="10:47" x14ac:dyDescent="0.2">
      <c r="J58" s="8"/>
      <c r="K58" s="146"/>
      <c r="L58" s="146"/>
      <c r="M58" s="146"/>
      <c r="N58" s="146"/>
      <c r="O58" s="146"/>
      <c r="Q58" s="146"/>
      <c r="R58" s="301" t="s">
        <v>2187</v>
      </c>
      <c r="S58" s="1313">
        <f>ROUND(S56/S57,2)</f>
        <v>0.33</v>
      </c>
      <c r="T58" s="1313">
        <f>ROUND(T56/T57,2)</f>
        <v>0.33</v>
      </c>
      <c r="U58" s="1313">
        <f>ROUND(U56/U57,2)</f>
        <v>0.33</v>
      </c>
      <c r="V58" s="1313">
        <f>ROUND(V56/V57,2)</f>
        <v>0</v>
      </c>
      <c r="W58" s="1313">
        <f>ROUND(W56/W57,2)</f>
        <v>0</v>
      </c>
      <c r="Y58" s="146"/>
      <c r="Z58" s="301" t="s">
        <v>2187</v>
      </c>
      <c r="AA58" s="1313">
        <f>ROUND(AA56/AA57,2)</f>
        <v>0.33</v>
      </c>
      <c r="AB58" s="1313">
        <f>ROUND(AB56/AB57,2)</f>
        <v>0.33</v>
      </c>
      <c r="AC58" s="1313">
        <f>ROUND(AC56/AC57,2)</f>
        <v>0.33</v>
      </c>
      <c r="AD58" s="1313">
        <f>ROUND(AD56/AD57,2)</f>
        <v>0</v>
      </c>
      <c r="AE58" s="1313">
        <f>ROUND(AE56/AE57,2)</f>
        <v>0</v>
      </c>
      <c r="AG58" s="146"/>
      <c r="AH58" s="301" t="s">
        <v>2187</v>
      </c>
      <c r="AI58" s="1313">
        <f>ROUND(AI56/AI57,2)</f>
        <v>0.33</v>
      </c>
      <c r="AJ58" s="1313">
        <f>ROUND(AJ56/AJ57,2)</f>
        <v>0.33</v>
      </c>
      <c r="AK58" s="1313">
        <f>ROUND(AK56/AK57,2)</f>
        <v>0.33</v>
      </c>
      <c r="AL58" s="1313">
        <f>ROUND(AL56/AL57,2)</f>
        <v>0</v>
      </c>
      <c r="AM58" s="1313">
        <f>ROUND(AM56/AM57,2)</f>
        <v>0</v>
      </c>
      <c r="AO58" s="146"/>
      <c r="AP58" s="301" t="s">
        <v>2187</v>
      </c>
      <c r="AQ58" s="1313">
        <f>ROUND(AQ56/AQ57,2)</f>
        <v>0.33</v>
      </c>
      <c r="AR58" s="1313">
        <f>ROUND(AR56/AR57,2)</f>
        <v>0.33</v>
      </c>
      <c r="AS58" s="1313">
        <f>ROUND(AS56/AS57,2)</f>
        <v>0.33</v>
      </c>
      <c r="AT58" s="1313">
        <f>ROUND(AT56/AT57,2)</f>
        <v>0</v>
      </c>
      <c r="AU58" s="1313">
        <f>ROUND(AU56/AU57,2)</f>
        <v>0</v>
      </c>
    </row>
    <row r="59" spans="10:47" x14ac:dyDescent="0.2">
      <c r="J59" s="146"/>
      <c r="K59" s="146"/>
      <c r="L59" s="146"/>
      <c r="M59" s="146"/>
      <c r="N59" s="146"/>
      <c r="O59" s="146"/>
      <c r="Q59" s="185"/>
      <c r="R59" s="1226" t="s">
        <v>2188</v>
      </c>
      <c r="S59" s="238">
        <f>PRODUCT(0.9,$I$9)</f>
        <v>2700000</v>
      </c>
      <c r="T59" s="238">
        <f>PRODUCT(0.9,$I$9)</f>
        <v>2700000</v>
      </c>
      <c r="U59" s="238">
        <f>PRODUCT(0.9,$I$9)</f>
        <v>2700000</v>
      </c>
      <c r="V59" s="238">
        <f>PRODUCT(0.9,$I$9)</f>
        <v>2700000</v>
      </c>
      <c r="W59" s="238">
        <f>PRODUCT(0.9,$I$9)</f>
        <v>2700000</v>
      </c>
      <c r="Y59" s="185"/>
      <c r="Z59" s="1226" t="s">
        <v>2188</v>
      </c>
      <c r="AA59" s="238">
        <f>PRODUCT(0.9,$I$9)</f>
        <v>2700000</v>
      </c>
      <c r="AB59" s="238">
        <f>PRODUCT(0.9,$I$9)</f>
        <v>2700000</v>
      </c>
      <c r="AC59" s="238">
        <f>PRODUCT(0.9,$I$9)</f>
        <v>2700000</v>
      </c>
      <c r="AD59" s="238">
        <f>PRODUCT(0.9,$I$9)</f>
        <v>2700000</v>
      </c>
      <c r="AE59" s="238">
        <f>PRODUCT(0.9,$I$9)</f>
        <v>2700000</v>
      </c>
      <c r="AG59" s="185"/>
      <c r="AH59" s="1226" t="s">
        <v>2188</v>
      </c>
      <c r="AI59" s="238">
        <f>PRODUCT(0.9,$I$18)</f>
        <v>2700000</v>
      </c>
      <c r="AJ59" s="238">
        <f>PRODUCT(0.9,$I$18)</f>
        <v>2700000</v>
      </c>
      <c r="AK59" s="238">
        <f>PRODUCT(0.9,$I$18)</f>
        <v>2700000</v>
      </c>
      <c r="AL59" s="238">
        <f>PRODUCT(0.9,$I$18)</f>
        <v>2700000</v>
      </c>
      <c r="AM59" s="238">
        <f>PRODUCT(0.9,$I$18)</f>
        <v>2700000</v>
      </c>
      <c r="AO59" s="185"/>
      <c r="AP59" s="1226" t="s">
        <v>2188</v>
      </c>
      <c r="AQ59" s="238">
        <f>PRODUCT(0.9,$I$18)</f>
        <v>2700000</v>
      </c>
      <c r="AR59" s="238">
        <f>PRODUCT(0.9,$I$18)</f>
        <v>2700000</v>
      </c>
      <c r="AS59" s="238">
        <f>PRODUCT(0.9,$I$18)</f>
        <v>2700000</v>
      </c>
      <c r="AT59" s="238">
        <f>PRODUCT(0.9,$I$18)</f>
        <v>2700000</v>
      </c>
      <c r="AU59" s="238">
        <f>PRODUCT(0.9,$I$18)</f>
        <v>2700000</v>
      </c>
    </row>
    <row r="60" spans="10:47" x14ac:dyDescent="0.2">
      <c r="K60" s="146"/>
      <c r="L60" s="146"/>
      <c r="M60" s="146"/>
      <c r="N60" s="146"/>
      <c r="O60" s="146"/>
      <c r="R60" s="83" t="s">
        <v>2189</v>
      </c>
      <c r="S60" s="248">
        <f>PRODUCT(S58:S59)</f>
        <v>891000</v>
      </c>
      <c r="T60" s="248">
        <f>PRODUCT(T58:T59)</f>
        <v>891000</v>
      </c>
      <c r="U60" s="248">
        <f>PRODUCT(U58:U59)</f>
        <v>891000</v>
      </c>
      <c r="V60" s="248">
        <f>PRODUCT(V58:V59)</f>
        <v>0</v>
      </c>
      <c r="W60" s="248">
        <f>PRODUCT(W58:W59)</f>
        <v>0</v>
      </c>
      <c r="Z60" s="83" t="s">
        <v>2189</v>
      </c>
      <c r="AA60" s="248">
        <f>PRODUCT(AA58:AA59)</f>
        <v>891000</v>
      </c>
      <c r="AB60" s="248">
        <f>PRODUCT(AB58:AB59)</f>
        <v>891000</v>
      </c>
      <c r="AC60" s="248">
        <f>PRODUCT(AC58:AC59)</f>
        <v>891000</v>
      </c>
      <c r="AD60" s="248">
        <f>PRODUCT(AD58:AD59)</f>
        <v>0</v>
      </c>
      <c r="AE60" s="248">
        <f>PRODUCT(AE58:AE59)</f>
        <v>0</v>
      </c>
      <c r="AH60" s="83" t="s">
        <v>2189</v>
      </c>
      <c r="AI60" s="248">
        <f>PRODUCT(AI58:AI59)</f>
        <v>891000</v>
      </c>
      <c r="AJ60" s="248">
        <f>PRODUCT(AJ58:AJ59)</f>
        <v>891000</v>
      </c>
      <c r="AK60" s="248">
        <f>PRODUCT(AK58:AK59)</f>
        <v>891000</v>
      </c>
      <c r="AL60" s="248">
        <f>PRODUCT(AL58:AL59)</f>
        <v>0</v>
      </c>
      <c r="AM60" s="248">
        <f>PRODUCT(AM58:AM59)</f>
        <v>0</v>
      </c>
      <c r="AP60" s="83" t="s">
        <v>2189</v>
      </c>
      <c r="AQ60" s="248">
        <f>PRODUCT(AQ58:AQ59)</f>
        <v>891000</v>
      </c>
      <c r="AR60" s="248">
        <f>PRODUCT(AR58:AR59)</f>
        <v>891000</v>
      </c>
      <c r="AS60" s="248">
        <f>PRODUCT(AS58:AS59)</f>
        <v>891000</v>
      </c>
      <c r="AT60" s="248">
        <f>PRODUCT(AT58:AT59)</f>
        <v>0</v>
      </c>
      <c r="AU60" s="248">
        <f>PRODUCT(AU58:AU59)</f>
        <v>0</v>
      </c>
    </row>
    <row r="61" spans="10:47" x14ac:dyDescent="0.2">
      <c r="K61" s="146"/>
      <c r="L61" s="146"/>
      <c r="M61" s="146"/>
      <c r="N61" s="146"/>
      <c r="O61" s="146"/>
      <c r="Q61" s="1332"/>
      <c r="R61" s="1333" t="s">
        <v>2193</v>
      </c>
      <c r="S61" s="1334">
        <f>IF(S60=0,"N/A",IF(ISNA(MATCH(S60,List_LOI_Bldg,0)),VLOOKUP(S60,List_LOI_Bldg,1,TRUE),"N/A"))</f>
        <v>850000</v>
      </c>
      <c r="T61" s="1334">
        <f>IF(T60=0,"N/A",IF(ISNA(MATCH(T60,List_LOI_Bldg,0)),VLOOKUP(T60,List_LOI_Bldg,1,TRUE),"N/A"))</f>
        <v>850000</v>
      </c>
      <c r="U61" s="1334">
        <f>IF(U60=0,"N/A",IF(ISNA(MATCH(U60,List_LOI_Bldg,0)),VLOOKUP(U60,List_LOI_Bldg,1,TRUE),"N/A"))</f>
        <v>850000</v>
      </c>
      <c r="V61" s="1335" t="str">
        <f>IF(V60=0,"N/A",IF(ISNA(MATCH(V60,List_LOI_Bldg,0)),VLOOKUP(V60,List_LOI_Bldg,1,TRUE),"N/A"))</f>
        <v>N/A</v>
      </c>
      <c r="W61" s="1335" t="str">
        <f>IF(W60=0,"N/A",IF(ISNA(MATCH(W60,List_LOI_Bldg,0)),VLOOKUP(W60,List_LOI_Bldg,1,TRUE),"N/A"))</f>
        <v>N/A</v>
      </c>
      <c r="Y61" s="1332"/>
      <c r="Z61" s="1333" t="s">
        <v>2193</v>
      </c>
      <c r="AA61" s="1334">
        <f>IF(AA60=0,"N/A",IF(ISNA(MATCH(AA60,List_LOI_Bldg,0)),VLOOKUP(AA60,List_LOI_Bldg,1,TRUE),"N/A"))</f>
        <v>850000</v>
      </c>
      <c r="AB61" s="1334">
        <f>IF(AB60=0,"N/A",IF(ISNA(MATCH(AB60,List_LOI_Bldg,0)),VLOOKUP(AB60,List_LOI_Bldg,1,TRUE),"N/A"))</f>
        <v>850000</v>
      </c>
      <c r="AC61" s="1335">
        <f>IF(AC60=0,"N/A",IF(ISNA(MATCH(AC60,List_LOI_Bldg,0)),VLOOKUP(AC60,List_LOI_Bldg,1,TRUE),"N/A"))</f>
        <v>850000</v>
      </c>
      <c r="AD61" s="1335" t="str">
        <f>IF(AD60=0,"N/A",IF(ISNA(MATCH(AD60,List_LOI_Bldg,0)),VLOOKUP(AD60,List_LOI_Bldg,1,TRUE),"N/A"))</f>
        <v>N/A</v>
      </c>
      <c r="AE61" s="1335" t="str">
        <f>IF(AE60=0,"N/A",IF(ISNA(MATCH(AE60,List_LOI_Bldg,0)),VLOOKUP(AE60,List_LOI_Bldg,1,TRUE),"N/A"))</f>
        <v>N/A</v>
      </c>
      <c r="AG61" s="1332"/>
      <c r="AH61" s="1333" t="s">
        <v>2193</v>
      </c>
      <c r="AI61" s="1334">
        <f>IF(AI60=0,"N/A",IF(ISNA(MATCH(AI60,List_LOI_PP,0)),VLOOKUP(AI60,List_LOI_PP,1,TRUE),"N/A"))</f>
        <v>850000</v>
      </c>
      <c r="AJ61" s="1334">
        <f>IF(AJ60=0,"N/A",IF(ISNA(MATCH(AJ60,List_LOI_PP,0)),VLOOKUP(AJ60,List_LOI_PP,1,TRUE),"N/A"))</f>
        <v>850000</v>
      </c>
      <c r="AK61" s="1334">
        <f>IF(AK60=0,"N/A",IF(ISNA(MATCH(AK60,List_LOI_PP,0)),VLOOKUP(AK60,List_LOI_PP,1,TRUE),"N/A"))</f>
        <v>850000</v>
      </c>
      <c r="AL61" s="1335" t="str">
        <f>IF(AL60=0,"N/A",IF(ISNA(MATCH(AL60,List_LOI_PP,0)),VLOOKUP(AL60,List_LOI_PP,1,TRUE),"N/A"))</f>
        <v>N/A</v>
      </c>
      <c r="AM61" s="1335" t="str">
        <f>IF(AM60=0,"N/A",IF(ISNA(MATCH(AM60,List_LOI_PP,0)),VLOOKUP(AM60,List_LOI_PP,1,TRUE),"N/A"))</f>
        <v>N/A</v>
      </c>
      <c r="AO61" s="1332"/>
      <c r="AP61" s="1333" t="s">
        <v>2193</v>
      </c>
      <c r="AQ61" s="1334">
        <f>IF(AQ60=0,"N/A",IF(ISNA(MATCH(AQ60,List_LOI_PP,0)),VLOOKUP(AQ60,List_LOI_PP,1,TRUE),"N/A"))</f>
        <v>850000</v>
      </c>
      <c r="AR61" s="1334">
        <f>IF(AR60=0,"N/A",IF(ISNA(MATCH(AR60,List_LOI_PP,0)),VLOOKUP(AR60,List_LOI_PP,1,TRUE),"N/A"))</f>
        <v>850000</v>
      </c>
      <c r="AS61" s="1335">
        <f>IF(AS60=0,"N/A",IF(ISNA(MATCH(AS60,List_LOI_PP,0)),VLOOKUP(AS60,List_LOI_PP,1,TRUE),"N/A"))</f>
        <v>850000</v>
      </c>
      <c r="AT61" s="1335" t="str">
        <f>IF(AT60=0,"N/A",IF(ISNA(MATCH(AT60,List_LOI_PP,0)),VLOOKUP(AT60,List_LOI_PP,1,TRUE),"N/A"))</f>
        <v>N/A</v>
      </c>
      <c r="AU61" s="1335" t="str">
        <f>IF(AU60=0,"N/A",IF(ISNA(MATCH(AU60,List_LOI_PP,0)),VLOOKUP(AU60,List_LOI_PP,1,TRUE),"N/A"))</f>
        <v>N/A</v>
      </c>
    </row>
    <row r="62" spans="10:47" x14ac:dyDescent="0.2">
      <c r="K62" s="146"/>
      <c r="L62" s="146"/>
      <c r="M62" s="146"/>
      <c r="N62" s="146"/>
      <c r="O62" s="146"/>
      <c r="Q62" s="1336"/>
      <c r="R62" s="1337" t="s">
        <v>2194</v>
      </c>
      <c r="S62" s="1338">
        <f>IF(S61="N/A",0,INDEX(List_LOI_Bldg,MATCH(S61,List_LOI_Bldg,0)+1,1))</f>
        <v>900000</v>
      </c>
      <c r="T62" s="1338">
        <f>IF(T61="N/A",0,INDEX(List_LOI_Bldg,MATCH(T61,List_LOI_Bldg,0)+1,1))</f>
        <v>900000</v>
      </c>
      <c r="U62" s="1338">
        <f>IF(U61="N/A",0,INDEX(List_LOI_Bldg,MATCH(U61,List_LOI_Bldg,0)+1,1))</f>
        <v>900000</v>
      </c>
      <c r="V62" s="1338">
        <f>IF(V61="N/A",0,INDEX(List_LOI_Bldg,MATCH(V61,List_LOI_Bldg,0)+1,1))</f>
        <v>0</v>
      </c>
      <c r="W62" s="1338">
        <f>IF(W61="N/A",0,INDEX(List_LOI_Bldg,MATCH(W61,List_LOI_Bldg,0)+1,1))</f>
        <v>0</v>
      </c>
      <c r="Y62" s="1336"/>
      <c r="Z62" s="1337" t="s">
        <v>2194</v>
      </c>
      <c r="AA62" s="1338">
        <f>IF(AA61="N/A",0,INDEX(List_LOI_Bldg,MATCH(AA61,List_LOI_Bldg,0)+1,1))</f>
        <v>900000</v>
      </c>
      <c r="AB62" s="1338">
        <f>IF(AB61="N/A",0,INDEX(List_LOI_Bldg,MATCH(AB61,List_LOI_Bldg,0)+1,1))</f>
        <v>900000</v>
      </c>
      <c r="AC62" s="1338">
        <f>IF(AC61="N/A",0,INDEX(List_LOI_Bldg,MATCH(AC61,List_LOI_Bldg,0)+1,1))</f>
        <v>900000</v>
      </c>
      <c r="AD62" s="1338">
        <f>IF(AD61="N/A",0,INDEX(List_LOI_Bldg,MATCH(AD61,List_LOI_Bldg,0)+1,1))</f>
        <v>0</v>
      </c>
      <c r="AE62" s="1338">
        <f>IF(AE61="N/A",0,INDEX(List_LOI_Bldg,MATCH(AE61,List_LOI_Bldg,0)+1,1))</f>
        <v>0</v>
      </c>
      <c r="AG62" s="1336"/>
      <c r="AH62" s="1337" t="s">
        <v>2194</v>
      </c>
      <c r="AI62" s="1338">
        <f>IF(AI61="N/A",0,INDEX(List_LOI_PP,MATCH(AI61,List_LOI_PP,0)+1,1))</f>
        <v>900000</v>
      </c>
      <c r="AJ62" s="1338">
        <f>IF(AJ61="N/A",0,INDEX(List_LOI_PP,MATCH(AJ61,List_LOI_PP,0)+1,1))</f>
        <v>900000</v>
      </c>
      <c r="AK62" s="1338">
        <f>IF(AK61="N/A",0,INDEX(List_LOI_PP,MATCH(AK61,List_LOI_PP,0)+1,1))</f>
        <v>900000</v>
      </c>
      <c r="AL62" s="1338">
        <f>IF(AL61="N/A",0,INDEX(List_LOI_PP,MATCH(AL61,List_LOI_PP,0)+1,1))</f>
        <v>0</v>
      </c>
      <c r="AM62" s="1338">
        <f>IF(AM61="N/A",0,INDEX(List_LOI_PP,MATCH(AM61,List_LOI_PP,0)+1,1))</f>
        <v>0</v>
      </c>
      <c r="AO62" s="1336"/>
      <c r="AP62" s="1337" t="s">
        <v>2194</v>
      </c>
      <c r="AQ62" s="1338">
        <f>IF(AQ61="N/A",0,INDEX(List_LOI_PP,MATCH(AQ61,List_LOI_PP,0)+1,1))</f>
        <v>900000</v>
      </c>
      <c r="AR62" s="1338">
        <f>IF(AR61="N/A",0,INDEX(List_LOI_PP,MATCH(AR61,List_LOI_PP,0)+1,1))</f>
        <v>900000</v>
      </c>
      <c r="AS62" s="1338">
        <f>IF(AS61="N/A",0,INDEX(List_LOI_PP,MATCH(AS61,List_LOI_PP,0)+1,1))</f>
        <v>900000</v>
      </c>
      <c r="AT62" s="1338">
        <f>IF(AT61="N/A",0,INDEX(List_LOI_PP,MATCH(AT61,List_LOI_PP,0)+1,1))</f>
        <v>0</v>
      </c>
      <c r="AU62" s="1338">
        <f>IF(AU61="N/A",0,INDEX(List_LOI_PP,MATCH(AU61,List_LOI_PP,0)+1,1))</f>
        <v>0</v>
      </c>
    </row>
    <row r="63" spans="10:47" x14ac:dyDescent="0.2">
      <c r="Q63" s="185"/>
      <c r="R63" s="1226" t="s">
        <v>2195</v>
      </c>
      <c r="S63" s="1457">
        <f>IF(S60=0,0,IF(AND(S61="N/A",S60&gt;0),VLOOKUP(S60,Table_LOI_Bldg,MATCH("SP",List_Relatives,0)+1,FALSE),
ROUND(VLOOKUP(S61,Table_LOI_Bldg,MATCH("SP",List_Relatives,0)+1,FALSE) -
ROUND(PRODUCT((VLOOKUP(S61,Table_LOI_Bldg,MATCH("SP",List_Relatives,0)+1,FALSE) - VLOOKUP(S62,Table_LOI_Bldg,MATCH("SP",List_Relatives,0)+1,FALSE)),S60-S61)/(S62-S61),4),4)))</f>
        <v>0.74480000000000002</v>
      </c>
      <c r="T63" s="1457">
        <f>IF(T60=0,0,IF(AND(T61="N/A",T60&gt;0),VLOOKUP(T60,Table_LOI_Bldg,MATCH("SP",List_Relatives,0)+1,FALSE),
ROUND(VLOOKUP(T61,Table_LOI_Bldg,MATCH("SP",List_Relatives,0)+1,FALSE) -
ROUND(PRODUCT((VLOOKUP(T61,Table_LOI_Bldg,MATCH("SP",List_Relatives,0)+1,FALSE) - VLOOKUP(T62,Table_LOI_Bldg,MATCH("SP",List_Relatives,0)+1,FALSE)),T60-T61)/(T62-T61),4),4)))</f>
        <v>0.74480000000000002</v>
      </c>
      <c r="U63" s="1457">
        <f>IF(U60=0,0,IF(AND(U61="N/A",U60&gt;0),VLOOKUP(U60,Table_LOI_Bldg,MATCH("SP",List_Relatives,0)+1,FALSE),
ROUND(VLOOKUP(U61,Table_LOI_Bldg,MATCH("SP",List_Relatives,0)+1,FALSE) -
ROUND(PRODUCT((VLOOKUP(U61,Table_LOI_Bldg,MATCH("SP",List_Relatives,0)+1,FALSE) - VLOOKUP(U62,Table_LOI_Bldg,MATCH("SP",List_Relatives,0)+1,FALSE)),U60-U61)/(U62-U61),4),4)))</f>
        <v>0.74480000000000002</v>
      </c>
      <c r="V63" s="1457">
        <f>IF(V60=0,0,IF(AND(V61="N/A",V60&gt;0),VLOOKUP(V60,Table_LOI_Bldg,MATCH("SP",List_Relatives,0)+1,FALSE),
ROUND(VLOOKUP(V61,Table_LOI_Bldg,MATCH("SP",List_Relatives,0)+1,FALSE) -
ROUND(PRODUCT((VLOOKUP(V61,Table_LOI_Bldg,MATCH("SP",List_Relatives,0)+1,FALSE) - VLOOKUP(V62,Table_LOI_Bldg,MATCH("SP",List_Relatives,0)+1,FALSE)),V60-V61)/(V62-V61),4),4)))</f>
        <v>0</v>
      </c>
      <c r="W63" s="1457">
        <f>IF(W60=0,0,IF(AND(W61="N/A",W60&gt;0),VLOOKUP(W60,Table_LOI_Bldg,MATCH("SP",List_Relatives,0)+1,FALSE),
ROUND(VLOOKUP(W61,Table_LOI_Bldg,MATCH("SP",List_Relatives,0)+1,FALSE) -
ROUND(PRODUCT((VLOOKUP(W61,Table_LOI_Bldg,MATCH("SP",List_Relatives,0)+1,FALSE) - VLOOKUP(W62,Table_LOI_Bldg,MATCH("SP",List_Relatives,0)+1,FALSE)),W60-W61)/(W62-W61),4),4)))</f>
        <v>0</v>
      </c>
      <c r="Y63" s="185"/>
      <c r="Z63" s="1226" t="s">
        <v>2195</v>
      </c>
      <c r="AA63" s="1457">
        <f>IF(AA60=0,0,IF(AND(AA61="N/A",AA60&gt;0),VLOOKUP(AA60,Table_LOI_Bldg,MATCH("BR",List_Relatives,0)+1,FALSE),
ROUND(VLOOKUP(AA61,Table_LOI_Bldg,MATCH("BR",List_Relatives,0)+1,FALSE) -
ROUND(PRODUCT((VLOOKUP(AA61,Table_LOI_Bldg,MATCH("BR",List_Relatives,0)+1,FALSE) - VLOOKUP(AA62,Table_LOI_Bldg,MATCH("BR",List_Relatives,0)+1,FALSE)),AA60-AA61)/(AA62-AA61),4),4)))</f>
        <v>0.74480000000000002</v>
      </c>
      <c r="AB63" s="1457">
        <f>IF(AB60=0,0,IF(AND(AB61="N/A",AB60&gt;0),VLOOKUP(AB60,Table_LOI_Bldg,MATCH("BR",List_Relatives,0)+1,FALSE),
ROUND(VLOOKUP(AB61,Table_LOI_Bldg,MATCH("BR",List_Relatives,0)+1,FALSE) -
ROUND(PRODUCT((VLOOKUP(AB61,Table_LOI_Bldg,MATCH("BR",List_Relatives,0)+1,FALSE) - VLOOKUP(AB62,Table_LOI_Bldg,MATCH("BR",List_Relatives,0)+1,FALSE)),AB60-AB61)/(AB62-AB61),4),4)))</f>
        <v>0.74480000000000002</v>
      </c>
      <c r="AC63" s="1457">
        <f>IF(AC60=0,0,IF(AND(AC61="N/A",AC60&gt;0),VLOOKUP(AC60,Table_LOI_Bldg,MATCH("BR",List_Relatives,0)+1,FALSE),
ROUND(VLOOKUP(AC61,Table_LOI_Bldg,MATCH("BR",List_Relatives,0)+1,FALSE) -
ROUND(PRODUCT((VLOOKUP(AC61,Table_LOI_Bldg,MATCH("BR",List_Relatives,0)+1,FALSE) - VLOOKUP(AC62,Table_LOI_Bldg,MATCH("BR",List_Relatives,0)+1,FALSE)),AC60-AC61)/(AC62-AC61),4),4)))</f>
        <v>0.74480000000000002</v>
      </c>
      <c r="AD63" s="1457">
        <f>IF(AD60=0,0,IF(AND(AD61="N/A",AD60&gt;0),VLOOKUP(AD60,Table_LOI_Bldg,MATCH($G41,List_Relatives,0)+1,FALSE),
ROUND(VLOOKUP(AD61,Table_LOI_Bldg,MATCH($G41,List_Relatives,0)+1,FALSE) -
ROUND(PRODUCT((VLOOKUP(AD61,Table_LOI_Bldg,MATCH($G41,List_Relatives,0)+1,FALSE) - VLOOKUP(AD62,Table_LOI_Bldg,MATCH($G41,List_Relatives,0)+1,FALSE)),AD60-AD61)/(AD62-AD61),4),4)))</f>
        <v>0</v>
      </c>
      <c r="AE63" s="1457">
        <f>IF(AE60=0,0,IF(AND(AE61="N/A",AE60&gt;0),VLOOKUP(AE60,Table_LOI_Bldg,MATCH($G42,List_Relatives,0)+1,FALSE),
ROUND(VLOOKUP(AE61,Table_LOI_Bldg,MATCH($G42,List_Relatives,0)+1,FALSE) -
ROUND(PRODUCT((VLOOKUP(AE61,Table_LOI_Bldg,MATCH($G42,List_Relatives,0)+1,FALSE) - VLOOKUP(AE62,Table_LOI_Bldg,MATCH($G42,List_Relatives,0)+1,FALSE)),AE60-AE61)/(AE62-AE61),4),4)))</f>
        <v>0</v>
      </c>
      <c r="AG63" s="185"/>
      <c r="AH63" s="1226" t="s">
        <v>2195</v>
      </c>
      <c r="AI63" s="1457">
        <f>IF(AI60=0,0,IF(AND(AI61="N/A",AI60&gt;0),VLOOKUP(AI60,Table_LOI_PP,MATCH("SP",List_Relatives,0)+1,FALSE),
ROUND(VLOOKUP(AI61,Table_LOI_PP,MATCH("SP",List_Relatives,0)+1,FALSE) -
ROUND(PRODUCT((VLOOKUP(AI61,Table_LOI_PP,MATCH("SP",List_Relatives,0)+1,FALSE) - VLOOKUP(AI62,Table_LOI_PP,MATCH("SP",List_Relatives,0)+1,FALSE)),AI60-AI61)/(AI62-AI61),4),4)))</f>
        <v>0.37540000000000001</v>
      </c>
      <c r="AJ63" s="1457">
        <f>IF(AJ60=0,0,IF(AND(AJ61="N/A",AJ60&gt;0),VLOOKUP(AJ60,Table_LOI_PP,MATCH("SP",List_Relatives,0)+1,FALSE),
ROUND(VLOOKUP(AJ61,Table_LOI_PP,MATCH("SP",List_Relatives,0)+1,FALSE) -
ROUND(PRODUCT((VLOOKUP(AJ61,Table_LOI_PP,MATCH("SP",List_Relatives,0)+1,FALSE) - VLOOKUP(AJ62,Table_LOI_PP,MATCH("SP",List_Relatives,0)+1,FALSE)),AJ60-AJ61)/(AJ62-AJ61),4),4)))</f>
        <v>0.37540000000000001</v>
      </c>
      <c r="AK63" s="1457">
        <f>IF(AK60=0,0,IF(AND(AK61="N/A",AK60&gt;0),VLOOKUP(AK60,Table_LOI_PP,MATCH("SP",List_Relatives,0)+1,FALSE),
ROUND(VLOOKUP(AK61,Table_LOI_PP,MATCH("SP",List_Relatives,0)+1,FALSE) -
ROUND(PRODUCT((VLOOKUP(AK61,Table_LOI_PP,MATCH("SP",List_Relatives,0)+1,FALSE) - VLOOKUP(AK62,Table_LOI_PP,MATCH("SP",List_Relatives,0)+1,FALSE)),AK60-AK61)/(AK62-AK61),4),4)))</f>
        <v>0.37540000000000001</v>
      </c>
      <c r="AL63" s="1457">
        <f>IF(AL60=0,0,IF(AND(AL61="N/A",AL60&gt;0),VLOOKUP(AL60,Table_LOI_PP,MATCH("SP",List_Relatives,0)+1,FALSE),
ROUND(VLOOKUP(AL61,Table_LOI_PP,MATCH("SP",List_Relatives,0)+1,FALSE) -
ROUND(PRODUCT((VLOOKUP(AL61,Table_LOI_PP,MATCH("SP",List_Relatives,0)+1,FALSE) - VLOOKUP(AL62,Table_LOI_PP,MATCH("SP",List_Relatives,0)+1,FALSE)),AL60-AL61)/(AL62-AL61),4),4)))</f>
        <v>0</v>
      </c>
      <c r="AM63" s="1457">
        <f>IF(AM60=0,0,IF(AND(AM61="N/A",AM60&gt;0),VLOOKUP(AM60,Table_LOI_PP,MATCH("SP",List_Relatives,0)+1,FALSE),
ROUND(VLOOKUP(AM61,Table_LOI_PP,MATCH("SP",List_Relatives,0)+1,FALSE) -
ROUND(PRODUCT((VLOOKUP(AM61,Table_LOI_PP,MATCH("SP",List_Relatives,0)+1,FALSE) - VLOOKUP(AM62,Table_LOI_PP,MATCH("SP",List_Relatives,0)+1,FALSE)),AM60-AM61)/(AM62-AM61),4),4)))</f>
        <v>0</v>
      </c>
      <c r="AO63" s="185"/>
      <c r="AP63" s="1226" t="s">
        <v>2195</v>
      </c>
      <c r="AQ63" s="1457">
        <f>IF(AQ60=0,0,IF(AND(AQ61="N/A",AQ60&gt;0),VLOOKUP(AQ60,Table_LOI_PP,MATCH("BR",List_Relatives,0)+1,FALSE),
ROUND(VLOOKUP(AQ61,Table_LOI_PP,MATCH("BR",List_Relatives,0)+1,FALSE) -
ROUND(PRODUCT((VLOOKUP(AQ61,Table_LOI_PP,MATCH("BR",List_Relatives,0)+1,FALSE) - VLOOKUP(AQ62,Table_LOI_PP,MATCH("BR",List_Relatives,0)+1,FALSE)),AQ60-AQ61)/(AQ62-AQ61),4),4)))</f>
        <v>0.37540000000000001</v>
      </c>
      <c r="AR63" s="1457">
        <f>IF(AR60=0,0,IF(AND(AR61="N/A",AR60&gt;0),VLOOKUP(AR60,Table_LOI_PP,MATCH("BR",List_Relatives,0)+1,FALSE),
ROUND(VLOOKUP(AR61,Table_LOI_PP,MATCH("BR",List_Relatives,0)+1,FALSE) -
ROUND(PRODUCT((VLOOKUP(AR61,Table_LOI_PP,MATCH("BR",List_Relatives,0)+1,FALSE) - VLOOKUP(AR62,Table_LOI_PP,MATCH("BR",List_Relatives,0)+1,FALSE)),AR60-AR61)/(AR62-AR61),4),4)))</f>
        <v>0.37540000000000001</v>
      </c>
      <c r="AS63" s="1457">
        <f>IF(AS60=0,0,IF(AND(AS61="N/A",AS60&gt;0),VLOOKUP(AS60,Table_LOI_PP,MATCH("BR",List_Relatives,0)+1,FALSE),
ROUND(VLOOKUP(AS61,Table_LOI_PP,MATCH("BR",List_Relatives,0)+1,FALSE) -
ROUND(PRODUCT((VLOOKUP(AS61,Table_LOI_PP,MATCH("BR",List_Relatives,0)+1,FALSE) - VLOOKUP(AS62,Table_LOI_PP,MATCH("BR",List_Relatives,0)+1,FALSE)),AS60-AS61)/(AS62-AS61),4),4)))</f>
        <v>0.37540000000000001</v>
      </c>
      <c r="AT63" s="1457">
        <f>IF(AT60=0,0,IF(AND(AT61="N/A",AT60&gt;0),VLOOKUP(AT60,Table_LOI_PP,MATCH($G131,List_Relatives,0)+1,FALSE),
ROUND(VLOOKUP(AT61,Table_LOI_PP,MATCH($G131,List_Relatives,0)+1,FALSE) -
ROUND(PRODUCT((VLOOKUP(AT61,Table_LOI_PP,MATCH($G131,List_Relatives,0)+1,FALSE) - VLOOKUP(AT62,Table_LOI_PP,MATCH($G131,List_Relatives,0)+1,FALSE)),AT60-AT61)/(AT62-AT61),4),4)))</f>
        <v>0</v>
      </c>
      <c r="AU63" s="1457">
        <f>IF(AU60=0,0,IF(AND(AU61="N/A",AU60&gt;0),VLOOKUP(AU60,Table_LOI_PP,MATCH($G132,List_Relatives,0)+1,FALSE),
ROUND(VLOOKUP(AU61,Table_LOI_PP,MATCH($G132,List_Relatives,0)+1,FALSE) -
ROUND(PRODUCT((VLOOKUP(AU61,Table_LOI_PP,MATCH($G132,List_Relatives,0)+1,FALSE) - VLOOKUP(AU62,Table_LOI_PP,MATCH($G132,List_Relatives,0)+1,FALSE)),AU60-AU61)/(AU62-AU61),4),4)))</f>
        <v>0</v>
      </c>
    </row>
    <row r="64" spans="10:47" x14ac:dyDescent="0.2">
      <c r="R64" s="83" t="s">
        <v>2196</v>
      </c>
      <c r="S64" s="247">
        <f>PRODUCT(S53,S63)</f>
        <v>9.3844800000000006E-2</v>
      </c>
      <c r="T64" s="247">
        <f>PRODUCT(T53,T63)</f>
        <v>9.3844800000000006E-2</v>
      </c>
      <c r="U64" s="2">
        <f>PRODUCT(U53,U63)</f>
        <v>9.3844800000000006E-2</v>
      </c>
      <c r="V64" s="2">
        <f>PRODUCT(V53,V63)</f>
        <v>0</v>
      </c>
      <c r="W64" s="2">
        <f>PRODUCT(W53,W63)</f>
        <v>0</v>
      </c>
      <c r="Z64" s="83" t="s">
        <v>2196</v>
      </c>
      <c r="AA64" s="2">
        <f>PRODUCT(AA53,AA63)</f>
        <v>2.9047200000000002E-2</v>
      </c>
      <c r="AB64" s="2">
        <f>PRODUCT(AB53,AB63)</f>
        <v>2.9047200000000002E-2</v>
      </c>
      <c r="AC64" s="2">
        <f>PRODUCT(AC53,AC63)</f>
        <v>2.9047200000000002E-2</v>
      </c>
      <c r="AD64" s="2">
        <f>PRODUCT(AD53,AD63)</f>
        <v>0</v>
      </c>
      <c r="AE64" s="2">
        <f>PRODUCT(AE53,AE63)</f>
        <v>0</v>
      </c>
      <c r="AH64" s="83" t="s">
        <v>2196</v>
      </c>
      <c r="AI64" s="247">
        <f>PRODUCT(AI53,AI63)</f>
        <v>0.11111839999999999</v>
      </c>
      <c r="AJ64" s="247">
        <f>PRODUCT(AJ53,AJ63)</f>
        <v>0.11111839999999999</v>
      </c>
      <c r="AK64" s="2">
        <f>PRODUCT(AK53,AK63)</f>
        <v>0.11111839999999999</v>
      </c>
      <c r="AL64" s="2">
        <f>PRODUCT(AL53,AL63)</f>
        <v>0</v>
      </c>
      <c r="AM64" s="2">
        <f>PRODUCT(AM53,AM63)</f>
        <v>0</v>
      </c>
      <c r="AP64" s="83" t="s">
        <v>2196</v>
      </c>
      <c r="AQ64" s="2">
        <f>PRODUCT(AQ53,AQ63)</f>
        <v>2.0647000000000002E-2</v>
      </c>
      <c r="AR64" s="2">
        <f>PRODUCT(AR53,AR63)</f>
        <v>2.0647000000000002E-2</v>
      </c>
      <c r="AS64" s="2">
        <f>PRODUCT(AS53,AS63)</f>
        <v>2.0647000000000002E-2</v>
      </c>
      <c r="AT64" s="2">
        <f>PRODUCT(AT53,AT63)</f>
        <v>0</v>
      </c>
      <c r="AU64" s="2">
        <f>PRODUCT(AU53,AU63)</f>
        <v>0</v>
      </c>
    </row>
    <row r="65" spans="17:47" x14ac:dyDescent="0.2">
      <c r="R65" s="1117" t="s">
        <v>2330</v>
      </c>
      <c r="S65" s="247">
        <f>$C$14</f>
        <v>1</v>
      </c>
      <c r="T65" s="247">
        <f t="shared" ref="T65:W65" si="10">$C$14</f>
        <v>1</v>
      </c>
      <c r="U65" s="247">
        <f t="shared" si="10"/>
        <v>1</v>
      </c>
      <c r="V65" s="247">
        <f t="shared" si="10"/>
        <v>1</v>
      </c>
      <c r="W65" s="247">
        <f t="shared" si="10"/>
        <v>1</v>
      </c>
      <c r="Z65" s="1117" t="s">
        <v>2330</v>
      </c>
      <c r="AA65" s="247">
        <v>1</v>
      </c>
      <c r="AB65" s="247">
        <v>1</v>
      </c>
      <c r="AC65" s="247">
        <v>1</v>
      </c>
      <c r="AD65" s="247">
        <v>1</v>
      </c>
      <c r="AE65" s="247">
        <v>1</v>
      </c>
      <c r="AH65" s="1117" t="s">
        <v>2330</v>
      </c>
      <c r="AI65" s="247">
        <f>$C$14</f>
        <v>1</v>
      </c>
      <c r="AJ65" s="247">
        <f t="shared" ref="AJ65:AM65" si="11">$C$14</f>
        <v>1</v>
      </c>
      <c r="AK65" s="247">
        <f t="shared" si="11"/>
        <v>1</v>
      </c>
      <c r="AL65" s="247">
        <f t="shared" si="11"/>
        <v>1</v>
      </c>
      <c r="AM65" s="247">
        <f t="shared" si="11"/>
        <v>1</v>
      </c>
      <c r="AP65" s="1117" t="s">
        <v>2330</v>
      </c>
      <c r="AQ65" s="247">
        <v>1</v>
      </c>
      <c r="AR65" s="247">
        <v>1</v>
      </c>
      <c r="AS65" s="247">
        <v>1</v>
      </c>
      <c r="AT65" s="247">
        <v>1</v>
      </c>
      <c r="AU65" s="247">
        <v>1</v>
      </c>
    </row>
    <row r="66" spans="17:47" x14ac:dyDescent="0.2">
      <c r="Q66" s="185"/>
      <c r="R66" s="1226" t="s">
        <v>2197</v>
      </c>
      <c r="S66" s="238">
        <f>IF(ISNUMBER($I4),$I4,0)</f>
        <v>1000000</v>
      </c>
      <c r="T66" s="238">
        <f>IF(ISNUMBER($I5),$I5,0)</f>
        <v>1000000</v>
      </c>
      <c r="U66" s="238">
        <f>IF(ISNUMBER($I6),$I6,0)</f>
        <v>1000000</v>
      </c>
      <c r="V66" s="238">
        <f>IF(ISNUMBER($I7),$I7,0)</f>
        <v>0</v>
      </c>
      <c r="W66" s="238">
        <f>IF(ISNUMBER($I8),$I8,0)</f>
        <v>0</v>
      </c>
      <c r="Y66" s="185"/>
      <c r="Z66" s="1226" t="s">
        <v>2197</v>
      </c>
      <c r="AA66" s="238">
        <f>IF(ISNUMBER($I$4),$I$4,0)</f>
        <v>1000000</v>
      </c>
      <c r="AB66" s="238">
        <f>IF(ISNUMBER($I$5),$I$5,0)</f>
        <v>1000000</v>
      </c>
      <c r="AC66" s="238">
        <f>IF(ISNUMBER($I$6),$I$6,0)</f>
        <v>1000000</v>
      </c>
      <c r="AD66" s="238">
        <f>IF(ISNUMBER($I$7),$I$7,0)</f>
        <v>0</v>
      </c>
      <c r="AE66" s="238">
        <f>IF(ISNUMBER($I$8),$I$8,0)</f>
        <v>0</v>
      </c>
      <c r="AG66" s="185"/>
      <c r="AH66" s="1226" t="s">
        <v>2197</v>
      </c>
      <c r="AI66" s="238">
        <f>IF(ISNUMBER($I13),$I13,0)</f>
        <v>1000000</v>
      </c>
      <c r="AJ66" s="238">
        <f>IF(ISNUMBER($I14),$I14,0)</f>
        <v>1000000</v>
      </c>
      <c r="AK66" s="238">
        <f>IF(ISNUMBER($I15),$I15,0)</f>
        <v>1000000</v>
      </c>
      <c r="AL66" s="238">
        <f>IF(ISNUMBER($I16),$I16,0)</f>
        <v>0</v>
      </c>
      <c r="AM66" s="238">
        <f>IF(ISNUMBER($I17),$I17,0)</f>
        <v>0</v>
      </c>
      <c r="AO66" s="185"/>
      <c r="AP66" s="1226" t="s">
        <v>2197</v>
      </c>
      <c r="AQ66" s="238">
        <f>IF(ISNUMBER($I13),$I13,0)</f>
        <v>1000000</v>
      </c>
      <c r="AR66" s="238">
        <f>IF(ISNUMBER($I14),$I14,0)</f>
        <v>1000000</v>
      </c>
      <c r="AS66" s="238">
        <f>IF(ISNUMBER($I15),$I15,0)</f>
        <v>1000000</v>
      </c>
      <c r="AT66" s="238">
        <f>IF(ISNUMBER($I16),$I16,0)</f>
        <v>0</v>
      </c>
      <c r="AU66" s="238">
        <f>IF(ISNUMBER($I17),$I17,0)</f>
        <v>0</v>
      </c>
    </row>
    <row r="67" spans="17:47" x14ac:dyDescent="0.2">
      <c r="R67" s="83" t="s">
        <v>2198</v>
      </c>
      <c r="S67" s="1339">
        <f>PRODUCT(S64:S66)</f>
        <v>93844.800000000003</v>
      </c>
      <c r="T67" s="1339">
        <f>PRODUCT(T64:T66)</f>
        <v>93844.800000000003</v>
      </c>
      <c r="U67" s="1339">
        <f>PRODUCT(U64:U66)</f>
        <v>93844.800000000003</v>
      </c>
      <c r="V67" s="1339">
        <f>PRODUCT(V64:V66)</f>
        <v>0</v>
      </c>
      <c r="W67" s="1339">
        <f>PRODUCT(W64:W66)</f>
        <v>0</v>
      </c>
      <c r="Z67" s="83" t="s">
        <v>2198</v>
      </c>
      <c r="AA67" s="1339">
        <f>PRODUCT(AA64:AA66)</f>
        <v>29047.200000000001</v>
      </c>
      <c r="AB67" s="1339">
        <f>PRODUCT(AB64:AB66)</f>
        <v>29047.200000000001</v>
      </c>
      <c r="AC67" s="1339">
        <f>PRODUCT(AC64:AC66)</f>
        <v>29047.200000000001</v>
      </c>
      <c r="AD67" s="1339">
        <f>PRODUCT(AD64:AD66)</f>
        <v>0</v>
      </c>
      <c r="AE67" s="1339">
        <f>PRODUCT(AE64:AE66)</f>
        <v>0</v>
      </c>
      <c r="AH67" s="83" t="s">
        <v>2198</v>
      </c>
      <c r="AI67" s="1339">
        <f>PRODUCT(AI64:AI66)</f>
        <v>111118.39999999999</v>
      </c>
      <c r="AJ67" s="1339">
        <f>PRODUCT(AJ64:AJ66)</f>
        <v>111118.39999999999</v>
      </c>
      <c r="AK67" s="1339">
        <f>PRODUCT(AK64:AK66)</f>
        <v>111118.39999999999</v>
      </c>
      <c r="AL67" s="1339">
        <f>PRODUCT(AL64:AL66)</f>
        <v>0</v>
      </c>
      <c r="AM67" s="1339">
        <f>PRODUCT(AM64:AM66)</f>
        <v>0</v>
      </c>
      <c r="AP67" s="83" t="s">
        <v>2198</v>
      </c>
      <c r="AQ67" s="1339">
        <f>PRODUCT(AQ64:AQ66)</f>
        <v>20647.000000000004</v>
      </c>
      <c r="AR67" s="1339">
        <f>PRODUCT(AR64:AR66)</f>
        <v>20647.000000000004</v>
      </c>
      <c r="AS67" s="1339">
        <f>PRODUCT(AS64:AS66)</f>
        <v>20647.000000000004</v>
      </c>
      <c r="AT67" s="1339">
        <f>PRODUCT(AT64:AT66)</f>
        <v>0</v>
      </c>
      <c r="AU67" s="1339">
        <f>PRODUCT(AU64:AU66)</f>
        <v>0</v>
      </c>
    </row>
    <row r="69" spans="17:47" x14ac:dyDescent="0.2">
      <c r="Q69" s="60" t="s">
        <v>2199</v>
      </c>
      <c r="Y69" s="60" t="s">
        <v>2199</v>
      </c>
      <c r="AG69" s="60" t="s">
        <v>2199</v>
      </c>
      <c r="AO69" s="60" t="s">
        <v>2199</v>
      </c>
    </row>
    <row r="70" spans="17:47" x14ac:dyDescent="0.2">
      <c r="R70" s="1117" t="s">
        <v>2200</v>
      </c>
      <c r="S70" s="1339">
        <f>SUM(S67:W67)</f>
        <v>281534.40000000002</v>
      </c>
      <c r="Z70" s="1117" t="s">
        <v>2200</v>
      </c>
      <c r="AA70" s="1339">
        <f>SUM(AA67:AE67)</f>
        <v>87141.6</v>
      </c>
      <c r="AH70" s="1117" t="s">
        <v>2200</v>
      </c>
      <c r="AI70" s="1339">
        <f>SUM(AI67:AM67)</f>
        <v>333355.19999999995</v>
      </c>
      <c r="AP70" s="1117" t="s">
        <v>2200</v>
      </c>
      <c r="AQ70" s="1339">
        <f>SUM(AQ67:AU67)</f>
        <v>61941.000000000015</v>
      </c>
    </row>
    <row r="71" spans="17:47" x14ac:dyDescent="0.2">
      <c r="Q71" s="185"/>
      <c r="R71" s="1226" t="s">
        <v>2186</v>
      </c>
      <c r="S71" s="238">
        <f>$I$9</f>
        <v>3000000</v>
      </c>
      <c r="Y71" s="185"/>
      <c r="Z71" s="1226" t="s">
        <v>2186</v>
      </c>
      <c r="AA71" s="238">
        <f>$I$9</f>
        <v>3000000</v>
      </c>
      <c r="AG71" s="185"/>
      <c r="AH71" s="1226" t="s">
        <v>2186</v>
      </c>
      <c r="AI71" s="238">
        <f>$I$18</f>
        <v>3000000</v>
      </c>
      <c r="AO71" s="185"/>
      <c r="AP71" s="1226" t="s">
        <v>2186</v>
      </c>
      <c r="AQ71" s="238">
        <f>$I$18</f>
        <v>3000000</v>
      </c>
    </row>
    <row r="72" spans="17:47" x14ac:dyDescent="0.2">
      <c r="R72" s="1117" t="s">
        <v>2201</v>
      </c>
      <c r="S72" s="2">
        <f>ROUND(S70/S71,3)</f>
        <v>9.4E-2</v>
      </c>
      <c r="Z72" s="1117" t="s">
        <v>2229</v>
      </c>
      <c r="AA72" s="2">
        <f>ROUND(AA70/AA71,4)</f>
        <v>2.9000000000000001E-2</v>
      </c>
      <c r="AH72" s="1117" t="s">
        <v>2201</v>
      </c>
      <c r="AI72" s="2">
        <f>ROUND(AI70/AI71,3)</f>
        <v>0.111</v>
      </c>
      <c r="AP72" s="1117" t="s">
        <v>2229</v>
      </c>
      <c r="AQ72" s="2">
        <f>ROUND(AQ70/AQ71,4)</f>
        <v>2.06E-2</v>
      </c>
    </row>
    <row r="73" spans="17:47" x14ac:dyDescent="0.2">
      <c r="Q73" s="146"/>
      <c r="R73" s="1210" t="s">
        <v>2202</v>
      </c>
      <c r="S73" s="299">
        <f>VLOOKUP($C$15,Table_CoIns_Blanket,2,0)</f>
        <v>0.95</v>
      </c>
      <c r="Y73" s="146"/>
      <c r="Z73" s="1210" t="s">
        <v>2202</v>
      </c>
      <c r="AA73" s="299">
        <f>VLOOKUP($C$15,Table_CoIns_Blanket,2,0)</f>
        <v>0.95</v>
      </c>
      <c r="AG73" s="146"/>
      <c r="AH73" s="1210" t="s">
        <v>2202</v>
      </c>
      <c r="AI73" s="299">
        <f>VLOOKUP($C$15,Table_CoIns_Blanket,2,0)</f>
        <v>0.95</v>
      </c>
      <c r="AO73" s="146"/>
      <c r="AP73" s="1210" t="s">
        <v>2202</v>
      </c>
      <c r="AQ73" s="299">
        <f>VLOOKUP($C$15,Table_CoIns_Blanket,2,0)</f>
        <v>0.95</v>
      </c>
    </row>
    <row r="74" spans="17:47" x14ac:dyDescent="0.2">
      <c r="Q74" s="185"/>
      <c r="R74" s="1226" t="s">
        <v>1020</v>
      </c>
      <c r="S74" s="208">
        <f>IF($C$6="PAC",VLOOKUP(B7,Table_PakMods,MATCH($C$10,List_Company,0)+1,FALSE),1)</f>
        <v>1</v>
      </c>
      <c r="Y74" s="185"/>
      <c r="Z74" s="1226" t="s">
        <v>1020</v>
      </c>
      <c r="AA74" s="208">
        <f>IF($C$6="PAC",VLOOKUP(B7,Table_PakMods,MATCH($C$10,List_Company,0)+1,FALSE),1)</f>
        <v>1</v>
      </c>
      <c r="AG74" s="185"/>
      <c r="AH74" s="1226" t="s">
        <v>1020</v>
      </c>
      <c r="AI74" s="208">
        <f>IF($C$6="PAC",VLOOKUP(B7,Table_PakMods,MATCH($C$10,List_Company,0)+1,FALSE),1)</f>
        <v>1</v>
      </c>
      <c r="AO74" s="185"/>
      <c r="AP74" s="1226" t="s">
        <v>1020</v>
      </c>
      <c r="AQ74" s="208">
        <f>IF($C$6="PAC",VLOOKUP(B7,Table_PakMods,MATCH($C$10,List_Company,0)+1,FALSE),1)</f>
        <v>1</v>
      </c>
    </row>
    <row r="75" spans="17:47" x14ac:dyDescent="0.2">
      <c r="R75" s="83" t="s">
        <v>2203</v>
      </c>
      <c r="S75" s="60">
        <f>ROUND(PRODUCT(S72:S74),3)</f>
        <v>8.8999999999999996E-2</v>
      </c>
      <c r="Z75" s="83" t="s">
        <v>2230</v>
      </c>
      <c r="AA75" s="60">
        <f>ROUND(PRODUCT(AA72:AA74),3)</f>
        <v>2.8000000000000001E-2</v>
      </c>
      <c r="AH75" s="83" t="s">
        <v>2203</v>
      </c>
      <c r="AI75" s="60">
        <f>ROUND(PRODUCT(AI72:AI74),3)</f>
        <v>0.105</v>
      </c>
      <c r="AP75" s="83" t="s">
        <v>2230</v>
      </c>
      <c r="AQ75" s="60">
        <f>ROUND(PRODUCT(AQ72:AQ74),3)</f>
        <v>0.02</v>
      </c>
    </row>
    <row r="77" spans="17:47" x14ac:dyDescent="0.2">
      <c r="Q77" s="60" t="s">
        <v>2209</v>
      </c>
      <c r="S77" s="235" t="s">
        <v>2176</v>
      </c>
      <c r="T77" s="235" t="s">
        <v>2177</v>
      </c>
      <c r="U77" s="235" t="s">
        <v>2178</v>
      </c>
      <c r="V77" s="235" t="s">
        <v>2179</v>
      </c>
      <c r="W77" s="235" t="s">
        <v>2180</v>
      </c>
      <c r="Y77" s="60" t="s">
        <v>2209</v>
      </c>
      <c r="AA77" s="235" t="s">
        <v>2176</v>
      </c>
      <c r="AB77" s="235" t="s">
        <v>2177</v>
      </c>
      <c r="AC77" s="235" t="s">
        <v>2178</v>
      </c>
      <c r="AD77" s="235" t="s">
        <v>2179</v>
      </c>
      <c r="AE77" s="235" t="s">
        <v>2180</v>
      </c>
      <c r="AG77" s="60" t="s">
        <v>2209</v>
      </c>
      <c r="AI77" s="235" t="s">
        <v>2176</v>
      </c>
      <c r="AJ77" s="235" t="s">
        <v>2177</v>
      </c>
      <c r="AK77" s="235" t="s">
        <v>2178</v>
      </c>
      <c r="AL77" s="235" t="s">
        <v>2179</v>
      </c>
      <c r="AM77" s="235" t="s">
        <v>2180</v>
      </c>
      <c r="AO77" s="60" t="s">
        <v>2209</v>
      </c>
      <c r="AQ77" s="235" t="s">
        <v>2176</v>
      </c>
      <c r="AR77" s="235" t="s">
        <v>2177</v>
      </c>
      <c r="AS77" s="235" t="s">
        <v>2178</v>
      </c>
      <c r="AT77" s="235" t="s">
        <v>2179</v>
      </c>
      <c r="AU77" s="235" t="s">
        <v>2180</v>
      </c>
    </row>
    <row r="78" spans="17:47" x14ac:dyDescent="0.2">
      <c r="Q78" s="1227"/>
      <c r="R78" s="1117" t="s">
        <v>2212</v>
      </c>
      <c r="S78" s="478">
        <f>IF(ISNUMBER($I$4),$I$4/100,0)</f>
        <v>10000</v>
      </c>
      <c r="T78" s="478">
        <f>IF(ISNUMBER($I$5),$I$5/100,0)</f>
        <v>10000</v>
      </c>
      <c r="U78" s="478">
        <f>IF(ISNUMBER($I$6),$I$6/100,0)</f>
        <v>10000</v>
      </c>
      <c r="V78" s="478">
        <f>IF(ISNUMBER($I$7),$I$7/100,0)</f>
        <v>0</v>
      </c>
      <c r="W78" s="478">
        <f>IF(ISNUMBER($I$8),$I$8/100,0)</f>
        <v>0</v>
      </c>
      <c r="Y78" s="1227"/>
      <c r="Z78" s="1117" t="s">
        <v>2212</v>
      </c>
      <c r="AA78" s="478">
        <f>IF(ISNUMBER($I$4),$I$4/100,0)</f>
        <v>10000</v>
      </c>
      <c r="AB78" s="478">
        <f>IF(ISNUMBER($I$5),$I$5/100,0)</f>
        <v>10000</v>
      </c>
      <c r="AC78" s="478">
        <f>IF(ISNUMBER($I$6),$I$6/100,0)</f>
        <v>10000</v>
      </c>
      <c r="AD78" s="478">
        <f>IF(ISNUMBER($I$7),$I$7/100,0)</f>
        <v>0</v>
      </c>
      <c r="AE78" s="478">
        <f>IF(ISNUMBER($I$8),$I$8/100,0)</f>
        <v>0</v>
      </c>
      <c r="AG78" s="1227"/>
      <c r="AH78" s="1117" t="s">
        <v>2212</v>
      </c>
      <c r="AI78" s="478">
        <f>IF(ISNUMBER($I$13),$I$13/100,0)</f>
        <v>10000</v>
      </c>
      <c r="AJ78" s="478">
        <f>IF(ISNUMBER($I$14),$I$14/100,0)</f>
        <v>10000</v>
      </c>
      <c r="AK78" s="478">
        <f>IF(ISNUMBER($I$15),$I$15/100,0)</f>
        <v>10000</v>
      </c>
      <c r="AL78" s="478">
        <f>IF(ISNUMBER($I$16),$I$16/100,0)</f>
        <v>0</v>
      </c>
      <c r="AM78" s="478">
        <f>IF(ISNUMBER($I$17),$I$17/100,0)</f>
        <v>0</v>
      </c>
      <c r="AO78" s="1227"/>
      <c r="AP78" s="1117" t="s">
        <v>2212</v>
      </c>
      <c r="AQ78" s="478">
        <f>IF(ISNUMBER($I$13),$I$13/100,0)</f>
        <v>10000</v>
      </c>
      <c r="AR78" s="478">
        <f>IF(ISNUMBER($I$14),$I$14/100,0)</f>
        <v>10000</v>
      </c>
      <c r="AS78" s="478">
        <f>IF(ISNUMBER($I$15),$I$15/100,0)</f>
        <v>10000</v>
      </c>
      <c r="AT78" s="478">
        <f>IF(ISNUMBER($I$16),$I$16/100,0)</f>
        <v>0</v>
      </c>
      <c r="AU78" s="478">
        <f>IF(ISNUMBER($I$17),$I$17/100,0)</f>
        <v>0</v>
      </c>
    </row>
    <row r="79" spans="17:47" x14ac:dyDescent="0.2">
      <c r="Q79" s="185"/>
      <c r="R79" s="1226" t="s">
        <v>2210</v>
      </c>
      <c r="S79" s="185">
        <f>$S$75</f>
        <v>8.8999999999999996E-2</v>
      </c>
      <c r="T79" s="185">
        <f t="shared" ref="T79:W79" si="12">$S$75</f>
        <v>8.8999999999999996E-2</v>
      </c>
      <c r="U79" s="185">
        <f t="shared" si="12"/>
        <v>8.8999999999999996E-2</v>
      </c>
      <c r="V79" s="185">
        <f t="shared" si="12"/>
        <v>8.8999999999999996E-2</v>
      </c>
      <c r="W79" s="185">
        <f t="shared" si="12"/>
        <v>8.8999999999999996E-2</v>
      </c>
      <c r="Y79" s="185"/>
      <c r="Z79" s="1226" t="s">
        <v>2210</v>
      </c>
      <c r="AA79" s="455">
        <f>$AA$75</f>
        <v>2.8000000000000001E-2</v>
      </c>
      <c r="AB79" s="455">
        <f t="shared" ref="AB79:AE79" si="13">$AA$75</f>
        <v>2.8000000000000001E-2</v>
      </c>
      <c r="AC79" s="455">
        <f t="shared" si="13"/>
        <v>2.8000000000000001E-2</v>
      </c>
      <c r="AD79" s="455">
        <f t="shared" si="13"/>
        <v>2.8000000000000001E-2</v>
      </c>
      <c r="AE79" s="455">
        <f t="shared" si="13"/>
        <v>2.8000000000000001E-2</v>
      </c>
      <c r="AG79" s="185"/>
      <c r="AH79" s="1226" t="s">
        <v>2210</v>
      </c>
      <c r="AI79" s="185">
        <f>$AI$75</f>
        <v>0.105</v>
      </c>
      <c r="AJ79" s="185">
        <f t="shared" ref="AJ79:AM79" si="14">$AI$75</f>
        <v>0.105</v>
      </c>
      <c r="AK79" s="185">
        <f t="shared" si="14"/>
        <v>0.105</v>
      </c>
      <c r="AL79" s="185">
        <f t="shared" si="14"/>
        <v>0.105</v>
      </c>
      <c r="AM79" s="185">
        <f t="shared" si="14"/>
        <v>0.105</v>
      </c>
      <c r="AO79" s="185"/>
      <c r="AP79" s="1226" t="s">
        <v>2210</v>
      </c>
      <c r="AQ79" s="455">
        <f>$AQ$75</f>
        <v>0.02</v>
      </c>
      <c r="AR79" s="455">
        <f t="shared" ref="AR79:AU79" si="15">$AQ$75</f>
        <v>0.02</v>
      </c>
      <c r="AS79" s="455">
        <f t="shared" si="15"/>
        <v>0.02</v>
      </c>
      <c r="AT79" s="455">
        <f t="shared" si="15"/>
        <v>0.02</v>
      </c>
      <c r="AU79" s="455">
        <f t="shared" si="15"/>
        <v>0.02</v>
      </c>
    </row>
    <row r="80" spans="17:47" x14ac:dyDescent="0.2">
      <c r="R80" s="83" t="s">
        <v>2211</v>
      </c>
      <c r="S80" s="248">
        <f>ROUND(PRODUCT(S78:S79),0)</f>
        <v>890</v>
      </c>
      <c r="T80" s="248">
        <f>ROUND(PRODUCT(T78:T79),0)</f>
        <v>890</v>
      </c>
      <c r="U80" s="248">
        <f>ROUND(PRODUCT(U78:U79),0)</f>
        <v>890</v>
      </c>
      <c r="V80" s="248">
        <f>ROUND(PRODUCT(V78:V79),0)</f>
        <v>0</v>
      </c>
      <c r="W80" s="248">
        <f>ROUND(PRODUCT(W78:W79),0)</f>
        <v>0</v>
      </c>
      <c r="Z80" s="83" t="s">
        <v>2231</v>
      </c>
      <c r="AA80" s="248">
        <f>ROUND(PRODUCT(AA78:AA79),0)</f>
        <v>280</v>
      </c>
      <c r="AB80" s="248">
        <f>ROUND(PRODUCT(AB78:AB79),0)</f>
        <v>280</v>
      </c>
      <c r="AC80" s="248">
        <f>ROUND(PRODUCT(AC78:AC79),0)</f>
        <v>280</v>
      </c>
      <c r="AD80" s="248">
        <f>ROUND(PRODUCT(AD78:AD79),0)</f>
        <v>0</v>
      </c>
      <c r="AE80" s="248">
        <f>ROUND(PRODUCT(AE78:AE79),0)</f>
        <v>0</v>
      </c>
      <c r="AH80" s="83" t="s">
        <v>2211</v>
      </c>
      <c r="AI80" s="248">
        <f>ROUND(PRODUCT(AI78:AI79),0)</f>
        <v>1050</v>
      </c>
      <c r="AJ80" s="248">
        <f>ROUND(PRODUCT(AJ78:AJ79),0)</f>
        <v>1050</v>
      </c>
      <c r="AK80" s="248">
        <f>ROUND(PRODUCT(AK78:AK79),0)</f>
        <v>1050</v>
      </c>
      <c r="AL80" s="248">
        <f>ROUND(PRODUCT(AL78:AL79),0)</f>
        <v>0</v>
      </c>
      <c r="AM80" s="248">
        <f>ROUND(PRODUCT(AM78:AM79),0)</f>
        <v>0</v>
      </c>
      <c r="AP80" s="83" t="s">
        <v>2231</v>
      </c>
      <c r="AQ80" s="248">
        <f>ROUND(PRODUCT(AQ78:AQ79),0)</f>
        <v>200</v>
      </c>
      <c r="AR80" s="248">
        <f>ROUND(PRODUCT(AR78:AR79),0)</f>
        <v>200</v>
      </c>
      <c r="AS80" s="248">
        <f>ROUND(PRODUCT(AS78:AS79),0)</f>
        <v>200</v>
      </c>
      <c r="AT80" s="248">
        <f>ROUND(PRODUCT(AT78:AT79),0)</f>
        <v>0</v>
      </c>
      <c r="AU80" s="248">
        <f>ROUND(PRODUCT(AU78:AU79),0)</f>
        <v>0</v>
      </c>
    </row>
  </sheetData>
  <mergeCells count="9">
    <mergeCell ref="AG1:AM1"/>
    <mergeCell ref="AO1:AU1"/>
    <mergeCell ref="AG46:AM46"/>
    <mergeCell ref="AO46:AU46"/>
    <mergeCell ref="K1:O1"/>
    <mergeCell ref="Q1:W1"/>
    <mergeCell ref="Y1:AE1"/>
    <mergeCell ref="Q46:W46"/>
    <mergeCell ref="Y46:AE46"/>
  </mergeCells>
  <conditionalFormatting sqref="E22:I26">
    <cfRule type="expression" dxfId="324" priority="4">
      <formula>IF($C$23="Yes",TRUE,FALSE)</formula>
    </cfRule>
  </conditionalFormatting>
  <conditionalFormatting sqref="E31:I35">
    <cfRule type="expression" dxfId="323" priority="3">
      <formula>IF($C$24="Yes",TRUE,FALSE)</formula>
    </cfRule>
  </conditionalFormatting>
  <conditionalFormatting sqref="E13:I17">
    <cfRule type="expression" dxfId="322" priority="1">
      <formula>IF($C$22="Yes",TRUE,FALSE)</formula>
    </cfRule>
  </conditionalFormatting>
  <conditionalFormatting sqref="E4:I8">
    <cfRule type="expression" dxfId="321" priority="12">
      <formula>IF($C$21="Yes",TRUE,FALSE)</formula>
    </cfRule>
  </conditionalFormatting>
  <dataValidations disablePrompts="1" xWindow="765" yWindow="255" count="15">
    <dataValidation type="list" allowBlank="1" showInputMessage="1" showErrorMessage="1" promptTitle="Coverage Selection" prompt="Please Select:_x000a_{ Yes or No }" sqref="C21:C24">
      <formula1>List_YN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list" allowBlank="1" showInputMessage="1" showErrorMessage="1" promptTitle="Please Select Cause of Loss:" prompt="BA  = Basic_x000a_BR  = Broad_x000a_SP  = Special" sqref="C11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list" allowBlank="1" showInputMessage="1" showErrorMessage="1" promptTitle="Special - Cause of Loss" prompt="Please select:_x000a_1 - Including Theft_x000a_2 - Excluding Theft" sqref="C12">
      <formula1>IF($C$11="SP",List_SPTheft,List_No)</formula1>
    </dataValidation>
    <dataValidation type="list" allowBlank="1" showInputMessage="1" showErrorMessage="1" promptTitle="Protection Class:" prompt="Please select a number (1 - 10)" sqref="F13:F17">
      <formula1>OFFSET(Table_ProtClass,0,0,,1)</formula1>
    </dataValidation>
    <dataValidation type="list" allowBlank="1" showInputMessage="1" showErrorMessage="1" promptTitle="Class Code Selection" prompt="Please select your building class code" sqref="E4:E8 E13:E17 E22:F26 E31:F35">
      <formula1>OFFSET(Table_G1_LC,0,0,,1)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G4:G8 G13:G17 G22:G26 G31:G3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H4:H8 H13:H17 H22:H26 H31:H35">
      <formula1>OFFSET(Table_G2SymLC,0,0,,1)</formula1>
    </dataValidation>
    <dataValidation type="list" allowBlank="1" showInputMessage="1" showErrorMessage="1" promptTitle="Protection Class" prompt="Please Select from drop down" sqref="F4:F8">
      <formula1>OFFSET(Table_ProtClass,0,0,,1)</formula1>
    </dataValidation>
    <dataValidation type="list" allowBlank="1" showInputMessage="1" showErrorMessage="1" promptTitle="Coinsurance Percent" prompt="Please Select:_x000a_{ 80, 90, 100 }" sqref="C15 C17">
      <formula1>OFFSET(Table_CoIns_Blanket,0,0,,1)</formula1>
    </dataValidation>
    <dataValidation type="list" allowBlank="1" showInputMessage="1" showErrorMessage="1" promptTitle="Deductible Amount:" prompt="Please Select from list:_x000a_(250 - 75,000)" sqref="B16 B18">
      <formula1>List_DedSelect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rowBreaks count="1" manualBreakCount="1">
    <brk id="45" max="46" man="1"/>
  </rowBreaks>
  <colBreaks count="6" manualBreakCount="6">
    <brk id="9" max="1048575" man="1"/>
    <brk id="16" max="44" man="1"/>
    <brk id="24" max="44" man="1"/>
    <brk id="24" min="45" max="81" man="1"/>
    <brk id="40" max="44" man="1"/>
    <brk id="40" min="45" max="81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G51"/>
  <sheetViews>
    <sheetView zoomScale="90" zoomScaleNormal="90" workbookViewId="0">
      <selection activeCell="C48" sqref="C48:E48"/>
    </sheetView>
  </sheetViews>
  <sheetFormatPr defaultRowHeight="12.75" x14ac:dyDescent="0.2"/>
  <cols>
    <col min="1" max="1" width="18" style="2" customWidth="1"/>
    <col min="2" max="2" width="16.85546875" style="2" customWidth="1"/>
    <col min="3" max="3" width="17" style="2" customWidth="1"/>
    <col min="4" max="4" width="5.42578125" style="2" customWidth="1"/>
    <col min="5" max="5" width="17.85546875" style="2" customWidth="1"/>
    <col min="6" max="6" width="13.7109375" style="2" customWidth="1"/>
    <col min="7" max="7" width="16.85546875" style="2" customWidth="1"/>
    <col min="8" max="16384" width="9.140625" style="2"/>
  </cols>
  <sheetData>
    <row r="1" spans="1:7" ht="15.75" x14ac:dyDescent="0.2">
      <c r="A1" s="1440" t="s">
        <v>2256</v>
      </c>
    </row>
    <row r="2" spans="1:7" x14ac:dyDescent="0.2">
      <c r="A2" s="1227"/>
    </row>
    <row r="3" spans="1:7" ht="14.25" customHeight="1" x14ac:dyDescent="0.2">
      <c r="A3" s="82" t="s">
        <v>1024</v>
      </c>
      <c r="B3" s="917" t="str">
        <f>DF_State</f>
        <v>CT</v>
      </c>
    </row>
    <row r="4" spans="1:7" ht="17.25" customHeight="1" x14ac:dyDescent="0.2">
      <c r="A4" s="82" t="s">
        <v>2104</v>
      </c>
      <c r="B4" s="1441" t="str">
        <f>UI_CustNumber</f>
        <v>0004514584</v>
      </c>
    </row>
    <row r="5" spans="1:7" ht="16.5" customHeight="1" x14ac:dyDescent="0.2">
      <c r="A5" s="82"/>
      <c r="B5" s="984"/>
    </row>
    <row r="6" spans="1:7" x14ac:dyDescent="0.2">
      <c r="A6" s="82" t="s">
        <v>2258</v>
      </c>
      <c r="B6" s="1442">
        <v>40607</v>
      </c>
      <c r="F6" s="1443"/>
      <c r="G6" s="1444"/>
    </row>
    <row r="7" spans="1:7" ht="16.5" customHeight="1" x14ac:dyDescent="0.2">
      <c r="A7" s="82"/>
      <c r="B7" s="834"/>
      <c r="F7" s="1443"/>
      <c r="G7" s="1444"/>
    </row>
    <row r="8" spans="1:7" x14ac:dyDescent="0.2">
      <c r="A8" s="82" t="s">
        <v>2259</v>
      </c>
      <c r="B8" s="1442">
        <v>40544</v>
      </c>
      <c r="F8" s="1443"/>
      <c r="G8" s="1444"/>
    </row>
    <row r="9" spans="1:7" ht="16.5" customHeight="1" x14ac:dyDescent="0.2">
      <c r="A9" s="82"/>
      <c r="B9" s="984"/>
      <c r="F9" s="1443"/>
      <c r="G9" s="1444"/>
    </row>
    <row r="10" spans="1:7" x14ac:dyDescent="0.2">
      <c r="A10" s="82" t="s">
        <v>2257</v>
      </c>
      <c r="B10" s="1593" t="s">
        <v>2316</v>
      </c>
      <c r="C10" s="1593"/>
      <c r="D10" s="1593"/>
      <c r="G10" s="834"/>
    </row>
    <row r="13" spans="1:7" ht="13.5" thickBot="1" x14ac:dyDescent="0.25">
      <c r="A13" s="1464" t="s">
        <v>55</v>
      </c>
      <c r="B13" s="1465"/>
      <c r="C13" s="1465"/>
      <c r="D13" s="1465"/>
      <c r="E13" s="1465"/>
    </row>
    <row r="14" spans="1:7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</row>
    <row r="15" spans="1:7" ht="19.5" customHeight="1" x14ac:dyDescent="0.2">
      <c r="A15" s="1445">
        <v>1</v>
      </c>
      <c r="B15" s="1453"/>
      <c r="C15" s="1446" t="str">
        <f ca="1">IF(ISBLANK(B15),"",INDIRECT($B15&amp;"!"&amp;"$I$47"))</f>
        <v/>
      </c>
      <c r="E15" s="1446" t="str">
        <f ca="1">IF(ISBLANK(B15),"",INDIRECT($B15&amp;"!"&amp;"$I$44"))</f>
        <v/>
      </c>
    </row>
    <row r="16" spans="1:7" ht="19.5" customHeight="1" x14ac:dyDescent="0.2">
      <c r="A16" s="1453">
        <v>2</v>
      </c>
      <c r="B16" s="1453"/>
      <c r="C16" s="1446" t="str">
        <f t="shared" ref="C16:C19" ca="1" si="0">IF(ISBLANK(B16),"",INDIRECT($B16&amp;"!"&amp;"$I$47"))</f>
        <v/>
      </c>
      <c r="E16" s="1446" t="str">
        <f t="shared" ref="E16:E19" ca="1" si="1">IF(ISBLANK(B16),"",INDIRECT($B16&amp;"!"&amp;"$I$44"))</f>
        <v/>
      </c>
    </row>
    <row r="17" spans="1:5" ht="19.5" customHeight="1" x14ac:dyDescent="0.2">
      <c r="A17" s="1453">
        <v>3</v>
      </c>
      <c r="B17" s="1453"/>
      <c r="C17" s="1446" t="str">
        <f t="shared" ca="1" si="0"/>
        <v/>
      </c>
      <c r="E17" s="1446" t="str">
        <f t="shared" ca="1" si="1"/>
        <v/>
      </c>
    </row>
    <row r="18" spans="1:5" ht="7.5" customHeight="1" x14ac:dyDescent="0.2">
      <c r="A18" s="1453">
        <v>4</v>
      </c>
      <c r="B18" s="1453"/>
      <c r="C18" s="1446" t="str">
        <f t="shared" ca="1" si="0"/>
        <v/>
      </c>
      <c r="E18" s="1446" t="str">
        <f t="shared" ca="1" si="1"/>
        <v/>
      </c>
    </row>
    <row r="19" spans="1:5" ht="13.5" thickBot="1" x14ac:dyDescent="0.25">
      <c r="A19" s="1084">
        <v>5</v>
      </c>
      <c r="B19" s="1453"/>
      <c r="C19" s="1446" t="str">
        <f t="shared" ca="1" si="0"/>
        <v/>
      </c>
      <c r="E19" s="1446" t="str">
        <f t="shared" ca="1" si="1"/>
        <v/>
      </c>
    </row>
    <row r="20" spans="1:5" x14ac:dyDescent="0.2">
      <c r="A20" s="1450"/>
      <c r="B20" s="1451" t="s">
        <v>2271</v>
      </c>
      <c r="C20" s="1452">
        <f ca="1">SUM(C15:C19)</f>
        <v>0</v>
      </c>
      <c r="D20" s="1450"/>
      <c r="E20" s="1452">
        <f ca="1">SUM(E15:E19)</f>
        <v>0</v>
      </c>
    </row>
    <row r="22" spans="1:5" ht="13.5" thickBot="1" x14ac:dyDescent="0.25">
      <c r="A22" s="1464" t="s">
        <v>2219</v>
      </c>
      <c r="B22" s="1465"/>
      <c r="C22" s="1465"/>
      <c r="D22" s="1465"/>
      <c r="E22" s="1465"/>
    </row>
    <row r="23" spans="1:5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</row>
    <row r="24" spans="1:5" x14ac:dyDescent="0.2">
      <c r="A24" s="1445">
        <v>1</v>
      </c>
      <c r="B24" s="1445" t="s">
        <v>2317</v>
      </c>
      <c r="C24" s="1446">
        <f ca="1">IF(ISBLANK(B24),"",INDIRECT($B24&amp;"!"&amp;"$I$54"))</f>
        <v>9332</v>
      </c>
      <c r="E24" s="1446">
        <f ca="1">IF(ISBLANK(B24),"",INDIRECT($B24&amp;"!"&amp;"$I$49"))</f>
        <v>115</v>
      </c>
    </row>
    <row r="25" spans="1:5" x14ac:dyDescent="0.2">
      <c r="A25" s="1453">
        <v>2</v>
      </c>
      <c r="B25" s="1453" t="s">
        <v>2318</v>
      </c>
      <c r="C25" s="1446">
        <f t="shared" ref="C25:C28" ca="1" si="2">IF(ISBLANK(B25),"",INDIRECT($B25&amp;"!"&amp;"$I$54"))</f>
        <v>1537</v>
      </c>
      <c r="D25" s="146"/>
      <c r="E25" s="1446">
        <f t="shared" ref="E25:E28" ca="1" si="3">IF(ISBLANK(B25),"",INDIRECT($B25&amp;"!"&amp;"$I$49"))</f>
        <v>115</v>
      </c>
    </row>
    <row r="26" spans="1:5" x14ac:dyDescent="0.2">
      <c r="A26" s="1445">
        <v>3</v>
      </c>
      <c r="B26" s="1453" t="s">
        <v>2319</v>
      </c>
      <c r="C26" s="1446">
        <f t="shared" ca="1" si="2"/>
        <v>5040</v>
      </c>
      <c r="D26" s="146"/>
      <c r="E26" s="1446">
        <f t="shared" ca="1" si="3"/>
        <v>115</v>
      </c>
    </row>
    <row r="27" spans="1:5" x14ac:dyDescent="0.2">
      <c r="A27" s="1453">
        <v>4</v>
      </c>
      <c r="B27" s="1453"/>
      <c r="C27" s="1446" t="str">
        <f t="shared" ca="1" si="2"/>
        <v/>
      </c>
      <c r="D27" s="146"/>
      <c r="E27" s="1446" t="str">
        <f t="shared" ca="1" si="3"/>
        <v/>
      </c>
    </row>
    <row r="28" spans="1:5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</row>
    <row r="29" spans="1:5" x14ac:dyDescent="0.2">
      <c r="A29" s="1450"/>
      <c r="B29" s="1451" t="s">
        <v>2271</v>
      </c>
      <c r="C29" s="1452">
        <f ca="1">SUM(C24:C28)</f>
        <v>15909</v>
      </c>
      <c r="D29" s="1450"/>
      <c r="E29" s="1452">
        <f ca="1">SUM(E24:E28)</f>
        <v>345</v>
      </c>
    </row>
    <row r="31" spans="1:5" ht="13.5" thickBot="1" x14ac:dyDescent="0.25">
      <c r="A31" s="1464" t="s">
        <v>2220</v>
      </c>
      <c r="B31" s="1465"/>
      <c r="C31" s="1465"/>
      <c r="D31" s="1465"/>
      <c r="E31" s="1465"/>
    </row>
    <row r="32" spans="1:5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</row>
    <row r="33" spans="1:5" x14ac:dyDescent="0.2">
      <c r="A33" s="1445">
        <v>1</v>
      </c>
      <c r="B33" s="1445"/>
      <c r="C33" s="1446" t="str">
        <f ca="1">IF(ISBLANK(B33),"",INDIRECT($B33&amp;"!"&amp;"$I$29"))</f>
        <v/>
      </c>
      <c r="E33" s="1446" t="str">
        <f ca="1">IF(ISBLANK(B33),"",INDIRECT($B33&amp;"!"&amp;"$I$26"))</f>
        <v/>
      </c>
    </row>
    <row r="34" spans="1:5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E34" s="1446" t="str">
        <f t="shared" ref="E34:E37" ca="1" si="5">IF(ISBLANK(B34),"",INDIRECT($B34&amp;"!"&amp;"$I$26"))</f>
        <v/>
      </c>
    </row>
    <row r="35" spans="1:5" x14ac:dyDescent="0.2">
      <c r="A35" s="1445">
        <v>3</v>
      </c>
      <c r="B35" s="1453"/>
      <c r="C35" s="1446" t="str">
        <f t="shared" ca="1" si="4"/>
        <v/>
      </c>
      <c r="E35" s="1446" t="str">
        <f t="shared" ca="1" si="5"/>
        <v/>
      </c>
    </row>
    <row r="36" spans="1:5" x14ac:dyDescent="0.2">
      <c r="A36" s="1453">
        <v>4</v>
      </c>
      <c r="B36" s="1453"/>
      <c r="C36" s="1446" t="str">
        <f t="shared" ca="1" si="4"/>
        <v/>
      </c>
      <c r="E36" s="1446" t="str">
        <f t="shared" ca="1" si="5"/>
        <v/>
      </c>
    </row>
    <row r="37" spans="1:5" ht="13.5" thickBot="1" x14ac:dyDescent="0.25">
      <c r="A37" s="1084">
        <v>5</v>
      </c>
      <c r="B37" s="1453"/>
      <c r="C37" s="1446" t="str">
        <f t="shared" ca="1" si="4"/>
        <v/>
      </c>
      <c r="E37" s="1446" t="str">
        <f t="shared" ca="1" si="5"/>
        <v/>
      </c>
    </row>
    <row r="38" spans="1:5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</row>
    <row r="41" spans="1:5" ht="13.5" thickBot="1" x14ac:dyDescent="0.25">
      <c r="A41" s="1464" t="s">
        <v>2221</v>
      </c>
      <c r="B41" s="1465"/>
      <c r="C41" s="1465"/>
      <c r="D41" s="1465"/>
      <c r="E41" s="1465"/>
    </row>
    <row r="42" spans="1:5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</row>
    <row r="43" spans="1:5" x14ac:dyDescent="0.2">
      <c r="A43" s="1445">
        <v>1</v>
      </c>
      <c r="B43" s="1445"/>
      <c r="C43" s="1446" t="str">
        <f ca="1">IF(ISBLANK(B43),"",INDIRECT($B43&amp;"!"&amp;"$I$21"))</f>
        <v/>
      </c>
      <c r="E43" s="1446" t="str">
        <f ca="1">IF(ISBLANK(B43),"",INDIRECT($B43&amp;"!"&amp;"$I$18"))</f>
        <v/>
      </c>
    </row>
    <row r="44" spans="1:5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E44" s="1446" t="str">
        <f t="shared" ref="E44:E47" ca="1" si="7">IF(ISBLANK(B44),"",INDIRECT($B44&amp;"!"&amp;"$I$18"))</f>
        <v/>
      </c>
    </row>
    <row r="45" spans="1:5" x14ac:dyDescent="0.2">
      <c r="A45" s="1445">
        <v>3</v>
      </c>
      <c r="B45" s="1453"/>
      <c r="C45" s="1446" t="str">
        <f t="shared" ca="1" si="6"/>
        <v/>
      </c>
      <c r="E45" s="1446" t="str">
        <f t="shared" ca="1" si="7"/>
        <v/>
      </c>
    </row>
    <row r="46" spans="1:5" x14ac:dyDescent="0.2">
      <c r="A46" s="1453">
        <v>4</v>
      </c>
      <c r="B46" s="1453"/>
      <c r="C46" s="1446" t="str">
        <f t="shared" ca="1" si="6"/>
        <v/>
      </c>
      <c r="E46" s="1446" t="str">
        <f t="shared" ca="1" si="7"/>
        <v/>
      </c>
    </row>
    <row r="47" spans="1:5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</row>
    <row r="48" spans="1:5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</row>
    <row r="50" spans="4:5" ht="13.5" thickBot="1" x14ac:dyDescent="0.25"/>
    <row r="51" spans="4:5" ht="13.5" thickBot="1" x14ac:dyDescent="0.25">
      <c r="D51" s="788" t="s">
        <v>2272</v>
      </c>
      <c r="E51" s="1448">
        <f ca="1">SUM(C20:E20,C29:E29,C38:E38,C48:E48)</f>
        <v>16254</v>
      </c>
    </row>
  </sheetData>
  <mergeCells count="1">
    <mergeCell ref="B10:D10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A78"/>
  <sheetViews>
    <sheetView topLeftCell="F1"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2.5703125" style="2" customWidth="1"/>
    <col min="4" max="4" width="34.140625" style="2" customWidth="1"/>
    <col min="5" max="6" width="13.85546875" style="2" customWidth="1"/>
    <col min="7" max="7" width="5.7109375" style="2" customWidth="1"/>
    <col min="8" max="8" width="43.85546875" style="2" customWidth="1"/>
    <col min="9" max="9" width="12.85546875" style="2" customWidth="1"/>
    <col min="10" max="12" width="12.57031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PPI - Personal Pty Premium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0.9</v>
      </c>
      <c r="Q2" s="423">
        <f>HLOOKUP(C11,Table_StateRates,5,FALSE)</f>
        <v>0.9</v>
      </c>
      <c r="R2" s="423">
        <f>HLOOKUP(C11,Table_StateRates,5,FALSE)</f>
        <v>0.9</v>
      </c>
      <c r="S2" s="423">
        <f>HLOOKUP(C11,Table_StateRates,5,FALSE)</f>
        <v>0.9</v>
      </c>
      <c r="U2" s="1290"/>
      <c r="V2" s="1294" t="s">
        <v>2165</v>
      </c>
      <c r="W2" s="1300">
        <f ca="1">$P$28</f>
        <v>0.52700000000000002</v>
      </c>
      <c r="X2" s="1300">
        <f>$Q$28</f>
        <v>9.6000000000000002E-2</v>
      </c>
      <c r="Y2" s="1300">
        <f>$R$28</f>
        <v>0.46229999999999999</v>
      </c>
      <c r="Z2" s="1300">
        <f>$S$28</f>
        <v>3.5999999999999997E-2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0.52700000000000002</v>
      </c>
      <c r="AU2" s="247">
        <f>Q28</f>
        <v>9.6000000000000002E-2</v>
      </c>
      <c r="AV2" s="247">
        <f>IF(AND(C27="Yes",C12="SP"),VLOOKUP(C33,Table_Special_PP,3,0),0)</f>
        <v>0.23499999999999999</v>
      </c>
      <c r="AW2" s="247">
        <f>S28</f>
        <v>3.5999999999999997E-2</v>
      </c>
      <c r="AZ2" s="1117" t="s">
        <v>2154</v>
      </c>
      <c r="BA2" s="247">
        <f ca="1">P28</f>
        <v>0.52700000000000002</v>
      </c>
      <c r="BB2" s="2">
        <f>Q28</f>
        <v>9.6000000000000002E-2</v>
      </c>
      <c r="BC2" s="558">
        <f>R28</f>
        <v>0.46229999999999999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 t="str">
        <f>Summary2</f>
        <v>#15 - R31 - PP - SPECIAL HPP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0.56200000000000006</v>
      </c>
      <c r="X3" s="247">
        <f t="shared" ref="X3:Z3" si="0">Q$31</f>
        <v>0.40300000000000002</v>
      </c>
      <c r="Y3" s="247">
        <f t="shared" si="0"/>
        <v>0.28499999999999998</v>
      </c>
      <c r="Z3" s="247">
        <f t="shared" si="0"/>
        <v>0.28499999999999998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0.35</v>
      </c>
      <c r="AE3" s="2">
        <f>IF(OR(C28="S",C28="T"),C29,VLOOKUP(C16,Table_G2SymLC,3,FALSE)*IF(C60&lt;&gt;"Yes",B16,1))</f>
        <v>5.6000000000000001E-2</v>
      </c>
      <c r="AF3" s="247">
        <f>R5</f>
        <v>0.23499999999999999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0.52700000000000002</v>
      </c>
      <c r="AM3" s="4">
        <f>Q28</f>
        <v>9.6000000000000002E-2</v>
      </c>
      <c r="AN3" s="780">
        <f ca="1">IF(AND(C27="Yes",C12="SP"),IF(C13=1,R28,IF(C13=2,INDIRECT(VLOOKUP(C33,Table_Special_PP,6,FALSE)),"Select Type")),0)</f>
        <v>0.46229999999999999</v>
      </c>
      <c r="AO3" s="4">
        <f>S28</f>
        <v>3.5999999999999997E-2</v>
      </c>
      <c r="AP3" s="4">
        <f>IF(C12="Yes",#REF!,0)</f>
        <v>0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1.71</v>
      </c>
      <c r="Q4" s="1312">
        <f>PRODUCT(Q2:Q3)</f>
        <v>1.71</v>
      </c>
      <c r="R4" s="1312">
        <f>PRODUCT(R2:R3)</f>
        <v>1.71</v>
      </c>
      <c r="S4" s="1312">
        <f>PRODUCT(S2:S3)</f>
        <v>1.71</v>
      </c>
      <c r="T4" s="207"/>
      <c r="U4" s="1298"/>
      <c r="V4" s="1283" t="s">
        <v>1025</v>
      </c>
      <c r="W4" s="1299">
        <f>IF(B65="Yes",C65/100,0)</f>
        <v>5000</v>
      </c>
      <c r="X4" s="1299">
        <f>IF(B65="Yes",C65/100,0)</f>
        <v>5000</v>
      </c>
      <c r="Y4" s="1299">
        <f>IF(B65="Yes",C65/100,0)</f>
        <v>5000</v>
      </c>
      <c r="Z4" s="1299">
        <f>IF(B65="Yes",C65/100,0)</f>
        <v>5000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0.52700000000000002</v>
      </c>
      <c r="AU4" s="247">
        <f>ROUND(AU2/AU3,3)</f>
        <v>9.6000000000000002E-2</v>
      </c>
      <c r="AV4" s="247">
        <f>ROUND(AV2/AV3,3)</f>
        <v>0.23499999999999999</v>
      </c>
      <c r="AW4" s="247">
        <f>ROUND(AW2/AW3,3)</f>
        <v>3.5999999999999997E-2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HPP - Household Personal Pty Coverage</v>
      </c>
      <c r="I5" s="258">
        <f ca="1">IF(C27="Yes",P35,0)</f>
        <v>1481</v>
      </c>
      <c r="J5" s="258">
        <f>IF(C27="Yes",Q35,0)</f>
        <v>193</v>
      </c>
      <c r="K5" s="258">
        <f>IF(AND(C27="Yes",C12="SP"),R35,0)</f>
        <v>659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0.35</v>
      </c>
      <c r="Q5" s="247">
        <f>IF(OR(C28="S",C28="T"),C29,VLOOKUP(C16,Table_G2SymLC,3,FALSE)*IF(C60&lt;&gt;"Yes",B16,1))</f>
        <v>5.6000000000000001E-2</v>
      </c>
      <c r="R5" s="247">
        <f>IF(AND(C27="Yes",C12="SP"),VLOOKUP(C33,Table_Special_PP,3,0),0)</f>
        <v>0.23499999999999999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1481</v>
      </c>
      <c r="X5" s="1306">
        <f>ROUND(PRODUCT(X2:X4),0)</f>
        <v>193</v>
      </c>
      <c r="Y5" s="1306">
        <f>ROUND(PRODUCT(Y2:Y4),0)</f>
        <v>659</v>
      </c>
      <c r="Z5" s="1306">
        <f>ROUND(PRODUCT(Z2:Z4),0)</f>
        <v>51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5.2999999999999999E-2</v>
      </c>
      <c r="AM5" s="4">
        <f>ROUND(PRODUCT(AM3:AM4),3)</f>
        <v>0.01</v>
      </c>
      <c r="AN5" s="780">
        <f ca="1">ROUND(PRODUCT(AN3:AN4),3)</f>
        <v>4.5999999999999999E-2</v>
      </c>
      <c r="AO5" s="4">
        <f>ROUND(PRODUCT(AO3:AO4),3)</f>
        <v>4.0000000000000001E-3</v>
      </c>
      <c r="AP5" s="4">
        <f>ROUND(PRODUCT(AP3:AP4),3)</f>
        <v>0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0.9</v>
      </c>
      <c r="BJ5" s="299">
        <f>HLOOKUP(C11,Table_StateRates,5,FALSE)</f>
        <v>0.9</v>
      </c>
      <c r="BK5" s="299">
        <f>HLOOKUP(C11,Table_StateRates,5,FALSE)</f>
        <v>0.9</v>
      </c>
      <c r="BL5" s="299">
        <f>HLOOKUP(C11,Table_StateRates,5,FALSE)</f>
        <v>0.9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984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0.88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0.66500000000000004</v>
      </c>
      <c r="AE6" s="247">
        <f>ROUND(PRODUCT(AE3:AE5),3)</f>
        <v>0.106</v>
      </c>
      <c r="AF6" s="247">
        <f>ROUND(PRODUCT(AF3:AF5),3)</f>
        <v>0.44700000000000001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0.9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1481</v>
      </c>
      <c r="X7" s="1301">
        <f>SUM(X5:X6)</f>
        <v>193</v>
      </c>
      <c r="Y7" s="1301">
        <f>SUM(Y5:Y6)</f>
        <v>659</v>
      </c>
      <c r="Z7" s="1301">
        <f>SUM(Z5:Z6)</f>
        <v>51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>
        <f ca="1">IF(C12="SP",SUM(AL5:AN5,AP5),IF(C12="BR",SUM(AL5:AM5,AO5:AP5),SUM(AL5:AM5,AP5)))</f>
        <v>0.109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PPI - Personal Pty Premium</v>
      </c>
      <c r="I8" s="258">
        <f ca="1">IF($B$65="Yes",W7,0)</f>
        <v>1481</v>
      </c>
      <c r="J8" s="258">
        <f>IF($B$65="Yes",X7,0)</f>
        <v>193</v>
      </c>
      <c r="K8" s="258">
        <f>IF(AND($B$65="Yes",$C$12="SP"),Y7,0)</f>
        <v>659</v>
      </c>
      <c r="L8" s="258">
        <f>IF(AND($B$65="Yes",$C$12="BR"),Z7,0)</f>
        <v>0</v>
      </c>
      <c r="O8" s="83" t="s">
        <v>917</v>
      </c>
      <c r="P8" s="1315">
        <f ca="1">ROUND(PRODUCT(P4:P7),3)</f>
        <v>0.52700000000000002</v>
      </c>
      <c r="Q8" s="1315">
        <f>ROUND(PRODUCT(Q4:Q7),3)</f>
        <v>9.6000000000000002E-2</v>
      </c>
      <c r="R8" s="1315">
        <f>ROUND(PRODUCT(R4:R7),3)</f>
        <v>0.40200000000000002</v>
      </c>
      <c r="S8" s="1315">
        <f>ROUND(PRODUCT(S4:S7),3)</f>
        <v>3.5999999999999997E-2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 ca="1"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0.33300000000000002</v>
      </c>
      <c r="AE9" s="247">
        <f>ROUND(PRODUCT(AE6:AE8),3)</f>
        <v>5.2999999999999999E-2</v>
      </c>
      <c r="AF9" s="247">
        <f>ROUND(PRODUCT(AF6:AF8),3)</f>
        <v>0.224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0.65900000000000003</v>
      </c>
      <c r="AU9" s="247">
        <f>ROUND(PRODUCT(AU4:AU7),3)</f>
        <v>0.12</v>
      </c>
      <c r="AV9" s="247">
        <f>ROUND(PRODUCT(AV4:AV7),3)</f>
        <v>0.29399999999999998</v>
      </c>
      <c r="AW9" s="247">
        <f>ROUND(PRODUCT(AW4:AW7),3)</f>
        <v>4.4999999999999998E-2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HPP - Household Personal Pty Premium</v>
      </c>
      <c r="I10" s="258">
        <f ca="1">IF($B$66="Yes",W21,0)</f>
        <v>1481</v>
      </c>
      <c r="J10" s="258">
        <f>IF($B$66="Yes",X21,0)</f>
        <v>193</v>
      </c>
      <c r="K10" s="258">
        <f>IF(AND($B$66="Yes",$C$12="SP"),Y21,0)</f>
        <v>659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1481</v>
      </c>
      <c r="X10" s="1301">
        <f>X5</f>
        <v>193</v>
      </c>
      <c r="Y10" s="1301">
        <f>Y5</f>
        <v>659</v>
      </c>
      <c r="Z10" s="1301">
        <f>Z5</f>
        <v>51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5000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5000</v>
      </c>
      <c r="AU10" s="238">
        <f>IF(F13="Yes",E14/100,C41/100)</f>
        <v>5000</v>
      </c>
      <c r="AV10" s="238">
        <f>IF(F13="Yes",E14/100,C41/100)</f>
        <v>5000</v>
      </c>
      <c r="AW10" s="238">
        <f>IF(F13="Yes",E14/100,C41/100)</f>
        <v>5000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1860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>
        <f ca="1">$AL$7</f>
        <v>0.109</v>
      </c>
      <c r="AM11" s="146"/>
      <c r="AN11" s="146"/>
      <c r="AO11" s="301"/>
      <c r="AP11" s="976"/>
      <c r="AS11" s="301"/>
      <c r="AT11" s="248">
        <f ca="1">ROUND(PRODUCT(AT9:AT10),0)</f>
        <v>3295</v>
      </c>
      <c r="AU11" s="248">
        <f>ROUND(PRODUCT(AU9:AU10),0)</f>
        <v>600</v>
      </c>
      <c r="AV11" s="248">
        <f>ROUND(PRODUCT(AV9:AV10),0)</f>
        <v>1470</v>
      </c>
      <c r="AW11" s="248">
        <f>ROUND(PRODUCT(AW9:AW10),0)</f>
        <v>225</v>
      </c>
      <c r="AZ11" s="1117" t="s">
        <v>2154</v>
      </c>
      <c r="BA11" s="247">
        <f ca="1">P28</f>
        <v>0.52700000000000002</v>
      </c>
      <c r="BB11" s="2">
        <f>Q28</f>
        <v>9.6000000000000002E-2</v>
      </c>
      <c r="BC11" s="558">
        <f>R28</f>
        <v>0.46229999999999999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PPO - Personal Pty of Others Premium</v>
      </c>
      <c r="I12" s="258">
        <f ca="1">IF($B$67="Yes",W35,0)</f>
        <v>1481</v>
      </c>
      <c r="J12" s="258">
        <f>IF($B$67="Yes",X35,0)</f>
        <v>193</v>
      </c>
      <c r="K12" s="258">
        <f>IF(AND($B$67="Yes",$C$12="SP"),Y35,0)</f>
        <v>659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>
        <f ca="1">ROUND(PRODUCT(AL10:AL11),0)</f>
        <v>545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435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0.88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5365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1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1.1499999999999999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0.69799999999999995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0.56699999999999995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0.45700000000000002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2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HPP - Household Personal Pty Premium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0.36799999999999999</v>
      </c>
      <c r="BB15" s="1315">
        <f>ROUND(PRODUCT(BB11,BB14),3)</f>
        <v>5.3999999999999999E-2</v>
      </c>
      <c r="BC15" s="1315">
        <f>ROUND(PRODUCT(BC11,BC14),3)</f>
        <v>0.21099999999999999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18</v>
      </c>
      <c r="D16" s="195"/>
      <c r="E16" s="195"/>
      <c r="F16" s="1067"/>
      <c r="H16" s="788" t="s">
        <v>1289</v>
      </c>
      <c r="I16" s="248">
        <f ca="1">SUM(I5:I15)</f>
        <v>5924</v>
      </c>
      <c r="J16" s="248">
        <f>SUM(J5:J15)</f>
        <v>772</v>
      </c>
      <c r="K16" s="248">
        <f>SUM(K5:K15)</f>
        <v>2636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0.52700000000000002</v>
      </c>
      <c r="X16" s="1300">
        <f>$Q$28</f>
        <v>9.6000000000000002E-2</v>
      </c>
      <c r="Y16" s="1300">
        <f>$R$28</f>
        <v>0.46229999999999999</v>
      </c>
      <c r="Z16" s="1300">
        <f>$S$28</f>
        <v>3.5999999999999997E-2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0.56200000000000006</v>
      </c>
      <c r="X17" s="247">
        <f t="shared" ref="X17:Z17" si="1">Q$31</f>
        <v>0.40300000000000002</v>
      </c>
      <c r="Y17" s="247">
        <f t="shared" si="1"/>
        <v>0.28499999999999998</v>
      </c>
      <c r="Z17" s="247">
        <f t="shared" si="1"/>
        <v>0.28499999999999998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0.40200000000000002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 ca="1"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>
        <v>2</v>
      </c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5000</v>
      </c>
      <c r="X18" s="1299">
        <f>IF(B66="Yes",C66/100,0)</f>
        <v>5000</v>
      </c>
      <c r="Y18" s="1299">
        <f>IF(B66="Yes",C66/100,0)</f>
        <v>5000</v>
      </c>
      <c r="Z18" s="1299">
        <f>IF(B66="Yes",C66/100,0)</f>
        <v>5000</v>
      </c>
      <c r="AA18" s="266"/>
      <c r="AB18" s="266"/>
      <c r="AC18" s="268" t="s">
        <v>1019</v>
      </c>
      <c r="AD18" s="423">
        <f>HLOOKUP(C11,Table_StateRates,5,FALSE)</f>
        <v>0.9</v>
      </c>
      <c r="AE18" s="423">
        <f>HLOOKUP(C11,Table_StateRates,5,FALSE)</f>
        <v>0.9</v>
      </c>
      <c r="AF18" s="423">
        <f>HLOOKUP(C11,Table_StateRates,5,FALSE)</f>
        <v>0.9</v>
      </c>
      <c r="AG18" s="423">
        <f>HLOOKUP(C11,Table_StateRates,5,FALSE)</f>
        <v>0.9</v>
      </c>
      <c r="AI18" s="266"/>
      <c r="AJ18" s="266"/>
      <c r="AK18" s="268" t="s">
        <v>1019</v>
      </c>
      <c r="AL18" s="423">
        <f>HLOOKUP(C11,Table_StateRates,5,FALSE)</f>
        <v>0.9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9.6000000000000002E-2</v>
      </c>
      <c r="AV18" s="247">
        <f>IF(AND(C27="Yes",C12="SP"),VLOOKUP(C33,Table_Special_PP,3,0),0)</f>
        <v>0.23499999999999999</v>
      </c>
      <c r="AW18" s="2">
        <f>S28</f>
        <v>3.5999999999999997E-2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85"/>
      <c r="B19" s="86"/>
      <c r="C19" s="1103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1481</v>
      </c>
      <c r="X19" s="1306">
        <f>ROUND(PRODUCT(X16:X18),0)</f>
        <v>193</v>
      </c>
      <c r="Y19" s="1306">
        <f>ROUND(PRODUCT(Y16:Y18),0)</f>
        <v>659</v>
      </c>
      <c r="Z19" s="1306">
        <f>ROUND(PRODUCT(Z16:Z18),0)</f>
        <v>51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0.38800000000000001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0.52700000000000002</v>
      </c>
      <c r="Q20" s="1312">
        <f>ROUND(PRODUCT(Q8:Q19),3)</f>
        <v>9.6000000000000002E-2</v>
      </c>
      <c r="R20" s="1312">
        <f>ROUND(PRODUCT(R8:R19),3)</f>
        <v>0.40200000000000002</v>
      </c>
      <c r="S20" s="1312">
        <f>ROUND(PRODUCT(S8:S19),3)</f>
        <v>3.5999999999999997E-2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1.71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9.6000000000000002E-2</v>
      </c>
      <c r="AV20" s="247">
        <f>PRODUCT(AV18:AV19)</f>
        <v>0.23499999999999999</v>
      </c>
      <c r="AW20" s="247">
        <f>PRODUCT(AW18:AW19)</f>
        <v>3.5999999999999997E-2</v>
      </c>
      <c r="AZ20" s="168" t="s">
        <v>1335</v>
      </c>
      <c r="BA20" s="248">
        <f>F24</f>
        <v>0</v>
      </c>
      <c r="BD20" s="168" t="s">
        <v>1337</v>
      </c>
      <c r="BE20" s="248">
        <f ca="1"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0.9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>
        <f ca="1">SUM(W19:W20)</f>
        <v>1481</v>
      </c>
      <c r="X21" s="1301">
        <f>SUM(X19:X20)</f>
        <v>193</v>
      </c>
      <c r="Y21" s="1301">
        <f>SUM(Y19:Y20)</f>
        <v>659</v>
      </c>
      <c r="Z21" s="1301">
        <f>SUM(Z19:Z20)</f>
        <v>51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0.23499999999999999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 ca="1"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0.73699999999999999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0.26400000000000001</v>
      </c>
      <c r="AE22" s="247">
        <f>ROUND(PRODUCT(AE9:AE21),3)</f>
        <v>4.8000000000000001E-2</v>
      </c>
      <c r="AF22" s="247">
        <f>ROUND(PRODUCT(AF9:AF21),3)</f>
        <v>0.23200000000000001</v>
      </c>
      <c r="AG22" s="247">
        <f>ROUND(PRODUCT(AG9:AG21),3)</f>
        <v>1.7999999999999999E-2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0.9</v>
      </c>
      <c r="AU22" s="207">
        <f>HLOOKUP(C11,Table_StateRates,5,FALSE)</f>
        <v>0.9</v>
      </c>
      <c r="AV22" s="207">
        <f>HLOOKUP(C11,Table_StateRates,5,FALSE)</f>
        <v>0.9</v>
      </c>
      <c r="AW22" s="207">
        <f>HLOOKUP(C11,Table_StateRates,5,FALSE)</f>
        <v>0.9</v>
      </c>
      <c r="AZ22" s="83" t="s">
        <v>1334</v>
      </c>
      <c r="BA22" s="2">
        <f>ROUND(BA20/BA21,3)</f>
        <v>0</v>
      </c>
      <c r="BD22" s="83" t="s">
        <v>1339</v>
      </c>
      <c r="BE22" s="248">
        <f ca="1">IF(BE20=0,0,BE20-BE21)</f>
        <v>0</v>
      </c>
      <c r="BG22" s="146"/>
      <c r="BH22" s="545" t="s">
        <v>1019</v>
      </c>
      <c r="BI22" s="299">
        <f>HLOOKUP(C11,Table_StateRates,5,FALSE)</f>
        <v>0.9</v>
      </c>
      <c r="BJ22" s="299">
        <f>HLOOKUP(C11,Table_StateRates,5,FALSE)</f>
        <v>0.9</v>
      </c>
      <c r="BK22" s="299">
        <f>HLOOKUP(C11,Table_StateRates,5,FALSE)</f>
        <v>0.9</v>
      </c>
      <c r="BL22" s="299">
        <f>HLOOKUP(C11,Table_StateRates,5,FALSE)</f>
        <v>0.9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0.40200000000000002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>
        <f ca="1">ROUND(PRODUCT(BP21:BP22),3)</f>
        <v>7.3999999999999996E-2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1481</v>
      </c>
      <c r="X24" s="1301">
        <f>X19</f>
        <v>193</v>
      </c>
      <c r="Y24" s="1301">
        <f>Y19</f>
        <v>659</v>
      </c>
      <c r="Z24" s="1301">
        <f>Z19</f>
        <v>51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 ca="1"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1</v>
      </c>
      <c r="Q25" s="1314">
        <f>ROUND(PRODUCT(Q21:Q24),3)</f>
        <v>1</v>
      </c>
      <c r="R25" s="1314">
        <f>ROUND(PRODUCT(R21:R24),3)</f>
        <v>1</v>
      </c>
      <c r="S25" s="1314">
        <f>ROUND(PRODUCT(S21:S24),3)</f>
        <v>1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/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1.1499999999999999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0.40200000000000002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0.52700000000000002</v>
      </c>
      <c r="Q27" s="757">
        <f>Q20</f>
        <v>9.6000000000000002E-2</v>
      </c>
      <c r="R27" s="757">
        <f>R20</f>
        <v>0.40200000000000002</v>
      </c>
      <c r="S27" s="757">
        <f>S20</f>
        <v>3.5999999999999997E-2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7.3999999999999996E-2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0.52700000000000002</v>
      </c>
      <c r="Q28" s="1315">
        <f>IF($C$30="Yes",C31,ROUND(PRODUCT(Q25:Q27),3))</f>
        <v>9.6000000000000002E-2</v>
      </c>
      <c r="R28" s="1484">
        <f>IF($C$30="Yes",B32,ROUND(PRODUCT(R25:R27),4))</f>
        <v>0.46229999999999999</v>
      </c>
      <c r="S28" s="1315">
        <f>IF($C$30="Yes",C32,ROUND(PRODUCT(S25:S27),3))</f>
        <v>3.5999999999999997E-2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0.16400000000000001</v>
      </c>
      <c r="AV28" s="247">
        <f>ROUND(PRODUCT(AV20:AV27),3)</f>
        <v>0.40200000000000002</v>
      </c>
      <c r="AW28" s="247">
        <f>ROUND(PRODUCT(AW20:AW27),3)</f>
        <v>6.2E-2</v>
      </c>
      <c r="AY28" s="60" t="s">
        <v>1583</v>
      </c>
      <c r="BH28" s="301" t="s">
        <v>1389</v>
      </c>
      <c r="BI28" s="247">
        <f>ROUND(PRODUCT(BI19:BI27),3)</f>
        <v>1.4E-2</v>
      </c>
      <c r="BJ28" s="247">
        <f>ROUND(PRODUCT(BJ19:BJ27),3)</f>
        <v>0.01</v>
      </c>
      <c r="BK28" s="247">
        <f>ROUND(PRODUCT(BK19:BK27),3)</f>
        <v>3.5999999999999997E-2</v>
      </c>
      <c r="BL28" s="247">
        <f>ROUND(PRODUCT(BL19:BL27),3)</f>
        <v>0.01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PPO - Personal Pty of Others Premium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0.52700000000000002</v>
      </c>
      <c r="X30" s="1300">
        <f>$Q$28</f>
        <v>9.6000000000000002E-2</v>
      </c>
      <c r="Y30" s="1300">
        <f>$R$28</f>
        <v>0.46229999999999999</v>
      </c>
      <c r="Z30" s="1300">
        <f>$S$28</f>
        <v>3.5999999999999997E-2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/>
      <c r="C31" s="1455"/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0.56200000000000006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0.40300000000000002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0.28499999999999998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0.28499999999999998</v>
      </c>
      <c r="T31" s="299"/>
      <c r="U31" s="1288"/>
      <c r="V31" s="1117" t="s">
        <v>2152</v>
      </c>
      <c r="W31" s="247">
        <f>P$31</f>
        <v>0.56200000000000006</v>
      </c>
      <c r="X31" s="247">
        <f t="shared" ref="X31:Z31" si="2">Q$31</f>
        <v>0.40300000000000002</v>
      </c>
      <c r="Y31" s="247">
        <f t="shared" si="2"/>
        <v>0.28499999999999998</v>
      </c>
      <c r="Z31" s="247">
        <f t="shared" si="2"/>
        <v>0.28499999999999998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/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5000</v>
      </c>
      <c r="Q32" s="238">
        <f>IF(ISBLANK(C41),0,C41/100)</f>
        <v>5000</v>
      </c>
      <c r="R32" s="238">
        <f>IF(ISBLANK(C41),0,C41/100)</f>
        <v>5000</v>
      </c>
      <c r="S32" s="238">
        <f>IF(ISBLANK(C41),0,C41/100)</f>
        <v>5000</v>
      </c>
      <c r="T32" s="248"/>
      <c r="U32" s="1298"/>
      <c r="V32" s="1283" t="s">
        <v>1025</v>
      </c>
      <c r="W32" s="1299">
        <f>IF(B67="Yes",C67/100,0)</f>
        <v>5000</v>
      </c>
      <c r="X32" s="1299">
        <f>IF(B67="Yes",C67/100,0)</f>
        <v>5000</v>
      </c>
      <c r="Y32" s="1299">
        <f>IF(B67="Yes",C67/100,0)</f>
        <v>5000</v>
      </c>
      <c r="Z32" s="1299">
        <f>IF(B67="Yes",C67/100,0)</f>
        <v>5000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0.9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Apts/Condos</v>
      </c>
      <c r="C33" s="1201">
        <f>IF(ISTEXT(C35),VLOOKUP(C35,Table_G1_LC,3,0),"NA")</f>
        <v>1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1481</v>
      </c>
      <c r="Q33" s="1481">
        <f>IF($C$30="Yes",ROUND(PRODUCT(Q28,Q32),0),ROUND(PRODUCT(Q28,Q31:Q32),0))</f>
        <v>193</v>
      </c>
      <c r="R33" s="1481">
        <f>IF($C$30="Yes",ROUND(PRODUCT(R28,R32),0),ROUND(PRODUCT(R28,R31:R32),0))</f>
        <v>659</v>
      </c>
      <c r="S33" s="1481">
        <f>IF($C$30="Yes",ROUND(PRODUCT(S28,S32),0),ROUND(PRODUCT(S28,S31:S32),0))</f>
        <v>51</v>
      </c>
      <c r="U33" s="1293"/>
      <c r="V33" s="1303" t="s">
        <v>2161</v>
      </c>
      <c r="W33" s="1306">
        <f ca="1">ROUND(PRODUCT(W30:W32),0)</f>
        <v>1481</v>
      </c>
      <c r="X33" s="1306">
        <f>ROUND(PRODUCT(X30:X32),0)</f>
        <v>193</v>
      </c>
      <c r="Y33" s="1306">
        <f>ROUND(PRODUCT(Y30:Y32),0)</f>
        <v>659</v>
      </c>
      <c r="Z33" s="1306">
        <f>ROUND(PRODUCT(Z30:Z32),0)</f>
        <v>51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0.9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52</v>
      </c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1481</v>
      </c>
      <c r="Q35" s="248">
        <f>SUM(Q33:Q34)</f>
        <v>193</v>
      </c>
      <c r="R35" s="248">
        <f>SUM(R33:R34)</f>
        <v>659</v>
      </c>
      <c r="S35" s="248">
        <f>SUM(S33:S34)</f>
        <v>51</v>
      </c>
      <c r="T35" s="235"/>
      <c r="U35" s="1288"/>
      <c r="V35" s="1291" t="s">
        <v>2162</v>
      </c>
      <c r="W35" s="1301">
        <f ca="1">SUM(W33:W34)</f>
        <v>1481</v>
      </c>
      <c r="X35" s="1301">
        <f>SUM(X33:X34)</f>
        <v>193</v>
      </c>
      <c r="Y35" s="1301">
        <f>SUM(Y33:Y34)</f>
        <v>659</v>
      </c>
      <c r="Z35" s="1301">
        <f>SUM(Z33:Z34)</f>
        <v>51</v>
      </c>
      <c r="AA35" s="235"/>
      <c r="AB35" s="385"/>
      <c r="AC35" s="700" t="s">
        <v>1019</v>
      </c>
      <c r="AD35" s="559">
        <f>HLOOKUP(C11,Table_StateRates,5,FALSE)</f>
        <v>0.9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1481</v>
      </c>
      <c r="X38" s="1301">
        <f>X33</f>
        <v>193</v>
      </c>
      <c r="Y38" s="1301">
        <f>Y33</f>
        <v>659</v>
      </c>
      <c r="Z38" s="1301">
        <f>Z33</f>
        <v>51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1481</v>
      </c>
      <c r="Q39" s="248">
        <f>Q33</f>
        <v>193</v>
      </c>
      <c r="R39" s="248">
        <f>R33</f>
        <v>659</v>
      </c>
      <c r="S39" s="248">
        <f>S33</f>
        <v>51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0.9</v>
      </c>
      <c r="BQ39" s="423"/>
      <c r="BR39" s="542"/>
      <c r="BS39" s="597" t="s">
        <v>1019</v>
      </c>
      <c r="BT39" s="279">
        <f>HLOOKUP(C11,Table_StateRates,5,FALSE)</f>
        <v>0.9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2.5999999999999999E-2</v>
      </c>
      <c r="BQ40" s="559"/>
      <c r="BR40" s="423"/>
      <c r="BS40" s="810" t="s">
        <v>1134</v>
      </c>
      <c r="BT40" s="426">
        <f>ROUND(PRODUCT(BT35:BT39),3)</f>
        <v>2.5999999999999999E-2</v>
      </c>
    </row>
    <row r="41" spans="1:72" ht="13.5" thickBot="1" x14ac:dyDescent="0.25">
      <c r="A41" s="203" t="s">
        <v>2268</v>
      </c>
      <c r="B41" s="104"/>
      <c r="C41" s="943">
        <v>500000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0.88</v>
      </c>
      <c r="BQ41" s="426"/>
      <c r="BR41" s="423"/>
      <c r="BS41" s="906" t="s">
        <v>1178</v>
      </c>
      <c r="BT41" s="423">
        <f>IF(OR(C28="S",C28="T"),1,VLOOKUP(C14,Table_ProtClass,IF(C15&lt;=3,2,3),FALSE))</f>
        <v>0.88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>
        <f>ROUND(PRODUCT(BT40:BT42),3)</f>
        <v>1.0999999999999999E-2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0.52700000000000002</v>
      </c>
      <c r="X44" s="1300">
        <f>$Q$28</f>
        <v>9.6000000000000002E-2</v>
      </c>
      <c r="Y44" s="1300">
        <f>$R$28</f>
        <v>0.46229999999999999</v>
      </c>
      <c r="Z44" s="1300">
        <f>$S$28</f>
        <v>3.5999999999999997E-2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0.56200000000000006</v>
      </c>
      <c r="X45" s="247">
        <f t="shared" ref="X45:Z45" si="3">Q$31</f>
        <v>0.40300000000000002</v>
      </c>
      <c r="Y45" s="247">
        <f t="shared" si="3"/>
        <v>0.28499999999999998</v>
      </c>
      <c r="Z45" s="247">
        <f t="shared" si="3"/>
        <v>0.28499999999999998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2.3E-2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5000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115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115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115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 ca="1">SUM(I16:L16,I38,I46,I52)</f>
        <v>9332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 ca="1">SUM(I54,I49)</f>
        <v>9447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 t="s">
        <v>2267</v>
      </c>
      <c r="B65" s="940" t="s">
        <v>833</v>
      </c>
      <c r="C65" s="1101">
        <v>500000</v>
      </c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 t="s">
        <v>2320</v>
      </c>
      <c r="B66" s="940" t="s">
        <v>833</v>
      </c>
      <c r="C66" s="1101">
        <v>500000</v>
      </c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 t="s">
        <v>2321</v>
      </c>
      <c r="B67" s="940" t="s">
        <v>833</v>
      </c>
      <c r="C67" s="1101">
        <v>500000</v>
      </c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2000000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320" priority="17" stopIfTrue="1">
      <formula>IF($C$24="Yes",FALSE,TRUE)</formula>
    </cfRule>
  </conditionalFormatting>
  <conditionalFormatting sqref="C18">
    <cfRule type="expression" dxfId="319" priority="15">
      <formula>IF($C$12="SP",TRUE,FALSE)</formula>
    </cfRule>
    <cfRule type="expression" dxfId="318" priority="16">
      <formula>IF($C$12="SP",TRUE,FALSE)</formula>
    </cfRule>
  </conditionalFormatting>
  <conditionalFormatting sqref="A18">
    <cfRule type="expression" dxfId="317" priority="14">
      <formula>IF($C$12="SP",TRUE,FALSE)</formula>
    </cfRule>
  </conditionalFormatting>
  <conditionalFormatting sqref="B21">
    <cfRule type="expression" dxfId="316" priority="11">
      <formula>IF($C$21="Yes",TRUE,FALSE)</formula>
    </cfRule>
  </conditionalFormatting>
  <conditionalFormatting sqref="C32">
    <cfRule type="expression" dxfId="315" priority="2">
      <formula>IF(AND($C$30="Yes",$C$12="BR"),TRUE,FALSE)</formula>
    </cfRule>
  </conditionalFormatting>
  <conditionalFormatting sqref="B32">
    <cfRule type="expression" dxfId="314" priority="1">
      <formula>IF(AND($C$30="Yes",$C$12="SP"),TRUE,FALSE)</formula>
    </cfRule>
  </conditionalFormatting>
  <conditionalFormatting sqref="B31:C31">
    <cfRule type="expression" dxfId="313" priority="3">
      <formula>IF($C$30="Yes",TRUE,FALSE)</formula>
    </cfRule>
  </conditionalFormatting>
  <dataValidations count="111"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type="custom" allowBlank="1" showInputMessage="1" showErrorMessage="1" prompt="Spoilage Loss Cost Column Reference" sqref="F37">
      <formula1>FALSE</formula1>
    </dataValidation>
    <dataValidation type="custom" allowBlank="1" showInputMessage="1" showErrorMessage="1" prompt="Lookup Value for Spoil Coverage Loss Cost Table" sqref="F33">
      <formula1>FALSE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Spoilage Coverage" prompt="Please Select:_x000a_{ Yes or No }" sqref="F32">
      <formula1>List_YN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custom" allowBlank="1" showInputMessage="1" showErrorMessage="1" prompt="EQ Table Lookup Value" sqref="F54:F5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Personal Property Lookup Value" sqref="F45">
      <formula1>FALSE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allowBlank="1" showInputMessage="1" showErrorMessage="1" promptTitle="Occupancy Type Description" prompt="Displays the description of the choice made in the cell to the left.  " sqref="B38 B33"/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custom" allowBlank="1" showInputMessage="1" showErrorMessage="1" errorTitle="Do Not Touch" error="This is used to generate the Coinsurance rate." sqref="B58 E62">
      <formula1>FALSE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A78"/>
  <sheetViews>
    <sheetView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0.9</v>
      </c>
      <c r="Q2" s="423">
        <f>HLOOKUP(C11,Table_StateRates,5,FALSE)</f>
        <v>0.9</v>
      </c>
      <c r="R2" s="423">
        <f>HLOOKUP(C11,Table_StateRates,5,FALSE)</f>
        <v>0.9</v>
      </c>
      <c r="S2" s="423">
        <f>HLOOKUP(C11,Table_StateRates,5,FALSE)</f>
        <v>0.9</v>
      </c>
      <c r="U2" s="1290"/>
      <c r="V2" s="1294" t="s">
        <v>2165</v>
      </c>
      <c r="W2" s="1300">
        <f ca="1">$P$28</f>
        <v>0.188</v>
      </c>
      <c r="X2" s="1300">
        <f>$Q$28</f>
        <v>0.13200000000000001</v>
      </c>
      <c r="Y2" s="1300">
        <f>$R$28</f>
        <v>0.222</v>
      </c>
      <c r="Z2" s="1300">
        <f>$S$28</f>
        <v>3.5999999999999997E-2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0.188</v>
      </c>
      <c r="AU2" s="247">
        <f>Q28</f>
        <v>0.13200000000000001</v>
      </c>
      <c r="AV2" s="247">
        <f>IF(AND(C27="Yes",C12="SP"),VLOOKUP(C33,Table_Special_PP,3,0),0)</f>
        <v>0.113</v>
      </c>
      <c r="AW2" s="247">
        <f>S28</f>
        <v>3.5999999999999997E-2</v>
      </c>
      <c r="AZ2" s="1117" t="s">
        <v>2154</v>
      </c>
      <c r="BA2" s="247">
        <f ca="1">P28</f>
        <v>0.188</v>
      </c>
      <c r="BB2" s="2">
        <f>Q28</f>
        <v>0.13200000000000001</v>
      </c>
      <c r="BC2" s="558">
        <f>R28</f>
        <v>0.222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 t="str">
        <f>Summary2</f>
        <v>#15 - R31 - PP - SPECIAL HPP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0.69799999999999995</v>
      </c>
      <c r="X3" s="247">
        <f t="shared" ref="X3:Z3" si="0">Q$31</f>
        <v>0.56699999999999995</v>
      </c>
      <c r="Y3" s="247">
        <f t="shared" si="0"/>
        <v>0.45700000000000002</v>
      </c>
      <c r="Z3" s="247">
        <f t="shared" si="0"/>
        <v>0.45700000000000002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0.125</v>
      </c>
      <c r="AE3" s="2">
        <f>IF(OR(C28="S",C28="T"),C29,VLOOKUP(C16,Table_G2SymLC,3,FALSE)*IF(C60&lt;&gt;"Yes",B16,1))</f>
        <v>7.6999999999999999E-2</v>
      </c>
      <c r="AF3" s="247">
        <f>R5</f>
        <v>0.113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0.188</v>
      </c>
      <c r="AM3" s="4">
        <f>Q28</f>
        <v>0.13200000000000001</v>
      </c>
      <c r="AN3" s="780">
        <f ca="1">IF(AND(C27="Yes",C12="SP"),IF(C13=1,R28,IF(C13=2,INDIRECT(VLOOKUP(C33,Table_Special_PP,6,FALSE)),"Select Type")),0)</f>
        <v>0.222</v>
      </c>
      <c r="AO3" s="4">
        <f>S28</f>
        <v>3.5999999999999997E-2</v>
      </c>
      <c r="AP3" s="4" t="e">
        <f>IF(#REF!="Yes",#REF!,0)</f>
        <v>#REF!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1.71</v>
      </c>
      <c r="Q4" s="1312">
        <f>PRODUCT(Q2:Q3)</f>
        <v>1.71</v>
      </c>
      <c r="R4" s="1312">
        <f>PRODUCT(R2:R3)</f>
        <v>1.71</v>
      </c>
      <c r="S4" s="1312">
        <f>PRODUCT(S2:S3)</f>
        <v>1.71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0.188</v>
      </c>
      <c r="AU4" s="247">
        <f>ROUND(AU2/AU3,3)</f>
        <v>0.13200000000000001</v>
      </c>
      <c r="AV4" s="247">
        <f>ROUND(AV2/AV3,3)</f>
        <v>0.113</v>
      </c>
      <c r="AW4" s="247">
        <f>ROUND(AW2/AW3,3)</f>
        <v>3.5999999999999997E-2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>
        <f ca="1">IF(C27="Yes",P35,0)</f>
        <v>656</v>
      </c>
      <c r="J5" s="258">
        <f>IF(C27="Yes",Q35,0)</f>
        <v>374</v>
      </c>
      <c r="K5" s="258">
        <f>IF(AND(C27="Yes",C12="SP"),R35,0)</f>
        <v>507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0.125</v>
      </c>
      <c r="Q5" s="247">
        <f>IF(OR(C28="S",C28="T"),C29,VLOOKUP(C16,Table_G2SymLC,3,FALSE)*IF(C60&lt;&gt;"Yes",B16,1))</f>
        <v>7.6999999999999999E-2</v>
      </c>
      <c r="R5" s="247">
        <f>IF(AND(C27="Yes",C12="SP"),VLOOKUP(C33,Table_Special_PP,3,0),0)</f>
        <v>0.113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0</v>
      </c>
      <c r="X5" s="1306">
        <f>ROUND(PRODUCT(X2:X4),0)</f>
        <v>0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1.9E-2</v>
      </c>
      <c r="AM5" s="4">
        <f>ROUND(PRODUCT(AM3:AM4),3)</f>
        <v>1.2999999999999999E-2</v>
      </c>
      <c r="AN5" s="780">
        <f ca="1">ROUND(PRODUCT(AN3:AN4),3)</f>
        <v>2.1999999999999999E-2</v>
      </c>
      <c r="AO5" s="4">
        <f>ROUND(PRODUCT(AO3:AO4),3)</f>
        <v>4.0000000000000001E-3</v>
      </c>
      <c r="AP5" s="4" t="e">
        <f>ROUND(PRODUCT(AP3:AP4),3)</f>
        <v>#REF!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0.9</v>
      </c>
      <c r="BJ5" s="299">
        <f>HLOOKUP(C11,Table_StateRates,5,FALSE)</f>
        <v>0.9</v>
      </c>
      <c r="BK5" s="299">
        <f>HLOOKUP(C11,Table_StateRates,5,FALSE)</f>
        <v>0.9</v>
      </c>
      <c r="BL5" s="299">
        <f>HLOOKUP(C11,Table_StateRates,5,FALSE)</f>
        <v>0.9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984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0.88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0.23799999999999999</v>
      </c>
      <c r="AE6" s="247">
        <f>ROUND(PRODUCT(AE3:AE5),3)</f>
        <v>0.14599999999999999</v>
      </c>
      <c r="AF6" s="247">
        <f>ROUND(PRODUCT(AF3:AF5),3)</f>
        <v>0.215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0.9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0</v>
      </c>
      <c r="X7" s="1301">
        <f>SUM(X5:X6)</f>
        <v>0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#REF!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0.188</v>
      </c>
      <c r="Q8" s="1315">
        <f>ROUND(PRODUCT(Q4:Q7),3)</f>
        <v>0.13200000000000001</v>
      </c>
      <c r="R8" s="1315">
        <f>ROUND(PRODUCT(R4:R7),3)</f>
        <v>0.193</v>
      </c>
      <c r="S8" s="1315">
        <f>ROUND(PRODUCT(S4:S7),3)</f>
        <v>3.5999999999999997E-2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 ca="1"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0.11899999999999999</v>
      </c>
      <c r="AE9" s="247">
        <f>ROUND(PRODUCT(AE6:AE8),3)</f>
        <v>7.2999999999999995E-2</v>
      </c>
      <c r="AF9" s="247">
        <f>ROUND(PRODUCT(AF6:AF8),3)</f>
        <v>0.108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0.23499999999999999</v>
      </c>
      <c r="AU9" s="247">
        <f>ROUND(PRODUCT(AU4:AU7),3)</f>
        <v>0.16500000000000001</v>
      </c>
      <c r="AV9" s="247">
        <f>ROUND(PRODUCT(AV4:AV7),3)</f>
        <v>0.14099999999999999</v>
      </c>
      <c r="AW9" s="247">
        <f>ROUND(PRODUCT(AW4:AW7),3)</f>
        <v>4.4999999999999998E-2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0</v>
      </c>
      <c r="X10" s="1301">
        <f>X5</f>
        <v>0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5000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5000</v>
      </c>
      <c r="AU10" s="238">
        <f>IF(F13="Yes",E14/100,C41/100)</f>
        <v>5000</v>
      </c>
      <c r="AV10" s="238">
        <f>IF(F13="Yes",E14/100,C41/100)</f>
        <v>5000</v>
      </c>
      <c r="AW10" s="238">
        <f>IF(F13="Yes",E14/100,C41/100)</f>
        <v>5000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1860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#REF!</v>
      </c>
      <c r="AM11" s="146"/>
      <c r="AN11" s="146"/>
      <c r="AO11" s="301"/>
      <c r="AP11" s="976"/>
      <c r="AS11" s="301"/>
      <c r="AT11" s="248">
        <f ca="1">ROUND(PRODUCT(AT9:AT10),0)</f>
        <v>1175</v>
      </c>
      <c r="AU11" s="248">
        <f>ROUND(PRODUCT(AU9:AU10),0)</f>
        <v>825</v>
      </c>
      <c r="AV11" s="248">
        <f>ROUND(PRODUCT(AV9:AV10),0)</f>
        <v>705</v>
      </c>
      <c r="AW11" s="248">
        <f>ROUND(PRODUCT(AW9:AW10),0)</f>
        <v>225</v>
      </c>
      <c r="AZ11" s="1117" t="s">
        <v>2154</v>
      </c>
      <c r="BA11" s="247">
        <f ca="1">P28</f>
        <v>0.188</v>
      </c>
      <c r="BB11" s="2">
        <f>Q28</f>
        <v>0.13200000000000001</v>
      </c>
      <c r="BC11" s="558">
        <f>R28</f>
        <v>0.222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#REF!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435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0.88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2705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1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1.1499999999999999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0.69799999999999995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0.56699999999999995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0.45700000000000002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2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0.13100000000000001</v>
      </c>
      <c r="BB15" s="1315">
        <f>ROUND(PRODUCT(BB11,BB14),3)</f>
        <v>7.4999999999999997E-2</v>
      </c>
      <c r="BC15" s="1315">
        <f>ROUND(PRODUCT(BC11,BC14),3)</f>
        <v>0.10100000000000001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28</v>
      </c>
      <c r="D16" s="195"/>
      <c r="E16" s="195"/>
      <c r="F16" s="1067"/>
      <c r="H16" s="788" t="s">
        <v>1289</v>
      </c>
      <c r="I16" s="248">
        <f ca="1">SUM(I5:I15)</f>
        <v>656</v>
      </c>
      <c r="J16" s="248">
        <f>SUM(J5:J15)</f>
        <v>374</v>
      </c>
      <c r="K16" s="248">
        <f>SUM(K5:K15)</f>
        <v>507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0.188</v>
      </c>
      <c r="X16" s="1300">
        <f>$Q$28</f>
        <v>0.13200000000000001</v>
      </c>
      <c r="Y16" s="1300">
        <f>$R$28</f>
        <v>0.222</v>
      </c>
      <c r="Z16" s="1300">
        <f>$S$28</f>
        <v>3.5999999999999997E-2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0.69799999999999995</v>
      </c>
      <c r="X17" s="247">
        <f t="shared" ref="X17:Z17" si="1">Q$31</f>
        <v>0.56699999999999995</v>
      </c>
      <c r="Y17" s="247">
        <f t="shared" si="1"/>
        <v>0.45700000000000002</v>
      </c>
      <c r="Z17" s="247">
        <f t="shared" si="1"/>
        <v>0.45700000000000002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0.193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 ca="1"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>
        <v>2</v>
      </c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0.9</v>
      </c>
      <c r="AE18" s="423">
        <f>HLOOKUP(C11,Table_StateRates,5,FALSE)</f>
        <v>0.9</v>
      </c>
      <c r="AF18" s="423">
        <f>HLOOKUP(C11,Table_StateRates,5,FALSE)</f>
        <v>0.9</v>
      </c>
      <c r="AG18" s="423">
        <f>HLOOKUP(C11,Table_StateRates,5,FALSE)</f>
        <v>0.9</v>
      </c>
      <c r="AI18" s="266"/>
      <c r="AJ18" s="266"/>
      <c r="AK18" s="268" t="s">
        <v>1019</v>
      </c>
      <c r="AL18" s="423">
        <f>HLOOKUP(C11,Table_StateRates,5,FALSE)</f>
        <v>0.9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0.13200000000000001</v>
      </c>
      <c r="AV18" s="247">
        <f>IF(AND(C27="Yes",C12="SP"),VLOOKUP(C33,Table_Special_PP,3,0),0)</f>
        <v>0.113</v>
      </c>
      <c r="AW18" s="2">
        <f>S28</f>
        <v>3.5999999999999997E-2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0</v>
      </c>
      <c r="X19" s="1306">
        <f>ROUND(PRODUCT(X16:X18),0)</f>
        <v>0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0.13800000000000001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0.188</v>
      </c>
      <c r="Q20" s="1312">
        <f>ROUND(PRODUCT(Q8:Q19),3)</f>
        <v>0.13200000000000001</v>
      </c>
      <c r="R20" s="1312">
        <f>ROUND(PRODUCT(R8:R19),3)</f>
        <v>0.193</v>
      </c>
      <c r="S20" s="1312">
        <f>ROUND(PRODUCT(S8:S19),3)</f>
        <v>3.5999999999999997E-2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1.71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0.13200000000000001</v>
      </c>
      <c r="AV20" s="247">
        <f>PRODUCT(AV18:AV19)</f>
        <v>0.113</v>
      </c>
      <c r="AW20" s="247">
        <f>PRODUCT(AW18:AW19)</f>
        <v>3.5999999999999997E-2</v>
      </c>
      <c r="AZ20" s="168" t="s">
        <v>1335</v>
      </c>
      <c r="BA20" s="248">
        <f>F24</f>
        <v>0</v>
      </c>
      <c r="BD20" s="168" t="s">
        <v>1337</v>
      </c>
      <c r="BE20" s="248">
        <f ca="1"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0.9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>
        <f ca="1">SUM(W19:W20)</f>
        <v>0</v>
      </c>
      <c r="X21" s="1301">
        <f>SUM(X19:X20)</f>
        <v>0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0.113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 ca="1"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0.26200000000000001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9.4E-2</v>
      </c>
      <c r="AE22" s="247">
        <f>ROUND(PRODUCT(AE9:AE21),3)</f>
        <v>6.6000000000000003E-2</v>
      </c>
      <c r="AF22" s="247">
        <f>ROUND(PRODUCT(AF9:AF21),3)</f>
        <v>0.112</v>
      </c>
      <c r="AG22" s="247">
        <f>ROUND(PRODUCT(AG9:AG21),3)</f>
        <v>1.7999999999999999E-2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0.9</v>
      </c>
      <c r="AU22" s="207">
        <f>HLOOKUP(C11,Table_StateRates,5,FALSE)</f>
        <v>0.9</v>
      </c>
      <c r="AV22" s="207">
        <f>HLOOKUP(C11,Table_StateRates,5,FALSE)</f>
        <v>0.9</v>
      </c>
      <c r="AW22" s="207">
        <f>HLOOKUP(C11,Table_StateRates,5,FALSE)</f>
        <v>0.9</v>
      </c>
      <c r="AZ22" s="83" t="s">
        <v>1334</v>
      </c>
      <c r="BA22" s="2">
        <f>ROUND(BA20/BA21,3)</f>
        <v>0</v>
      </c>
      <c r="BD22" s="83" t="s">
        <v>1339</v>
      </c>
      <c r="BE22" s="248">
        <f ca="1">IF(BE20=0,0,BE20-BE21)</f>
        <v>0</v>
      </c>
      <c r="BG22" s="146"/>
      <c r="BH22" s="545" t="s">
        <v>1019</v>
      </c>
      <c r="BI22" s="299">
        <f>HLOOKUP(C11,Table_StateRates,5,FALSE)</f>
        <v>0.9</v>
      </c>
      <c r="BJ22" s="299">
        <f>HLOOKUP(C11,Table_StateRates,5,FALSE)</f>
        <v>0.9</v>
      </c>
      <c r="BK22" s="299">
        <f>HLOOKUP(C11,Table_StateRates,5,FALSE)</f>
        <v>0.9</v>
      </c>
      <c r="BL22" s="299">
        <f>HLOOKUP(C11,Table_StateRates,5,FALSE)</f>
        <v>0.9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0.193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>
        <f ca="1">ROUND(PRODUCT(BP21:BP22),3)</f>
        <v>2.5999999999999999E-2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0</v>
      </c>
      <c r="X24" s="1301">
        <f>X19</f>
        <v>0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 ca="1"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1</v>
      </c>
      <c r="Q25" s="1314">
        <f>ROUND(PRODUCT(Q21:Q24),3)</f>
        <v>1</v>
      </c>
      <c r="R25" s="1314">
        <f>ROUND(PRODUCT(R21:R24),3)</f>
        <v>1</v>
      </c>
      <c r="S25" s="1314">
        <f>ROUND(PRODUCT(S21:S24),3)</f>
        <v>1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/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1.1499999999999999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0.193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0.188</v>
      </c>
      <c r="Q27" s="757">
        <f>Q20</f>
        <v>0.13200000000000001</v>
      </c>
      <c r="R27" s="757">
        <f>R20</f>
        <v>0.193</v>
      </c>
      <c r="S27" s="757">
        <f>S20</f>
        <v>3.5999999999999997E-2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2.5999999999999999E-2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0.188</v>
      </c>
      <c r="Q28" s="1315">
        <f>IF($C$30="Yes",C31,ROUND(PRODUCT(Q25:Q27),3))</f>
        <v>0.13200000000000001</v>
      </c>
      <c r="R28" s="1484">
        <f>IF($C$30="Yes",B32,ROUND(PRODUCT(R25:R27),4))</f>
        <v>0.222</v>
      </c>
      <c r="S28" s="1315">
        <f>IF($C$30="Yes",C32,ROUND(PRODUCT(S25:S27),3))</f>
        <v>3.5999999999999997E-2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0.22600000000000001</v>
      </c>
      <c r="AV28" s="247">
        <f>ROUND(PRODUCT(AV20:AV27),3)</f>
        <v>0.193</v>
      </c>
      <c r="AW28" s="247">
        <f>ROUND(PRODUCT(AW20:AW27),3)</f>
        <v>6.2E-2</v>
      </c>
      <c r="AY28" s="60" t="s">
        <v>1583</v>
      </c>
      <c r="BH28" s="301" t="s">
        <v>1389</v>
      </c>
      <c r="BI28" s="247">
        <f>ROUND(PRODUCT(BI19:BI27),3)</f>
        <v>1.4E-2</v>
      </c>
      <c r="BJ28" s="247">
        <f>ROUND(PRODUCT(BJ19:BJ27),3)</f>
        <v>0.01</v>
      </c>
      <c r="BK28" s="247">
        <f>ROUND(PRODUCT(BK19:BK27),3)</f>
        <v>3.5999999999999997E-2</v>
      </c>
      <c r="BL28" s="247">
        <f>ROUND(PRODUCT(BL19:BL27),3)</f>
        <v>0.01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0.188</v>
      </c>
      <c r="X30" s="1300">
        <f>$Q$28</f>
        <v>0.13200000000000001</v>
      </c>
      <c r="Y30" s="1300">
        <f>$R$28</f>
        <v>0.222</v>
      </c>
      <c r="Z30" s="1300">
        <f>$S$28</f>
        <v>3.5999999999999997E-2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/>
      <c r="C31" s="1455"/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0.69799999999999995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0.56699999999999995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0.45700000000000002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0.45700000000000002</v>
      </c>
      <c r="T31" s="299"/>
      <c r="U31" s="1288"/>
      <c r="V31" s="1117" t="s">
        <v>2152</v>
      </c>
      <c r="W31" s="247">
        <f>P$31</f>
        <v>0.69799999999999995</v>
      </c>
      <c r="X31" s="247">
        <f t="shared" ref="X31:Z31" si="2">Q$31</f>
        <v>0.56699999999999995</v>
      </c>
      <c r="Y31" s="247">
        <f t="shared" si="2"/>
        <v>0.45700000000000002</v>
      </c>
      <c r="Z31" s="247">
        <f t="shared" si="2"/>
        <v>0.45700000000000002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/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5000</v>
      </c>
      <c r="Q32" s="238">
        <f>IF(ISBLANK(C41),0,C41/100)</f>
        <v>5000</v>
      </c>
      <c r="R32" s="238">
        <f>IF(ISBLANK(C41),0,C41/100)</f>
        <v>5000</v>
      </c>
      <c r="S32" s="238">
        <f>IF(ISBLANK(C41),0,C41/100)</f>
        <v>5000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0.9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656</v>
      </c>
      <c r="Q33" s="1481">
        <f>IF($C$30="Yes",ROUND(PRODUCT(Q28,Q32),0),ROUND(PRODUCT(Q28,Q31:Q32),0))</f>
        <v>374</v>
      </c>
      <c r="R33" s="1481">
        <f>IF($C$30="Yes",ROUND(PRODUCT(R28,R32),0),ROUND(PRODUCT(R28,R31:R32),0))</f>
        <v>507</v>
      </c>
      <c r="S33" s="1481">
        <f>IF($C$30="Yes",ROUND(PRODUCT(S28,S32),0),ROUND(PRODUCT(S28,S31:S32),0))</f>
        <v>82</v>
      </c>
      <c r="U33" s="1293"/>
      <c r="V33" s="1303" t="s">
        <v>2161</v>
      </c>
      <c r="W33" s="1306">
        <f ca="1"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0.9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44</v>
      </c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656</v>
      </c>
      <c r="Q35" s="248">
        <f>SUM(Q33:Q34)</f>
        <v>374</v>
      </c>
      <c r="R35" s="248">
        <f>SUM(R33:R34)</f>
        <v>507</v>
      </c>
      <c r="S35" s="248">
        <f>SUM(S33:S34)</f>
        <v>82</v>
      </c>
      <c r="T35" s="235"/>
      <c r="U35" s="1288"/>
      <c r="V35" s="1291" t="s">
        <v>2162</v>
      </c>
      <c r="W35" s="1301">
        <f ca="1"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0.9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656</v>
      </c>
      <c r="Q39" s="248">
        <f>Q33</f>
        <v>374</v>
      </c>
      <c r="R39" s="248">
        <f>R33</f>
        <v>507</v>
      </c>
      <c r="S39" s="248">
        <f>S33</f>
        <v>82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0.9</v>
      </c>
      <c r="BQ39" s="423"/>
      <c r="BR39" s="542"/>
      <c r="BS39" s="597" t="s">
        <v>1019</v>
      </c>
      <c r="BT39" s="279">
        <f>HLOOKUP(C11,Table_StateRates,5,FALSE)</f>
        <v>0.9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2.5999999999999999E-2</v>
      </c>
      <c r="BQ40" s="559"/>
      <c r="BR40" s="423"/>
      <c r="BS40" s="810" t="s">
        <v>1134</v>
      </c>
      <c r="BT40" s="426">
        <f>ROUND(PRODUCT(BT35:BT39),3)</f>
        <v>2.5999999999999999E-2</v>
      </c>
    </row>
    <row r="41" spans="1:72" ht="13.5" thickBot="1" x14ac:dyDescent="0.25">
      <c r="A41" s="203" t="s">
        <v>2112</v>
      </c>
      <c r="B41" s="104"/>
      <c r="C41" s="943">
        <v>500000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0.88</v>
      </c>
      <c r="BQ41" s="426"/>
      <c r="BR41" s="423"/>
      <c r="BS41" s="906" t="s">
        <v>1178</v>
      </c>
      <c r="BT41" s="423">
        <f>IF(OR(C28="S",C28="T"),1,VLOOKUP(C14,Table_ProtClass,IF(C15&lt;=3,2,3),FALSE))</f>
        <v>0.88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>
        <f>ROUND(PRODUCT(BT40:BT42),3)</f>
        <v>1.0999999999999999E-2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0.188</v>
      </c>
      <c r="X44" s="1300">
        <f>$Q$28</f>
        <v>0.13200000000000001</v>
      </c>
      <c r="Y44" s="1300">
        <f>$R$28</f>
        <v>0.222</v>
      </c>
      <c r="Z44" s="1300">
        <f>$S$28</f>
        <v>3.5999999999999997E-2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0.69799999999999995</v>
      </c>
      <c r="X45" s="247">
        <f t="shared" ref="X45:Z45" si="3">Q$31</f>
        <v>0.56699999999999995</v>
      </c>
      <c r="Y45" s="247">
        <f t="shared" si="3"/>
        <v>0.45700000000000002</v>
      </c>
      <c r="Z45" s="247">
        <f t="shared" si="3"/>
        <v>0.45700000000000002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2.3E-2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5000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115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115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115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 ca="1">SUM(I16:L16,I38,I46,I52)</f>
        <v>1537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 ca="1">SUM(I54,I49)</f>
        <v>1652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500000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312" priority="16" stopIfTrue="1">
      <formula>IF($C$24="Yes",FALSE,TRUE)</formula>
    </cfRule>
  </conditionalFormatting>
  <conditionalFormatting sqref="C18">
    <cfRule type="expression" dxfId="311" priority="14">
      <formula>IF($C$12="SP",TRUE,FALSE)</formula>
    </cfRule>
    <cfRule type="expression" dxfId="310" priority="15">
      <formula>IF($C$12="SP",TRUE,FALSE)</formula>
    </cfRule>
  </conditionalFormatting>
  <conditionalFormatting sqref="A18">
    <cfRule type="expression" dxfId="309" priority="13">
      <formula>IF($C$12="SP",TRUE,FALSE)</formula>
    </cfRule>
  </conditionalFormatting>
  <conditionalFormatting sqref="B21">
    <cfRule type="expression" dxfId="308" priority="12">
      <formula>IF($C$21="Yes",TRUE,FALSE)</formula>
    </cfRule>
  </conditionalFormatting>
  <conditionalFormatting sqref="C32">
    <cfRule type="expression" dxfId="307" priority="2">
      <formula>IF(AND($C$30="Yes",$C$12="BR"),TRUE,FALSE)</formula>
    </cfRule>
  </conditionalFormatting>
  <conditionalFormatting sqref="B32">
    <cfRule type="expression" dxfId="306" priority="1">
      <formula>IF(AND($C$30="Yes",$C$12="SP"),TRUE,FALSE)</formula>
    </cfRule>
  </conditionalFormatting>
  <conditionalFormatting sqref="B31:C31">
    <cfRule type="expression" dxfId="305" priority="3">
      <formula>IF($C$30="Yes",TRUE,FALSE)</formula>
    </cfRule>
  </conditionalFormatting>
  <dataValidations count="111"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custom" allowBlank="1" showInputMessage="1" showErrorMessage="1" errorTitle="Do Not Touch" error="This is used to generate the Coinsurance rate." sqref="B58 E62">
      <formula1>FALSE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allowBlank="1" showInputMessage="1" showErrorMessage="1" promptTitle="Occupancy Type Description" prompt="Displays the description of the choice made in the cell to the left.  " sqref="B38 B33"/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custom" allowBlank="1" showInputMessage="1" showErrorMessage="1" prompt="Personal Property Lookup Value" sqref="F4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EQ Table Lookup Value" sqref="F54:F5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Spoilage Coverage" prompt="Please Select:_x000a_{ Yes or No }" sqref="F32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custom" allowBlank="1" showInputMessage="1" showErrorMessage="1" prompt="Lookup Value for Spoil Coverage Loss Cost Table" sqref="F33">
      <formula1>FALSE</formula1>
    </dataValidation>
    <dataValidation type="custom" allowBlank="1" showInputMessage="1" showErrorMessage="1" prompt="Spoilage Loss Cost Column Reference" sqref="F37">
      <formula1>FALSE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A78"/>
  <sheetViews>
    <sheetView topLeftCell="E1"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HPP - Household Personal Pty Premium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0.9</v>
      </c>
      <c r="Q2" s="423">
        <f>HLOOKUP(C11,Table_StateRates,5,FALSE)</f>
        <v>0.9</v>
      </c>
      <c r="R2" s="423">
        <f>HLOOKUP(C11,Table_StateRates,5,FALSE)</f>
        <v>0.9</v>
      </c>
      <c r="S2" s="423">
        <f>HLOOKUP(C11,Table_StateRates,5,FALSE)</f>
        <v>0.9</v>
      </c>
      <c r="U2" s="1290"/>
      <c r="V2" s="1294" t="s">
        <v>2165</v>
      </c>
      <c r="W2" s="1300">
        <f ca="1">$P$28</f>
        <v>0.22700000000000001</v>
      </c>
      <c r="X2" s="1300">
        <f>$Q$28</f>
        <v>0.13200000000000001</v>
      </c>
      <c r="Y2" s="1300">
        <f>$R$28</f>
        <v>0.46229999999999999</v>
      </c>
      <c r="Z2" s="1300">
        <f>$S$28</f>
        <v>3.5999999999999997E-2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0.22700000000000001</v>
      </c>
      <c r="AU2" s="247">
        <f>Q28</f>
        <v>0.13200000000000001</v>
      </c>
      <c r="AV2" s="247">
        <f>IF(AND(C27="Yes",C12="SP"),VLOOKUP(C33,Table_Special_PP,3,0),0)</f>
        <v>0.23499999999999999</v>
      </c>
      <c r="AW2" s="247">
        <f>S28</f>
        <v>3.5999999999999997E-2</v>
      </c>
      <c r="AZ2" s="1117" t="s">
        <v>2154</v>
      </c>
      <c r="BA2" s="247">
        <f ca="1">P28</f>
        <v>0.22700000000000001</v>
      </c>
      <c r="BB2" s="2">
        <f>Q28</f>
        <v>0.13200000000000001</v>
      </c>
      <c r="BC2" s="558">
        <f>R28</f>
        <v>0.46229999999999999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 t="str">
        <f>Summary2</f>
        <v>#15 - R31 - PP - SPECIAL HPP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0.58799999999999997</v>
      </c>
      <c r="X3" s="247">
        <f t="shared" ref="X3:Z3" si="0">Q$31</f>
        <v>0.432</v>
      </c>
      <c r="Y3" s="247">
        <f t="shared" si="0"/>
        <v>0.315</v>
      </c>
      <c r="Z3" s="247">
        <f t="shared" si="0"/>
        <v>0.315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0.151</v>
      </c>
      <c r="AE3" s="2">
        <f>IF(OR(C28="S",C28="T"),C29,VLOOKUP(C16,Table_G2SymLC,3,FALSE)*IF(C60&lt;&gt;"Yes",B16,1))</f>
        <v>7.6999999999999999E-2</v>
      </c>
      <c r="AF3" s="247">
        <f>R5</f>
        <v>0.23499999999999999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0.22700000000000001</v>
      </c>
      <c r="AM3" s="4">
        <f>Q28</f>
        <v>0.13200000000000001</v>
      </c>
      <c r="AN3" s="780">
        <f ca="1">IF(AND(C27="Yes",C12="SP"),IF(C13=1,R28,IF(C13=2,INDIRECT(VLOOKUP(C33,Table_Special_PP,6,FALSE)),"Select Type")),0)</f>
        <v>0.46229999999999999</v>
      </c>
      <c r="AO3" s="4">
        <f>S28</f>
        <v>3.5999999999999997E-2</v>
      </c>
      <c r="AP3" s="4" t="e">
        <f>IF(#REF!="Yes",#REF!,0)</f>
        <v>#REF!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1.71</v>
      </c>
      <c r="Q4" s="1312">
        <f>PRODUCT(Q2:Q3)</f>
        <v>1.71</v>
      </c>
      <c r="R4" s="1312">
        <f>PRODUCT(R2:R3)</f>
        <v>1.71</v>
      </c>
      <c r="S4" s="1312">
        <f>PRODUCT(S2:S3)</f>
        <v>1.71</v>
      </c>
      <c r="T4" s="207"/>
      <c r="U4" s="1298"/>
      <c r="V4" s="1283" t="s">
        <v>1025</v>
      </c>
      <c r="W4" s="1299">
        <f>IF(B65="Yes",C65/100,0)</f>
        <v>5000</v>
      </c>
      <c r="X4" s="1299">
        <f>IF(B65="Yes",C65/100,0)</f>
        <v>5000</v>
      </c>
      <c r="Y4" s="1299">
        <f>IF(B65="Yes",C65/100,0)</f>
        <v>5000</v>
      </c>
      <c r="Z4" s="1299">
        <f>IF(B65="Yes",C65/100,0)</f>
        <v>5000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0.22700000000000001</v>
      </c>
      <c r="AU4" s="247">
        <f>ROUND(AU2/AU3,3)</f>
        <v>0.13200000000000001</v>
      </c>
      <c r="AV4" s="247">
        <f>ROUND(AV2/AV3,3)</f>
        <v>0.23499999999999999</v>
      </c>
      <c r="AW4" s="247">
        <f>ROUND(AW2/AW3,3)</f>
        <v>3.5999999999999997E-2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HPP - Household Personal Pty Coverage</v>
      </c>
      <c r="I5" s="258">
        <f ca="1">IF(C27="Yes",P35,0)</f>
        <v>667</v>
      </c>
      <c r="J5" s="258">
        <f>IF(C27="Yes",Q35,0)</f>
        <v>285</v>
      </c>
      <c r="K5" s="258">
        <f>IF(AND(C27="Yes",C12="SP"),R35,0)</f>
        <v>728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0.151</v>
      </c>
      <c r="Q5" s="247">
        <f>IF(OR(C28="S",C28="T"),C29,VLOOKUP(C16,Table_G2SymLC,3,FALSE)*IF(C60&lt;&gt;"Yes",B16,1))</f>
        <v>7.6999999999999999E-2</v>
      </c>
      <c r="R5" s="247">
        <f>IF(AND(C27="Yes",C12="SP"),VLOOKUP(C33,Table_Special_PP,3,0),0)</f>
        <v>0.23499999999999999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667</v>
      </c>
      <c r="X5" s="1306">
        <f>ROUND(PRODUCT(X2:X4),0)</f>
        <v>285</v>
      </c>
      <c r="Y5" s="1306">
        <f>ROUND(PRODUCT(Y2:Y4),0)</f>
        <v>728</v>
      </c>
      <c r="Z5" s="1306">
        <f>ROUND(PRODUCT(Z2:Z4),0)</f>
        <v>57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2.3E-2</v>
      </c>
      <c r="AM5" s="4">
        <f>ROUND(PRODUCT(AM3:AM4),3)</f>
        <v>1.2999999999999999E-2</v>
      </c>
      <c r="AN5" s="780">
        <f ca="1">ROUND(PRODUCT(AN3:AN4),3)</f>
        <v>4.5999999999999999E-2</v>
      </c>
      <c r="AO5" s="4">
        <f>ROUND(PRODUCT(AO3:AO4),3)</f>
        <v>4.0000000000000001E-3</v>
      </c>
      <c r="AP5" s="4" t="e">
        <f>ROUND(PRODUCT(AP3:AP4),3)</f>
        <v>#REF!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0.9</v>
      </c>
      <c r="BJ5" s="299">
        <f>HLOOKUP(C11,Table_StateRates,5,FALSE)</f>
        <v>0.9</v>
      </c>
      <c r="BK5" s="299">
        <f>HLOOKUP(C11,Table_StateRates,5,FALSE)</f>
        <v>0.9</v>
      </c>
      <c r="BL5" s="299">
        <f>HLOOKUP(C11,Table_StateRates,5,FALSE)</f>
        <v>0.9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984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0.88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0.28699999999999998</v>
      </c>
      <c r="AE6" s="247">
        <f>ROUND(PRODUCT(AE3:AE5),3)</f>
        <v>0.14599999999999999</v>
      </c>
      <c r="AF6" s="247">
        <f>ROUND(PRODUCT(AF3:AF5),3)</f>
        <v>0.44700000000000001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0.9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667</v>
      </c>
      <c r="X7" s="1301">
        <f>SUM(X5:X6)</f>
        <v>285</v>
      </c>
      <c r="Y7" s="1301">
        <f>SUM(Y5:Y6)</f>
        <v>728</v>
      </c>
      <c r="Z7" s="1301">
        <f>SUM(Z5:Z6)</f>
        <v>57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#REF!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HPP - Household Personal Pty Premium</v>
      </c>
      <c r="I8" s="258">
        <f ca="1">IF($B$65="Yes",W7,0)</f>
        <v>667</v>
      </c>
      <c r="J8" s="258">
        <f>IF($B$65="Yes",X7,0)</f>
        <v>285</v>
      </c>
      <c r="K8" s="258">
        <f>IF(AND($B$65="Yes",$C$12="SP"),Y7,0)</f>
        <v>728</v>
      </c>
      <c r="L8" s="258">
        <f>IF(AND($B$65="Yes",$C$12="BR"),Z7,0)</f>
        <v>0</v>
      </c>
      <c r="O8" s="83" t="s">
        <v>917</v>
      </c>
      <c r="P8" s="1315">
        <f ca="1">ROUND(PRODUCT(P4:P7),3)</f>
        <v>0.22700000000000001</v>
      </c>
      <c r="Q8" s="1315">
        <f>ROUND(PRODUCT(Q4:Q7),3)</f>
        <v>0.13200000000000001</v>
      </c>
      <c r="R8" s="1315">
        <f>ROUND(PRODUCT(R4:R7),3)</f>
        <v>0.40200000000000002</v>
      </c>
      <c r="S8" s="1315">
        <f>ROUND(PRODUCT(S4:S7),3)</f>
        <v>3.5999999999999997E-2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 ca="1"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0.14399999999999999</v>
      </c>
      <c r="AE9" s="247">
        <f>ROUND(PRODUCT(AE6:AE8),3)</f>
        <v>7.2999999999999995E-2</v>
      </c>
      <c r="AF9" s="247">
        <f>ROUND(PRODUCT(AF6:AF8),3)</f>
        <v>0.224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0.28399999999999997</v>
      </c>
      <c r="AU9" s="247">
        <f>ROUND(PRODUCT(AU4:AU7),3)</f>
        <v>0.16500000000000001</v>
      </c>
      <c r="AV9" s="247">
        <f>ROUND(PRODUCT(AV4:AV7),3)</f>
        <v>0.29399999999999998</v>
      </c>
      <c r="AW9" s="247">
        <f>ROUND(PRODUCT(AW4:AW7),3)</f>
        <v>4.4999999999999998E-2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PPI - Personal Pty Premium</v>
      </c>
      <c r="I10" s="258">
        <f ca="1">IF($B$66="Yes",W21,0)</f>
        <v>667</v>
      </c>
      <c r="J10" s="258">
        <f>IF($B$66="Yes",X21,0)</f>
        <v>285</v>
      </c>
      <c r="K10" s="258">
        <f>IF(AND($B$66="Yes",$C$12="SP"),Y21,0)</f>
        <v>728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667</v>
      </c>
      <c r="X10" s="1301">
        <f>X5</f>
        <v>285</v>
      </c>
      <c r="Y10" s="1301">
        <f>Y5</f>
        <v>728</v>
      </c>
      <c r="Z10" s="1301">
        <f>Z5</f>
        <v>57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5000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5000</v>
      </c>
      <c r="AU10" s="238">
        <f>IF(F13="Yes",E14/100,C41/100)</f>
        <v>5000</v>
      </c>
      <c r="AV10" s="238">
        <f>IF(F13="Yes",E14/100,C41/100)</f>
        <v>5000</v>
      </c>
      <c r="AW10" s="238">
        <f>IF(F13="Yes",E14/100,C41/100)</f>
        <v>5000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1860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#REF!</v>
      </c>
      <c r="AM11" s="146"/>
      <c r="AN11" s="146"/>
      <c r="AO11" s="301"/>
      <c r="AP11" s="976"/>
      <c r="AS11" s="301"/>
      <c r="AT11" s="248">
        <f ca="1">ROUND(PRODUCT(AT9:AT10),0)</f>
        <v>1420</v>
      </c>
      <c r="AU11" s="248">
        <f>ROUND(PRODUCT(AU9:AU10),0)</f>
        <v>825</v>
      </c>
      <c r="AV11" s="248">
        <f>ROUND(PRODUCT(AV9:AV10),0)</f>
        <v>1470</v>
      </c>
      <c r="AW11" s="248">
        <f>ROUND(PRODUCT(AW9:AW10),0)</f>
        <v>225</v>
      </c>
      <c r="AZ11" s="1117" t="s">
        <v>2154</v>
      </c>
      <c r="BA11" s="247">
        <f ca="1">P28</f>
        <v>0.22700000000000001</v>
      </c>
      <c r="BB11" s="2">
        <f>Q28</f>
        <v>0.13200000000000001</v>
      </c>
      <c r="BC11" s="558">
        <f>R28</f>
        <v>0.46229999999999999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#REF!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435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0.88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3715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1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1.1499999999999999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0.69799999999999995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0.56699999999999995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0.45700000000000002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2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PPI - Personal Pty Premium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0.158</v>
      </c>
      <c r="BB15" s="1315">
        <f>ROUND(PRODUCT(BB11,BB14),3)</f>
        <v>7.4999999999999997E-2</v>
      </c>
      <c r="BC15" s="1315">
        <f>ROUND(PRODUCT(BC11,BC14),3)</f>
        <v>0.21099999999999999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28</v>
      </c>
      <c r="D16" s="195"/>
      <c r="E16" s="195"/>
      <c r="F16" s="1067"/>
      <c r="H16" s="788" t="s">
        <v>1289</v>
      </c>
      <c r="I16" s="248">
        <f ca="1">SUM(I5:I15)</f>
        <v>2001</v>
      </c>
      <c r="J16" s="248">
        <f>SUM(J5:J15)</f>
        <v>855</v>
      </c>
      <c r="K16" s="248">
        <f>SUM(K5:K15)</f>
        <v>2184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0.22700000000000001</v>
      </c>
      <c r="X16" s="1300">
        <f>$Q$28</f>
        <v>0.13200000000000001</v>
      </c>
      <c r="Y16" s="1300">
        <f>$R$28</f>
        <v>0.46229999999999999</v>
      </c>
      <c r="Z16" s="1300">
        <f>$S$28</f>
        <v>3.5999999999999997E-2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0.58799999999999997</v>
      </c>
      <c r="X17" s="247">
        <f t="shared" ref="X17:Z17" si="1">Q$31</f>
        <v>0.432</v>
      </c>
      <c r="Y17" s="247">
        <f t="shared" si="1"/>
        <v>0.315</v>
      </c>
      <c r="Z17" s="247">
        <f t="shared" si="1"/>
        <v>0.315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0.40200000000000002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 ca="1"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>
        <v>2</v>
      </c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5000</v>
      </c>
      <c r="X18" s="1299">
        <f>IF(B66="Yes",C66/100,0)</f>
        <v>5000</v>
      </c>
      <c r="Y18" s="1299">
        <f>IF(B66="Yes",C66/100,0)</f>
        <v>5000</v>
      </c>
      <c r="Z18" s="1299">
        <f>IF(B66="Yes",C66/100,0)</f>
        <v>5000</v>
      </c>
      <c r="AA18" s="266"/>
      <c r="AB18" s="266"/>
      <c r="AC18" s="268" t="s">
        <v>1019</v>
      </c>
      <c r="AD18" s="423">
        <f>HLOOKUP(C11,Table_StateRates,5,FALSE)</f>
        <v>0.9</v>
      </c>
      <c r="AE18" s="423">
        <f>HLOOKUP(C11,Table_StateRates,5,FALSE)</f>
        <v>0.9</v>
      </c>
      <c r="AF18" s="423">
        <f>HLOOKUP(C11,Table_StateRates,5,FALSE)</f>
        <v>0.9</v>
      </c>
      <c r="AG18" s="423">
        <f>HLOOKUP(C11,Table_StateRates,5,FALSE)</f>
        <v>0.9</v>
      </c>
      <c r="AI18" s="266"/>
      <c r="AJ18" s="266"/>
      <c r="AK18" s="268" t="s">
        <v>1019</v>
      </c>
      <c r="AL18" s="423">
        <f>HLOOKUP(C11,Table_StateRates,5,FALSE)</f>
        <v>0.9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0.13200000000000001</v>
      </c>
      <c r="AV18" s="247">
        <f>IF(AND(C27="Yes",C12="SP"),VLOOKUP(C33,Table_Special_PP,3,0),0)</f>
        <v>0.23499999999999999</v>
      </c>
      <c r="AW18" s="2">
        <f>S28</f>
        <v>3.5999999999999997E-2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667</v>
      </c>
      <c r="X19" s="1306">
        <f>ROUND(PRODUCT(X16:X18),0)</f>
        <v>285</v>
      </c>
      <c r="Y19" s="1306">
        <f>ROUND(PRODUCT(Y16:Y18),0)</f>
        <v>728</v>
      </c>
      <c r="Z19" s="1306">
        <f>ROUND(PRODUCT(Z16:Z18),0)</f>
        <v>57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0.16800000000000001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0.22700000000000001</v>
      </c>
      <c r="Q20" s="1312">
        <f>ROUND(PRODUCT(Q8:Q19),3)</f>
        <v>0.13200000000000001</v>
      </c>
      <c r="R20" s="1312">
        <f>ROUND(PRODUCT(R8:R19),3)</f>
        <v>0.40200000000000002</v>
      </c>
      <c r="S20" s="1312">
        <f>ROUND(PRODUCT(S8:S19),3)</f>
        <v>3.5999999999999997E-2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1.71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0.13200000000000001</v>
      </c>
      <c r="AV20" s="247">
        <f>PRODUCT(AV18:AV19)</f>
        <v>0.23499999999999999</v>
      </c>
      <c r="AW20" s="247">
        <f>PRODUCT(AW18:AW19)</f>
        <v>3.5999999999999997E-2</v>
      </c>
      <c r="AZ20" s="168" t="s">
        <v>1335</v>
      </c>
      <c r="BA20" s="248">
        <f>F24</f>
        <v>0</v>
      </c>
      <c r="BD20" s="168" t="s">
        <v>1337</v>
      </c>
      <c r="BE20" s="248">
        <f ca="1"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0.9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>
        <f ca="1">SUM(W19:W20)</f>
        <v>667</v>
      </c>
      <c r="X21" s="1301">
        <f>SUM(X19:X20)</f>
        <v>285</v>
      </c>
      <c r="Y21" s="1301">
        <f>SUM(Y19:Y20)</f>
        <v>728</v>
      </c>
      <c r="Z21" s="1301">
        <f>SUM(Z19:Z20)</f>
        <v>57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0.23499999999999999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 ca="1"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0.31900000000000001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0.114</v>
      </c>
      <c r="AE22" s="247">
        <f>ROUND(PRODUCT(AE9:AE21),3)</f>
        <v>6.6000000000000003E-2</v>
      </c>
      <c r="AF22" s="247">
        <f>ROUND(PRODUCT(AF9:AF21),3)</f>
        <v>0.23200000000000001</v>
      </c>
      <c r="AG22" s="247">
        <f>ROUND(PRODUCT(AG9:AG21),3)</f>
        <v>1.7999999999999999E-2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0.9</v>
      </c>
      <c r="AU22" s="207">
        <f>HLOOKUP(C11,Table_StateRates,5,FALSE)</f>
        <v>0.9</v>
      </c>
      <c r="AV22" s="207">
        <f>HLOOKUP(C11,Table_StateRates,5,FALSE)</f>
        <v>0.9</v>
      </c>
      <c r="AW22" s="207">
        <f>HLOOKUP(C11,Table_StateRates,5,FALSE)</f>
        <v>0.9</v>
      </c>
      <c r="AZ22" s="83" t="s">
        <v>1334</v>
      </c>
      <c r="BA22" s="2">
        <f>ROUND(BA20/BA21,3)</f>
        <v>0</v>
      </c>
      <c r="BD22" s="83" t="s">
        <v>1339</v>
      </c>
      <c r="BE22" s="248">
        <f ca="1">IF(BE20=0,0,BE20-BE21)</f>
        <v>0</v>
      </c>
      <c r="BG22" s="146"/>
      <c r="BH22" s="545" t="s">
        <v>1019</v>
      </c>
      <c r="BI22" s="299">
        <f>HLOOKUP(C11,Table_StateRates,5,FALSE)</f>
        <v>0.9</v>
      </c>
      <c r="BJ22" s="299">
        <f>HLOOKUP(C11,Table_StateRates,5,FALSE)</f>
        <v>0.9</v>
      </c>
      <c r="BK22" s="299">
        <f>HLOOKUP(C11,Table_StateRates,5,FALSE)</f>
        <v>0.9</v>
      </c>
      <c r="BL22" s="299">
        <f>HLOOKUP(C11,Table_StateRates,5,FALSE)</f>
        <v>0.9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0.40200000000000002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>
        <f ca="1">ROUND(PRODUCT(BP21:BP22),3)</f>
        <v>3.2000000000000001E-2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667</v>
      </c>
      <c r="X24" s="1301">
        <f>X19</f>
        <v>285</v>
      </c>
      <c r="Y24" s="1301">
        <f>Y19</f>
        <v>728</v>
      </c>
      <c r="Z24" s="1301">
        <f>Z19</f>
        <v>57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 ca="1"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1</v>
      </c>
      <c r="Q25" s="1314">
        <f>ROUND(PRODUCT(Q21:Q24),3)</f>
        <v>1</v>
      </c>
      <c r="R25" s="1314">
        <f>ROUND(PRODUCT(R21:R24),3)</f>
        <v>1</v>
      </c>
      <c r="S25" s="1314">
        <f>ROUND(PRODUCT(S21:S24),3)</f>
        <v>1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/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1.1499999999999999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0.40200000000000002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0.22700000000000001</v>
      </c>
      <c r="Q27" s="757">
        <f>Q20</f>
        <v>0.13200000000000001</v>
      </c>
      <c r="R27" s="757">
        <f>R20</f>
        <v>0.40200000000000002</v>
      </c>
      <c r="S27" s="757">
        <f>S20</f>
        <v>3.5999999999999997E-2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3.2000000000000001E-2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0.22700000000000001</v>
      </c>
      <c r="Q28" s="1315">
        <f>IF($C$30="Yes",C31,ROUND(PRODUCT(Q25:Q27),3))</f>
        <v>0.13200000000000001</v>
      </c>
      <c r="R28" s="1484">
        <f>IF($C$30="Yes",B32,ROUND(PRODUCT(R25:R27),4))</f>
        <v>0.46229999999999999</v>
      </c>
      <c r="S28" s="1315">
        <f>IF($C$30="Yes",C32,ROUND(PRODUCT(S25:S27),3))</f>
        <v>3.5999999999999997E-2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0.22600000000000001</v>
      </c>
      <c r="AV28" s="247">
        <f>ROUND(PRODUCT(AV20:AV27),3)</f>
        <v>0.40200000000000002</v>
      </c>
      <c r="AW28" s="247">
        <f>ROUND(PRODUCT(AW20:AW27),3)</f>
        <v>6.2E-2</v>
      </c>
      <c r="AY28" s="60" t="s">
        <v>1583</v>
      </c>
      <c r="BH28" s="301" t="s">
        <v>1389</v>
      </c>
      <c r="BI28" s="247">
        <f>ROUND(PRODUCT(BI19:BI27),3)</f>
        <v>1.4E-2</v>
      </c>
      <c r="BJ28" s="247">
        <f>ROUND(PRODUCT(BJ19:BJ27),3)</f>
        <v>0.01</v>
      </c>
      <c r="BK28" s="247">
        <f>ROUND(PRODUCT(BK19:BK27),3)</f>
        <v>3.5999999999999997E-2</v>
      </c>
      <c r="BL28" s="247">
        <f>ROUND(PRODUCT(BL19:BL27),3)</f>
        <v>0.01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0.22700000000000001</v>
      </c>
      <c r="X30" s="1300">
        <f>$Q$28</f>
        <v>0.13200000000000001</v>
      </c>
      <c r="Y30" s="1300">
        <f>$R$28</f>
        <v>0.46229999999999999</v>
      </c>
      <c r="Z30" s="1300">
        <f>$S$28</f>
        <v>3.5999999999999997E-2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/>
      <c r="C31" s="1455"/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0.58799999999999997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0.432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0.315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0.315</v>
      </c>
      <c r="T31" s="299"/>
      <c r="U31" s="1288"/>
      <c r="V31" s="1117" t="s">
        <v>2152</v>
      </c>
      <c r="W31" s="247">
        <f>P$31</f>
        <v>0.58799999999999997</v>
      </c>
      <c r="X31" s="247">
        <f t="shared" ref="X31:Z31" si="2">Q$31</f>
        <v>0.432</v>
      </c>
      <c r="Y31" s="247">
        <f t="shared" si="2"/>
        <v>0.315</v>
      </c>
      <c r="Z31" s="247">
        <f t="shared" si="2"/>
        <v>0.315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/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5000</v>
      </c>
      <c r="Q32" s="238">
        <f>IF(ISBLANK(C41),0,C41/100)</f>
        <v>5000</v>
      </c>
      <c r="R32" s="238">
        <f>IF(ISBLANK(C41),0,C41/100)</f>
        <v>5000</v>
      </c>
      <c r="S32" s="238">
        <f>IF(ISBLANK(C41),0,C41/100)</f>
        <v>5000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0.9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Apts/Condos</v>
      </c>
      <c r="C33" s="1201">
        <f>IF(ISTEXT(C35),VLOOKUP(C35,Table_G1_LC,3,0),"NA")</f>
        <v>1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667</v>
      </c>
      <c r="Q33" s="1481">
        <f>IF($C$30="Yes",ROUND(PRODUCT(Q28,Q32),0),ROUND(PRODUCT(Q28,Q31:Q32),0))</f>
        <v>285</v>
      </c>
      <c r="R33" s="1481">
        <f>IF($C$30="Yes",ROUND(PRODUCT(R28,R32),0),ROUND(PRODUCT(R28,R31:R32),0))</f>
        <v>728</v>
      </c>
      <c r="S33" s="1481">
        <f>IF($C$30="Yes",ROUND(PRODUCT(S28,S32),0),ROUND(PRODUCT(S28,S31:S32),0))</f>
        <v>57</v>
      </c>
      <c r="U33" s="1293"/>
      <c r="V33" s="1303" t="s">
        <v>2161</v>
      </c>
      <c r="W33" s="1306">
        <f ca="1"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0.9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63</v>
      </c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667</v>
      </c>
      <c r="Q35" s="248">
        <f>SUM(Q33:Q34)</f>
        <v>285</v>
      </c>
      <c r="R35" s="248">
        <f>SUM(R33:R34)</f>
        <v>728</v>
      </c>
      <c r="S35" s="248">
        <f>SUM(S33:S34)</f>
        <v>57</v>
      </c>
      <c r="T35" s="235"/>
      <c r="U35" s="1288"/>
      <c r="V35" s="1291" t="s">
        <v>2162</v>
      </c>
      <c r="W35" s="1301">
        <f ca="1"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0.9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667</v>
      </c>
      <c r="Q39" s="248">
        <f>Q33</f>
        <v>285</v>
      </c>
      <c r="R39" s="248">
        <f>R33</f>
        <v>728</v>
      </c>
      <c r="S39" s="248">
        <f>S33</f>
        <v>57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0.9</v>
      </c>
      <c r="BQ39" s="423"/>
      <c r="BR39" s="542"/>
      <c r="BS39" s="597" t="s">
        <v>1019</v>
      </c>
      <c r="BT39" s="279">
        <f>HLOOKUP(C11,Table_StateRates,5,FALSE)</f>
        <v>0.9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2.5999999999999999E-2</v>
      </c>
      <c r="BQ40" s="559"/>
      <c r="BR40" s="423"/>
      <c r="BS40" s="810" t="s">
        <v>1134</v>
      </c>
      <c r="BT40" s="426">
        <f>ROUND(PRODUCT(BT35:BT39),3)</f>
        <v>2.5999999999999999E-2</v>
      </c>
    </row>
    <row r="41" spans="1:72" ht="13.5" thickBot="1" x14ac:dyDescent="0.25">
      <c r="A41" s="203" t="s">
        <v>2268</v>
      </c>
      <c r="B41" s="104"/>
      <c r="C41" s="943">
        <v>500000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0.88</v>
      </c>
      <c r="BQ41" s="426"/>
      <c r="BR41" s="423"/>
      <c r="BS41" s="906" t="s">
        <v>1178</v>
      </c>
      <c r="BT41" s="423">
        <f>IF(OR(C28="S",C28="T"),1,VLOOKUP(C14,Table_ProtClass,IF(C15&lt;=3,2,3),FALSE))</f>
        <v>0.88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>
        <f>ROUND(PRODUCT(BT40:BT42),3)</f>
        <v>1.0999999999999999E-2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0.22700000000000001</v>
      </c>
      <c r="X44" s="1300">
        <f>$Q$28</f>
        <v>0.13200000000000001</v>
      </c>
      <c r="Y44" s="1300">
        <f>$R$28</f>
        <v>0.46229999999999999</v>
      </c>
      <c r="Z44" s="1300">
        <f>$S$28</f>
        <v>3.5999999999999997E-2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0.58799999999999997</v>
      </c>
      <c r="X45" s="247">
        <f t="shared" ref="X45:Z45" si="3">Q$31</f>
        <v>0.432</v>
      </c>
      <c r="Y45" s="247">
        <f t="shared" si="3"/>
        <v>0.315</v>
      </c>
      <c r="Z45" s="247">
        <f t="shared" si="3"/>
        <v>0.315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2.3E-2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5000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115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115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115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 ca="1">SUM(I16:L16,I38,I46,I52)</f>
        <v>5040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 ca="1">SUM(I54,I49)</f>
        <v>5155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 t="s">
        <v>2320</v>
      </c>
      <c r="B65" s="940" t="s">
        <v>833</v>
      </c>
      <c r="C65" s="1101">
        <v>500000</v>
      </c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 t="s">
        <v>2267</v>
      </c>
      <c r="B66" s="940" t="s">
        <v>833</v>
      </c>
      <c r="C66" s="1101">
        <v>500000</v>
      </c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1500000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304" priority="16" stopIfTrue="1">
      <formula>IF($C$24="Yes",FALSE,TRUE)</formula>
    </cfRule>
  </conditionalFormatting>
  <conditionalFormatting sqref="C18">
    <cfRule type="expression" dxfId="303" priority="14">
      <formula>IF($C$12="SP",TRUE,FALSE)</formula>
    </cfRule>
    <cfRule type="expression" dxfId="302" priority="15">
      <formula>IF($C$12="SP",TRUE,FALSE)</formula>
    </cfRule>
  </conditionalFormatting>
  <conditionalFormatting sqref="A18">
    <cfRule type="expression" dxfId="301" priority="13">
      <formula>IF($C$12="SP",TRUE,FALSE)</formula>
    </cfRule>
  </conditionalFormatting>
  <conditionalFormatting sqref="B21">
    <cfRule type="expression" dxfId="300" priority="12">
      <formula>IF($C$21="Yes",TRUE,FALSE)</formula>
    </cfRule>
  </conditionalFormatting>
  <conditionalFormatting sqref="C32">
    <cfRule type="expression" dxfId="299" priority="2">
      <formula>IF(AND($C$30="Yes",$C$12="BR"),TRUE,FALSE)</formula>
    </cfRule>
  </conditionalFormatting>
  <conditionalFormatting sqref="B32">
    <cfRule type="expression" dxfId="298" priority="1">
      <formula>IF(AND($C$30="Yes",$C$12="SP"),TRUE,FALSE)</formula>
    </cfRule>
  </conditionalFormatting>
  <conditionalFormatting sqref="B31:C31">
    <cfRule type="expression" dxfId="297" priority="3">
      <formula>IF($C$30="Yes",TRUE,FALSE)</formula>
    </cfRule>
  </conditionalFormatting>
  <dataValidations count="111"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type="custom" allowBlank="1" showInputMessage="1" showErrorMessage="1" prompt="Spoilage Loss Cost Column Reference" sqref="F37">
      <formula1>FALSE</formula1>
    </dataValidation>
    <dataValidation type="custom" allowBlank="1" showInputMessage="1" showErrorMessage="1" prompt="Lookup Value for Spoil Coverage Loss Cost Table" sqref="F33">
      <formula1>FALSE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Spoilage Coverage" prompt="Please Select:_x000a_{ Yes or No }" sqref="F32">
      <formula1>List_YN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custom" allowBlank="1" showInputMessage="1" showErrorMessage="1" prompt="EQ Table Lookup Value" sqref="F54:F5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Personal Property Lookup Value" sqref="F45">
      <formula1>FALSE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allowBlank="1" showInputMessage="1" showErrorMessage="1" promptTitle="Occupancy Type Description" prompt="Displays the description of the choice made in the cell to the left.  " sqref="B38 B33"/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custom" allowBlank="1" showInputMessage="1" showErrorMessage="1" errorTitle="Do Not Touch" error="This is used to generate the Coinsurance rate." sqref="B58 E62">
      <formula1>FALSE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G51"/>
  <sheetViews>
    <sheetView topLeftCell="H1" zoomScale="90" zoomScaleNormal="90" workbookViewId="0">
      <selection activeCell="G25" sqref="G25"/>
    </sheetView>
  </sheetViews>
  <sheetFormatPr defaultRowHeight="12.75" x14ac:dyDescent="0.2"/>
  <cols>
    <col min="1" max="1" width="18" style="2" customWidth="1"/>
    <col min="2" max="2" width="16.85546875" style="2" customWidth="1"/>
    <col min="3" max="3" width="17" style="2" customWidth="1"/>
    <col min="4" max="4" width="5.42578125" style="2" customWidth="1"/>
    <col min="5" max="5" width="17.85546875" style="2" customWidth="1"/>
    <col min="6" max="6" width="13.7109375" style="2" customWidth="1"/>
    <col min="7" max="7" width="16.85546875" style="2" customWidth="1"/>
    <col min="8" max="16384" width="9.140625" style="2"/>
  </cols>
  <sheetData>
    <row r="1" spans="1:7" ht="15.75" x14ac:dyDescent="0.2">
      <c r="A1" s="1440" t="s">
        <v>2256</v>
      </c>
    </row>
    <row r="2" spans="1:7" x14ac:dyDescent="0.2">
      <c r="A2" s="1227"/>
    </row>
    <row r="3" spans="1:7" ht="14.25" customHeight="1" x14ac:dyDescent="0.2">
      <c r="A3" s="82" t="s">
        <v>1024</v>
      </c>
      <c r="B3" s="917" t="str">
        <f>DF_State</f>
        <v>CT</v>
      </c>
    </row>
    <row r="4" spans="1:7" ht="17.25" customHeight="1" x14ac:dyDescent="0.2">
      <c r="A4" s="82" t="s">
        <v>2104</v>
      </c>
      <c r="B4" s="1441" t="str">
        <f>UI_CustNumber</f>
        <v>0004514584</v>
      </c>
    </row>
    <row r="5" spans="1:7" ht="16.5" customHeight="1" x14ac:dyDescent="0.2">
      <c r="A5" s="82"/>
      <c r="B5" s="984"/>
    </row>
    <row r="6" spans="1:7" x14ac:dyDescent="0.2">
      <c r="A6" s="82" t="s">
        <v>2258</v>
      </c>
      <c r="B6" s="1442">
        <v>40612</v>
      </c>
      <c r="F6" s="1443"/>
      <c r="G6" s="1444"/>
    </row>
    <row r="7" spans="1:7" ht="16.5" customHeight="1" x14ac:dyDescent="0.2">
      <c r="A7" s="82"/>
      <c r="B7" s="834"/>
      <c r="F7" s="1443"/>
      <c r="G7" s="1444"/>
    </row>
    <row r="8" spans="1:7" x14ac:dyDescent="0.2">
      <c r="A8" s="82" t="s">
        <v>2259</v>
      </c>
      <c r="B8" s="1442">
        <v>40544</v>
      </c>
      <c r="F8" s="1443"/>
      <c r="G8" s="1444"/>
    </row>
    <row r="9" spans="1:7" ht="16.5" customHeight="1" x14ac:dyDescent="0.2">
      <c r="A9" s="82"/>
      <c r="B9" s="984"/>
      <c r="F9" s="1443"/>
      <c r="G9" s="1444"/>
    </row>
    <row r="10" spans="1:7" x14ac:dyDescent="0.2">
      <c r="A10" s="82" t="s">
        <v>2257</v>
      </c>
      <c r="B10" s="1593" t="s">
        <v>2322</v>
      </c>
      <c r="C10" s="1593"/>
      <c r="D10" s="1593"/>
      <c r="G10" s="834"/>
    </row>
    <row r="13" spans="1:7" ht="13.5" thickBot="1" x14ac:dyDescent="0.25">
      <c r="A13" s="1464" t="s">
        <v>55</v>
      </c>
      <c r="B13" s="1465"/>
      <c r="C13" s="1465"/>
      <c r="D13" s="1465"/>
      <c r="E13" s="1465"/>
    </row>
    <row r="14" spans="1:7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</row>
    <row r="15" spans="1:7" x14ac:dyDescent="0.2">
      <c r="A15" s="1445">
        <v>1</v>
      </c>
      <c r="B15" s="1453" t="s">
        <v>2324</v>
      </c>
      <c r="C15" s="1446">
        <f ca="1">IF(ISBLANK(B15),"",INDIRECT($B15&amp;"!"&amp;"$I$47"))</f>
        <v>760</v>
      </c>
      <c r="E15" s="1446">
        <f ca="1">IF(ISBLANK(B15),"",INDIRECT($B15&amp;"!"&amp;"$I$44"))</f>
        <v>150</v>
      </c>
    </row>
    <row r="16" spans="1:7" x14ac:dyDescent="0.2">
      <c r="A16" s="1453">
        <v>2</v>
      </c>
      <c r="B16" s="1453" t="s">
        <v>2325</v>
      </c>
      <c r="C16" s="1446">
        <f t="shared" ref="C16:C19" ca="1" si="0">IF(ISBLANK(B16),"",INDIRECT($B16&amp;"!"&amp;"$I$47"))</f>
        <v>760</v>
      </c>
      <c r="E16" s="1446">
        <f t="shared" ref="E16:E19" ca="1" si="1">IF(ISBLANK(B16),"",INDIRECT($B16&amp;"!"&amp;"$I$44"))</f>
        <v>140</v>
      </c>
    </row>
    <row r="17" spans="1:5" x14ac:dyDescent="0.2">
      <c r="A17" s="1453">
        <v>3</v>
      </c>
      <c r="B17" s="1453" t="s">
        <v>2326</v>
      </c>
      <c r="C17" s="1446">
        <f t="shared" ca="1" si="0"/>
        <v>760</v>
      </c>
      <c r="E17" s="1446">
        <f t="shared" ca="1" si="1"/>
        <v>150</v>
      </c>
    </row>
    <row r="18" spans="1:5" x14ac:dyDescent="0.2">
      <c r="A18" s="1453">
        <v>4</v>
      </c>
      <c r="B18" s="1453"/>
      <c r="C18" s="1446" t="str">
        <f t="shared" ca="1" si="0"/>
        <v/>
      </c>
      <c r="E18" s="1446" t="str">
        <f t="shared" ca="1" si="1"/>
        <v/>
      </c>
    </row>
    <row r="19" spans="1:5" ht="13.5" thickBot="1" x14ac:dyDescent="0.25">
      <c r="A19" s="1084">
        <v>5</v>
      </c>
      <c r="B19" s="1453"/>
      <c r="C19" s="1446" t="str">
        <f t="shared" ca="1" si="0"/>
        <v/>
      </c>
      <c r="E19" s="1446" t="str">
        <f t="shared" ca="1" si="1"/>
        <v/>
      </c>
    </row>
    <row r="20" spans="1:5" ht="17.25" customHeight="1" x14ac:dyDescent="0.2">
      <c r="A20" s="1450"/>
      <c r="B20" s="1451" t="s">
        <v>2271</v>
      </c>
      <c r="C20" s="1452">
        <f ca="1">SUM(C15:C19)</f>
        <v>2280</v>
      </c>
      <c r="D20" s="1450"/>
      <c r="E20" s="1452">
        <f ca="1">SUM(E15:E19)</f>
        <v>440</v>
      </c>
    </row>
    <row r="22" spans="1:5" ht="13.5" thickBot="1" x14ac:dyDescent="0.25">
      <c r="A22" s="1464" t="s">
        <v>2219</v>
      </c>
      <c r="B22" s="1465"/>
      <c r="C22" s="1465"/>
      <c r="D22" s="1465"/>
      <c r="E22" s="1465"/>
    </row>
    <row r="23" spans="1:5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</row>
    <row r="24" spans="1:5" x14ac:dyDescent="0.2">
      <c r="A24" s="1445">
        <v>1</v>
      </c>
      <c r="B24" s="1445" t="s">
        <v>2327</v>
      </c>
      <c r="C24" s="1446">
        <f ca="1">IF(ISBLANK(B24),"",INDIRECT($B24&amp;"!"&amp;"$I$54"))</f>
        <v>807</v>
      </c>
      <c r="E24" s="1446">
        <f ca="1">IF(ISBLANK(B24),"",INDIRECT($B24&amp;"!"&amp;"$I$49"))</f>
        <v>170</v>
      </c>
    </row>
    <row r="25" spans="1:5" x14ac:dyDescent="0.2">
      <c r="A25" s="1453">
        <v>2</v>
      </c>
      <c r="B25" s="1445" t="s">
        <v>2328</v>
      </c>
      <c r="C25" s="1446">
        <f t="shared" ref="C25:C28" ca="1" si="2">IF(ISBLANK(B25),"",INDIRECT($B25&amp;"!"&amp;"$I$54"))</f>
        <v>845</v>
      </c>
      <c r="D25" s="146"/>
      <c r="E25" s="1446">
        <f t="shared" ref="E25:E28" ca="1" si="3">IF(ISBLANK(B25),"",INDIRECT($B25&amp;"!"&amp;"$I$49"))</f>
        <v>170</v>
      </c>
    </row>
    <row r="26" spans="1:5" x14ac:dyDescent="0.2">
      <c r="A26" s="1445">
        <v>3</v>
      </c>
      <c r="B26" s="1445" t="s">
        <v>2329</v>
      </c>
      <c r="C26" s="1446">
        <f t="shared" ca="1" si="2"/>
        <v>1011</v>
      </c>
      <c r="D26" s="146"/>
      <c r="E26" s="1446">
        <f t="shared" ca="1" si="3"/>
        <v>170</v>
      </c>
    </row>
    <row r="27" spans="1:5" x14ac:dyDescent="0.2">
      <c r="A27" s="1453">
        <v>4</v>
      </c>
      <c r="B27" s="1445"/>
      <c r="C27" s="1446" t="str">
        <f t="shared" ca="1" si="2"/>
        <v/>
      </c>
      <c r="D27" s="146"/>
      <c r="E27" s="1446" t="str">
        <f t="shared" ca="1" si="3"/>
        <v/>
      </c>
    </row>
    <row r="28" spans="1:5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</row>
    <row r="29" spans="1:5" x14ac:dyDescent="0.2">
      <c r="A29" s="1450"/>
      <c r="B29" s="1451" t="s">
        <v>2271</v>
      </c>
      <c r="C29" s="1452">
        <f ca="1">SUM(C24:C28)</f>
        <v>2663</v>
      </c>
      <c r="D29" s="1450"/>
      <c r="E29" s="1452">
        <f ca="1">SUM(E24:E28)</f>
        <v>510</v>
      </c>
    </row>
    <row r="31" spans="1:5" ht="13.5" thickBot="1" x14ac:dyDescent="0.25">
      <c r="A31" s="1464" t="s">
        <v>2220</v>
      </c>
      <c r="B31" s="1465"/>
      <c r="C31" s="1465"/>
      <c r="D31" s="1465"/>
      <c r="E31" s="1465"/>
    </row>
    <row r="32" spans="1:5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</row>
    <row r="33" spans="1:5" x14ac:dyDescent="0.2">
      <c r="A33" s="1445">
        <v>1</v>
      </c>
      <c r="B33" s="1445"/>
      <c r="C33" s="1446" t="str">
        <f ca="1">IF(ISBLANK(B33),"",INDIRECT($B33&amp;"!"&amp;"$I$29"))</f>
        <v/>
      </c>
      <c r="E33" s="1446" t="str">
        <f ca="1">IF(ISBLANK(B33),"",INDIRECT($B33&amp;"!"&amp;"$I$26"))</f>
        <v/>
      </c>
    </row>
    <row r="34" spans="1:5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E34" s="1446" t="str">
        <f t="shared" ref="E34:E37" ca="1" si="5">IF(ISBLANK(B34),"",INDIRECT($B34&amp;"!"&amp;"$I$26"))</f>
        <v/>
      </c>
    </row>
    <row r="35" spans="1:5" x14ac:dyDescent="0.2">
      <c r="A35" s="1445">
        <v>3</v>
      </c>
      <c r="B35" s="1453"/>
      <c r="C35" s="1446" t="str">
        <f t="shared" ca="1" si="4"/>
        <v/>
      </c>
      <c r="E35" s="1446" t="str">
        <f t="shared" ca="1" si="5"/>
        <v/>
      </c>
    </row>
    <row r="36" spans="1:5" x14ac:dyDescent="0.2">
      <c r="A36" s="1453">
        <v>4</v>
      </c>
      <c r="B36" s="1453"/>
      <c r="C36" s="1446" t="str">
        <f t="shared" ca="1" si="4"/>
        <v/>
      </c>
      <c r="E36" s="1446" t="str">
        <f t="shared" ca="1" si="5"/>
        <v/>
      </c>
    </row>
    <row r="37" spans="1:5" ht="13.5" thickBot="1" x14ac:dyDescent="0.25">
      <c r="A37" s="1084">
        <v>5</v>
      </c>
      <c r="B37" s="1453"/>
      <c r="C37" s="1446" t="str">
        <f t="shared" ca="1" si="4"/>
        <v/>
      </c>
      <c r="E37" s="1446" t="str">
        <f t="shared" ca="1" si="5"/>
        <v/>
      </c>
    </row>
    <row r="38" spans="1:5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</row>
    <row r="41" spans="1:5" ht="13.5" thickBot="1" x14ac:dyDescent="0.25">
      <c r="A41" s="1464" t="s">
        <v>2221</v>
      </c>
      <c r="B41" s="1465"/>
      <c r="C41" s="1465"/>
      <c r="D41" s="1465"/>
      <c r="E41" s="1465"/>
    </row>
    <row r="42" spans="1:5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</row>
    <row r="43" spans="1:5" x14ac:dyDescent="0.2">
      <c r="A43" s="1445">
        <v>1</v>
      </c>
      <c r="B43" s="1445"/>
      <c r="C43" s="1446" t="str">
        <f ca="1">IF(ISBLANK(B43),"",INDIRECT($B43&amp;"!"&amp;"$I$21"))</f>
        <v/>
      </c>
      <c r="E43" s="1446" t="str">
        <f ca="1">IF(ISBLANK(B43),"",INDIRECT($B43&amp;"!"&amp;"$I$18"))</f>
        <v/>
      </c>
    </row>
    <row r="44" spans="1:5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E44" s="1446" t="str">
        <f t="shared" ref="E44:E47" ca="1" si="7">IF(ISBLANK(B44),"",INDIRECT($B44&amp;"!"&amp;"$I$18"))</f>
        <v/>
      </c>
    </row>
    <row r="45" spans="1:5" x14ac:dyDescent="0.2">
      <c r="A45" s="1445">
        <v>3</v>
      </c>
      <c r="B45" s="1453"/>
      <c r="C45" s="1446" t="str">
        <f t="shared" ca="1" si="6"/>
        <v/>
      </c>
      <c r="E45" s="1446" t="str">
        <f t="shared" ca="1" si="7"/>
        <v/>
      </c>
    </row>
    <row r="46" spans="1:5" x14ac:dyDescent="0.2">
      <c r="A46" s="1453">
        <v>4</v>
      </c>
      <c r="B46" s="1453"/>
      <c r="C46" s="1446" t="str">
        <f t="shared" ca="1" si="6"/>
        <v/>
      </c>
      <c r="E46" s="1446" t="str">
        <f t="shared" ca="1" si="7"/>
        <v/>
      </c>
    </row>
    <row r="47" spans="1:5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</row>
    <row r="48" spans="1:5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</row>
    <row r="50" spans="4:5" ht="13.5" thickBot="1" x14ac:dyDescent="0.25"/>
    <row r="51" spans="4:5" ht="13.5" thickBot="1" x14ac:dyDescent="0.25">
      <c r="D51" s="788" t="s">
        <v>2272</v>
      </c>
      <c r="E51" s="1448">
        <f ca="1">SUM(C20:E20,C29:E29,C38:E38,C48:E48)</f>
        <v>5893</v>
      </c>
    </row>
  </sheetData>
  <mergeCells count="1">
    <mergeCell ref="B10:D10"/>
  </mergeCells>
  <printOptions horizontalCentered="1"/>
  <pageMargins left="0.5" right="0.5" top="0.65" bottom="0.5" header="0.25" footer="0.25"/>
  <pageSetup orientation="portrait" r:id="rId1"/>
  <headerFooter>
    <oddHeader>&amp;R&amp;"Arial,Bold"&amp;F</oddHeader>
    <oddFooter>&amp;L&amp;"Arial,Bold"Printed:&amp;"Arial,Regular" &amp;D, &amp;T&amp;C&amp;A&amp;R&amp;P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R76"/>
  <sheetViews>
    <sheetView topLeftCell="F1" zoomScale="90" zoomScaleNormal="90" zoomScaleSheetLayoutView="85" workbookViewId="0">
      <selection activeCell="L30" sqref="L30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0.66</v>
      </c>
      <c r="Q2" s="207">
        <f>HLOOKUP(C11,Table_StateRates,5,FALSE)</f>
        <v>0.66</v>
      </c>
      <c r="R2" s="207">
        <f>HLOOKUP(C11,Table_StateRates,5,FALSE)</f>
        <v>0.66</v>
      </c>
      <c r="S2" s="207">
        <f>HLOOKUP(C11,Table_StateRates,5,FALSE)</f>
        <v>0.66</v>
      </c>
      <c r="V2" s="168" t="s">
        <v>1019</v>
      </c>
      <c r="W2" s="207">
        <f>HLOOKUP(C11,Table_StateRates,5,FALSE)</f>
        <v>0.66</v>
      </c>
      <c r="X2" s="207">
        <f>HLOOKUP(C11,Table_StateRates,5,FALSE)</f>
        <v>0.66</v>
      </c>
      <c r="Y2" s="207">
        <f>HLOOKUP(C11,Table_StateRates,5,FALSE)</f>
        <v>0.66</v>
      </c>
      <c r="Z2" s="207">
        <f>HLOOKUP(C11,Table_StateRates,5,FALSE)</f>
        <v>0.66</v>
      </c>
      <c r="AB2" s="546"/>
      <c r="AC2" s="545" t="s">
        <v>1019</v>
      </c>
      <c r="AD2" s="207">
        <f>HLOOKUP(C11,Table_StateRates,5,FALSE)</f>
        <v>0.66</v>
      </c>
      <c r="AE2" s="207">
        <f>HLOOKUP(C11,Table_StateRates,5,FALSE)</f>
        <v>0.66</v>
      </c>
      <c r="AF2" s="207">
        <f>HLOOKUP(C11,Table_StateRates,5,FALSE)</f>
        <v>0.66</v>
      </c>
      <c r="AG2" s="207">
        <f>HLOOKUP(C11,Table_StateRates,5,FALSE)</f>
        <v>0.66</v>
      </c>
      <c r="AJ2" s="1117" t="s">
        <v>916</v>
      </c>
      <c r="AK2" s="207">
        <f>HLOOKUP(C11,Table_StateRates,5,FALSE)</f>
        <v>0.66</v>
      </c>
      <c r="AL2" s="207">
        <f>HLOOKUP(C11,Table_StateRates,5,FALSE)</f>
        <v>0.66</v>
      </c>
      <c r="AM2" s="207">
        <f>HLOOKUP(C11,Table_StateRates,5,FALSE)</f>
        <v>0.66</v>
      </c>
      <c r="AN2" s="207">
        <f>HLOOKUP(C11,Table_StateRates,5,FALSE)</f>
        <v>0.66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 t="str">
        <f>Summary3</f>
        <v>#16 - R34 - BLANKET - GANY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1.254</v>
      </c>
      <c r="Q4" s="1312">
        <f>PRODUCT(Q2:Q3)</f>
        <v>1.254</v>
      </c>
      <c r="R4" s="1312">
        <f>PRODUCT(R2:R3)</f>
        <v>1.254</v>
      </c>
      <c r="S4" s="1312">
        <f>PRODUCT(S2:S3)</f>
        <v>1.254</v>
      </c>
      <c r="U4" s="146"/>
      <c r="V4" s="83" t="s">
        <v>2166</v>
      </c>
      <c r="W4" s="1312">
        <f>PRODUCT(W2:W3)</f>
        <v>1.254</v>
      </c>
      <c r="X4" s="1312">
        <f>PRODUCT(X2:X3)</f>
        <v>1.254</v>
      </c>
      <c r="Y4" s="1312">
        <f>PRODUCT(Y2:Y3)</f>
        <v>1.254</v>
      </c>
      <c r="Z4" s="1312">
        <f>PRODUCT(Z2:Z3)</f>
        <v>1.254</v>
      </c>
      <c r="AB4" s="60"/>
      <c r="AC4" s="83" t="s">
        <v>2166</v>
      </c>
      <c r="AD4" s="1312">
        <f>PRODUCT(AD2:AD3)</f>
        <v>1.254</v>
      </c>
      <c r="AE4" s="1312">
        <f>PRODUCT(AE2:AE3)</f>
        <v>1.254</v>
      </c>
      <c r="AF4" s="1312">
        <f>PRODUCT(AF2:AF3)</f>
        <v>1.254</v>
      </c>
      <c r="AG4" s="1312">
        <f>PRODUCT(AG2:AG3)</f>
        <v>1.254</v>
      </c>
      <c r="AI4" s="60"/>
      <c r="AJ4" s="83" t="s">
        <v>2166</v>
      </c>
      <c r="AK4" s="1312">
        <f>PRODUCT(AK2:AK3)</f>
        <v>1.254</v>
      </c>
      <c r="AL4" s="1312">
        <f>PRODUCT(AL2:AL3)</f>
        <v>1.254</v>
      </c>
      <c r="AM4" s="1312">
        <f>PRODUCT(AM2:AM3)</f>
        <v>1.254</v>
      </c>
      <c r="AN4" s="1312">
        <f>PRODUCT(AN2:AN3)</f>
        <v>1.254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390</v>
      </c>
      <c r="J5" s="258">
        <f>IF(C27="Yes",Q36,0)</f>
        <v>190</v>
      </c>
      <c r="K5" s="259">
        <f>IF(AND(C27="Yes",C12="SP"),R36,0)</f>
        <v>180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0.124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4.8000000000000001E-2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0.124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4.8000000000000001E-2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0.124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0.124</v>
      </c>
      <c r="AL5" s="247">
        <f>Q5</f>
        <v>4.2000000000000003E-2</v>
      </c>
      <c r="AM5" s="247">
        <f>R5</f>
        <v>4.8000000000000001E-2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985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0.88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0.88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0.66</v>
      </c>
      <c r="AS6" s="299">
        <f>HLOOKUP(C11,Table_StateRates,5,FALSE)</f>
        <v>0.66</v>
      </c>
      <c r="AT6" s="299">
        <f>HLOOKUP(C11,Table_StateRates,5,FALSE)</f>
        <v>0.66</v>
      </c>
      <c r="AU6" s="299">
        <f>HLOOKUP(C11,Table_StateRates,5,FALSE)</f>
        <v>0.66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0.66</v>
      </c>
      <c r="BE6" s="453"/>
      <c r="BF6" s="186" t="s">
        <v>1019</v>
      </c>
      <c r="BG6" s="208">
        <f>HLOOKUP(C11,Table_StateRates,5,FALSE)</f>
        <v>0.66</v>
      </c>
      <c r="BH6" s="146"/>
      <c r="BI6" s="453"/>
      <c r="BJ6" s="186" t="s">
        <v>1019</v>
      </c>
      <c r="BK6" s="208">
        <f>HLOOKUP(C11,Table_StateRates,5,FALSE)</f>
        <v>0.66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18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0.88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0.88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0.13700000000000001</v>
      </c>
      <c r="AE7" s="1315">
        <f>ROUND(PRODUCT(AE4:AE6),3)</f>
        <v>5.2999999999999999E-2</v>
      </c>
      <c r="AF7" s="1315">
        <f>ROUND(PRODUCT(AF4:AF6),3)</f>
        <v>1.2999999999999999E-2</v>
      </c>
      <c r="AG7" s="1315">
        <f>ROUND(PRODUCT(AG4:AG6),3)</f>
        <v>1.2999999999999999E-2</v>
      </c>
      <c r="AH7" s="207"/>
      <c r="AI7" s="146"/>
      <c r="AJ7" s="301" t="s">
        <v>2243</v>
      </c>
      <c r="AK7" s="1315">
        <f>ROUND(PRODUCT(AK4:AK6),3)</f>
        <v>0.13700000000000001</v>
      </c>
      <c r="AL7" s="1315">
        <f>ROUND(PRODUCT(AL4:AL6),3)</f>
        <v>5.2999999999999999E-2</v>
      </c>
      <c r="AM7" s="1315">
        <f>ROUND(PRODUCT(AM4:AM6),3)</f>
        <v>0.06</v>
      </c>
      <c r="AN7" s="1315">
        <f>ROUND(PRODUCT(AN4:AN6),3)</f>
        <v>1.9E-2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0.95</v>
      </c>
      <c r="AS7" s="299">
        <f>IF(F7="Yes",1,IF(C48&gt;=80,VLOOKUP(C48,Table_CoIns1,2,FALSE),1+ IF(P5&lt;B49,VLOOKUP(B62,Table_CIUnder80,5,FALSE),0.5)))</f>
        <v>0.95</v>
      </c>
      <c r="AT7" s="299">
        <f>IF(F7="Yes",1,IF(C48&gt;=80,VLOOKUP(C48,Table_CoIns1,2,FALSE),1+ IF(P5&lt;B49,VLOOKUP(B62,Table_CIUnder80,5,FALSE),0.5)))</f>
        <v>0.95</v>
      </c>
      <c r="AU7" s="299">
        <f>IF(F7="Yes",1,IF(C48&gt;=80,VLOOKUP(C48,Table_CoIns1,2,FALSE),1+ IF(P5&lt;B49,VLOOKUP(B62,Table_CIUnder80,5,FALSE),0.5)))</f>
        <v>0.95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0.95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0.13700000000000001</v>
      </c>
      <c r="X8" s="1315">
        <f>ROUND(PRODUCT(X4:X7),3)</f>
        <v>5.2999999999999999E-2</v>
      </c>
      <c r="Y8" s="1315">
        <f>ROUND(PRODUCT(Y4:Y7),3)</f>
        <v>0.06</v>
      </c>
      <c r="Z8" s="1315">
        <f>ROUND(PRODUCT(Z4:Z7),3)</f>
        <v>1.9E-2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1.1499999999999999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0.95</v>
      </c>
      <c r="AS8" s="299">
        <f>IF(C46=250,DF_250Deductible,C47)</f>
        <v>0.95</v>
      </c>
      <c r="AT8" s="299">
        <f>IF(C46=250,DF_250Deductible,C47)</f>
        <v>0.95</v>
      </c>
      <c r="AU8" s="299">
        <f>IF(C46=250,DF_250Deductible,C47)</f>
        <v>0.95</v>
      </c>
      <c r="AX8" s="268" t="s">
        <v>1018</v>
      </c>
      <c r="AY8" s="423">
        <f>IF(C46=250,DF_250Deductible,C47)</f>
        <v>0.95</v>
      </c>
      <c r="BB8" s="268" t="s">
        <v>1017</v>
      </c>
      <c r="BC8" s="423">
        <f>IF(F7="Yes",1,IF(C48&gt;=80,VLOOKUP(C48,Table_CoIns1,2,FALSE),1+ IF(P5&lt;B49,VLOOKUP(B62,Table_CIUnder80,5,FALSE),0.5)))</f>
        <v>0.95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0.13700000000000001</v>
      </c>
      <c r="Q9" s="1313">
        <f>ROUND(PRODUCT(Q4:Q8),3)</f>
        <v>5.2999999999999999E-2</v>
      </c>
      <c r="R9" s="1313">
        <f>ROUND(PRODUCT(R4:R8),3)</f>
        <v>0.06</v>
      </c>
      <c r="S9" s="1313">
        <f>ROUND(PRODUCT(S4:S8),3)</f>
        <v>1.9E-2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0.95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857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0.45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1861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3.4000000000000002E-2</v>
      </c>
      <c r="X11" s="1315">
        <f>ROUND(PRODUCT(X8:X10),3)</f>
        <v>1.2999999999999999E-2</v>
      </c>
      <c r="Y11" s="1315">
        <f>ROUND(PRODUCT(Y8:Y10),3)</f>
        <v>1.4999999999999999E-2</v>
      </c>
      <c r="Z11" s="1315">
        <f>ROUND(PRODUCT(Z8:Z10),3)</f>
        <v>5.0000000000000001E-3</v>
      </c>
      <c r="AB11" s="146"/>
      <c r="AC11" s="83" t="s">
        <v>2167</v>
      </c>
      <c r="AD11" s="1313">
        <f>ROUND(PRODUCT(AD7:AD10),3)</f>
        <v>6.9000000000000006E-2</v>
      </c>
      <c r="AE11" s="1313">
        <f>ROUND(PRODUCT(AE7:AE10),3)</f>
        <v>2.7E-2</v>
      </c>
      <c r="AF11" s="1313">
        <f>ROUND(PRODUCT(AF7:AF10),3)</f>
        <v>1.4999999999999999E-2</v>
      </c>
      <c r="AG11" s="1313">
        <f>ROUND(PRODUCT(AG7:AG10),3)</f>
        <v>1.2999999999999999E-2</v>
      </c>
      <c r="AH11" s="426"/>
      <c r="AI11" s="146"/>
      <c r="AJ11" s="1210" t="s">
        <v>2243</v>
      </c>
      <c r="AK11" s="1424">
        <f>AK7</f>
        <v>0.13700000000000001</v>
      </c>
      <c r="AL11" s="1424">
        <f>AL7</f>
        <v>5.2999999999999999E-2</v>
      </c>
      <c r="AM11" s="1424">
        <f>AM7</f>
        <v>0.06</v>
      </c>
      <c r="AN11" s="1424">
        <f>AN7</f>
        <v>1.9E-2</v>
      </c>
      <c r="AO11" s="426"/>
      <c r="AP11" s="146"/>
      <c r="AQ11" s="545" t="s">
        <v>1020</v>
      </c>
      <c r="AR11" s="299">
        <f>IF(C6="PAC",VLOOKUP(B7,Table_PakMods,MATCH(C11,List_Company,0)+1,FALSE),1)</f>
        <v>0.45</v>
      </c>
      <c r="AS11" s="299">
        <f>IF(C6="PAC",VLOOKUP(B7,Table_PakMods,MATCH(C11,List_Company,0)+1,FALSE),1)</f>
        <v>0.45</v>
      </c>
      <c r="AT11" s="299">
        <f>IF(C6="PAC",VLOOKUP(B7,Table_PakMods,MATCH(C11,List_Company,0)+1,FALSE),1)</f>
        <v>0.45</v>
      </c>
      <c r="AU11" s="299">
        <f>IF(C6="PAC",VLOOKUP(B7,Table_PakMods,MATCH(C11,List_Company,0)+1,FALSE),1)</f>
        <v>0.45</v>
      </c>
      <c r="AV11" s="385"/>
      <c r="AX11" s="545" t="s">
        <v>1020</v>
      </c>
      <c r="AY11" s="299">
        <f>IF(C6="PAC",VLOOKUP(B7,Table_PakMods,MATCH(C11,List_Company,0)+1,FALSE),1)</f>
        <v>0.45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894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2</v>
      </c>
      <c r="C13" s="1435">
        <v>1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0.45</v>
      </c>
      <c r="AE13" s="299">
        <f>IF(C6="PAC",VLOOKUP(B7,Table_PakMods,MATCH(C11,List_Company,0)+1,FALSE),1)</f>
        <v>0.45</v>
      </c>
      <c r="AF13" s="299">
        <f>IF(C6="PAC",VLOOKUP(B7,Table_PakMods,MATCH(C11,List_Company,0)+1,FALSE),1)</f>
        <v>0.45</v>
      </c>
      <c r="AG13" s="299">
        <f>IF(C6="PAC",VLOOKUP(B7,Table_PakMods,MATCH(C11,List_Company,0)+1,FALSE),1)</f>
        <v>0.45</v>
      </c>
      <c r="AH13" s="485"/>
      <c r="AI13" s="146"/>
      <c r="AJ13" s="301" t="s">
        <v>2245</v>
      </c>
      <c r="AK13" s="1423">
        <f>ROUND(PRODUCT(AK11:AK12),3)</f>
        <v>2.1000000000000001E-2</v>
      </c>
      <c r="AL13" s="1423">
        <f>ROUND(PRODUCT(AL11:AL12),3)</f>
        <v>8.0000000000000002E-3</v>
      </c>
      <c r="AM13" s="1423">
        <f>ROUND(PRODUCT(AM11:AM12),3)</f>
        <v>8.9999999999999993E-3</v>
      </c>
      <c r="AN13" s="1423">
        <f>ROUND(PRODUCT(AN11:AN12),3)</f>
        <v>3.0000000000000001E-3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1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1.1499999999999999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0.66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2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0.45</v>
      </c>
      <c r="AE15" s="1314">
        <f>ROUND(PRODUCT(AE12:AE14),3)</f>
        <v>0.45</v>
      </c>
      <c r="AF15" s="1314">
        <f>ROUND(PRODUCT(AF12:AF14),3)</f>
        <v>0.45</v>
      </c>
      <c r="AG15" s="1314">
        <f>ROUND(PRODUCT(AG12:AG14),3)</f>
        <v>0.45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6.9000000000000006E-2</v>
      </c>
      <c r="AE16" s="757">
        <f>AE11</f>
        <v>2.7E-2</v>
      </c>
      <c r="AF16" s="757">
        <f>AF11</f>
        <v>1.4999999999999999E-2</v>
      </c>
      <c r="AG16" s="757">
        <f>AG11</f>
        <v>1.2999999999999999E-2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0.66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3.1E-2</v>
      </c>
      <c r="AE17" s="1315">
        <f>ROUND(PRODUCT(AE15:AE16),3)</f>
        <v>1.2E-2</v>
      </c>
      <c r="AF17" s="1315">
        <f>ROUND(PRODUCT(AF15:AF16),3)</f>
        <v>7.0000000000000001E-3</v>
      </c>
      <c r="AG17" s="1315">
        <f>ROUND(PRODUCT(AG15:AG16),3)</f>
        <v>6.0000000000000001E-3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>
        <v>2</v>
      </c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0.95</v>
      </c>
      <c r="Q19" s="207">
        <f>IF(C65="Yes",1,IF(C46=250,DF_250Deductible,C47))</f>
        <v>0.95</v>
      </c>
      <c r="R19" s="207">
        <f>IF(C46=250,DF_250Deductible,C47)</f>
        <v>0.95</v>
      </c>
      <c r="S19" s="207">
        <f>IF(C46=250,DF_250Deductible,C47)</f>
        <v>0.95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0.13700000000000001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IF(TC3_PP1!F26="Yes","PP","Available")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0.45</v>
      </c>
      <c r="X20" s="299">
        <f>IF(C6="PAC",VLOOKUP(B7,Table_PakMods,MATCH(C11,List_Company,0)+1,FALSE),1)</f>
        <v>0.45</v>
      </c>
      <c r="Y20" s="299">
        <f>IF(C6="PAC",VLOOKUP(B7,Table_PakMods,MATCH(C11,List_Company,0)+1,FALSE),1)</f>
        <v>0.45</v>
      </c>
      <c r="Z20" s="299">
        <f>IF(C6="PAC",VLOOKUP(B7,Table_PakMods,MATCH(C11,List_Company,0)+1,FALSE),1)</f>
        <v>0.45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0.66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0.13</v>
      </c>
      <c r="Q21" s="1312">
        <f>ROUND(PRODUCT(Q9:Q20),3)</f>
        <v>0.05</v>
      </c>
      <c r="R21" s="1312">
        <f>ROUND(PRODUCT(R9:R20),3)</f>
        <v>5.7000000000000002E-2</v>
      </c>
      <c r="S21" s="1315">
        <f>ROUND(PRODUCT(S9:S20),3)</f>
        <v>1.7999999999999999E-2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0.26</v>
      </c>
      <c r="BB21" s="268" t="s">
        <v>1018</v>
      </c>
      <c r="BC21" s="423">
        <f>IF(C46=250,DF_250Deductible,C47)</f>
        <v>0.95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0.95</v>
      </c>
      <c r="Q22" s="247">
        <f>IF(F7="Yes",1,IF(C48&gt;=80,VLOOKUP(C48,Table_CoIns2,2,FALSE),1+ IF(Q5&lt;B49,VLOOKUP(B62,Table_CIUnder80,5,FALSE),0.5)))</f>
        <v>0.95</v>
      </c>
      <c r="R22" s="247">
        <f>IF(F7="Yes",1,IF(C48&gt;=80,VLOOKUP(C48,Table_CoIns1,2,FALSE),1+ IF(P5&lt;B49,VLOOKUP(B62,Table_CIUnder80,5,FALSE),0.5)))</f>
        <v>0.95</v>
      </c>
      <c r="S22" s="247">
        <f>IF(F7="Yes",1,IF(C48&gt;=80,VLOOKUP(C48,Table_CoIns1,2,FALSE),1+ IF(P5&lt;B49,VLOOKUP(B62,Table_CIUnder80,5,FALSE),0.5)))</f>
        <v>0.95</v>
      </c>
      <c r="V22" s="83" t="s">
        <v>1150</v>
      </c>
      <c r="W22" s="1315">
        <f>ROUND(PRODUCT(W11:W14,IF(AND(C59="Yes",C61="Sprinkler",C62="Yes"),W15-W16,W15),W17:W21),3)</f>
        <v>1.4999999999999999E-2</v>
      </c>
      <c r="X22" s="1315">
        <f>ROUND(PRODUCT(X11:X21),3)</f>
        <v>6.0000000000000001E-3</v>
      </c>
      <c r="Y22" s="1315">
        <f>ROUND(PRODUCT(Y11:Y21),3)</f>
        <v>8.0000000000000002E-3</v>
      </c>
      <c r="Z22" s="1315">
        <f>ROUND(PRODUCT(Z11:Z21),3)</f>
        <v>2E-3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0.95</v>
      </c>
      <c r="BD22" s="423"/>
      <c r="BE22" s="453"/>
      <c r="BF22" s="186" t="s">
        <v>1019</v>
      </c>
      <c r="BG22" s="208">
        <f>HLOOKUP(C11,Table_StateRates,5,FALSE)</f>
        <v>0.66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0.13700000000000001</v>
      </c>
      <c r="AL23" s="1424">
        <f>AL7</f>
        <v>5.2999999999999999E-2</v>
      </c>
      <c r="AM23" s="1424">
        <f>AM7</f>
        <v>0.06</v>
      </c>
      <c r="AN23" s="1424">
        <f>AN7</f>
        <v>1.9E-2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2.5999999999999999E-2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0.45</v>
      </c>
      <c r="Q24" s="299">
        <f>IF(C6="PAC",VLOOKUP(B7,Table_PakMods,MATCH(C11,List_Company,0)+1,FALSE),1)</f>
        <v>0.45</v>
      </c>
      <c r="R24" s="299">
        <f>IF(C6="PAC",VLOOKUP(B7,Table_PakMods,MATCH(C11,List_Company,0)+1,FALSE),1)</f>
        <v>0.45</v>
      </c>
      <c r="S24" s="299">
        <f>IF(C6="PAC",VLOOKUP(B7,Table_PakMods,MATCH(C11,List_Company,0)+1,FALSE),1)</f>
        <v>0.45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4.8000000000000001E-2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0.66</v>
      </c>
      <c r="AS24" s="299">
        <f>HLOOKUP(C11,Table_StateRates,5,FALSE)</f>
        <v>0.66</v>
      </c>
      <c r="AT24" s="299">
        <f>HLOOKUP(C11,Table_StateRates,5,FALSE)</f>
        <v>0.66</v>
      </c>
      <c r="AU24" s="299">
        <f>HLOOKUP(C11,Table_StateRates,5,FALSE)</f>
        <v>0.66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0.45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2.1000000000000001E-2</v>
      </c>
      <c r="AL25" s="1423">
        <f>ROUND(PRODUCT(AL23:AL24),3)</f>
        <v>8.0000000000000002E-3</v>
      </c>
      <c r="AM25" s="1423">
        <f>ROUND(PRODUCT(AM23:AM24),3)</f>
        <v>8.9999999999999993E-3</v>
      </c>
      <c r="AN25" s="1423">
        <f>ROUND(PRODUCT(AN23:AN24),3)</f>
        <v>3.0000000000000001E-3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0.95</v>
      </c>
      <c r="AS25" s="299">
        <f>IF(F7="Yes",1,IF(C48&gt;=80,VLOOKUP(C48,Table_CoIns1,2,FALSE),1+ IF(P5&lt;B49,VLOOKUP(B62,Table_CIUnder80,5,FALSE),0.5)))</f>
        <v>0.95</v>
      </c>
      <c r="AT25" s="299">
        <f>IF(F7="Yes",1,IF(C48&gt;=80,VLOOKUP(C48,Table_CoIns1,2,FALSE),1+ IF(P5&lt;B49,VLOOKUP(B62,Table_CIUnder80,5,FALSE),0.5)))</f>
        <v>0.95</v>
      </c>
      <c r="AU25" s="299">
        <f>IF(F7="Yes",1,IF(C48&gt;=80,VLOOKUP(C48,Table_CoIns1,2,FALSE),1+ IF(P5&lt;B49,VLOOKUP(B62,Table_CIUnder80,5,FALSE),0.5)))</f>
        <v>0.95</v>
      </c>
      <c r="AV25" s="385"/>
      <c r="AX25" s="545" t="s">
        <v>1020</v>
      </c>
      <c r="AY25" s="299">
        <f>IF(C6="PAC",VLOOKUP(B7,Table_PakMods,MATCH(C11,List_Company,0)+1,FALSE),1)</f>
        <v>0.45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0.42799999999999999</v>
      </c>
      <c r="Q26" s="1314">
        <f>ROUND(PRODUCT(Q22:Q25),3)</f>
        <v>0.42799999999999999</v>
      </c>
      <c r="R26" s="1314">
        <f>ROUND(PRODUCT(R22:R25),3)</f>
        <v>0.42799999999999999</v>
      </c>
      <c r="S26" s="1314">
        <f>ROUND(PRODUCT(S22:S25),3)</f>
        <v>0.42799999999999999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4.8000000000000001E-2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0.95</v>
      </c>
      <c r="AS26" s="299">
        <f>IF(C46=250,DF_250Deductible,C47)</f>
        <v>0.95</v>
      </c>
      <c r="AT26" s="299">
        <f>IF(C46=250,DF_250Deductible,C47)</f>
        <v>0.95</v>
      </c>
      <c r="AU26" s="299">
        <f>IF(C46=250,DF_250Deductible,C47)</f>
        <v>0.95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0.66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0.13</v>
      </c>
      <c r="Q27" s="757">
        <f>Q21</f>
        <v>0.05</v>
      </c>
      <c r="R27" s="757">
        <f>R21</f>
        <v>5.7000000000000002E-2</v>
      </c>
      <c r="S27" s="757">
        <f>S21</f>
        <v>1.7999999999999999E-2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1.2E-2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3.9E-2</v>
      </c>
      <c r="Q28" s="1315">
        <f>IF($C$30="Yes",C31,ROUND(PRODUCT(Q26:Q27),3))</f>
        <v>1.9E-2</v>
      </c>
      <c r="R28" s="1315">
        <f>IF($C$30="Yes",B32,ROUND(PRODUCT(R26:R27),3))</f>
        <v>1.7999999999999999E-2</v>
      </c>
      <c r="S28" s="1315">
        <f>IF($C$30="Yes",C32,ROUND(PRODUCT(S26:S27),3))</f>
        <v>0</v>
      </c>
      <c r="AC28" s="168" t="s">
        <v>1019</v>
      </c>
      <c r="AD28" s="207">
        <f>HLOOKUP(C11,Table_StateRates,5,FALSE)</f>
        <v>0.66</v>
      </c>
      <c r="AE28" s="207">
        <f>HLOOKUP(C11,Table_StateRates,5,FALSE)</f>
        <v>0.66</v>
      </c>
      <c r="AF28" s="207">
        <f>HLOOKUP(C11,Table_StateRates,5,FALSE)</f>
        <v>0.66</v>
      </c>
      <c r="AG28" s="207">
        <f>HLOOKUP(C11,Table_StateRates,5,FALSE)</f>
        <v>0.66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0.95</v>
      </c>
      <c r="AE29" s="247">
        <f>IF(F7="Yes",1,IF(C48&gt;=80,VLOOKUP(C48,Table_CoIns1,2,FALSE),1+ IF(P5&lt;B49,VLOOKUP(B62,Table_CIUnder80,5,FALSE),0.5)))</f>
        <v>0.95</v>
      </c>
      <c r="AF29" s="247">
        <f>IF(F7="Yes",1,IF(C48&gt;=80,VLOOKUP(C48,Table_CoIns1,2,FALSE),1+ IF(P5&lt;B49,VLOOKUP(B62,Table_CIUnder80,5,FALSE),0.5)))</f>
        <v>0.95</v>
      </c>
      <c r="AG29" s="247">
        <f>IF(F7="Yes",1,IF(C48&gt;=80,VLOOKUP(C48,Table_CoIns1,2,FALSE),1+ IF(P5&lt;B49,VLOOKUP(B62,Table_CIUnder80,5,FALSE),0.5)))</f>
        <v>0.95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0.45</v>
      </c>
      <c r="AS29" s="299">
        <f>IF(C6="PAC",VLOOKUP(B7,Table_PakMods,MATCH(C11,List_Company,0)+1,FALSE),1)</f>
        <v>0.45</v>
      </c>
      <c r="AT29" s="299">
        <f>IF(C6="PAC",VLOOKUP(B7,Table_PakMods,MATCH(C11,List_Company,0)+1,FALSE),1)</f>
        <v>0.45</v>
      </c>
      <c r="AU29" s="299">
        <f>IF(C6="PAC",VLOOKUP(B7,Table_PakMods,MATCH(C11,List_Company,0)+1,FALSE),1)</f>
        <v>0.45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40" t="s">
        <v>833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0.95</v>
      </c>
      <c r="AE30" s="207">
        <f>IF(C46=250,DF_250Deductible,C47)</f>
        <v>0.95</v>
      </c>
      <c r="AF30" s="207">
        <f>IF(C46=250,DF_250Deductible,C47)</f>
        <v>0.95</v>
      </c>
      <c r="AG30" s="207">
        <f>IF(C46=250,DF_250Deductible,C47)</f>
        <v>0.95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0.66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3.9E-2</v>
      </c>
      <c r="C31" s="1455">
        <v>1.9E-2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0.78600000000000003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0.7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0.72499999999999998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0.72499999999999998</v>
      </c>
      <c r="V31" s="168" t="s">
        <v>407</v>
      </c>
      <c r="W31" s="247">
        <f>P28</f>
        <v>3.9E-2</v>
      </c>
      <c r="X31" s="247">
        <f>Q28</f>
        <v>1.9E-2</v>
      </c>
      <c r="Y31" s="247">
        <f>R28</f>
        <v>1.7999999999999999E-2</v>
      </c>
      <c r="Z31" s="247">
        <f>S28</f>
        <v>0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4.0000000000000001E-3</v>
      </c>
      <c r="AS31" s="247">
        <f>ROUND(PRODUCT(AS21:AS30),3)</f>
        <v>3.0000000000000001E-3</v>
      </c>
      <c r="AT31" s="247">
        <f>ROUND(PRODUCT(AT21:AT30),3)</f>
        <v>3.0000000000000001E-3</v>
      </c>
      <c r="AU31" s="247">
        <f>ROUND(PRODUCT(AU21:AU30),3)</f>
        <v>3.0000000000000001E-3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1.7999999999999999E-2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1.1499999999999999</v>
      </c>
      <c r="S32" s="247">
        <v>1</v>
      </c>
      <c r="U32" s="185"/>
      <c r="V32" s="187" t="s">
        <v>408</v>
      </c>
      <c r="W32" s="208">
        <f>IF(C48&gt;80,P22,1)</f>
        <v>0.95</v>
      </c>
      <c r="X32" s="208">
        <f>IF(C48&gt;80,Q22,1)</f>
        <v>0.95</v>
      </c>
      <c r="Y32" s="208">
        <f>IF(C48&gt;80,R22,1)</f>
        <v>0.95</v>
      </c>
      <c r="Z32" s="208">
        <f>IF(C48&gt;80,S22,1)</f>
        <v>0.95</v>
      </c>
      <c r="AB32" s="146"/>
      <c r="AC32" s="545" t="s">
        <v>1020</v>
      </c>
      <c r="AD32" s="299">
        <f>IF(C6="PAC",VLOOKUP(B7,Table_PakMods,MATCH(C11,List_Company,0)+1,FALSE),1)</f>
        <v>0.45</v>
      </c>
      <c r="AE32" s="299">
        <f>IF(C6="PAC",VLOOKUP(B7,Table_PakMods,MATCH(C11,List_Company,0)+1,FALSE),1)</f>
        <v>0.45</v>
      </c>
      <c r="AF32" s="299">
        <f>IF(C6="PAC",VLOOKUP(B7,Table_PakMods,MATCH(C11,List_Company,0)+1,FALSE),1)</f>
        <v>0.45</v>
      </c>
      <c r="AG32" s="299">
        <f>IF(C6="PAC",VLOOKUP(B7,Table_PakMods,MATCH(C11,List_Company,0)+1,FALSE),1)</f>
        <v>0.45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10000</v>
      </c>
      <c r="Q33" s="238">
        <f>IF(ISNUMBER(C45),C45/100,0)</f>
        <v>10000</v>
      </c>
      <c r="R33" s="238">
        <f>IF(ISNUMBER(C45),C45/100,0)</f>
        <v>10000</v>
      </c>
      <c r="S33" s="238">
        <f>IF(ISNUMBER(C45),C45/100,0)</f>
        <v>10000</v>
      </c>
      <c r="U33" s="546"/>
      <c r="V33" s="301" t="s">
        <v>409</v>
      </c>
      <c r="W33" s="247">
        <f>ROUND(W31/W32,3)</f>
        <v>4.1000000000000002E-2</v>
      </c>
      <c r="X33" s="247">
        <f>ROUND(X31/X32,3)</f>
        <v>0.02</v>
      </c>
      <c r="Y33" s="247">
        <f>ROUND(Y31/Y32,3)</f>
        <v>1.9E-2</v>
      </c>
      <c r="Z33" s="247">
        <f>ROUND(Z31/Z32,3)</f>
        <v>0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390</v>
      </c>
      <c r="Q34" s="1481">
        <f>IF($C$30="Yes",ROUND(PRODUCT(Q28,Q33),0),ROUND(PRODUCT(Q28,Q31:Q33),0))</f>
        <v>190</v>
      </c>
      <c r="R34" s="1481">
        <f>IF($C$30="Yes",ROUND(PRODUCT(R28,R33),0),ROUND(PRODUCT(R28,R31:R33),0))</f>
        <v>180</v>
      </c>
      <c r="S34" s="1481">
        <f>IF($C$30="Yes",ROUND(PRODUCT(S28,S33),0),ROUND(PRODUCT(S28,S31:S33),0))</f>
        <v>0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2.1000000000000001E-2</v>
      </c>
      <c r="AF34" s="247">
        <f>ROUND(PRODUCT(AF26:AF33),3)</f>
        <v>2.4E-2</v>
      </c>
      <c r="AG34" s="247">
        <f>ROUND(PRODUCT(AG26:AG33),3)</f>
        <v>8.0000000000000002E-3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43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0.13700000000000001</v>
      </c>
      <c r="AL35" s="247">
        <f>AL7</f>
        <v>5.2999999999999999E-2</v>
      </c>
      <c r="AM35" s="247">
        <f>AM7</f>
        <v>0.06</v>
      </c>
      <c r="AN35" s="247">
        <f>AN7</f>
        <v>1.9E-2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390</v>
      </c>
      <c r="Q36" s="248">
        <f>SUM(Q34:Q35)</f>
        <v>190</v>
      </c>
      <c r="R36" s="248">
        <f>SUM(R34:R35)</f>
        <v>180</v>
      </c>
      <c r="S36" s="248">
        <f>SUM(S34:S35)</f>
        <v>0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0.66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0.45</v>
      </c>
      <c r="X37" s="299">
        <f>IF(C6="PAC",VLOOKUP(B7,Table_PakMods,MATCH(C11,List_Company,0)+1,FALSE),1)</f>
        <v>0.45</v>
      </c>
      <c r="Y37" s="299">
        <f>IF(C6="PAC",VLOOKUP(B7,Table_PakMods,MATCH(C11,List_Company,0)+1,FALSE),1)</f>
        <v>0.45</v>
      </c>
      <c r="Z37" s="299">
        <f>IF(C6="PAC",VLOOKUP(B7,Table_PakMods,MATCH(C11,List_Company,0)+1,FALSE),1)</f>
        <v>0.45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0.66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6.0000000000000001E-3</v>
      </c>
      <c r="X39" s="247">
        <f>ROUND(PRODUCT(X33:X38),3)</f>
        <v>3.0000000000000001E-3</v>
      </c>
      <c r="Y39" s="247">
        <f>ROUND(PRODUCT(Y33:Y38),3)</f>
        <v>3.0000000000000001E-3</v>
      </c>
      <c r="Z39" s="247">
        <f>ROUND(PRODUCT(Z33:Z38),3)</f>
        <v>0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0.124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0.66</v>
      </c>
      <c r="AZ39" s="423"/>
      <c r="BA39" s="542"/>
      <c r="BB39" s="597" t="s">
        <v>1019</v>
      </c>
      <c r="BC39" s="279">
        <f>HLOOKUP(C11,Table_StateRates,5,FALSE)</f>
        <v>0.66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390</v>
      </c>
      <c r="Q40" s="248">
        <f>Q34</f>
        <v>190</v>
      </c>
      <c r="R40" s="248">
        <f>R34</f>
        <v>180</v>
      </c>
      <c r="S40" s="248">
        <f>S34</f>
        <v>0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1.9E-2</v>
      </c>
      <c r="AZ40" s="559"/>
      <c r="BA40" s="423"/>
      <c r="BB40" s="810" t="s">
        <v>1134</v>
      </c>
      <c r="BC40" s="426">
        <f>ROUND(PRODUCT(BC35:BC39),3)</f>
        <v>1.9E-2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0.88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0.88</v>
      </c>
      <c r="AZ41" s="559"/>
      <c r="BA41" s="423"/>
      <c r="BB41" s="906" t="s">
        <v>1178</v>
      </c>
      <c r="BC41" s="423">
        <f>IF(OR(C28="S",C28="T",C28="SC"),1,VLOOKUP(C14,Table_ProtClass,IF(C15&lt;=3,2,3),FALSE))</f>
        <v>0.88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1.1499999999999999</v>
      </c>
      <c r="AU42" s="207">
        <v>1</v>
      </c>
      <c r="AW42" s="423"/>
      <c r="AX42" s="906" t="s">
        <v>1018</v>
      </c>
      <c r="AY42" s="423">
        <f>IF(C46=250,DF_250Deductible,C47)</f>
        <v>0.95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1.2E-2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0.95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150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0.13700000000000001</v>
      </c>
      <c r="AL44" s="247">
        <f>AL7</f>
        <v>5.2999999999999999E-2</v>
      </c>
      <c r="AM44" s="247">
        <f>AM7</f>
        <v>0.06</v>
      </c>
      <c r="AN44" s="247">
        <f>AN7</f>
        <v>1.9E-2</v>
      </c>
      <c r="AO44" s="557"/>
      <c r="AP44" s="2"/>
      <c r="AQ44" s="168" t="s">
        <v>1019</v>
      </c>
      <c r="AR44" s="207">
        <f>HLOOKUP(C11,Table_StateRates,5,FALSE)</f>
        <v>0.66</v>
      </c>
      <c r="AS44" s="207">
        <f>HLOOKUP(C11,Table_StateRates,5,FALSE)</f>
        <v>0.66</v>
      </c>
      <c r="AT44" s="207">
        <f>HLOOKUP(C11,Table_StateRates,5,FALSE)</f>
        <v>0.66</v>
      </c>
      <c r="AU44" s="207">
        <f>HLOOKUP(C11,Table_StateRates,5,FALSE)</f>
        <v>0.66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4.0000000000000001E-3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1000000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1.4999999999999999E-2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0.96</v>
      </c>
      <c r="C46" s="944">
        <v>1000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10000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0.66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0.84</v>
      </c>
      <c r="C47" s="945">
        <v>0.95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760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150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90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0.45</v>
      </c>
      <c r="AS48" s="299">
        <f>IF(C6="PAC",VLOOKUP(B7,Table_PakMods,MATCH(C11,List_Company,0)+1,FALSE),1)</f>
        <v>0.45</v>
      </c>
      <c r="AT48" s="299">
        <f>IF(C6="PAC",VLOOKUP(B7,Table_PakMods,MATCH(C11,List_Company,0)+1,FALSE),1)</f>
        <v>0.45</v>
      </c>
      <c r="AU48" s="299">
        <f>IF(C6="PAC",VLOOKUP(B7,Table_PakMods,MATCH(C11,List_Company,0)+1,FALSE),1)</f>
        <v>0.45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910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0.124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4.8000000000000001E-2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3.1E-2</v>
      </c>
      <c r="AS50" s="247">
        <f>ROUND(PRODUCT(AS39:AS49),3)</f>
        <v>1.2E-2</v>
      </c>
      <c r="AT50" s="247">
        <f>ROUND(PRODUCT(AT39:AT49),3)</f>
        <v>4.0000000000000001E-3</v>
      </c>
      <c r="AU50" s="247">
        <f>ROUND(PRODUCT(AU39:AU49),3)</f>
        <v>3.0000000000000001E-3</v>
      </c>
      <c r="AW50" s="566"/>
      <c r="AX50" s="990" t="s">
        <v>395</v>
      </c>
      <c r="AY50" s="813">
        <f>SUM(AY47,BC46)</f>
        <v>150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0.66</v>
      </c>
      <c r="X51" s="207">
        <f>HLOOKUP(C11,Table_StateRates,5,FALSE)</f>
        <v>0.66</v>
      </c>
      <c r="Y51" s="207">
        <f>HLOOKUP(C11,Table_StateRates,5,FALSE)</f>
        <v>0.66</v>
      </c>
      <c r="Z51" s="207">
        <f>HLOOKUP(C11,Table_StateRates,5,FALSE)</f>
        <v>0.66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0.45</v>
      </c>
      <c r="X54" s="299">
        <f>IF(C6="PAC",VLOOKUP(B7,Table_PakMods,MATCH(C11,List_Company,0)+1,FALSE),1)</f>
        <v>0.45</v>
      </c>
      <c r="Y54" s="299">
        <f>IF(C6="PAC",VLOOKUP(B7,Table_PakMods,MATCH(C11,List_Company,0)+1,FALSE),1)</f>
        <v>0.45</v>
      </c>
      <c r="Z54" s="299">
        <f>IF(C6="PAC",VLOOKUP(B7,Table_PakMods,MATCH(C11,List_Company,0)+1,FALSE),1)</f>
        <v>0.45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8.9999999999999993E-3</v>
      </c>
      <c r="X56" s="247">
        <f>ROUND(PRODUCT(X49:X55),3)</f>
        <v>3.0000000000000001E-3</v>
      </c>
      <c r="Y56" s="247">
        <f>ROUND(PRODUCT(Y49:Y55),3)</f>
        <v>2.7E-2</v>
      </c>
      <c r="Z56" s="247">
        <f>ROUND(PRODUCT(Z49:Z55),3)</f>
        <v>8.0000000000000002E-3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2.1999999999999999E-2</v>
      </c>
      <c r="X59" s="247">
        <f>MAX(X56:X57)</f>
        <v>6.0000000000000001E-3</v>
      </c>
      <c r="Y59" s="247">
        <f>MAX(Y56:Y57)</f>
        <v>5.2999999999999999E-2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296" priority="23" stopIfTrue="1">
      <formula>IF($C$24="Yes",FALSE,TRUE)</formula>
    </cfRule>
  </conditionalFormatting>
  <conditionalFormatting sqref="E16">
    <cfRule type="expression" dxfId="295" priority="22" stopIfTrue="1">
      <formula>IF($C$58="Yes",TRUE,FALSE)</formula>
    </cfRule>
  </conditionalFormatting>
  <conditionalFormatting sqref="C18">
    <cfRule type="expression" dxfId="294" priority="20">
      <formula>IF($C$12="SP",TRUE,FALSE)</formula>
    </cfRule>
    <cfRule type="expression" dxfId="293" priority="21">
      <formula>IF($C$12="SP",TRUE,FALSE)</formula>
    </cfRule>
  </conditionalFormatting>
  <conditionalFormatting sqref="A18">
    <cfRule type="expression" dxfId="292" priority="19">
      <formula>IF($C$12="SP",TRUE,FALSE)</formula>
    </cfRule>
  </conditionalFormatting>
  <conditionalFormatting sqref="B21">
    <cfRule type="expression" dxfId="291" priority="16">
      <formula>IF($C$21="Yes",TRUE,FALSE)</formula>
    </cfRule>
  </conditionalFormatting>
  <conditionalFormatting sqref="C18">
    <cfRule type="expression" dxfId="290" priority="12">
      <formula>IF($C$12="SP",TRUE,FALSE)</formula>
    </cfRule>
    <cfRule type="expression" dxfId="289" priority="13">
      <formula>IF($C$12="SP",TRUE,FALSE)</formula>
    </cfRule>
  </conditionalFormatting>
  <conditionalFormatting sqref="C18">
    <cfRule type="expression" dxfId="288" priority="10">
      <formula>IF($C$12="SP",TRUE,FALSE)</formula>
    </cfRule>
    <cfRule type="expression" dxfId="287" priority="11">
      <formula>IF($C$12="SP",TRUE,FALSE)</formula>
    </cfRule>
  </conditionalFormatting>
  <conditionalFormatting sqref="C32">
    <cfRule type="expression" dxfId="286" priority="2">
      <formula>IF(AND($C$30="Yes",$C$12="BR"),TRUE,FALSE)</formula>
    </cfRule>
  </conditionalFormatting>
  <conditionalFormatting sqref="B32">
    <cfRule type="expression" dxfId="285" priority="1">
      <formula>IF(AND($C$30="Yes",$C$12="SP"),TRUE,FALSE)</formula>
    </cfRule>
  </conditionalFormatting>
  <conditionalFormatting sqref="B31:C31">
    <cfRule type="expression" dxfId="284" priority="3">
      <formula>IF($C$30="Yes",TRUE,FALSE)</formula>
    </cfRule>
  </conditionalFormatting>
  <dataValidations count="97"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allowBlank="1" showInputMessage="1" showErrorMessage="1" promptTitle="Special Class Pty: Grp II Symbol" prompt="Group II Symbol supplied for the Special Class Property selected." sqref="E24"/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custom" allowBlank="1" showInputMessage="1" showErrorMessage="1" prompt="EQ Table Lookup Value" sqref="F49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custom" allowBlank="1" showInputMessage="1" showErrorMessage="1" prompt="Bldg Lookup Value" sqref="F36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allowBlank="1" showInputMessage="1" showErrorMessage="1" promptTitle="Occupancy Type Description" prompt="Displays the description of the choice made in the cell to the left.  " sqref="B33 B40"/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custom" allowBlank="1" showInputMessage="1" showErrorMessage="1" sqref="C25 F46 D23 B10 D43:E43 F33:F35 F38:F39 A38 A43">
      <formula1>FALSE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A78"/>
  <sheetViews>
    <sheetView tabSelected="1" topLeftCell="A7" zoomScale="90" zoomScaleNormal="90" zoomScaleSheetLayoutView="90" workbookViewId="0">
      <selection activeCell="F24" sqref="F24"/>
    </sheetView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0.66</v>
      </c>
      <c r="Q2" s="423">
        <f>HLOOKUP(C11,Table_StateRates,5,FALSE)</f>
        <v>0.66</v>
      </c>
      <c r="R2" s="423">
        <f>HLOOKUP(C11,Table_StateRates,5,FALSE)</f>
        <v>0.66</v>
      </c>
      <c r="S2" s="423">
        <f>HLOOKUP(C11,Table_StateRates,5,FALSE)</f>
        <v>0.66</v>
      </c>
      <c r="U2" s="1290"/>
      <c r="V2" s="1294" t="s">
        <v>2165</v>
      </c>
      <c r="W2" s="1300">
        <f ca="1">$P$28</f>
        <v>6.2E-2</v>
      </c>
      <c r="X2" s="1300">
        <f>$Q$28</f>
        <v>3.2000000000000001E-2</v>
      </c>
      <c r="Y2" s="1300">
        <f>$R$28</f>
        <v>7.3499999999999996E-2</v>
      </c>
      <c r="Z2" s="1300">
        <f>$S$28</f>
        <v>1.2E-2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6.2E-2</v>
      </c>
      <c r="AU2" s="247">
        <f>Q28</f>
        <v>3.2000000000000001E-2</v>
      </c>
      <c r="AV2" s="247">
        <f>IF(AND(C27="Yes",C12="SP"),VLOOKUP(C33,Table_Special_PP,3,0),0)</f>
        <v>0.113</v>
      </c>
      <c r="AW2" s="247">
        <f>S28</f>
        <v>1.2E-2</v>
      </c>
      <c r="AZ2" s="1117" t="s">
        <v>2154</v>
      </c>
      <c r="BA2" s="247">
        <f ca="1">P28</f>
        <v>6.2E-2</v>
      </c>
      <c r="BB2" s="2">
        <f>Q28</f>
        <v>3.2000000000000001E-2</v>
      </c>
      <c r="BC2" s="558">
        <f>R28</f>
        <v>7.3499999999999996E-2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487" t="str">
        <f>DF_State</f>
        <v>CT</v>
      </c>
      <c r="D3" s="934" t="s">
        <v>1823</v>
      </c>
      <c r="E3" s="216"/>
      <c r="F3" s="1509" t="s">
        <v>857</v>
      </c>
      <c r="H3" s="1273" t="str">
        <f>Summary3</f>
        <v>#16 - R34 - BLANKET - GANY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0.627</v>
      </c>
      <c r="X3" s="247">
        <f t="shared" ref="X3:Z3" si="0">Q$31</f>
        <v>0.47799999999999998</v>
      </c>
      <c r="Y3" s="247">
        <f t="shared" si="0"/>
        <v>0.36099999999999999</v>
      </c>
      <c r="Z3" s="247">
        <f t="shared" si="0"/>
        <v>0.36099999999999999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0.125</v>
      </c>
      <c r="AE3" s="2">
        <f>IF(OR(C28="S",C28="T"),C29,VLOOKUP(C16,Table_G2SymLC,3,FALSE)*IF(C60&lt;&gt;"Yes",B16,1))</f>
        <v>5.6000000000000001E-2</v>
      </c>
      <c r="AF3" s="247">
        <f>R5</f>
        <v>0.113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6.2E-2</v>
      </c>
      <c r="AM3" s="4">
        <f>Q28</f>
        <v>3.2000000000000001E-2</v>
      </c>
      <c r="AN3" s="780">
        <f ca="1">IF(AND(C27="Yes",C12="SP"),IF(C13=1,R28,IF(C13=2,INDIRECT(VLOOKUP(C33,Table_Special_PP,6,FALSE)),"Select Type")),0)</f>
        <v>7.3499999999999996E-2</v>
      </c>
      <c r="AO3" s="4">
        <f>S28</f>
        <v>1.2E-2</v>
      </c>
      <c r="AP3" s="4" t="e">
        <f>IF(#REF!="Yes",#REF!,0)</f>
        <v>#REF!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1510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1.254</v>
      </c>
      <c r="Q4" s="1312">
        <f>PRODUCT(Q2:Q3)</f>
        <v>1.254</v>
      </c>
      <c r="R4" s="1312">
        <f>PRODUCT(R2:R3)</f>
        <v>1.254</v>
      </c>
      <c r="S4" s="1312">
        <f>PRODUCT(S2:S3)</f>
        <v>1.254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6.2E-2</v>
      </c>
      <c r="AU4" s="247">
        <f>ROUND(AU2/AU3,3)</f>
        <v>3.2000000000000001E-2</v>
      </c>
      <c r="AV4" s="247">
        <f>ROUND(AV2/AV3,3)</f>
        <v>0.113</v>
      </c>
      <c r="AW4" s="247">
        <f>ROUND(AW2/AW3,3)</f>
        <v>1.2E-2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ht="13.5" thickBot="1" x14ac:dyDescent="0.25">
      <c r="A5" s="121"/>
      <c r="B5" s="520"/>
      <c r="C5" s="1039"/>
      <c r="D5" s="1260" t="s">
        <v>1328</v>
      </c>
      <c r="E5" s="1511"/>
      <c r="F5" s="1065"/>
      <c r="H5" s="82" t="str">
        <f>LEFT(A41,LEN(A41)-7)&amp;" Coverage"</f>
        <v>PPI - Personal Pty of Insured Coverage</v>
      </c>
      <c r="I5" s="258">
        <f ca="1">IF(C27="Yes",P35,0)</f>
        <v>389</v>
      </c>
      <c r="J5" s="258">
        <f>IF(C27="Yes",Q35,0)</f>
        <v>153</v>
      </c>
      <c r="K5" s="258">
        <f>IF(AND(C27="Yes",C12="SP"),R35,0)</f>
        <v>265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0.125</v>
      </c>
      <c r="Q5" s="247">
        <f>IF(OR(C28="S",C28="T"),C29,VLOOKUP(C16,Table_G2SymLC,3,FALSE)*IF(C60&lt;&gt;"Yes",B16,1))</f>
        <v>5.6000000000000001E-2</v>
      </c>
      <c r="R5" s="247">
        <f>IF(AND(C27="Yes",C12="SP"),VLOOKUP(C33,Table_Special_PP,3,0),0)</f>
        <v>0.113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0</v>
      </c>
      <c r="X5" s="1306">
        <f>ROUND(PRODUCT(X2:X4),0)</f>
        <v>0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6.0000000000000001E-3</v>
      </c>
      <c r="AM5" s="4">
        <f>ROUND(PRODUCT(AM3:AM4),3)</f>
        <v>3.0000000000000001E-3</v>
      </c>
      <c r="AN5" s="780">
        <f ca="1">ROUND(PRODUCT(AN3:AN4),3)</f>
        <v>7.0000000000000001E-3</v>
      </c>
      <c r="AO5" s="4">
        <f>ROUND(PRODUCT(AO3:AO4),3)</f>
        <v>1E-3</v>
      </c>
      <c r="AP5" s="4" t="e">
        <f>ROUND(PRODUCT(AP3:AP4),3)</f>
        <v>#REF!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0.66</v>
      </c>
      <c r="BJ5" s="299">
        <f>HLOOKUP(C11,Table_StateRates,5,FALSE)</f>
        <v>0.66</v>
      </c>
      <c r="BK5" s="299">
        <f>HLOOKUP(C11,Table_StateRates,5,FALSE)</f>
        <v>0.66</v>
      </c>
      <c r="BL5" s="299">
        <f>HLOOKUP(C11,Table_StateRates,5,FALSE)</f>
        <v>0.66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487" t="s">
        <v>985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0.88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0.23799999999999999</v>
      </c>
      <c r="AE6" s="247">
        <f>ROUND(PRODUCT(AE3:AE5),3)</f>
        <v>0.106</v>
      </c>
      <c r="AF6" s="247">
        <f>ROUND(PRODUCT(AF3:AF5),3)</f>
        <v>0.215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0.66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1487" t="s">
        <v>18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0</v>
      </c>
      <c r="X7" s="1301">
        <f>SUM(X5:X6)</f>
        <v>0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#REF!</v>
      </c>
      <c r="AM7" s="235"/>
      <c r="AR7" s="146"/>
      <c r="AS7" s="545" t="s">
        <v>1020</v>
      </c>
      <c r="AT7" s="299">
        <f>IF(C6="PAC",VLOOKUP(B7,Table_PakMods,MATCH(C11,List_Company,0)+1,FALSE),1)</f>
        <v>0.45</v>
      </c>
      <c r="AU7" s="299">
        <f>IF(C6="PAC",VLOOKUP(B7,Table_PakMods,MATCH(C11,List_Company,0)+1,FALSE),1)</f>
        <v>0.45</v>
      </c>
      <c r="AV7" s="299">
        <f>IF(C6="PAC",VLOOKUP(B7,Table_PakMods,MATCH(C11,List_Company,0)+1,FALSE),1)</f>
        <v>0.45</v>
      </c>
      <c r="AW7" s="299">
        <f>IF(C6="PAC",VLOOKUP(B7,Table_PakMods,MATCH(C11,List_Company,0)+1,FALSE),1)</f>
        <v>0.45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0.13800000000000001</v>
      </c>
      <c r="Q8" s="1315">
        <f>ROUND(PRODUCT(Q4:Q7),3)</f>
        <v>7.0000000000000007E-2</v>
      </c>
      <c r="R8" s="1315">
        <f>ROUND(PRODUCT(R4:R7),3)</f>
        <v>0.14199999999999999</v>
      </c>
      <c r="S8" s="1315">
        <f>ROUND(PRODUCT(S4:S7),3)</f>
        <v>2.5999999999999999E-2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 ca="1"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509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0.11899999999999999</v>
      </c>
      <c r="AE9" s="247">
        <f>ROUND(PRODUCT(AE6:AE8),3)</f>
        <v>5.2999999999999999E-2</v>
      </c>
      <c r="AF9" s="247">
        <f>ROUND(PRODUCT(AF6:AF8),3)</f>
        <v>0.108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3.5000000000000003E-2</v>
      </c>
      <c r="AU9" s="247">
        <f>ROUND(PRODUCT(AU4:AU7),3)</f>
        <v>1.7999999999999999E-2</v>
      </c>
      <c r="AV9" s="247">
        <f>ROUND(PRODUCT(AV4:AV7),3)</f>
        <v>6.4000000000000001E-2</v>
      </c>
      <c r="AW9" s="247">
        <f>ROUND(PRODUCT(AW4:AW7),3)</f>
        <v>7.0000000000000001E-3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0.45</v>
      </c>
      <c r="BJ9" s="299">
        <f>IF(C6="PAC",VLOOKUP(B7,Table_PakMods,MATCH(C11,List_Company,0)+1,FALSE),1)</f>
        <v>0.45</v>
      </c>
      <c r="BK9" s="299">
        <f>IF(C6="PAC",VLOOKUP(B7,Table_PakMods,MATCH(C11,List_Company,0)+1,FALSE),1)</f>
        <v>0.45</v>
      </c>
      <c r="BL9" s="299">
        <f>IF(C6="PAC",VLOOKUP(B7,Table_PakMods,MATCH(C11,List_Company,0)+1,FALSE),1)</f>
        <v>0.45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496">
        <v>1</v>
      </c>
      <c r="D10" s="1261" t="s">
        <v>1639</v>
      </c>
      <c r="E10" s="1511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0</v>
      </c>
      <c r="X10" s="1301">
        <f>X5</f>
        <v>0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10000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10000</v>
      </c>
      <c r="AU10" s="238">
        <f>IF(F13="Yes",E14/100,C41/100)</f>
        <v>10000</v>
      </c>
      <c r="AV10" s="238">
        <f>IF(F13="Yes",E14/100,C41/100)</f>
        <v>10000</v>
      </c>
      <c r="AW10" s="238">
        <f>IF(F13="Yes",E14/100,C41/100)</f>
        <v>10000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0.45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488" t="s">
        <v>1861</v>
      </c>
      <c r="D11" s="1262" t="s">
        <v>1140</v>
      </c>
      <c r="E11" s="1511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#REF!</v>
      </c>
      <c r="AM11" s="146"/>
      <c r="AN11" s="146"/>
      <c r="AO11" s="301"/>
      <c r="AP11" s="976"/>
      <c r="AS11" s="301"/>
      <c r="AT11" s="248">
        <f ca="1">ROUND(PRODUCT(AT9:AT10),0)</f>
        <v>350</v>
      </c>
      <c r="AU11" s="248">
        <f>ROUND(PRODUCT(AU9:AU10),0)</f>
        <v>180</v>
      </c>
      <c r="AV11" s="248">
        <f>ROUND(PRODUCT(AV9:AV10),0)</f>
        <v>640</v>
      </c>
      <c r="AW11" s="248">
        <f>ROUND(PRODUCT(AW9:AW10),0)</f>
        <v>70</v>
      </c>
      <c r="AZ11" s="1117" t="s">
        <v>2154</v>
      </c>
      <c r="BA11" s="247">
        <f ca="1">P28</f>
        <v>6.2E-2</v>
      </c>
      <c r="BB11" s="2">
        <f>Q28</f>
        <v>3.2000000000000001E-2</v>
      </c>
      <c r="BC11" s="558">
        <f>R28</f>
        <v>7.3499999999999996E-2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0.45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489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#REF!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490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0.88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1170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488">
        <v>1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1.1499999999999999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0.627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0.47799999999999998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0.36099999999999999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1491">
        <v>2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3.9E-2</v>
      </c>
      <c r="BB15" s="1315">
        <f>ROUND(PRODUCT(BB11,BB14),3)</f>
        <v>1.4999999999999999E-2</v>
      </c>
      <c r="BC15" s="1315">
        <f>ROUND(PRODUCT(BC11,BC14),3)</f>
        <v>2.7E-2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492" t="s">
        <v>18</v>
      </c>
      <c r="D16" s="195"/>
      <c r="E16" s="195"/>
      <c r="F16" s="1067"/>
      <c r="H16" s="788" t="s">
        <v>1289</v>
      </c>
      <c r="I16" s="248">
        <f ca="1">SUM(I5:I15)</f>
        <v>389</v>
      </c>
      <c r="J16" s="248">
        <f>SUM(J5:J15)</f>
        <v>153</v>
      </c>
      <c r="K16" s="248">
        <f>SUM(K5:K15)</f>
        <v>265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6.2E-2</v>
      </c>
      <c r="X16" s="1300">
        <f>$Q$28</f>
        <v>3.2000000000000001E-2</v>
      </c>
      <c r="Y16" s="1300">
        <f>$R$28</f>
        <v>7.3499999999999996E-2</v>
      </c>
      <c r="Z16" s="1300">
        <f>$S$28</f>
        <v>1.2E-2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488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0.627</v>
      </c>
      <c r="X17" s="247">
        <f t="shared" ref="X17:Z17" si="1">Q$31</f>
        <v>0.47799999999999998</v>
      </c>
      <c r="Y17" s="247">
        <f t="shared" si="1"/>
        <v>0.36099999999999999</v>
      </c>
      <c r="Z17" s="247">
        <f t="shared" si="1"/>
        <v>0.36099999999999999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0.14199999999999999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 ca="1"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488">
        <v>2</v>
      </c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0.66</v>
      </c>
      <c r="AE18" s="423">
        <f>HLOOKUP(C11,Table_StateRates,5,FALSE)</f>
        <v>0.66</v>
      </c>
      <c r="AF18" s="423">
        <f>HLOOKUP(C11,Table_StateRates,5,FALSE)</f>
        <v>0.66</v>
      </c>
      <c r="AG18" s="423">
        <f>HLOOKUP(C11,Table_StateRates,5,FALSE)</f>
        <v>0.66</v>
      </c>
      <c r="AI18" s="266"/>
      <c r="AJ18" s="266"/>
      <c r="AK18" s="268" t="s">
        <v>1019</v>
      </c>
      <c r="AL18" s="423">
        <f>HLOOKUP(C11,Table_StateRates,5,FALSE)</f>
        <v>0.66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3.2000000000000001E-2</v>
      </c>
      <c r="AV18" s="247">
        <f>IF(AND(C27="Yes",C12="SP"),VLOOKUP(C33,Table_Special_PP,3,0),0)</f>
        <v>0.113</v>
      </c>
      <c r="AW18" s="2">
        <f>S28</f>
        <v>1.2E-2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0</v>
      </c>
      <c r="X19" s="1306">
        <f>ROUND(PRODUCT(X16:X18),0)</f>
        <v>0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0.13800000000000001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0.13800000000000001</v>
      </c>
      <c r="Q20" s="1312">
        <f>ROUND(PRODUCT(Q8:Q19),3)</f>
        <v>7.0000000000000007E-2</v>
      </c>
      <c r="R20" s="1312">
        <f>ROUND(PRODUCT(R8:R19),3)</f>
        <v>0.14199999999999999</v>
      </c>
      <c r="S20" s="1312">
        <f>ROUND(PRODUCT(S8:S19),3)</f>
        <v>2.5999999999999999E-2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0.45</v>
      </c>
      <c r="AE20" s="559">
        <f>IF(C6="PAC",VLOOKUP(B7,Table_PakMods,MATCH(C11,List_Company,0)+1,FALSE),1)</f>
        <v>0.45</v>
      </c>
      <c r="AF20" s="559">
        <f>IF(C6="PAC",VLOOKUP(B7,Table_PakMods,MATCH(C11,List_Company,0)+1,FALSE),1)</f>
        <v>0.45</v>
      </c>
      <c r="AG20" s="559">
        <f>IF(C6="PAC",VLOOKUP(B7,Table_PakMods,MATCH(C11,List_Company,0)+1,FALSE),1)</f>
        <v>0.45</v>
      </c>
      <c r="AI20" s="423"/>
      <c r="AK20" s="83" t="s">
        <v>2166</v>
      </c>
      <c r="AL20" s="1312">
        <f>PRODUCT(AL18:AL19)</f>
        <v>1.254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3.2000000000000001E-2</v>
      </c>
      <c r="AV20" s="247">
        <f>PRODUCT(AV18:AV19)</f>
        <v>0.113</v>
      </c>
      <c r="AW20" s="247">
        <f>PRODUCT(AW18:AW19)</f>
        <v>1.2E-2</v>
      </c>
      <c r="AZ20" s="168" t="s">
        <v>1335</v>
      </c>
      <c r="BA20" s="248">
        <f>F24</f>
        <v>0</v>
      </c>
      <c r="BD20" s="168" t="s">
        <v>1337</v>
      </c>
      <c r="BE20" s="248">
        <f ca="1"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0.66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88">
        <v>1</v>
      </c>
      <c r="C21" s="1488" t="s">
        <v>833</v>
      </c>
      <c r="D21" s="1263" t="s">
        <v>1820</v>
      </c>
      <c r="E21" s="193"/>
      <c r="F21" s="1509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>
        <f ca="1">SUM(W19:W20)</f>
        <v>0</v>
      </c>
      <c r="X21" s="1301">
        <f>SUM(X19:X20)</f>
        <v>0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0.113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 ca="1"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0.26200000000000001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494" t="s">
        <v>857</v>
      </c>
      <c r="D22" s="1265" t="s">
        <v>1242</v>
      </c>
      <c r="E22" s="1512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3.1E-2</v>
      </c>
      <c r="AE22" s="247">
        <f>ROUND(PRODUCT(AE9:AE21),3)</f>
        <v>1.6E-2</v>
      </c>
      <c r="AF22" s="247">
        <f>ROUND(PRODUCT(AF9:AF21),3)</f>
        <v>3.6999999999999998E-2</v>
      </c>
      <c r="AG22" s="247">
        <f>ROUND(PRODUCT(AG9:AG21),3)</f>
        <v>6.0000000000000001E-3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0.66</v>
      </c>
      <c r="AU22" s="207">
        <f>HLOOKUP(C11,Table_StateRates,5,FALSE)</f>
        <v>0.66</v>
      </c>
      <c r="AV22" s="207">
        <f>HLOOKUP(C11,Table_StateRates,5,FALSE)</f>
        <v>0.66</v>
      </c>
      <c r="AW22" s="207">
        <f>HLOOKUP(C11,Table_StateRates,5,FALSE)</f>
        <v>0.66</v>
      </c>
      <c r="AZ22" s="83" t="s">
        <v>1334</v>
      </c>
      <c r="BA22" s="2">
        <f>ROUND(BA20/BA21,3)</f>
        <v>0</v>
      </c>
      <c r="BD22" s="83" t="s">
        <v>1339</v>
      </c>
      <c r="BE22" s="248">
        <f ca="1">IF(BE20=0,0,BE20-BE21)</f>
        <v>0</v>
      </c>
      <c r="BG22" s="146"/>
      <c r="BH22" s="545" t="s">
        <v>1019</v>
      </c>
      <c r="BI22" s="299">
        <f>HLOOKUP(C11,Table_StateRates,5,FALSE)</f>
        <v>0.66</v>
      </c>
      <c r="BJ22" s="299">
        <f>HLOOKUP(C11,Table_StateRates,5,FALSE)</f>
        <v>0.66</v>
      </c>
      <c r="BK22" s="299">
        <f>HLOOKUP(C11,Table_StateRates,5,FALSE)</f>
        <v>0.66</v>
      </c>
      <c r="BL22" s="299">
        <f>HLOOKUP(C11,Table_StateRates,5,FALSE)</f>
        <v>0.66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1513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0.45</v>
      </c>
      <c r="Q23" s="559">
        <f>IF(C6="PAC",VLOOKUP(B7,Table_PakMods,MATCH(C11,List_Company,0)+1,FALSE),1)</f>
        <v>0.45</v>
      </c>
      <c r="R23" s="559">
        <f>IF(C6="PAC",VLOOKUP(B7,Table_PakMods,MATCH(C11,List_Company,0)+1,FALSE),1)</f>
        <v>0.45</v>
      </c>
      <c r="S23" s="559">
        <f>IF(C6="PAC",VLOOKUP(B7,Table_PakMods,MATCH(C11,List_Company,0)+1,FALSE),1)</f>
        <v>0.45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0.14199999999999999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>
        <f ca="1">ROUND(PRODUCT(BP21:BP22),3)</f>
        <v>2.5999999999999999E-2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495" t="s">
        <v>833</v>
      </c>
      <c r="D24" s="1265" t="s">
        <v>1330</v>
      </c>
      <c r="E24" s="1513"/>
      <c r="F24" s="1514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0</v>
      </c>
      <c r="X24" s="1301">
        <f>X19</f>
        <v>0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 ca="1"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0.45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0.45</v>
      </c>
      <c r="Q25" s="1314">
        <f>ROUND(PRODUCT(Q21:Q24),3)</f>
        <v>0.45</v>
      </c>
      <c r="R25" s="1314">
        <f>ROUND(PRODUCT(R21:R24),3)</f>
        <v>0.45</v>
      </c>
      <c r="S25" s="1314">
        <f>ROUND(PRODUCT(S21:S24),3)</f>
        <v>0.45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0.45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IF(TC3_BLDG1!F20="Yes","Bldg","Available")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1.1499999999999999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0.14199999999999999</v>
      </c>
      <c r="AR26" s="146"/>
      <c r="AS26" s="545" t="s">
        <v>1020</v>
      </c>
      <c r="AT26" s="299">
        <f>IF(C6="PAC",VLOOKUP(B7,Table_PakMods,MATCH(C11,List_Company,0)+1,FALSE),1)</f>
        <v>0.45</v>
      </c>
      <c r="AU26" s="299">
        <f>IF(C6="PAC",VLOOKUP(B7,Table_PakMods,MATCH(C11,List_Company,0)+1,FALSE),1)</f>
        <v>0.45</v>
      </c>
      <c r="AV26" s="299">
        <f>IF(C6="PAC",VLOOKUP(B7,Table_PakMods,MATCH(C11,List_Company,0)+1,FALSE),1)</f>
        <v>0.45</v>
      </c>
      <c r="AW26" s="299">
        <f>IF(C6="PAC",VLOOKUP(B7,Table_PakMods,MATCH(C11,List_Company,0)+1,FALSE),1)</f>
        <v>0.45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0.45</v>
      </c>
      <c r="BJ26" s="299">
        <f>IF(C6="PAC",VLOOKUP(B7,Table_PakMods,MATCH(C11,List_Company,0)+1,FALSE),1)</f>
        <v>0.45</v>
      </c>
      <c r="BK26" s="299">
        <f>IF(C6="PAC",VLOOKUP(B7,Table_PakMods,MATCH(C11,List_Company,0)+1,FALSE),1)</f>
        <v>0.45</v>
      </c>
      <c r="BL26" s="299">
        <f>IF(C6="PAC",VLOOKUP(B7,Table_PakMods,MATCH(C11,List_Company,0)+1,FALSE),1)</f>
        <v>0.45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496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0.13800000000000001</v>
      </c>
      <c r="Q27" s="757">
        <f>Q20</f>
        <v>7.0000000000000007E-2</v>
      </c>
      <c r="R27" s="757">
        <f>R20</f>
        <v>0.14199999999999999</v>
      </c>
      <c r="S27" s="757">
        <f>S20</f>
        <v>2.5999999999999999E-2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1.2E-2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497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6.2E-2</v>
      </c>
      <c r="Q28" s="1315">
        <f>IF($C$30="Yes",C31,ROUND(PRODUCT(Q25:Q27),3))</f>
        <v>3.2000000000000001E-2</v>
      </c>
      <c r="R28" s="1484">
        <f>IF($C$30="Yes",B32,ROUND(PRODUCT(R25:R27),4))</f>
        <v>7.3499999999999996E-2</v>
      </c>
      <c r="S28" s="1315">
        <f>IF($C$30="Yes",C32,ROUND(PRODUCT(S25:S27),3))</f>
        <v>1.2E-2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1.7999999999999999E-2</v>
      </c>
      <c r="AV28" s="247">
        <f>ROUND(PRODUCT(AV20:AV27),3)</f>
        <v>6.4000000000000001E-2</v>
      </c>
      <c r="AW28" s="247">
        <f>ROUND(PRODUCT(AW20:AW27),3)</f>
        <v>7.0000000000000001E-3</v>
      </c>
      <c r="AY28" s="60" t="s">
        <v>1583</v>
      </c>
      <c r="BH28" s="301" t="s">
        <v>1389</v>
      </c>
      <c r="BI28" s="247">
        <f>ROUND(PRODUCT(BI19:BI27),3)</f>
        <v>5.0000000000000001E-3</v>
      </c>
      <c r="BJ28" s="247">
        <f>ROUND(PRODUCT(BJ19:BJ27),3)</f>
        <v>3.0000000000000001E-3</v>
      </c>
      <c r="BK28" s="247">
        <f>ROUND(PRODUCT(BK19:BK27),3)</f>
        <v>1.2E-2</v>
      </c>
      <c r="BL28" s="247">
        <f>ROUND(PRODUCT(BL19:BL27),3)</f>
        <v>3.0000000000000001E-3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499"/>
      <c r="C29" s="1498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494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6.2E-2</v>
      </c>
      <c r="X30" s="1300">
        <f>$Q$28</f>
        <v>3.2000000000000001E-2</v>
      </c>
      <c r="Y30" s="1300">
        <f>$R$28</f>
        <v>7.3499999999999996E-2</v>
      </c>
      <c r="Z30" s="1300">
        <f>$S$28</f>
        <v>1.2E-2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93"/>
      <c r="C31" s="1488"/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0.627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0.47799999999999998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0.36099999999999999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0.36099999999999999</v>
      </c>
      <c r="T31" s="299"/>
      <c r="U31" s="1288"/>
      <c r="V31" s="1117" t="s">
        <v>2152</v>
      </c>
      <c r="W31" s="247">
        <f>P$31</f>
        <v>0.627</v>
      </c>
      <c r="X31" s="247">
        <f t="shared" ref="X31:Z31" si="2">Q$31</f>
        <v>0.47799999999999998</v>
      </c>
      <c r="Y31" s="247">
        <f t="shared" si="2"/>
        <v>0.36099999999999999</v>
      </c>
      <c r="Z31" s="247">
        <f t="shared" si="2"/>
        <v>0.36099999999999999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500"/>
      <c r="C32" s="1488"/>
      <c r="D32" s="701" t="s">
        <v>1641</v>
      </c>
      <c r="E32" s="146"/>
      <c r="F32" s="1515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10000</v>
      </c>
      <c r="Q32" s="238">
        <f>IF(ISBLANK(C41),0,C41/100)</f>
        <v>10000</v>
      </c>
      <c r="R32" s="238">
        <f>IF(ISBLANK(C41),0,C41/100)</f>
        <v>10000</v>
      </c>
      <c r="S32" s="238">
        <f>IF(ISBLANK(C41),0,C41/100)</f>
        <v>10000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0.66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Motels/Hotels</v>
      </c>
      <c r="C33" s="1501">
        <f>IF(ISTEXT(C35),VLOOKUP(C35,Table_G1_LC,3,0),"NA")</f>
        <v>6</v>
      </c>
      <c r="D33" s="930" t="s">
        <v>1242</v>
      </c>
      <c r="E33" s="1512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389</v>
      </c>
      <c r="Q33" s="1481">
        <f>IF($C$30="Yes",ROUND(PRODUCT(Q28,Q32),0),ROUND(PRODUCT(Q28,Q31:Q32),0))</f>
        <v>153</v>
      </c>
      <c r="R33" s="1481">
        <f>IF($C$30="Yes",ROUND(PRODUCT(R28,R32),0),ROUND(PRODUCT(R28,R31:R32),0))</f>
        <v>265</v>
      </c>
      <c r="S33" s="1481">
        <f>IF($C$30="Yes",ROUND(PRODUCT(S28,S32),0),ROUND(PRODUCT(S28,S31:S32),0))</f>
        <v>43</v>
      </c>
      <c r="U33" s="1293"/>
      <c r="V33" s="1303" t="s">
        <v>2161</v>
      </c>
      <c r="W33" s="1306">
        <f ca="1"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0.66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15"/>
      <c r="F34" s="1616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0.45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502" t="s">
        <v>43</v>
      </c>
      <c r="D35" s="930" t="s">
        <v>910</v>
      </c>
      <c r="E35" s="1516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389</v>
      </c>
      <c r="Q35" s="248">
        <f>SUM(Q33:Q34)</f>
        <v>153</v>
      </c>
      <c r="R35" s="248">
        <f>SUM(R33:R34)</f>
        <v>265</v>
      </c>
      <c r="S35" s="248">
        <f>SUM(S33:S34)</f>
        <v>43</v>
      </c>
      <c r="T35" s="235"/>
      <c r="U35" s="1288"/>
      <c r="V35" s="1291" t="s">
        <v>2162</v>
      </c>
      <c r="W35" s="1301">
        <f ca="1"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0.66</v>
      </c>
      <c r="AE35" s="266"/>
      <c r="AF35" s="146"/>
      <c r="AG35" s="545" t="s">
        <v>1020</v>
      </c>
      <c r="AH35" s="559">
        <f>IF(C6="PAC",VLOOKUP(B7,Table_PakMods,MATCH(C11,List_Company,0)+1,FALSE),1)</f>
        <v>0.45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1516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503"/>
      <c r="D37" s="930" t="s">
        <v>1616</v>
      </c>
      <c r="E37" s="1517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0.45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515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389</v>
      </c>
      <c r="Q39" s="248">
        <f>Q33</f>
        <v>153</v>
      </c>
      <c r="R39" s="248">
        <f>R33</f>
        <v>265</v>
      </c>
      <c r="S39" s="248">
        <f>S33</f>
        <v>43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0.66</v>
      </c>
      <c r="BQ39" s="423"/>
      <c r="BR39" s="542"/>
      <c r="BS39" s="597" t="s">
        <v>1019</v>
      </c>
      <c r="BT39" s="279">
        <f>HLOOKUP(C11,Table_StateRates,5,FALSE)</f>
        <v>0.66</v>
      </c>
    </row>
    <row r="40" spans="1:72" ht="13.5" thickBot="1" x14ac:dyDescent="0.25">
      <c r="A40" s="991"/>
      <c r="B40" s="992"/>
      <c r="C40" s="277"/>
      <c r="D40" s="930" t="s">
        <v>1646</v>
      </c>
      <c r="E40" s="1518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1.9E-2</v>
      </c>
      <c r="BQ40" s="559"/>
      <c r="BR40" s="423"/>
      <c r="BS40" s="810" t="s">
        <v>1134</v>
      </c>
      <c r="BT40" s="426">
        <f>ROUND(PRODUCT(BT35:BT39),3)</f>
        <v>1.9E-2</v>
      </c>
    </row>
    <row r="41" spans="1:72" ht="13.5" thickBot="1" x14ac:dyDescent="0.25">
      <c r="A41" s="203" t="s">
        <v>2112</v>
      </c>
      <c r="B41" s="104"/>
      <c r="C41" s="1504">
        <v>1000000</v>
      </c>
      <c r="D41" s="930" t="s">
        <v>314</v>
      </c>
      <c r="E41" s="1519">
        <f>IF(F41="No","N/A",COUNTIF(E42:E44,"Yes"))</f>
        <v>0</v>
      </c>
      <c r="F41" s="1521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0.88</v>
      </c>
      <c r="BQ41" s="426"/>
      <c r="BR41" s="423"/>
      <c r="BS41" s="906" t="s">
        <v>1178</v>
      </c>
      <c r="BT41" s="423">
        <f>IF(OR(C28="S",C28="T"),1,VLOOKUP(C14,Table_ProtClass,IF(C15&lt;=3,2,3),FALSE))</f>
        <v>0.88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1505">
        <v>500</v>
      </c>
      <c r="D42" s="931" t="s">
        <v>315</v>
      </c>
      <c r="E42" s="1520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1506">
        <v>1</v>
      </c>
      <c r="D43" s="931" t="s">
        <v>316</v>
      </c>
      <c r="E43" s="1517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>
        <f>ROUND(PRODUCT(BT40:BT42),3)</f>
        <v>8.0000000000000002E-3</v>
      </c>
    </row>
    <row r="44" spans="1:72" x14ac:dyDescent="0.2">
      <c r="A44" s="108" t="s">
        <v>1170</v>
      </c>
      <c r="B44" s="160"/>
      <c r="C44" s="1507">
        <v>80</v>
      </c>
      <c r="D44" s="931" t="s">
        <v>317</v>
      </c>
      <c r="E44" s="1517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6.2E-2</v>
      </c>
      <c r="X44" s="1300">
        <f>$Q$28</f>
        <v>3.2000000000000001E-2</v>
      </c>
      <c r="Y44" s="1300">
        <f>$R$28</f>
        <v>7.3499999999999996E-2</v>
      </c>
      <c r="Z44" s="1300">
        <f>$S$28</f>
        <v>1.2E-2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1517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0.627</v>
      </c>
      <c r="X45" s="247">
        <f t="shared" ref="X45:Z45" si="3">Q$31</f>
        <v>0.47799999999999998</v>
      </c>
      <c r="Y45" s="247">
        <f t="shared" si="3"/>
        <v>0.36099999999999999</v>
      </c>
      <c r="Z45" s="247">
        <f t="shared" si="3"/>
        <v>0.36099999999999999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1.7000000000000001E-2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1519" t="str">
        <f>IF(F46="No","N/A",COUNTIF(E47:E48,"Yes"))</f>
        <v>N/A</v>
      </c>
      <c r="F46" s="1521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10000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1520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170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1517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1491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170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170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509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1522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1523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1491" t="s">
        <v>833</v>
      </c>
      <c r="D54" s="935" t="s">
        <v>1748</v>
      </c>
      <c r="E54" s="1523"/>
      <c r="F54" s="771" t="str">
        <f>IF(F52="Yes",E54&amp;"_"&amp;E53,"")</f>
        <v/>
      </c>
      <c r="H54" s="60" t="s">
        <v>2269</v>
      </c>
      <c r="I54" s="1439">
        <f ca="1">SUM(I16:L16,I38,I46,I52)</f>
        <v>807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488" t="s">
        <v>857</v>
      </c>
      <c r="D55" s="935" t="s">
        <v>1135</v>
      </c>
      <c r="E55" s="1523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 ca="1">SUM(I54,I49)</f>
        <v>977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1524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488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1491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1491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508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1000000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283" priority="17" stopIfTrue="1">
      <formula>IF($C$24="Yes",FALSE,TRUE)</formula>
    </cfRule>
  </conditionalFormatting>
  <conditionalFormatting sqref="A18">
    <cfRule type="expression" dxfId="282" priority="14">
      <formula>IF($C$12="SP",TRUE,FALSE)</formula>
    </cfRule>
  </conditionalFormatting>
  <conditionalFormatting sqref="C32">
    <cfRule type="expression" dxfId="281" priority="2">
      <formula>IF(AND($C$30="Yes",$C$12="BR"),TRUE,FALSE)</formula>
    </cfRule>
  </conditionalFormatting>
  <conditionalFormatting sqref="B32">
    <cfRule type="expression" dxfId="280" priority="1">
      <formula>IF(AND($C$30="Yes",$C$12="SP"),TRUE,FALSE)</formula>
    </cfRule>
  </conditionalFormatting>
  <conditionalFormatting sqref="B31:C31">
    <cfRule type="expression" dxfId="279" priority="3">
      <formula>IF($C$30="Yes",TRUE,FALSE)</formula>
    </cfRule>
  </conditionalFormatting>
  <dataValidations count="111"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type="custom" allowBlank="1" showInputMessage="1" showErrorMessage="1" prompt="Spoilage Loss Cost Column Reference" sqref="F37">
      <formula1>FALSE</formula1>
    </dataValidation>
    <dataValidation type="custom" allowBlank="1" showInputMessage="1" showErrorMessage="1" prompt="Lookup Value for Spoil Coverage Loss Cost Table" sqref="F33">
      <formula1>FALSE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Spoilage Coverage" prompt="Please Select:_x000a_{ Yes or No }" sqref="F32">
      <formula1>List_YN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custom" allowBlank="1" showInputMessage="1" showErrorMessage="1" prompt="EQ Table Lookup Value" sqref="F54:F5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Personal Property Lookup Value" sqref="F45">
      <formula1>FALSE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allowBlank="1" showInputMessage="1" showErrorMessage="1" promptTitle="Occupancy Type Description" prompt="Displays the description of the choice made in the cell to the left.  " sqref="B38 B33"/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custom" allowBlank="1" showInputMessage="1" showErrorMessage="1" errorTitle="Do Not Touch" error="This is used to generate the Coinsurance rate." sqref="B58 E62">
      <formula1>FALSE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R76"/>
  <sheetViews>
    <sheetView topLeftCell="E1" zoomScale="90" zoomScaleNormal="90" zoomScaleSheetLayoutView="85" workbookViewId="0">
      <selection activeCell="L30" sqref="L30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0.66</v>
      </c>
      <c r="Q2" s="207">
        <f>HLOOKUP(C11,Table_StateRates,5,FALSE)</f>
        <v>0.66</v>
      </c>
      <c r="R2" s="207">
        <f>HLOOKUP(C11,Table_StateRates,5,FALSE)</f>
        <v>0.66</v>
      </c>
      <c r="S2" s="207">
        <f>HLOOKUP(C11,Table_StateRates,5,FALSE)</f>
        <v>0.66</v>
      </c>
      <c r="V2" s="168" t="s">
        <v>1019</v>
      </c>
      <c r="W2" s="207">
        <f>HLOOKUP(C11,Table_StateRates,5,FALSE)</f>
        <v>0.66</v>
      </c>
      <c r="X2" s="207">
        <f>HLOOKUP(C11,Table_StateRates,5,FALSE)</f>
        <v>0.66</v>
      </c>
      <c r="Y2" s="207">
        <f>HLOOKUP(C11,Table_StateRates,5,FALSE)</f>
        <v>0.66</v>
      </c>
      <c r="Z2" s="207">
        <f>HLOOKUP(C11,Table_StateRates,5,FALSE)</f>
        <v>0.66</v>
      </c>
      <c r="AB2" s="546"/>
      <c r="AC2" s="545" t="s">
        <v>1019</v>
      </c>
      <c r="AD2" s="207">
        <f>HLOOKUP(C11,Table_StateRates,5,FALSE)</f>
        <v>0.66</v>
      </c>
      <c r="AE2" s="207">
        <f>HLOOKUP(C11,Table_StateRates,5,FALSE)</f>
        <v>0.66</v>
      </c>
      <c r="AF2" s="207">
        <f>HLOOKUP(C11,Table_StateRates,5,FALSE)</f>
        <v>0.66</v>
      </c>
      <c r="AG2" s="207">
        <f>HLOOKUP(C11,Table_StateRates,5,FALSE)</f>
        <v>0.66</v>
      </c>
      <c r="AJ2" s="1117" t="s">
        <v>916</v>
      </c>
      <c r="AK2" s="207">
        <f>HLOOKUP(C11,Table_StateRates,5,FALSE)</f>
        <v>0.66</v>
      </c>
      <c r="AL2" s="207">
        <f>HLOOKUP(C11,Table_StateRates,5,FALSE)</f>
        <v>0.66</v>
      </c>
      <c r="AM2" s="207">
        <f>HLOOKUP(C11,Table_StateRates,5,FALSE)</f>
        <v>0.66</v>
      </c>
      <c r="AN2" s="207">
        <f>HLOOKUP(C11,Table_StateRates,5,FALSE)</f>
        <v>0.66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 t="str">
        <f>Summary3</f>
        <v>#16 - R34 - BLANKET - GANY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1.254</v>
      </c>
      <c r="Q4" s="1312">
        <f>PRODUCT(Q2:Q3)</f>
        <v>1.254</v>
      </c>
      <c r="R4" s="1312">
        <f>PRODUCT(R2:R3)</f>
        <v>1.254</v>
      </c>
      <c r="S4" s="1312">
        <f>PRODUCT(S2:S3)</f>
        <v>1.254</v>
      </c>
      <c r="U4" s="146"/>
      <c r="V4" s="83" t="s">
        <v>2166</v>
      </c>
      <c r="W4" s="1312">
        <f>PRODUCT(W2:W3)</f>
        <v>1.254</v>
      </c>
      <c r="X4" s="1312">
        <f>PRODUCT(X2:X3)</f>
        <v>1.254</v>
      </c>
      <c r="Y4" s="1312">
        <f>PRODUCT(Y2:Y3)</f>
        <v>1.254</v>
      </c>
      <c r="Z4" s="1312">
        <f>PRODUCT(Z2:Z3)</f>
        <v>1.254</v>
      </c>
      <c r="AB4" s="60"/>
      <c r="AC4" s="83" t="s">
        <v>2166</v>
      </c>
      <c r="AD4" s="1312">
        <f>PRODUCT(AD2:AD3)</f>
        <v>1.254</v>
      </c>
      <c r="AE4" s="1312">
        <f>PRODUCT(AE2:AE3)</f>
        <v>1.254</v>
      </c>
      <c r="AF4" s="1312">
        <f>PRODUCT(AF2:AF3)</f>
        <v>1.254</v>
      </c>
      <c r="AG4" s="1312">
        <f>PRODUCT(AG2:AG3)</f>
        <v>1.254</v>
      </c>
      <c r="AI4" s="60"/>
      <c r="AJ4" s="83" t="s">
        <v>2166</v>
      </c>
      <c r="AK4" s="1312">
        <f>PRODUCT(AK2:AK3)</f>
        <v>1.254</v>
      </c>
      <c r="AL4" s="1312">
        <f>PRODUCT(AL2:AL3)</f>
        <v>1.254</v>
      </c>
      <c r="AM4" s="1312">
        <f>PRODUCT(AM2:AM3)</f>
        <v>1.254</v>
      </c>
      <c r="AN4" s="1312">
        <f>PRODUCT(AN2:AN3)</f>
        <v>1.254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390</v>
      </c>
      <c r="J5" s="258">
        <f>IF(C27="Yes",Q36,0)</f>
        <v>190</v>
      </c>
      <c r="K5" s="259">
        <f>IF(AND(C27="Yes",C12="SP"),R36,0)</f>
        <v>180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0.124</v>
      </c>
      <c r="Q5" s="247">
        <f>IF(OR(C28="S",C28="T"),C29,VLOOKUP(C16,Table_G2SymLC,2,FALSE)*IF(C64&lt;&gt;"Yes",B16,1))</f>
        <v>6.7000000000000004E-2</v>
      </c>
      <c r="R5" s="247">
        <f>IF(OR(ISBLANK(C13),C13="No"),0,VLOOKUP(1,Table_Special_Bldg,2,FALSE)*IF(AND(C12="SP",C13=2),VLOOKUP(2,Table_Special_Bldg,2,0),1))</f>
        <v>4.8000000000000001E-2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0.124</v>
      </c>
      <c r="X5" s="247">
        <f>IF(OR(C28="S",C28="T"),C29,VLOOKUP(C16,Table_G2SymLC,2,FALSE)*IF(C64&lt;&gt;"Yes",B16,1))</f>
        <v>6.7000000000000004E-2</v>
      </c>
      <c r="Y5" s="247">
        <f>IF(OR(ISBLANK(C13),C13="No"),0,VLOOKUP(C13,Table_Special_Bldg,2,FALSE))</f>
        <v>4.8000000000000001E-2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0.124</v>
      </c>
      <c r="AE5" s="247">
        <f>IF(OR(C28="S",C28="T"),C29,VLOOKUP(C16,Table_G2SymLC,2,FALSE)*IF(C64&lt;&gt;"Yes",B16,1))</f>
        <v>6.7000000000000004E-2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0.124</v>
      </c>
      <c r="AL5" s="247">
        <f>Q5</f>
        <v>6.7000000000000004E-2</v>
      </c>
      <c r="AM5" s="247">
        <f>R5</f>
        <v>4.8000000000000001E-2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985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0.88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0.88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0.66</v>
      </c>
      <c r="AS6" s="299">
        <f>HLOOKUP(C11,Table_StateRates,5,FALSE)</f>
        <v>0.66</v>
      </c>
      <c r="AT6" s="299">
        <f>HLOOKUP(C11,Table_StateRates,5,FALSE)</f>
        <v>0.66</v>
      </c>
      <c r="AU6" s="299">
        <f>HLOOKUP(C11,Table_StateRates,5,FALSE)</f>
        <v>0.66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0.66</v>
      </c>
      <c r="BE6" s="453"/>
      <c r="BF6" s="186" t="s">
        <v>1019</v>
      </c>
      <c r="BG6" s="208">
        <f>HLOOKUP(C11,Table_StateRates,5,FALSE)</f>
        <v>0.66</v>
      </c>
      <c r="BH6" s="146"/>
      <c r="BI6" s="453"/>
      <c r="BJ6" s="186" t="s">
        <v>1019</v>
      </c>
      <c r="BK6" s="208">
        <f>HLOOKUP(C11,Table_StateRates,5,FALSE)</f>
        <v>0.66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18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0.88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0.88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0.13700000000000001</v>
      </c>
      <c r="AE7" s="1315">
        <f>ROUND(PRODUCT(AE4:AE6),3)</f>
        <v>8.4000000000000005E-2</v>
      </c>
      <c r="AF7" s="1315">
        <f>ROUND(PRODUCT(AF4:AF6),3)</f>
        <v>1.2999999999999999E-2</v>
      </c>
      <c r="AG7" s="1315">
        <f>ROUND(PRODUCT(AG4:AG6),3)</f>
        <v>1.2999999999999999E-2</v>
      </c>
      <c r="AH7" s="207"/>
      <c r="AI7" s="146"/>
      <c r="AJ7" s="301" t="s">
        <v>2243</v>
      </c>
      <c r="AK7" s="1315">
        <f>ROUND(PRODUCT(AK4:AK6),3)</f>
        <v>0.13700000000000001</v>
      </c>
      <c r="AL7" s="1315">
        <f>ROUND(PRODUCT(AL4:AL6),3)</f>
        <v>8.4000000000000005E-2</v>
      </c>
      <c r="AM7" s="1315">
        <f>ROUND(PRODUCT(AM4:AM6),3)</f>
        <v>0.06</v>
      </c>
      <c r="AN7" s="1315">
        <f>ROUND(PRODUCT(AN4:AN6),3)</f>
        <v>1.9E-2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0.9</v>
      </c>
      <c r="AS7" s="299">
        <f>IF(F7="Yes",1,IF(C48&gt;=80,VLOOKUP(C48,Table_CoIns1,2,FALSE),1+ IF(P5&lt;B49,VLOOKUP(B62,Table_CIUnder80,5,FALSE),0.5)))</f>
        <v>0.9</v>
      </c>
      <c r="AT7" s="299">
        <f>IF(F7="Yes",1,IF(C48&gt;=80,VLOOKUP(C48,Table_CoIns1,2,FALSE),1+ IF(P5&lt;B49,VLOOKUP(B62,Table_CIUnder80,5,FALSE),0.5)))</f>
        <v>0.9</v>
      </c>
      <c r="AU7" s="299">
        <f>IF(F7="Yes",1,IF(C48&gt;=80,VLOOKUP(C48,Table_CoIns1,2,FALSE),1+ IF(P5&lt;B49,VLOOKUP(B62,Table_CIUnder80,5,FALSE),0.5)))</f>
        <v>0.9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0.95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0.13700000000000001</v>
      </c>
      <c r="X8" s="1315">
        <f>ROUND(PRODUCT(X4:X7),3)</f>
        <v>8.4000000000000005E-2</v>
      </c>
      <c r="Y8" s="1315">
        <f>ROUND(PRODUCT(Y4:Y7),3)</f>
        <v>0.06</v>
      </c>
      <c r="Z8" s="1315">
        <f>ROUND(PRODUCT(Z4:Z7),3)</f>
        <v>1.9E-2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1.1499999999999999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0.95</v>
      </c>
      <c r="AS8" s="299">
        <f>IF(C46=250,DF_250Deductible,C47)</f>
        <v>0.95</v>
      </c>
      <c r="AT8" s="299">
        <f>IF(C46=250,DF_250Deductible,C47)</f>
        <v>0.95</v>
      </c>
      <c r="AU8" s="299">
        <f>IF(C46=250,DF_250Deductible,C47)</f>
        <v>0.95</v>
      </c>
      <c r="AX8" s="268" t="s">
        <v>1018</v>
      </c>
      <c r="AY8" s="423">
        <f>IF(C46=250,DF_250Deductible,C47)</f>
        <v>0.95</v>
      </c>
      <c r="BB8" s="268" t="s">
        <v>1017</v>
      </c>
      <c r="BC8" s="423">
        <f>IF(F7="Yes",1,IF(C48&gt;=80,VLOOKUP(C48,Table_CoIns1,2,FALSE),1+ IF(P5&lt;B49,VLOOKUP(B62,Table_CIUnder80,5,FALSE),0.5)))</f>
        <v>0.9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0.13700000000000001</v>
      </c>
      <c r="Q9" s="1313">
        <f>ROUND(PRODUCT(Q4:Q8),3)</f>
        <v>8.4000000000000005E-2</v>
      </c>
      <c r="R9" s="1313">
        <f>ROUND(PRODUCT(R4:R8),3)</f>
        <v>0.06</v>
      </c>
      <c r="S9" s="1313">
        <f>ROUND(PRODUCT(S4:S8),3)</f>
        <v>1.9E-2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0.9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857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0.45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1861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3.4000000000000002E-2</v>
      </c>
      <c r="X11" s="1315">
        <f>ROUND(PRODUCT(X8:X10),3)</f>
        <v>2.1000000000000001E-2</v>
      </c>
      <c r="Y11" s="1315">
        <f>ROUND(PRODUCT(Y8:Y10),3)</f>
        <v>1.4999999999999999E-2</v>
      </c>
      <c r="Z11" s="1315">
        <f>ROUND(PRODUCT(Z8:Z10),3)</f>
        <v>5.0000000000000001E-3</v>
      </c>
      <c r="AB11" s="146"/>
      <c r="AC11" s="83" t="s">
        <v>2167</v>
      </c>
      <c r="AD11" s="1313">
        <f>ROUND(PRODUCT(AD7:AD10),3)</f>
        <v>6.9000000000000006E-2</v>
      </c>
      <c r="AE11" s="1313">
        <f>ROUND(PRODUCT(AE7:AE10),3)</f>
        <v>4.2000000000000003E-2</v>
      </c>
      <c r="AF11" s="1313">
        <f>ROUND(PRODUCT(AF7:AF10),3)</f>
        <v>1.4999999999999999E-2</v>
      </c>
      <c r="AG11" s="1313">
        <f>ROUND(PRODUCT(AG7:AG10),3)</f>
        <v>1.2999999999999999E-2</v>
      </c>
      <c r="AH11" s="426"/>
      <c r="AI11" s="146"/>
      <c r="AJ11" s="1210" t="s">
        <v>2243</v>
      </c>
      <c r="AK11" s="1424">
        <f>AK7</f>
        <v>0.13700000000000001</v>
      </c>
      <c r="AL11" s="1424">
        <f>AL7</f>
        <v>8.4000000000000005E-2</v>
      </c>
      <c r="AM11" s="1424">
        <f>AM7</f>
        <v>0.06</v>
      </c>
      <c r="AN11" s="1424">
        <f>AN7</f>
        <v>1.9E-2</v>
      </c>
      <c r="AO11" s="426"/>
      <c r="AP11" s="146"/>
      <c r="AQ11" s="545" t="s">
        <v>1020</v>
      </c>
      <c r="AR11" s="299">
        <f>IF(C6="PAC",VLOOKUP(B7,Table_PakMods,MATCH(C11,List_Company,0)+1,FALSE),1)</f>
        <v>0.45</v>
      </c>
      <c r="AS11" s="299">
        <f>IF(C6="PAC",VLOOKUP(B7,Table_PakMods,MATCH(C11,List_Company,0)+1,FALSE),1)</f>
        <v>0.45</v>
      </c>
      <c r="AT11" s="299">
        <f>IF(C6="PAC",VLOOKUP(B7,Table_PakMods,MATCH(C11,List_Company,0)+1,FALSE),1)</f>
        <v>0.45</v>
      </c>
      <c r="AU11" s="299">
        <f>IF(C6="PAC",VLOOKUP(B7,Table_PakMods,MATCH(C11,List_Company,0)+1,FALSE),1)</f>
        <v>0.45</v>
      </c>
      <c r="AV11" s="385"/>
      <c r="AX11" s="545" t="s">
        <v>1020</v>
      </c>
      <c r="AY11" s="299">
        <f>IF(C6="PAC",VLOOKUP(B7,Table_PakMods,MATCH(C11,List_Company,0)+1,FALSE),1)</f>
        <v>0.45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894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2</v>
      </c>
      <c r="C13" s="1435">
        <v>1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0.45</v>
      </c>
      <c r="AE13" s="299">
        <f>IF(C6="PAC",VLOOKUP(B7,Table_PakMods,MATCH(C11,List_Company,0)+1,FALSE),1)</f>
        <v>0.45</v>
      </c>
      <c r="AF13" s="299">
        <f>IF(C6="PAC",VLOOKUP(B7,Table_PakMods,MATCH(C11,List_Company,0)+1,FALSE),1)</f>
        <v>0.45</v>
      </c>
      <c r="AG13" s="299">
        <f>IF(C6="PAC",VLOOKUP(B7,Table_PakMods,MATCH(C11,List_Company,0)+1,FALSE),1)</f>
        <v>0.45</v>
      </c>
      <c r="AH13" s="485"/>
      <c r="AI13" s="146"/>
      <c r="AJ13" s="301" t="s">
        <v>2245</v>
      </c>
      <c r="AK13" s="1423">
        <f>ROUND(PRODUCT(AK11:AK12),3)</f>
        <v>2.1000000000000001E-2</v>
      </c>
      <c r="AL13" s="1423">
        <f>ROUND(PRODUCT(AL11:AL12),3)</f>
        <v>1.2999999999999999E-2</v>
      </c>
      <c r="AM13" s="1423">
        <f>ROUND(PRODUCT(AM11:AM12),3)</f>
        <v>8.9999999999999993E-3</v>
      </c>
      <c r="AN13" s="1423">
        <f>ROUND(PRODUCT(AN11:AN12),3)</f>
        <v>3.0000000000000001E-3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1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1.1499999999999999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0.66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2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0.45</v>
      </c>
      <c r="AE15" s="1314">
        <f>ROUND(PRODUCT(AE12:AE14),3)</f>
        <v>0.45</v>
      </c>
      <c r="AF15" s="1314">
        <f>ROUND(PRODUCT(AF12:AF14),3)</f>
        <v>0.45</v>
      </c>
      <c r="AG15" s="1314">
        <f>ROUND(PRODUCT(AG12:AG14),3)</f>
        <v>0.45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28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6.9000000000000006E-2</v>
      </c>
      <c r="AE16" s="757">
        <f>AE11</f>
        <v>4.2000000000000003E-2</v>
      </c>
      <c r="AF16" s="757">
        <f>AF11</f>
        <v>1.4999999999999999E-2</v>
      </c>
      <c r="AG16" s="757">
        <f>AG11</f>
        <v>1.2999999999999999E-2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0.66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3.1E-2</v>
      </c>
      <c r="AE17" s="1315">
        <f>ROUND(PRODUCT(AE15:AE16),3)</f>
        <v>1.9E-2</v>
      </c>
      <c r="AF17" s="1315">
        <f>ROUND(PRODUCT(AF15:AF16),3)</f>
        <v>7.0000000000000001E-3</v>
      </c>
      <c r="AG17" s="1315">
        <f>ROUND(PRODUCT(AG15:AG16),3)</f>
        <v>6.0000000000000001E-3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>
        <v>2</v>
      </c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0.95</v>
      </c>
      <c r="Q19" s="207">
        <f>IF(C65="Yes",1,IF(C46=250,DF_250Deductible,C47))</f>
        <v>0.95</v>
      </c>
      <c r="R19" s="207">
        <f>IF(C46=250,DF_250Deductible,C47)</f>
        <v>0.95</v>
      </c>
      <c r="S19" s="207">
        <f>IF(C46=250,DF_250Deductible,C47)</f>
        <v>0.95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0.13700000000000001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IF(TC3_PP2!F26="Yes","PP","Available")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0.45</v>
      </c>
      <c r="X20" s="299">
        <f>IF(C6="PAC",VLOOKUP(B7,Table_PakMods,MATCH(C11,List_Company,0)+1,FALSE),1)</f>
        <v>0.45</v>
      </c>
      <c r="Y20" s="299">
        <f>IF(C6="PAC",VLOOKUP(B7,Table_PakMods,MATCH(C11,List_Company,0)+1,FALSE),1)</f>
        <v>0.45</v>
      </c>
      <c r="Z20" s="299">
        <f>IF(C6="PAC",VLOOKUP(B7,Table_PakMods,MATCH(C11,List_Company,0)+1,FALSE),1)</f>
        <v>0.45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0.66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0.13</v>
      </c>
      <c r="Q21" s="1312">
        <f>ROUND(PRODUCT(Q9:Q20),3)</f>
        <v>0.08</v>
      </c>
      <c r="R21" s="1312">
        <f>ROUND(PRODUCT(R9:R20),3)</f>
        <v>5.7000000000000002E-2</v>
      </c>
      <c r="S21" s="1315">
        <f>ROUND(PRODUCT(S9:S20),3)</f>
        <v>1.7999999999999999E-2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0.26</v>
      </c>
      <c r="BB21" s="268" t="s">
        <v>1018</v>
      </c>
      <c r="BC21" s="423">
        <f>IF(C46=250,DF_250Deductible,C47)</f>
        <v>0.95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0.9</v>
      </c>
      <c r="Q22" s="247">
        <f>IF(F7="Yes",1,IF(C48&gt;=80,VLOOKUP(C48,Table_CoIns2,2,FALSE),1+ IF(Q5&lt;B49,VLOOKUP(B62,Table_CIUnder80,5,FALSE),0.5)))</f>
        <v>0.9</v>
      </c>
      <c r="R22" s="247">
        <f>IF(F7="Yes",1,IF(C48&gt;=80,VLOOKUP(C48,Table_CoIns1,2,FALSE),1+ IF(P5&lt;B49,VLOOKUP(B62,Table_CIUnder80,5,FALSE),0.5)))</f>
        <v>0.9</v>
      </c>
      <c r="S22" s="247">
        <f>IF(F7="Yes",1,IF(C48&gt;=80,VLOOKUP(C48,Table_CoIns1,2,FALSE),1+ IF(P5&lt;B49,VLOOKUP(B62,Table_CIUnder80,5,FALSE),0.5)))</f>
        <v>0.9</v>
      </c>
      <c r="V22" s="83" t="s">
        <v>1150</v>
      </c>
      <c r="W22" s="1315">
        <f>ROUND(PRODUCT(W11:W14,IF(AND(C59="Yes",C61="Sprinkler",C62="Yes"),W15-W16,W15),W17:W21),3)</f>
        <v>1.4999999999999999E-2</v>
      </c>
      <c r="X22" s="1315">
        <f>ROUND(PRODUCT(X11:X21),3)</f>
        <v>8.9999999999999993E-3</v>
      </c>
      <c r="Y22" s="1315">
        <f>ROUND(PRODUCT(Y11:Y21),3)</f>
        <v>8.0000000000000002E-3</v>
      </c>
      <c r="Z22" s="1315">
        <f>ROUND(PRODUCT(Z11:Z21),3)</f>
        <v>2E-3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0.9</v>
      </c>
      <c r="BD22" s="423"/>
      <c r="BE22" s="453"/>
      <c r="BF22" s="186" t="s">
        <v>1019</v>
      </c>
      <c r="BG22" s="208">
        <f>HLOOKUP(C11,Table_StateRates,5,FALSE)</f>
        <v>0.66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0.13700000000000001</v>
      </c>
      <c r="AL23" s="1424">
        <f>AL7</f>
        <v>8.4000000000000005E-2</v>
      </c>
      <c r="AM23" s="1424">
        <f>AM7</f>
        <v>0.06</v>
      </c>
      <c r="AN23" s="1424">
        <f>AN7</f>
        <v>1.9E-2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2.5999999999999999E-2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0.45</v>
      </c>
      <c r="Q24" s="299">
        <f>IF(C6="PAC",VLOOKUP(B7,Table_PakMods,MATCH(C11,List_Company,0)+1,FALSE),1)</f>
        <v>0.45</v>
      </c>
      <c r="R24" s="299">
        <f>IF(C6="PAC",VLOOKUP(B7,Table_PakMods,MATCH(C11,List_Company,0)+1,FALSE),1)</f>
        <v>0.45</v>
      </c>
      <c r="S24" s="299">
        <f>IF(C6="PAC",VLOOKUP(B7,Table_PakMods,MATCH(C11,List_Company,0)+1,FALSE),1)</f>
        <v>0.45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6.7000000000000004E-2</v>
      </c>
      <c r="AF24" s="247">
        <f>IF(OR(ISBLANK(C13),C13="No"),0,VLOOKUP(C13,Table_Special_Bldg,2,FALSE))</f>
        <v>4.8000000000000001E-2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0.66</v>
      </c>
      <c r="AS24" s="299">
        <f>HLOOKUP(C11,Table_StateRates,5,FALSE)</f>
        <v>0.66</v>
      </c>
      <c r="AT24" s="299">
        <f>HLOOKUP(C11,Table_StateRates,5,FALSE)</f>
        <v>0.66</v>
      </c>
      <c r="AU24" s="299">
        <f>HLOOKUP(C11,Table_StateRates,5,FALSE)</f>
        <v>0.66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0.45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2.1000000000000001E-2</v>
      </c>
      <c r="AL25" s="1423">
        <f>ROUND(PRODUCT(AL23:AL24),3)</f>
        <v>1.2999999999999999E-2</v>
      </c>
      <c r="AM25" s="1423">
        <f>ROUND(PRODUCT(AM23:AM24),3)</f>
        <v>8.9999999999999993E-3</v>
      </c>
      <c r="AN25" s="1423">
        <f>ROUND(PRODUCT(AN23:AN24),3)</f>
        <v>3.0000000000000001E-3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0.9</v>
      </c>
      <c r="AS25" s="299">
        <f>IF(F7="Yes",1,IF(C48&gt;=80,VLOOKUP(C48,Table_CoIns1,2,FALSE),1+ IF(P5&lt;B49,VLOOKUP(B62,Table_CIUnder80,5,FALSE),0.5)))</f>
        <v>0.9</v>
      </c>
      <c r="AT25" s="299">
        <f>IF(F7="Yes",1,IF(C48&gt;=80,VLOOKUP(C48,Table_CoIns1,2,FALSE),1+ IF(P5&lt;B49,VLOOKUP(B62,Table_CIUnder80,5,FALSE),0.5)))</f>
        <v>0.9</v>
      </c>
      <c r="AU25" s="299">
        <f>IF(F7="Yes",1,IF(C48&gt;=80,VLOOKUP(C48,Table_CoIns1,2,FALSE),1+ IF(P5&lt;B49,VLOOKUP(B62,Table_CIUnder80,5,FALSE),0.5)))</f>
        <v>0.9</v>
      </c>
      <c r="AV25" s="385"/>
      <c r="AX25" s="545" t="s">
        <v>1020</v>
      </c>
      <c r="AY25" s="299">
        <f>IF(C6="PAC",VLOOKUP(B7,Table_PakMods,MATCH(C11,List_Company,0)+1,FALSE),1)</f>
        <v>0.45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0.40500000000000003</v>
      </c>
      <c r="Q26" s="1314">
        <f>ROUND(PRODUCT(Q22:Q25),3)</f>
        <v>0.40500000000000003</v>
      </c>
      <c r="R26" s="1314">
        <f>ROUND(PRODUCT(R22:R25),3)</f>
        <v>0.40500000000000003</v>
      </c>
      <c r="S26" s="1314">
        <f>ROUND(PRODUCT(S22:S25),3)</f>
        <v>0.40500000000000003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6.7000000000000004E-2</v>
      </c>
      <c r="AF26" s="247">
        <f>PRODUCT(AF24:AF25)</f>
        <v>4.8000000000000001E-2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0.95</v>
      </c>
      <c r="AS26" s="299">
        <f>IF(C46=250,DF_250Deductible,C47)</f>
        <v>0.95</v>
      </c>
      <c r="AT26" s="299">
        <f>IF(C46=250,DF_250Deductible,C47)</f>
        <v>0.95</v>
      </c>
      <c r="AU26" s="299">
        <f>IF(C46=250,DF_250Deductible,C47)</f>
        <v>0.95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0.66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0.13</v>
      </c>
      <c r="Q27" s="757">
        <f>Q21</f>
        <v>0.08</v>
      </c>
      <c r="R27" s="757">
        <f>R21</f>
        <v>5.7000000000000002E-2</v>
      </c>
      <c r="S27" s="757">
        <f>S21</f>
        <v>1.7999999999999999E-2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1.2E-2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3.9E-2</v>
      </c>
      <c r="Q28" s="1315">
        <f>IF($C$30="Yes",C31,ROUND(PRODUCT(Q26:Q27),3))</f>
        <v>1.9E-2</v>
      </c>
      <c r="R28" s="1315">
        <f>IF($C$30="Yes",B32,ROUND(PRODUCT(R26:R27),3))</f>
        <v>1.7999999999999999E-2</v>
      </c>
      <c r="S28" s="1315">
        <f>IF($C$30="Yes",C32,ROUND(PRODUCT(S26:S27),3))</f>
        <v>0</v>
      </c>
      <c r="AC28" s="168" t="s">
        <v>1019</v>
      </c>
      <c r="AD28" s="207">
        <f>HLOOKUP(C11,Table_StateRates,5,FALSE)</f>
        <v>0.66</v>
      </c>
      <c r="AE28" s="207">
        <f>HLOOKUP(C11,Table_StateRates,5,FALSE)</f>
        <v>0.66</v>
      </c>
      <c r="AF28" s="207">
        <f>HLOOKUP(C11,Table_StateRates,5,FALSE)</f>
        <v>0.66</v>
      </c>
      <c r="AG28" s="207">
        <f>HLOOKUP(C11,Table_StateRates,5,FALSE)</f>
        <v>0.66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0.9</v>
      </c>
      <c r="AE29" s="247">
        <f>IF(F7="Yes",1,IF(C48&gt;=80,VLOOKUP(C48,Table_CoIns1,2,FALSE),1+ IF(P5&lt;B49,VLOOKUP(B62,Table_CIUnder80,5,FALSE),0.5)))</f>
        <v>0.9</v>
      </c>
      <c r="AF29" s="247">
        <f>IF(F7="Yes",1,IF(C48&gt;=80,VLOOKUP(C48,Table_CoIns1,2,FALSE),1+ IF(P5&lt;B49,VLOOKUP(B62,Table_CIUnder80,5,FALSE),0.5)))</f>
        <v>0.9</v>
      </c>
      <c r="AG29" s="247">
        <f>IF(F7="Yes",1,IF(C48&gt;=80,VLOOKUP(C48,Table_CoIns1,2,FALSE),1+ IF(P5&lt;B49,VLOOKUP(B62,Table_CIUnder80,5,FALSE),0.5)))</f>
        <v>0.9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0.45</v>
      </c>
      <c r="AS29" s="299">
        <f>IF(C6="PAC",VLOOKUP(B7,Table_PakMods,MATCH(C11,List_Company,0)+1,FALSE),1)</f>
        <v>0.45</v>
      </c>
      <c r="AT29" s="299">
        <f>IF(C6="PAC",VLOOKUP(B7,Table_PakMods,MATCH(C11,List_Company,0)+1,FALSE),1)</f>
        <v>0.45</v>
      </c>
      <c r="AU29" s="299">
        <f>IF(C6="PAC",VLOOKUP(B7,Table_PakMods,MATCH(C11,List_Company,0)+1,FALSE),1)</f>
        <v>0.45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40" t="s">
        <v>833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0.95</v>
      </c>
      <c r="AE30" s="207">
        <f>IF(C46=250,DF_250Deductible,C47)</f>
        <v>0.95</v>
      </c>
      <c r="AF30" s="207">
        <f>IF(C46=250,DF_250Deductible,C47)</f>
        <v>0.95</v>
      </c>
      <c r="AG30" s="207">
        <f>IF(C46=250,DF_250Deductible,C47)</f>
        <v>0.95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0.66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3.9E-2</v>
      </c>
      <c r="C31" s="1455">
        <v>1.9E-2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0.78600000000000003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0.7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0.72499999999999998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0.72499999999999998</v>
      </c>
      <c r="V31" s="168" t="s">
        <v>407</v>
      </c>
      <c r="W31" s="247">
        <f>P28</f>
        <v>3.9E-2</v>
      </c>
      <c r="X31" s="247">
        <f>Q28</f>
        <v>1.9E-2</v>
      </c>
      <c r="Y31" s="247">
        <f>R28</f>
        <v>1.7999999999999999E-2</v>
      </c>
      <c r="Z31" s="247">
        <f>S28</f>
        <v>0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4.0000000000000001E-3</v>
      </c>
      <c r="AS31" s="247">
        <f>ROUND(PRODUCT(AS21:AS30),3)</f>
        <v>3.0000000000000001E-3</v>
      </c>
      <c r="AT31" s="247">
        <f>ROUND(PRODUCT(AT21:AT30),3)</f>
        <v>3.0000000000000001E-3</v>
      </c>
      <c r="AU31" s="247">
        <f>ROUND(PRODUCT(AU21:AU30),3)</f>
        <v>3.0000000000000001E-3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1.7999999999999999E-2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1.1499999999999999</v>
      </c>
      <c r="S32" s="247">
        <v>1</v>
      </c>
      <c r="U32" s="185"/>
      <c r="V32" s="187" t="s">
        <v>408</v>
      </c>
      <c r="W32" s="208">
        <f>IF(C48&gt;80,P22,1)</f>
        <v>0.9</v>
      </c>
      <c r="X32" s="208">
        <f>IF(C48&gt;80,Q22,1)</f>
        <v>0.9</v>
      </c>
      <c r="Y32" s="208">
        <f>IF(C48&gt;80,R22,1)</f>
        <v>0.9</v>
      </c>
      <c r="Z32" s="208">
        <f>IF(C48&gt;80,S22,1)</f>
        <v>0.9</v>
      </c>
      <c r="AB32" s="146"/>
      <c r="AC32" s="545" t="s">
        <v>1020</v>
      </c>
      <c r="AD32" s="299">
        <f>IF(C6="PAC",VLOOKUP(B7,Table_PakMods,MATCH(C11,List_Company,0)+1,FALSE),1)</f>
        <v>0.45</v>
      </c>
      <c r="AE32" s="299">
        <f>IF(C6="PAC",VLOOKUP(B7,Table_PakMods,MATCH(C11,List_Company,0)+1,FALSE),1)</f>
        <v>0.45</v>
      </c>
      <c r="AF32" s="299">
        <f>IF(C6="PAC",VLOOKUP(B7,Table_PakMods,MATCH(C11,List_Company,0)+1,FALSE),1)</f>
        <v>0.45</v>
      </c>
      <c r="AG32" s="299">
        <f>IF(C6="PAC",VLOOKUP(B7,Table_PakMods,MATCH(C11,List_Company,0)+1,FALSE),1)</f>
        <v>0.45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10000</v>
      </c>
      <c r="Q33" s="238">
        <f>IF(ISNUMBER(C45),C45/100,0)</f>
        <v>10000</v>
      </c>
      <c r="R33" s="238">
        <f>IF(ISNUMBER(C45),C45/100,0)</f>
        <v>10000</v>
      </c>
      <c r="S33" s="238">
        <f>IF(ISNUMBER(C45),C45/100,0)</f>
        <v>10000</v>
      </c>
      <c r="U33" s="546"/>
      <c r="V33" s="301" t="s">
        <v>409</v>
      </c>
      <c r="W33" s="247">
        <f>ROUND(W31/W32,3)</f>
        <v>4.2999999999999997E-2</v>
      </c>
      <c r="X33" s="247">
        <f>ROUND(X31/X32,3)</f>
        <v>2.1000000000000001E-2</v>
      </c>
      <c r="Y33" s="247">
        <f>ROUND(Y31/Y32,3)</f>
        <v>0.02</v>
      </c>
      <c r="Z33" s="247">
        <f>ROUND(Z31/Z32,3)</f>
        <v>0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390</v>
      </c>
      <c r="Q34" s="1481">
        <f>IF($C$30="Yes",ROUND(PRODUCT(Q28,Q33),0),ROUND(PRODUCT(Q28,Q31:Q33),0))</f>
        <v>190</v>
      </c>
      <c r="R34" s="1481">
        <f>IF($C$30="Yes",ROUND(PRODUCT(R28,R33),0),ROUND(PRODUCT(R28,R31:R33),0))</f>
        <v>180</v>
      </c>
      <c r="S34" s="1481">
        <f>IF($C$30="Yes",ROUND(PRODUCT(S28,S33),0),ROUND(PRODUCT(S28,S31:S33),0))</f>
        <v>0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3.2000000000000001E-2</v>
      </c>
      <c r="AF34" s="247">
        <f>ROUND(PRODUCT(AF26:AF33),3)</f>
        <v>2.3E-2</v>
      </c>
      <c r="AG34" s="247">
        <f>ROUND(PRODUCT(AG26:AG33),3)</f>
        <v>7.0000000000000001E-3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43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0.13700000000000001</v>
      </c>
      <c r="AL35" s="247">
        <f>AL7</f>
        <v>8.4000000000000005E-2</v>
      </c>
      <c r="AM35" s="247">
        <f>AM7</f>
        <v>0.06</v>
      </c>
      <c r="AN35" s="247">
        <f>AN7</f>
        <v>1.9E-2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390</v>
      </c>
      <c r="Q36" s="248">
        <f>SUM(Q34:Q35)</f>
        <v>190</v>
      </c>
      <c r="R36" s="248">
        <f>SUM(R34:R35)</f>
        <v>180</v>
      </c>
      <c r="S36" s="248">
        <f>SUM(S34:S35)</f>
        <v>0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0.66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0.45</v>
      </c>
      <c r="X37" s="299">
        <f>IF(C6="PAC",VLOOKUP(B7,Table_PakMods,MATCH(C11,List_Company,0)+1,FALSE),1)</f>
        <v>0.45</v>
      </c>
      <c r="Y37" s="299">
        <f>IF(C6="PAC",VLOOKUP(B7,Table_PakMods,MATCH(C11,List_Company,0)+1,FALSE),1)</f>
        <v>0.45</v>
      </c>
      <c r="Z37" s="299">
        <f>IF(C6="PAC",VLOOKUP(B7,Table_PakMods,MATCH(C11,List_Company,0)+1,FALSE),1)</f>
        <v>0.45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0.66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6.0000000000000001E-3</v>
      </c>
      <c r="X39" s="247">
        <f>ROUND(PRODUCT(X33:X38),3)</f>
        <v>3.0000000000000001E-3</v>
      </c>
      <c r="Y39" s="247">
        <f>ROUND(PRODUCT(Y33:Y38),3)</f>
        <v>3.0000000000000001E-3</v>
      </c>
      <c r="Z39" s="247">
        <f>ROUND(PRODUCT(Z33:Z38),3)</f>
        <v>0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0.124</v>
      </c>
      <c r="AS39" s="247">
        <f>IF(OR(C28="S",C28="T"),C29,VLOOKUP(C16,Table_G2SymLC,2,FALSE)*IF(C64&lt;&gt;"Yes",B16,1))</f>
        <v>6.7000000000000004E-2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0.66</v>
      </c>
      <c r="AZ39" s="423"/>
      <c r="BA39" s="542"/>
      <c r="BB39" s="597" t="s">
        <v>1019</v>
      </c>
      <c r="BC39" s="279">
        <f>HLOOKUP(C11,Table_StateRates,5,FALSE)</f>
        <v>0.66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390</v>
      </c>
      <c r="Q40" s="248">
        <f>Q34</f>
        <v>190</v>
      </c>
      <c r="R40" s="248">
        <f>R34</f>
        <v>180</v>
      </c>
      <c r="S40" s="248">
        <f>S34</f>
        <v>0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1.9E-2</v>
      </c>
      <c r="AZ40" s="559"/>
      <c r="BA40" s="423"/>
      <c r="BB40" s="810" t="s">
        <v>1134</v>
      </c>
      <c r="BC40" s="426">
        <f>ROUND(PRODUCT(BC35:BC39),3)</f>
        <v>1.9E-2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0.88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0.88</v>
      </c>
      <c r="AZ41" s="559"/>
      <c r="BA41" s="423"/>
      <c r="BB41" s="906" t="s">
        <v>1178</v>
      </c>
      <c r="BC41" s="423">
        <f>IF(OR(C28="S",C28="T",C28="SC"),1,VLOOKUP(C14,Table_ProtClass,IF(C15&lt;=3,2,3),FALSE))</f>
        <v>0.88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1.1499999999999999</v>
      </c>
      <c r="AU42" s="207">
        <v>1</v>
      </c>
      <c r="AW42" s="423"/>
      <c r="AX42" s="906" t="s">
        <v>1018</v>
      </c>
      <c r="AY42" s="423">
        <f>IF(C46=250,DF_250Deductible,C47)</f>
        <v>0.95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1.2E-2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0.9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140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0.13700000000000001</v>
      </c>
      <c r="AL44" s="247">
        <f>AL7</f>
        <v>8.4000000000000005E-2</v>
      </c>
      <c r="AM44" s="247">
        <f>AM7</f>
        <v>0.06</v>
      </c>
      <c r="AN44" s="247">
        <f>AN7</f>
        <v>1.9E-2</v>
      </c>
      <c r="AO44" s="557"/>
      <c r="AP44" s="2"/>
      <c r="AQ44" s="168" t="s">
        <v>1019</v>
      </c>
      <c r="AR44" s="207">
        <f>HLOOKUP(C11,Table_StateRates,5,FALSE)</f>
        <v>0.66</v>
      </c>
      <c r="AS44" s="207">
        <f>HLOOKUP(C11,Table_StateRates,5,FALSE)</f>
        <v>0.66</v>
      </c>
      <c r="AT44" s="207">
        <f>HLOOKUP(C11,Table_StateRates,5,FALSE)</f>
        <v>0.66</v>
      </c>
      <c r="AU44" s="207">
        <f>HLOOKUP(C11,Table_StateRates,5,FALSE)</f>
        <v>0.66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4.0000000000000001E-3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1000000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1.4E-2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0.96</v>
      </c>
      <c r="C46" s="944">
        <v>1000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10000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0.66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0.84</v>
      </c>
      <c r="C47" s="945">
        <v>0.95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760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140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100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0.45</v>
      </c>
      <c r="AS48" s="299">
        <f>IF(C6="PAC",VLOOKUP(B7,Table_PakMods,MATCH(C11,List_Company,0)+1,FALSE),1)</f>
        <v>0.45</v>
      </c>
      <c r="AT48" s="299">
        <f>IF(C6="PAC",VLOOKUP(B7,Table_PakMods,MATCH(C11,List_Company,0)+1,FALSE),1)</f>
        <v>0.45</v>
      </c>
      <c r="AU48" s="299">
        <f>IF(C6="PAC",VLOOKUP(B7,Table_PakMods,MATCH(C11,List_Company,0)+1,FALSE),1)</f>
        <v>0.45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900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0.124</v>
      </c>
      <c r="X49" s="247">
        <f>IF(OR(C28="S",C28="T"),C29,VLOOKUP(C16,Table_G2SymLC,2,FALSE)*IF(C64&lt;&gt;"Yes",B16,1))</f>
        <v>6.7000000000000004E-2</v>
      </c>
      <c r="Y49" s="247">
        <f>IF(OR(ISBLANK(C13),C13="No"),0,VLOOKUP(C13,Table_Special_Bldg,2,FALSE))</f>
        <v>4.8000000000000001E-2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3.1E-2</v>
      </c>
      <c r="AS50" s="247">
        <f>ROUND(PRODUCT(AS39:AS49),3)</f>
        <v>1.9E-2</v>
      </c>
      <c r="AT50" s="247">
        <f>ROUND(PRODUCT(AT39:AT49),3)</f>
        <v>4.0000000000000001E-3</v>
      </c>
      <c r="AU50" s="247">
        <f>ROUND(PRODUCT(AU39:AU49),3)</f>
        <v>3.0000000000000001E-3</v>
      </c>
      <c r="AW50" s="566"/>
      <c r="AX50" s="990" t="s">
        <v>395</v>
      </c>
      <c r="AY50" s="813">
        <f>SUM(AY47,BC46)</f>
        <v>140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0.66</v>
      </c>
      <c r="X51" s="207">
        <f>HLOOKUP(C11,Table_StateRates,5,FALSE)</f>
        <v>0.66</v>
      </c>
      <c r="Y51" s="207">
        <f>HLOOKUP(C11,Table_StateRates,5,FALSE)</f>
        <v>0.66</v>
      </c>
      <c r="Z51" s="207">
        <f>HLOOKUP(C11,Table_StateRates,5,FALSE)</f>
        <v>0.66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0.45</v>
      </c>
      <c r="X54" s="299">
        <f>IF(C6="PAC",VLOOKUP(B7,Table_PakMods,MATCH(C11,List_Company,0)+1,FALSE),1)</f>
        <v>0.45</v>
      </c>
      <c r="Y54" s="299">
        <f>IF(C6="PAC",VLOOKUP(B7,Table_PakMods,MATCH(C11,List_Company,0)+1,FALSE),1)</f>
        <v>0.45</v>
      </c>
      <c r="Z54" s="299">
        <f>IF(C6="PAC",VLOOKUP(B7,Table_PakMods,MATCH(C11,List_Company,0)+1,FALSE),1)</f>
        <v>0.45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8.9999999999999993E-3</v>
      </c>
      <c r="X56" s="247">
        <f>ROUND(PRODUCT(X49:X55),3)</f>
        <v>5.0000000000000001E-3</v>
      </c>
      <c r="Y56" s="247">
        <f>ROUND(PRODUCT(Y49:Y55),3)</f>
        <v>2.7E-2</v>
      </c>
      <c r="Z56" s="247">
        <f>ROUND(PRODUCT(Z49:Z55),3)</f>
        <v>8.0000000000000002E-3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2.1999999999999999E-2</v>
      </c>
      <c r="X59" s="247">
        <f>MAX(X56:X57)</f>
        <v>6.0000000000000001E-3</v>
      </c>
      <c r="Y59" s="247">
        <f>MAX(Y56:Y57)</f>
        <v>5.2999999999999999E-2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278" priority="21" stopIfTrue="1">
      <formula>IF($C$24="Yes",FALSE,TRUE)</formula>
    </cfRule>
  </conditionalFormatting>
  <conditionalFormatting sqref="E16">
    <cfRule type="expression" dxfId="277" priority="20" stopIfTrue="1">
      <formula>IF($C$58="Yes",TRUE,FALSE)</formula>
    </cfRule>
  </conditionalFormatting>
  <conditionalFormatting sqref="C18">
    <cfRule type="expression" dxfId="276" priority="18">
      <formula>IF($C$12="SP",TRUE,FALSE)</formula>
    </cfRule>
    <cfRule type="expression" dxfId="275" priority="19">
      <formula>IF($C$12="SP",TRUE,FALSE)</formula>
    </cfRule>
  </conditionalFormatting>
  <conditionalFormatting sqref="A18">
    <cfRule type="expression" dxfId="274" priority="17">
      <formula>IF($C$12="SP",TRUE,FALSE)</formula>
    </cfRule>
  </conditionalFormatting>
  <conditionalFormatting sqref="B21">
    <cfRule type="expression" dxfId="273" priority="16">
      <formula>IF($C$21="Yes",TRUE,FALSE)</formula>
    </cfRule>
  </conditionalFormatting>
  <conditionalFormatting sqref="C18">
    <cfRule type="expression" dxfId="272" priority="12">
      <formula>IF($C$12="SP",TRUE,FALSE)</formula>
    </cfRule>
    <cfRule type="expression" dxfId="271" priority="13">
      <formula>IF($C$12="SP",TRUE,FALSE)</formula>
    </cfRule>
  </conditionalFormatting>
  <conditionalFormatting sqref="C18">
    <cfRule type="expression" dxfId="270" priority="10">
      <formula>IF($C$12="SP",TRUE,FALSE)</formula>
    </cfRule>
    <cfRule type="expression" dxfId="269" priority="11">
      <formula>IF($C$12="SP",TRUE,FALSE)</formula>
    </cfRule>
  </conditionalFormatting>
  <conditionalFormatting sqref="C32">
    <cfRule type="expression" dxfId="268" priority="2">
      <formula>IF(AND($C$30="Yes",$C$12="BR"),TRUE,FALSE)</formula>
    </cfRule>
  </conditionalFormatting>
  <conditionalFormatting sqref="B32">
    <cfRule type="expression" dxfId="267" priority="1">
      <formula>IF(AND($C$30="Yes",$C$12="SP"),TRUE,FALSE)</formula>
    </cfRule>
  </conditionalFormatting>
  <conditionalFormatting sqref="B31:C31">
    <cfRule type="expression" dxfId="266" priority="3">
      <formula>IF($C$30="Yes",TRUE,FALSE)</formula>
    </cfRule>
  </conditionalFormatting>
  <dataValidations count="97"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custom" allowBlank="1" showInputMessage="1" showErrorMessage="1" sqref="C25 F46 D23 B10 D43:E43 F33:F35 F38:F39 A38 A43">
      <formula1>FALSE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allowBlank="1" showInputMessage="1" showErrorMessage="1" promptTitle="Occupancy Type Description" prompt="Displays the description of the choice made in the cell to the left.  " sqref="B33 B40"/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="Bldg Lookup Value" sqref="F36">
      <formula1>FALSE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custom" allowBlank="1" showInputMessage="1" showErrorMessage="1" prompt="EQ Table Lookup Value" sqref="F49">
      <formula1>FALSE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allowBlank="1" showInputMessage="1" showErrorMessage="1" promptTitle="Special Class Pty: Grp II Symbol" prompt="Group II Symbol supplied for the Special Class Property selected." sqref="E24"/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A78"/>
  <sheetViews>
    <sheetView topLeftCell="E1"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0.66</v>
      </c>
      <c r="Q2" s="423">
        <f>HLOOKUP(C11,Table_StateRates,5,FALSE)</f>
        <v>0.66</v>
      </c>
      <c r="R2" s="423">
        <f>HLOOKUP(C11,Table_StateRates,5,FALSE)</f>
        <v>0.66</v>
      </c>
      <c r="S2" s="423">
        <f>HLOOKUP(C11,Table_StateRates,5,FALSE)</f>
        <v>0.66</v>
      </c>
      <c r="U2" s="1290"/>
      <c r="V2" s="1294" t="s">
        <v>2165</v>
      </c>
      <c r="W2" s="1300">
        <f ca="1">$P$28</f>
        <v>5.8999999999999997E-2</v>
      </c>
      <c r="X2" s="1300">
        <f>$Q$28</f>
        <v>4.3999999999999997E-2</v>
      </c>
      <c r="Y2" s="1300">
        <f>$R$28</f>
        <v>7.3499999999999996E-2</v>
      </c>
      <c r="Z2" s="1300">
        <f>$S$28</f>
        <v>1.2E-2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5.8999999999999997E-2</v>
      </c>
      <c r="AU2" s="247">
        <f>Q28</f>
        <v>4.3999999999999997E-2</v>
      </c>
      <c r="AV2" s="247">
        <f>IF(AND(C27="Yes",C12="SP"),VLOOKUP(C33,Table_Special_PP,3,0),0)</f>
        <v>0.113</v>
      </c>
      <c r="AW2" s="247">
        <f>S28</f>
        <v>1.2E-2</v>
      </c>
      <c r="AZ2" s="1117" t="s">
        <v>2154</v>
      </c>
      <c r="BA2" s="247">
        <f ca="1">P28</f>
        <v>5.8999999999999997E-2</v>
      </c>
      <c r="BB2" s="2">
        <f>Q28</f>
        <v>4.3999999999999997E-2</v>
      </c>
      <c r="BC2" s="558">
        <f>R28</f>
        <v>7.3499999999999996E-2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 t="str">
        <f>Summary3</f>
        <v>#16 - R34 - BLANKET - GANY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0.627</v>
      </c>
      <c r="X3" s="247">
        <f t="shared" ref="X3:Z3" si="0">Q$31</f>
        <v>0.47799999999999998</v>
      </c>
      <c r="Y3" s="247">
        <f t="shared" si="0"/>
        <v>0.36099999999999999</v>
      </c>
      <c r="Z3" s="247">
        <f t="shared" si="0"/>
        <v>0.36099999999999999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0.11799999999999999</v>
      </c>
      <c r="AE3" s="2">
        <f>IF(OR(C28="S",C28="T"),C29,VLOOKUP(C16,Table_G2SymLC,3,FALSE)*IF(C60&lt;&gt;"Yes",B16,1))</f>
        <v>7.6999999999999999E-2</v>
      </c>
      <c r="AF3" s="247">
        <f>R5</f>
        <v>0.113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5.8999999999999997E-2</v>
      </c>
      <c r="AM3" s="4">
        <f>Q28</f>
        <v>4.3999999999999997E-2</v>
      </c>
      <c r="AN3" s="780">
        <f ca="1">IF(AND(C27="Yes",C12="SP"),IF(C13=1,R28,IF(C13=2,INDIRECT(VLOOKUP(C33,Table_Special_PP,6,FALSE)),"Select Type")),0)</f>
        <v>7.3499999999999996E-2</v>
      </c>
      <c r="AO3" s="4">
        <f>S28</f>
        <v>1.2E-2</v>
      </c>
      <c r="AP3" s="4" t="e">
        <f>IF(#REF!="Yes",#REF!,0)</f>
        <v>#REF!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1.254</v>
      </c>
      <c r="Q4" s="1312">
        <f>PRODUCT(Q2:Q3)</f>
        <v>1.254</v>
      </c>
      <c r="R4" s="1312">
        <f>PRODUCT(R2:R3)</f>
        <v>1.254</v>
      </c>
      <c r="S4" s="1312">
        <f>PRODUCT(S2:S3)</f>
        <v>1.254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5.8999999999999997E-2</v>
      </c>
      <c r="AU4" s="247">
        <f>ROUND(AU2/AU3,3)</f>
        <v>4.3999999999999997E-2</v>
      </c>
      <c r="AV4" s="247">
        <f>ROUND(AV2/AV3,3)</f>
        <v>0.113</v>
      </c>
      <c r="AW4" s="247">
        <f>ROUND(AW2/AW3,3)</f>
        <v>1.2E-2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>
        <f ca="1">IF(C27="Yes",P35,0)</f>
        <v>370</v>
      </c>
      <c r="J5" s="258">
        <f>IF(C27="Yes",Q35,0)</f>
        <v>210</v>
      </c>
      <c r="K5" s="258">
        <f>IF(AND(C27="Yes",C12="SP"),R35,0)</f>
        <v>265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0.11799999999999999</v>
      </c>
      <c r="Q5" s="247">
        <f>IF(OR(C28="S",C28="T"),C29,VLOOKUP(C16,Table_G2SymLC,3,FALSE)*IF(C60&lt;&gt;"Yes",B16,1))</f>
        <v>7.6999999999999999E-2</v>
      </c>
      <c r="R5" s="247">
        <f>IF(AND(C27="Yes",C12="SP"),VLOOKUP(C33,Table_Special_PP,3,0),0)</f>
        <v>0.113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0</v>
      </c>
      <c r="X5" s="1306">
        <f>ROUND(PRODUCT(X2:X4),0)</f>
        <v>0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6.0000000000000001E-3</v>
      </c>
      <c r="AM5" s="4">
        <f>ROUND(PRODUCT(AM3:AM4),3)</f>
        <v>4.0000000000000001E-3</v>
      </c>
      <c r="AN5" s="780">
        <f ca="1">ROUND(PRODUCT(AN3:AN4),3)</f>
        <v>7.0000000000000001E-3</v>
      </c>
      <c r="AO5" s="4">
        <f>ROUND(PRODUCT(AO3:AO4),3)</f>
        <v>1E-3</v>
      </c>
      <c r="AP5" s="4" t="e">
        <f>ROUND(PRODUCT(AP3:AP4),3)</f>
        <v>#REF!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0.66</v>
      </c>
      <c r="BJ5" s="299">
        <f>HLOOKUP(C11,Table_StateRates,5,FALSE)</f>
        <v>0.66</v>
      </c>
      <c r="BK5" s="299">
        <f>HLOOKUP(C11,Table_StateRates,5,FALSE)</f>
        <v>0.66</v>
      </c>
      <c r="BL5" s="299">
        <f>HLOOKUP(C11,Table_StateRates,5,FALSE)</f>
        <v>0.66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985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0.88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0.224</v>
      </c>
      <c r="AE6" s="247">
        <f>ROUND(PRODUCT(AE3:AE5),3)</f>
        <v>0.14599999999999999</v>
      </c>
      <c r="AF6" s="247">
        <f>ROUND(PRODUCT(AF3:AF5),3)</f>
        <v>0.215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0.66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18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0</v>
      </c>
      <c r="X7" s="1301">
        <f>SUM(X5:X6)</f>
        <v>0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#REF!</v>
      </c>
      <c r="AM7" s="235"/>
      <c r="AR7" s="146"/>
      <c r="AS7" s="545" t="s">
        <v>1020</v>
      </c>
      <c r="AT7" s="299">
        <f>IF(C6="PAC",VLOOKUP(B7,Table_PakMods,MATCH(C11,List_Company,0)+1,FALSE),1)</f>
        <v>0.45</v>
      </c>
      <c r="AU7" s="299">
        <f>IF(C6="PAC",VLOOKUP(B7,Table_PakMods,MATCH(C11,List_Company,0)+1,FALSE),1)</f>
        <v>0.45</v>
      </c>
      <c r="AV7" s="299">
        <f>IF(C6="PAC",VLOOKUP(B7,Table_PakMods,MATCH(C11,List_Company,0)+1,FALSE),1)</f>
        <v>0.45</v>
      </c>
      <c r="AW7" s="299">
        <f>IF(C6="PAC",VLOOKUP(B7,Table_PakMods,MATCH(C11,List_Company,0)+1,FALSE),1)</f>
        <v>0.45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0.13</v>
      </c>
      <c r="Q8" s="1315">
        <f>ROUND(PRODUCT(Q4:Q7),3)</f>
        <v>9.7000000000000003E-2</v>
      </c>
      <c r="R8" s="1315">
        <f>ROUND(PRODUCT(R4:R7),3)</f>
        <v>0.14199999999999999</v>
      </c>
      <c r="S8" s="1315">
        <f>ROUND(PRODUCT(S4:S7),3)</f>
        <v>2.5999999999999999E-2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 ca="1"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0.112</v>
      </c>
      <c r="AE9" s="247">
        <f>ROUND(PRODUCT(AE6:AE8),3)</f>
        <v>7.2999999999999995E-2</v>
      </c>
      <c r="AF9" s="247">
        <f>ROUND(PRODUCT(AF6:AF8),3)</f>
        <v>0.108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3.3000000000000002E-2</v>
      </c>
      <c r="AU9" s="247">
        <f>ROUND(PRODUCT(AU4:AU7),3)</f>
        <v>2.5000000000000001E-2</v>
      </c>
      <c r="AV9" s="247">
        <f>ROUND(PRODUCT(AV4:AV7),3)</f>
        <v>6.4000000000000001E-2</v>
      </c>
      <c r="AW9" s="247">
        <f>ROUND(PRODUCT(AW4:AW7),3)</f>
        <v>7.0000000000000001E-3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0.45</v>
      </c>
      <c r="BJ9" s="299">
        <f>IF(C6="PAC",VLOOKUP(B7,Table_PakMods,MATCH(C11,List_Company,0)+1,FALSE),1)</f>
        <v>0.45</v>
      </c>
      <c r="BK9" s="299">
        <f>IF(C6="PAC",VLOOKUP(B7,Table_PakMods,MATCH(C11,List_Company,0)+1,FALSE),1)</f>
        <v>0.45</v>
      </c>
      <c r="BL9" s="299">
        <f>IF(C6="PAC",VLOOKUP(B7,Table_PakMods,MATCH(C11,List_Company,0)+1,FALSE),1)</f>
        <v>0.45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0</v>
      </c>
      <c r="X10" s="1301">
        <f>X5</f>
        <v>0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10000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10000</v>
      </c>
      <c r="AU10" s="238">
        <f>IF(F13="Yes",E14/100,C41/100)</f>
        <v>10000</v>
      </c>
      <c r="AV10" s="238">
        <f>IF(F13="Yes",E14/100,C41/100)</f>
        <v>10000</v>
      </c>
      <c r="AW10" s="238">
        <f>IF(F13="Yes",E14/100,C41/100)</f>
        <v>10000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0.45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1861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#REF!</v>
      </c>
      <c r="AM11" s="146"/>
      <c r="AN11" s="146"/>
      <c r="AO11" s="301"/>
      <c r="AP11" s="976"/>
      <c r="AS11" s="301"/>
      <c r="AT11" s="248">
        <f ca="1">ROUND(PRODUCT(AT9:AT10),0)</f>
        <v>330</v>
      </c>
      <c r="AU11" s="248">
        <f>ROUND(PRODUCT(AU9:AU10),0)</f>
        <v>250</v>
      </c>
      <c r="AV11" s="248">
        <f>ROUND(PRODUCT(AV9:AV10),0)</f>
        <v>640</v>
      </c>
      <c r="AW11" s="248">
        <f>ROUND(PRODUCT(AW9:AW10),0)</f>
        <v>70</v>
      </c>
      <c r="AZ11" s="1117" t="s">
        <v>2154</v>
      </c>
      <c r="BA11" s="247">
        <f ca="1">P28</f>
        <v>5.8999999999999997E-2</v>
      </c>
      <c r="BB11" s="2">
        <f>Q28</f>
        <v>4.3999999999999997E-2</v>
      </c>
      <c r="BC11" s="558">
        <f>R28</f>
        <v>7.3499999999999996E-2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0.45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#REF!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435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0.88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1220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1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1.1499999999999999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0.627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0.47799999999999998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0.36099999999999999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2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3.6999999999999998E-2</v>
      </c>
      <c r="BB15" s="1315">
        <f>ROUND(PRODUCT(BB11,BB14),3)</f>
        <v>2.1000000000000001E-2</v>
      </c>
      <c r="BC15" s="1315">
        <f>ROUND(PRODUCT(BC11,BC14),3)</f>
        <v>2.7E-2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28</v>
      </c>
      <c r="D16" s="195"/>
      <c r="E16" s="195"/>
      <c r="F16" s="1067"/>
      <c r="H16" s="788" t="s">
        <v>1289</v>
      </c>
      <c r="I16" s="248">
        <f ca="1">SUM(I5:I15)</f>
        <v>370</v>
      </c>
      <c r="J16" s="248">
        <f>SUM(J5:J15)</f>
        <v>210</v>
      </c>
      <c r="K16" s="248">
        <f>SUM(K5:K15)</f>
        <v>265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5.8999999999999997E-2</v>
      </c>
      <c r="X16" s="1300">
        <f>$Q$28</f>
        <v>4.3999999999999997E-2</v>
      </c>
      <c r="Y16" s="1300">
        <f>$R$28</f>
        <v>7.3499999999999996E-2</v>
      </c>
      <c r="Z16" s="1300">
        <f>$S$28</f>
        <v>1.2E-2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0.627</v>
      </c>
      <c r="X17" s="247">
        <f t="shared" ref="X17:Z17" si="1">Q$31</f>
        <v>0.47799999999999998</v>
      </c>
      <c r="Y17" s="247">
        <f t="shared" si="1"/>
        <v>0.36099999999999999</v>
      </c>
      <c r="Z17" s="247">
        <f t="shared" si="1"/>
        <v>0.36099999999999999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0.14199999999999999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 ca="1"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>
        <v>2</v>
      </c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0.66</v>
      </c>
      <c r="AE18" s="423">
        <f>HLOOKUP(C11,Table_StateRates,5,FALSE)</f>
        <v>0.66</v>
      </c>
      <c r="AF18" s="423">
        <f>HLOOKUP(C11,Table_StateRates,5,FALSE)</f>
        <v>0.66</v>
      </c>
      <c r="AG18" s="423">
        <f>HLOOKUP(C11,Table_StateRates,5,FALSE)</f>
        <v>0.66</v>
      </c>
      <c r="AI18" s="266"/>
      <c r="AJ18" s="266"/>
      <c r="AK18" s="268" t="s">
        <v>1019</v>
      </c>
      <c r="AL18" s="423">
        <f>HLOOKUP(C11,Table_StateRates,5,FALSE)</f>
        <v>0.66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4.3999999999999997E-2</v>
      </c>
      <c r="AV18" s="247">
        <f>IF(AND(C27="Yes",C12="SP"),VLOOKUP(C33,Table_Special_PP,3,0),0)</f>
        <v>0.113</v>
      </c>
      <c r="AW18" s="2">
        <f>S28</f>
        <v>1.2E-2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0</v>
      </c>
      <c r="X19" s="1306">
        <f>ROUND(PRODUCT(X16:X18),0)</f>
        <v>0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0.13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0.13</v>
      </c>
      <c r="Q20" s="1312">
        <f>ROUND(PRODUCT(Q8:Q19),3)</f>
        <v>9.7000000000000003E-2</v>
      </c>
      <c r="R20" s="1312">
        <f>ROUND(PRODUCT(R8:R19),3)</f>
        <v>0.14199999999999999</v>
      </c>
      <c r="S20" s="1312">
        <f>ROUND(PRODUCT(S8:S19),3)</f>
        <v>2.5999999999999999E-2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0.45</v>
      </c>
      <c r="AE20" s="559">
        <f>IF(C6="PAC",VLOOKUP(B7,Table_PakMods,MATCH(C11,List_Company,0)+1,FALSE),1)</f>
        <v>0.45</v>
      </c>
      <c r="AF20" s="559">
        <f>IF(C6="PAC",VLOOKUP(B7,Table_PakMods,MATCH(C11,List_Company,0)+1,FALSE),1)</f>
        <v>0.45</v>
      </c>
      <c r="AG20" s="559">
        <f>IF(C6="PAC",VLOOKUP(B7,Table_PakMods,MATCH(C11,List_Company,0)+1,FALSE),1)</f>
        <v>0.45</v>
      </c>
      <c r="AI20" s="423"/>
      <c r="AK20" s="83" t="s">
        <v>2166</v>
      </c>
      <c r="AL20" s="1312">
        <f>PRODUCT(AL18:AL19)</f>
        <v>1.254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4.3999999999999997E-2</v>
      </c>
      <c r="AV20" s="247">
        <f>PRODUCT(AV18:AV19)</f>
        <v>0.113</v>
      </c>
      <c r="AW20" s="247">
        <f>PRODUCT(AW18:AW19)</f>
        <v>1.2E-2</v>
      </c>
      <c r="AZ20" s="168" t="s">
        <v>1335</v>
      </c>
      <c r="BA20" s="248">
        <f>F24</f>
        <v>0</v>
      </c>
      <c r="BD20" s="168" t="s">
        <v>1337</v>
      </c>
      <c r="BE20" s="248">
        <f ca="1"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0.66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>
        <f ca="1">SUM(W19:W20)</f>
        <v>0</v>
      </c>
      <c r="X21" s="1301">
        <f>SUM(X19:X20)</f>
        <v>0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0.113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 ca="1"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0.247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2.9000000000000001E-2</v>
      </c>
      <c r="AE22" s="247">
        <f>ROUND(PRODUCT(AE9:AE21),3)</f>
        <v>2.1999999999999999E-2</v>
      </c>
      <c r="AF22" s="247">
        <f>ROUND(PRODUCT(AF9:AF21),3)</f>
        <v>3.6999999999999998E-2</v>
      </c>
      <c r="AG22" s="247">
        <f>ROUND(PRODUCT(AG9:AG21),3)</f>
        <v>6.0000000000000001E-3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0.66</v>
      </c>
      <c r="AU22" s="207">
        <f>HLOOKUP(C11,Table_StateRates,5,FALSE)</f>
        <v>0.66</v>
      </c>
      <c r="AV22" s="207">
        <f>HLOOKUP(C11,Table_StateRates,5,FALSE)</f>
        <v>0.66</v>
      </c>
      <c r="AW22" s="207">
        <f>HLOOKUP(C11,Table_StateRates,5,FALSE)</f>
        <v>0.66</v>
      </c>
      <c r="AZ22" s="83" t="s">
        <v>1334</v>
      </c>
      <c r="BA22" s="2">
        <f>ROUND(BA20/BA21,3)</f>
        <v>0</v>
      </c>
      <c r="BD22" s="83" t="s">
        <v>1339</v>
      </c>
      <c r="BE22" s="248">
        <f ca="1">IF(BE20=0,0,BE20-BE21)</f>
        <v>0</v>
      </c>
      <c r="BG22" s="146"/>
      <c r="BH22" s="545" t="s">
        <v>1019</v>
      </c>
      <c r="BI22" s="299">
        <f>HLOOKUP(C11,Table_StateRates,5,FALSE)</f>
        <v>0.66</v>
      </c>
      <c r="BJ22" s="299">
        <f>HLOOKUP(C11,Table_StateRates,5,FALSE)</f>
        <v>0.66</v>
      </c>
      <c r="BK22" s="299">
        <f>HLOOKUP(C11,Table_StateRates,5,FALSE)</f>
        <v>0.66</v>
      </c>
      <c r="BL22" s="299">
        <f>HLOOKUP(C11,Table_StateRates,5,FALSE)</f>
        <v>0.66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0.45</v>
      </c>
      <c r="Q23" s="559">
        <f>IF(C6="PAC",VLOOKUP(B7,Table_PakMods,MATCH(C11,List_Company,0)+1,FALSE),1)</f>
        <v>0.45</v>
      </c>
      <c r="R23" s="559">
        <f>IF(C6="PAC",VLOOKUP(B7,Table_PakMods,MATCH(C11,List_Company,0)+1,FALSE),1)</f>
        <v>0.45</v>
      </c>
      <c r="S23" s="559">
        <f>IF(C6="PAC",VLOOKUP(B7,Table_PakMods,MATCH(C11,List_Company,0)+1,FALSE),1)</f>
        <v>0.45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0.14199999999999999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>
        <f ca="1">ROUND(PRODUCT(BP21:BP22),3)</f>
        <v>2.5000000000000001E-2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0</v>
      </c>
      <c r="X24" s="1301">
        <f>X19</f>
        <v>0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 ca="1"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0.45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0.45</v>
      </c>
      <c r="Q25" s="1314">
        <f>ROUND(PRODUCT(Q21:Q24),3)</f>
        <v>0.45</v>
      </c>
      <c r="R25" s="1314">
        <f>ROUND(PRODUCT(R21:R24),3)</f>
        <v>0.45</v>
      </c>
      <c r="S25" s="1314">
        <f>ROUND(PRODUCT(S21:S24),3)</f>
        <v>0.45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0.45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IF(TC3_BLDG2!F20="Yes","Bldg","Available")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1.1499999999999999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0.14199999999999999</v>
      </c>
      <c r="AR26" s="146"/>
      <c r="AS26" s="545" t="s">
        <v>1020</v>
      </c>
      <c r="AT26" s="299">
        <f>IF(C6="PAC",VLOOKUP(B7,Table_PakMods,MATCH(C11,List_Company,0)+1,FALSE),1)</f>
        <v>0.45</v>
      </c>
      <c r="AU26" s="299">
        <f>IF(C6="PAC",VLOOKUP(B7,Table_PakMods,MATCH(C11,List_Company,0)+1,FALSE),1)</f>
        <v>0.45</v>
      </c>
      <c r="AV26" s="299">
        <f>IF(C6="PAC",VLOOKUP(B7,Table_PakMods,MATCH(C11,List_Company,0)+1,FALSE),1)</f>
        <v>0.45</v>
      </c>
      <c r="AW26" s="299">
        <f>IF(C6="PAC",VLOOKUP(B7,Table_PakMods,MATCH(C11,List_Company,0)+1,FALSE),1)</f>
        <v>0.45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0.45</v>
      </c>
      <c r="BJ26" s="299">
        <f>IF(C6="PAC",VLOOKUP(B7,Table_PakMods,MATCH(C11,List_Company,0)+1,FALSE),1)</f>
        <v>0.45</v>
      </c>
      <c r="BK26" s="299">
        <f>IF(C6="PAC",VLOOKUP(B7,Table_PakMods,MATCH(C11,List_Company,0)+1,FALSE),1)</f>
        <v>0.45</v>
      </c>
      <c r="BL26" s="299">
        <f>IF(C6="PAC",VLOOKUP(B7,Table_PakMods,MATCH(C11,List_Company,0)+1,FALSE),1)</f>
        <v>0.45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0.13</v>
      </c>
      <c r="Q27" s="757">
        <f>Q20</f>
        <v>9.7000000000000003E-2</v>
      </c>
      <c r="R27" s="757">
        <f>R20</f>
        <v>0.14199999999999999</v>
      </c>
      <c r="S27" s="757">
        <f>S20</f>
        <v>2.5999999999999999E-2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1.0999999999999999E-2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5.8999999999999997E-2</v>
      </c>
      <c r="Q28" s="1315">
        <f>IF($C$30="Yes",C31,ROUND(PRODUCT(Q25:Q27),3))</f>
        <v>4.3999999999999997E-2</v>
      </c>
      <c r="R28" s="1484">
        <f>IF($C$30="Yes",B32,ROUND(PRODUCT(R25:R27),4))</f>
        <v>7.3499999999999996E-2</v>
      </c>
      <c r="S28" s="1315">
        <f>IF($C$30="Yes",C32,ROUND(PRODUCT(S25:S27),3))</f>
        <v>1.2E-2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2.5000000000000001E-2</v>
      </c>
      <c r="AV28" s="247">
        <f>ROUND(PRODUCT(AV20:AV27),3)</f>
        <v>6.4000000000000001E-2</v>
      </c>
      <c r="AW28" s="247">
        <f>ROUND(PRODUCT(AW20:AW27),3)</f>
        <v>7.0000000000000001E-3</v>
      </c>
      <c r="AY28" s="60" t="s">
        <v>1583</v>
      </c>
      <c r="BH28" s="301" t="s">
        <v>1389</v>
      </c>
      <c r="BI28" s="247">
        <f>ROUND(PRODUCT(BI19:BI27),3)</f>
        <v>5.0000000000000001E-3</v>
      </c>
      <c r="BJ28" s="247">
        <f>ROUND(PRODUCT(BJ19:BJ27),3)</f>
        <v>3.0000000000000001E-3</v>
      </c>
      <c r="BK28" s="247">
        <f>ROUND(PRODUCT(BK19:BK27),3)</f>
        <v>1.2E-2</v>
      </c>
      <c r="BL28" s="247">
        <f>ROUND(PRODUCT(BL19:BL27),3)</f>
        <v>3.0000000000000001E-3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5.8999999999999997E-2</v>
      </c>
      <c r="X30" s="1300">
        <f>$Q$28</f>
        <v>4.3999999999999997E-2</v>
      </c>
      <c r="Y30" s="1300">
        <f>$R$28</f>
        <v>7.3499999999999996E-2</v>
      </c>
      <c r="Z30" s="1300">
        <f>$S$28</f>
        <v>1.2E-2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/>
      <c r="C31" s="1455"/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0.627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0.47799999999999998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0.36099999999999999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0.36099999999999999</v>
      </c>
      <c r="T31" s="299"/>
      <c r="U31" s="1288"/>
      <c r="V31" s="1117" t="s">
        <v>2152</v>
      </c>
      <c r="W31" s="247">
        <f>P$31</f>
        <v>0.627</v>
      </c>
      <c r="X31" s="247">
        <f t="shared" ref="X31:Z31" si="2">Q$31</f>
        <v>0.47799999999999998</v>
      </c>
      <c r="Y31" s="247">
        <f t="shared" si="2"/>
        <v>0.36099999999999999</v>
      </c>
      <c r="Z31" s="247">
        <f t="shared" si="2"/>
        <v>0.36099999999999999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/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10000</v>
      </c>
      <c r="Q32" s="238">
        <f>IF(ISBLANK(C41),0,C41/100)</f>
        <v>10000</v>
      </c>
      <c r="R32" s="238">
        <f>IF(ISBLANK(C41),0,C41/100)</f>
        <v>10000</v>
      </c>
      <c r="S32" s="238">
        <f>IF(ISBLANK(C41),0,C41/100)</f>
        <v>10000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0.66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370</v>
      </c>
      <c r="Q33" s="1481">
        <f>IF($C$30="Yes",ROUND(PRODUCT(Q28,Q32),0),ROUND(PRODUCT(Q28,Q31:Q32),0))</f>
        <v>210</v>
      </c>
      <c r="R33" s="1481">
        <f>IF($C$30="Yes",ROUND(PRODUCT(R28,R32),0),ROUND(PRODUCT(R28,R31:R32),0))</f>
        <v>265</v>
      </c>
      <c r="S33" s="1481">
        <f>IF($C$30="Yes",ROUND(PRODUCT(S28,S32),0),ROUND(PRODUCT(S28,S31:S32),0))</f>
        <v>43</v>
      </c>
      <c r="U33" s="1293"/>
      <c r="V33" s="1303" t="s">
        <v>2161</v>
      </c>
      <c r="W33" s="1306">
        <f ca="1"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0.66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0.45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47</v>
      </c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370</v>
      </c>
      <c r="Q35" s="248">
        <f>SUM(Q33:Q34)</f>
        <v>210</v>
      </c>
      <c r="R35" s="248">
        <f>SUM(R33:R34)</f>
        <v>265</v>
      </c>
      <c r="S35" s="248">
        <f>SUM(S33:S34)</f>
        <v>43</v>
      </c>
      <c r="T35" s="235"/>
      <c r="U35" s="1288"/>
      <c r="V35" s="1291" t="s">
        <v>2162</v>
      </c>
      <c r="W35" s="1301">
        <f ca="1"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0.66</v>
      </c>
      <c r="AE35" s="266"/>
      <c r="AF35" s="146"/>
      <c r="AG35" s="545" t="s">
        <v>1020</v>
      </c>
      <c r="AH35" s="559">
        <f>IF(C6="PAC",VLOOKUP(B7,Table_PakMods,MATCH(C11,List_Company,0)+1,FALSE),1)</f>
        <v>0.45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0.45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370</v>
      </c>
      <c r="Q39" s="248">
        <f>Q33</f>
        <v>210</v>
      </c>
      <c r="R39" s="248">
        <f>R33</f>
        <v>265</v>
      </c>
      <c r="S39" s="248">
        <f>S33</f>
        <v>43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0.66</v>
      </c>
      <c r="BQ39" s="423"/>
      <c r="BR39" s="542"/>
      <c r="BS39" s="597" t="s">
        <v>1019</v>
      </c>
      <c r="BT39" s="279">
        <f>HLOOKUP(C11,Table_StateRates,5,FALSE)</f>
        <v>0.66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1.9E-2</v>
      </c>
      <c r="BQ40" s="559"/>
      <c r="BR40" s="423"/>
      <c r="BS40" s="810" t="s">
        <v>1134</v>
      </c>
      <c r="BT40" s="426">
        <f>ROUND(PRODUCT(BT35:BT39),3)</f>
        <v>1.9E-2</v>
      </c>
    </row>
    <row r="41" spans="1:72" ht="13.5" thickBot="1" x14ac:dyDescent="0.25">
      <c r="A41" s="203" t="s">
        <v>2112</v>
      </c>
      <c r="B41" s="104"/>
      <c r="C41" s="943">
        <v>1000000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0.88</v>
      </c>
      <c r="BQ41" s="426"/>
      <c r="BR41" s="423"/>
      <c r="BS41" s="906" t="s">
        <v>1178</v>
      </c>
      <c r="BT41" s="423">
        <f>IF(OR(C28="S",C28="T"),1,VLOOKUP(C14,Table_ProtClass,IF(C15&lt;=3,2,3),FALSE))</f>
        <v>0.88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>
        <f>ROUND(PRODUCT(BT40:BT42),3)</f>
        <v>8.0000000000000002E-3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5.8999999999999997E-2</v>
      </c>
      <c r="X44" s="1300">
        <f>$Q$28</f>
        <v>4.3999999999999997E-2</v>
      </c>
      <c r="Y44" s="1300">
        <f>$R$28</f>
        <v>7.3499999999999996E-2</v>
      </c>
      <c r="Z44" s="1300">
        <f>$S$28</f>
        <v>1.2E-2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0.627</v>
      </c>
      <c r="X45" s="247">
        <f t="shared" ref="X45:Z45" si="3">Q$31</f>
        <v>0.47799999999999998</v>
      </c>
      <c r="Y45" s="247">
        <f t="shared" si="3"/>
        <v>0.36099999999999999</v>
      </c>
      <c r="Z45" s="247">
        <f t="shared" si="3"/>
        <v>0.36099999999999999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1.7000000000000001E-2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10000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170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170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170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 ca="1">SUM(I16:L16,I38,I46,I52)</f>
        <v>845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 ca="1">SUM(I54,I49)</f>
        <v>1015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1000000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265" priority="15" stopIfTrue="1">
      <formula>IF($C$24="Yes",FALSE,TRUE)</formula>
    </cfRule>
  </conditionalFormatting>
  <conditionalFormatting sqref="C18">
    <cfRule type="expression" dxfId="264" priority="13">
      <formula>IF($C$12="SP",TRUE,FALSE)</formula>
    </cfRule>
    <cfRule type="expression" dxfId="263" priority="14">
      <formula>IF($C$12="SP",TRUE,FALSE)</formula>
    </cfRule>
  </conditionalFormatting>
  <conditionalFormatting sqref="A18">
    <cfRule type="expression" dxfId="262" priority="12">
      <formula>IF($C$12="SP",TRUE,FALSE)</formula>
    </cfRule>
  </conditionalFormatting>
  <conditionalFormatting sqref="B21">
    <cfRule type="expression" dxfId="261" priority="11">
      <formula>IF($C$21="Yes",TRUE,FALSE)</formula>
    </cfRule>
  </conditionalFormatting>
  <conditionalFormatting sqref="C32">
    <cfRule type="expression" dxfId="260" priority="2">
      <formula>IF(AND($C$30="Yes",$C$12="BR"),TRUE,FALSE)</formula>
    </cfRule>
  </conditionalFormatting>
  <conditionalFormatting sqref="B32">
    <cfRule type="expression" dxfId="259" priority="1">
      <formula>IF(AND($C$30="Yes",$C$12="SP"),TRUE,FALSE)</formula>
    </cfRule>
  </conditionalFormatting>
  <conditionalFormatting sqref="B31:C31">
    <cfRule type="expression" dxfId="258" priority="3">
      <formula>IF($C$30="Yes",TRUE,FALSE)</formula>
    </cfRule>
  </conditionalFormatting>
  <dataValidations count="111"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custom" allowBlank="1" showInputMessage="1" showErrorMessage="1" errorTitle="Do Not Touch" error="This is used to generate the Coinsurance rate." sqref="B58 E62">
      <formula1>FALSE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allowBlank="1" showInputMessage="1" showErrorMessage="1" promptTitle="Occupancy Type Description" prompt="Displays the description of the choice made in the cell to the left.  " sqref="B38 B33"/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custom" allowBlank="1" showInputMessage="1" showErrorMessage="1" prompt="Personal Property Lookup Value" sqref="F4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EQ Table Lookup Value" sqref="F54:F5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Spoilage Coverage" prompt="Please Select:_x000a_{ Yes or No }" sqref="F32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custom" allowBlank="1" showInputMessage="1" showErrorMessage="1" prompt="Lookup Value for Spoil Coverage Loss Cost Table" sqref="F33">
      <formula1>FALSE</formula1>
    </dataValidation>
    <dataValidation type="custom" allowBlank="1" showInputMessage="1" showErrorMessage="1" prompt="Spoilage Loss Cost Column Reference" sqref="F37">
      <formula1>FALSE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76"/>
  <sheetViews>
    <sheetView topLeftCell="C1" zoomScale="90" zoomScaleNormal="90" zoomScaleSheetLayoutView="85" workbookViewId="0">
      <selection activeCell="L30" sqref="L30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0.66</v>
      </c>
      <c r="Q2" s="207">
        <f>HLOOKUP(C11,Table_StateRates,5,FALSE)</f>
        <v>0.66</v>
      </c>
      <c r="R2" s="207">
        <f>HLOOKUP(C11,Table_StateRates,5,FALSE)</f>
        <v>0.66</v>
      </c>
      <c r="S2" s="207">
        <f>HLOOKUP(C11,Table_StateRates,5,FALSE)</f>
        <v>0.66</v>
      </c>
      <c r="V2" s="168" t="s">
        <v>1019</v>
      </c>
      <c r="W2" s="207">
        <f>HLOOKUP(C11,Table_StateRates,5,FALSE)</f>
        <v>0.66</v>
      </c>
      <c r="X2" s="207">
        <f>HLOOKUP(C11,Table_StateRates,5,FALSE)</f>
        <v>0.66</v>
      </c>
      <c r="Y2" s="207">
        <f>HLOOKUP(C11,Table_StateRates,5,FALSE)</f>
        <v>0.66</v>
      </c>
      <c r="Z2" s="207">
        <f>HLOOKUP(C11,Table_StateRates,5,FALSE)</f>
        <v>0.66</v>
      </c>
      <c r="AB2" s="546"/>
      <c r="AC2" s="545" t="s">
        <v>1019</v>
      </c>
      <c r="AD2" s="207">
        <f>HLOOKUP(C11,Table_StateRates,5,FALSE)</f>
        <v>0.66</v>
      </c>
      <c r="AE2" s="207">
        <f>HLOOKUP(C11,Table_StateRates,5,FALSE)</f>
        <v>0.66</v>
      </c>
      <c r="AF2" s="207">
        <f>HLOOKUP(C11,Table_StateRates,5,FALSE)</f>
        <v>0.66</v>
      </c>
      <c r="AG2" s="207">
        <f>HLOOKUP(C11,Table_StateRates,5,FALSE)</f>
        <v>0.66</v>
      </c>
      <c r="AJ2" s="1117" t="s">
        <v>916</v>
      </c>
      <c r="AK2" s="207">
        <f>HLOOKUP(C11,Table_StateRates,5,FALSE)</f>
        <v>0.66</v>
      </c>
      <c r="AL2" s="207">
        <f>HLOOKUP(C11,Table_StateRates,5,FALSE)</f>
        <v>0.66</v>
      </c>
      <c r="AM2" s="207">
        <f>HLOOKUP(C11,Table_StateRates,5,FALSE)</f>
        <v>0.66</v>
      </c>
      <c r="AN2" s="207">
        <f>HLOOKUP(C11,Table_StateRates,5,FALSE)</f>
        <v>0.66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 t="str">
        <f>Summary3</f>
        <v>#16 - R34 - BLANKET - GANY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1.254</v>
      </c>
      <c r="Q4" s="1312">
        <f>PRODUCT(Q2:Q3)</f>
        <v>1.254</v>
      </c>
      <c r="R4" s="1312">
        <f>PRODUCT(R2:R3)</f>
        <v>1.254</v>
      </c>
      <c r="S4" s="1312">
        <f>PRODUCT(S2:S3)</f>
        <v>1.254</v>
      </c>
      <c r="U4" s="146"/>
      <c r="V4" s="83" t="s">
        <v>2166</v>
      </c>
      <c r="W4" s="1312">
        <f>PRODUCT(W2:W3)</f>
        <v>1.254</v>
      </c>
      <c r="X4" s="1312">
        <f>PRODUCT(X2:X3)</f>
        <v>1.254</v>
      </c>
      <c r="Y4" s="1312">
        <f>PRODUCT(Y2:Y3)</f>
        <v>1.254</v>
      </c>
      <c r="Z4" s="1312">
        <f>PRODUCT(Z2:Z3)</f>
        <v>1.254</v>
      </c>
      <c r="AB4" s="60"/>
      <c r="AC4" s="83" t="s">
        <v>2166</v>
      </c>
      <c r="AD4" s="1312">
        <f>PRODUCT(AD2:AD3)</f>
        <v>1.254</v>
      </c>
      <c r="AE4" s="1312">
        <f>PRODUCT(AE2:AE3)</f>
        <v>1.254</v>
      </c>
      <c r="AF4" s="1312">
        <f>PRODUCT(AF2:AF3)</f>
        <v>1.254</v>
      </c>
      <c r="AG4" s="1312">
        <f>PRODUCT(AG2:AG3)</f>
        <v>1.254</v>
      </c>
      <c r="AI4" s="60"/>
      <c r="AJ4" s="83" t="s">
        <v>2166</v>
      </c>
      <c r="AK4" s="1312">
        <f>PRODUCT(AK2:AK3)</f>
        <v>1.254</v>
      </c>
      <c r="AL4" s="1312">
        <f>PRODUCT(AL2:AL3)</f>
        <v>1.254</v>
      </c>
      <c r="AM4" s="1312">
        <f>PRODUCT(AM2:AM3)</f>
        <v>1.254</v>
      </c>
      <c r="AN4" s="1312">
        <f>PRODUCT(AN2:AN3)</f>
        <v>1.254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390</v>
      </c>
      <c r="J5" s="258">
        <f>IF(C27="Yes",Q36,0)</f>
        <v>190</v>
      </c>
      <c r="K5" s="259">
        <f>IF(AND(C27="Yes",C12="SP"),R36,0)</f>
        <v>180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8.5000000000000006E-2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4.8000000000000001E-2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8.5000000000000006E-2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4.8000000000000001E-2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8.5000000000000006E-2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8.5000000000000006E-2</v>
      </c>
      <c r="AL5" s="247">
        <f>Q5</f>
        <v>4.2000000000000003E-2</v>
      </c>
      <c r="AM5" s="247">
        <f>R5</f>
        <v>4.8000000000000001E-2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985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0.92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0.92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0.66</v>
      </c>
      <c r="AS6" s="299">
        <f>HLOOKUP(C11,Table_StateRates,5,FALSE)</f>
        <v>0.66</v>
      </c>
      <c r="AT6" s="299">
        <f>HLOOKUP(C11,Table_StateRates,5,FALSE)</f>
        <v>0.66</v>
      </c>
      <c r="AU6" s="299">
        <f>HLOOKUP(C11,Table_StateRates,5,FALSE)</f>
        <v>0.66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0.66</v>
      </c>
      <c r="BE6" s="453"/>
      <c r="BF6" s="186" t="s">
        <v>1019</v>
      </c>
      <c r="BG6" s="208">
        <f>HLOOKUP(C11,Table_StateRates,5,FALSE)</f>
        <v>0.66</v>
      </c>
      <c r="BH6" s="146"/>
      <c r="BI6" s="453"/>
      <c r="BJ6" s="186" t="s">
        <v>1019</v>
      </c>
      <c r="BK6" s="208">
        <f>HLOOKUP(C11,Table_StateRates,5,FALSE)</f>
        <v>0.66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18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0.92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0.92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9.8000000000000004E-2</v>
      </c>
      <c r="AE7" s="1315">
        <f>ROUND(PRODUCT(AE4:AE6),3)</f>
        <v>5.2999999999999999E-2</v>
      </c>
      <c r="AF7" s="1315">
        <f>ROUND(PRODUCT(AF4:AF6),3)</f>
        <v>1.2999999999999999E-2</v>
      </c>
      <c r="AG7" s="1315">
        <f>ROUND(PRODUCT(AG4:AG6),3)</f>
        <v>1.2999999999999999E-2</v>
      </c>
      <c r="AH7" s="207"/>
      <c r="AI7" s="146"/>
      <c r="AJ7" s="301" t="s">
        <v>2243</v>
      </c>
      <c r="AK7" s="1315">
        <f>ROUND(PRODUCT(AK4:AK6),3)</f>
        <v>9.8000000000000004E-2</v>
      </c>
      <c r="AL7" s="1315">
        <f>ROUND(PRODUCT(AL4:AL6),3)</f>
        <v>5.2999999999999999E-2</v>
      </c>
      <c r="AM7" s="1315">
        <f>ROUND(PRODUCT(AM4:AM6),3)</f>
        <v>0.06</v>
      </c>
      <c r="AN7" s="1315">
        <f>ROUND(PRODUCT(AN4:AN6),3)</f>
        <v>1.9E-2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0.9</v>
      </c>
      <c r="AS7" s="299">
        <f>IF(F7="Yes",1,IF(C48&gt;=80,VLOOKUP(C48,Table_CoIns1,2,FALSE),1+ IF(P5&lt;B49,VLOOKUP(B62,Table_CIUnder80,5,FALSE),0.5)))</f>
        <v>0.9</v>
      </c>
      <c r="AT7" s="299">
        <f>IF(F7="Yes",1,IF(C48&gt;=80,VLOOKUP(C48,Table_CoIns1,2,FALSE),1+ IF(P5&lt;B49,VLOOKUP(B62,Table_CIUnder80,5,FALSE),0.5)))</f>
        <v>0.9</v>
      </c>
      <c r="AU7" s="299">
        <f>IF(F7="Yes",1,IF(C48&gt;=80,VLOOKUP(C48,Table_CoIns1,2,FALSE),1+ IF(P5&lt;B49,VLOOKUP(B62,Table_CIUnder80,5,FALSE),0.5)))</f>
        <v>0.9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0.95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9.8000000000000004E-2</v>
      </c>
      <c r="X8" s="1315">
        <f>ROUND(PRODUCT(X4:X7),3)</f>
        <v>5.2999999999999999E-2</v>
      </c>
      <c r="Y8" s="1315">
        <f>ROUND(PRODUCT(Y4:Y7),3)</f>
        <v>0.06</v>
      </c>
      <c r="Z8" s="1315">
        <f>ROUND(PRODUCT(Z4:Z7),3)</f>
        <v>1.9E-2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1.1499999999999999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0.95</v>
      </c>
      <c r="AS8" s="299">
        <f>IF(C46=250,DF_250Deductible,C47)</f>
        <v>0.95</v>
      </c>
      <c r="AT8" s="299">
        <f>IF(C46=250,DF_250Deductible,C47)</f>
        <v>0.95</v>
      </c>
      <c r="AU8" s="299">
        <f>IF(C46=250,DF_250Deductible,C47)</f>
        <v>0.95</v>
      </c>
      <c r="AX8" s="268" t="s">
        <v>1018</v>
      </c>
      <c r="AY8" s="423">
        <f>IF(C46=250,DF_250Deductible,C47)</f>
        <v>0.95</v>
      </c>
      <c r="BB8" s="268" t="s">
        <v>1017</v>
      </c>
      <c r="BC8" s="423">
        <f>IF(F7="Yes",1,IF(C48&gt;=80,VLOOKUP(C48,Table_CoIns1,2,FALSE),1+ IF(P5&lt;B49,VLOOKUP(B62,Table_CIUnder80,5,FALSE),0.5)))</f>
        <v>0.9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9.8000000000000004E-2</v>
      </c>
      <c r="Q9" s="1313">
        <f>ROUND(PRODUCT(Q4:Q8),3)</f>
        <v>5.2999999999999999E-2</v>
      </c>
      <c r="R9" s="1313">
        <f>ROUND(PRODUCT(R4:R8),3)</f>
        <v>0.06</v>
      </c>
      <c r="S9" s="1313">
        <f>ROUND(PRODUCT(S4:S8),3)</f>
        <v>1.9E-2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0.9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857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0.45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1861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2.5000000000000001E-2</v>
      </c>
      <c r="X11" s="1315">
        <f>ROUND(PRODUCT(X8:X10),3)</f>
        <v>1.2999999999999999E-2</v>
      </c>
      <c r="Y11" s="1315">
        <f>ROUND(PRODUCT(Y8:Y10),3)</f>
        <v>1.4999999999999999E-2</v>
      </c>
      <c r="Z11" s="1315">
        <f>ROUND(PRODUCT(Z8:Z10),3)</f>
        <v>5.0000000000000001E-3</v>
      </c>
      <c r="AB11" s="146"/>
      <c r="AC11" s="83" t="s">
        <v>2167</v>
      </c>
      <c r="AD11" s="1313">
        <f>ROUND(PRODUCT(AD7:AD10),3)</f>
        <v>4.9000000000000002E-2</v>
      </c>
      <c r="AE11" s="1313">
        <f>ROUND(PRODUCT(AE7:AE10),3)</f>
        <v>2.7E-2</v>
      </c>
      <c r="AF11" s="1313">
        <f>ROUND(PRODUCT(AF7:AF10),3)</f>
        <v>1.4999999999999999E-2</v>
      </c>
      <c r="AG11" s="1313">
        <f>ROUND(PRODUCT(AG7:AG10),3)</f>
        <v>1.2999999999999999E-2</v>
      </c>
      <c r="AH11" s="426"/>
      <c r="AI11" s="146"/>
      <c r="AJ11" s="1210" t="s">
        <v>2243</v>
      </c>
      <c r="AK11" s="1424">
        <f>AK7</f>
        <v>9.8000000000000004E-2</v>
      </c>
      <c r="AL11" s="1424">
        <f>AL7</f>
        <v>5.2999999999999999E-2</v>
      </c>
      <c r="AM11" s="1424">
        <f>AM7</f>
        <v>0.06</v>
      </c>
      <c r="AN11" s="1424">
        <f>AN7</f>
        <v>1.9E-2</v>
      </c>
      <c r="AO11" s="426"/>
      <c r="AP11" s="146"/>
      <c r="AQ11" s="545" t="s">
        <v>1020</v>
      </c>
      <c r="AR11" s="299">
        <f>IF(C6="PAC",VLOOKUP(B7,Table_PakMods,MATCH(C11,List_Company,0)+1,FALSE),1)</f>
        <v>0.45</v>
      </c>
      <c r="AS11" s="299">
        <f>IF(C6="PAC",VLOOKUP(B7,Table_PakMods,MATCH(C11,List_Company,0)+1,FALSE),1)</f>
        <v>0.45</v>
      </c>
      <c r="AT11" s="299">
        <f>IF(C6="PAC",VLOOKUP(B7,Table_PakMods,MATCH(C11,List_Company,0)+1,FALSE),1)</f>
        <v>0.45</v>
      </c>
      <c r="AU11" s="299">
        <f>IF(C6="PAC",VLOOKUP(B7,Table_PakMods,MATCH(C11,List_Company,0)+1,FALSE),1)</f>
        <v>0.45</v>
      </c>
      <c r="AV11" s="385"/>
      <c r="AX11" s="545" t="s">
        <v>1020</v>
      </c>
      <c r="AY11" s="299">
        <f>IF(C6="PAC",VLOOKUP(B7,Table_PakMods,MATCH(C11,List_Company,0)+1,FALSE),1)</f>
        <v>0.45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894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2</v>
      </c>
      <c r="C13" s="1435">
        <v>1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0.45</v>
      </c>
      <c r="AE13" s="299">
        <f>IF(C6="PAC",VLOOKUP(B7,Table_PakMods,MATCH(C11,List_Company,0)+1,FALSE),1)</f>
        <v>0.45</v>
      </c>
      <c r="AF13" s="299">
        <f>IF(C6="PAC",VLOOKUP(B7,Table_PakMods,MATCH(C11,List_Company,0)+1,FALSE),1)</f>
        <v>0.45</v>
      </c>
      <c r="AG13" s="299">
        <f>IF(C6="PAC",VLOOKUP(B7,Table_PakMods,MATCH(C11,List_Company,0)+1,FALSE),1)</f>
        <v>0.45</v>
      </c>
      <c r="AH13" s="485"/>
      <c r="AI13" s="146"/>
      <c r="AJ13" s="301" t="s">
        <v>2245</v>
      </c>
      <c r="AK13" s="1423">
        <f>ROUND(PRODUCT(AK11:AK12),3)</f>
        <v>1.4999999999999999E-2</v>
      </c>
      <c r="AL13" s="1423">
        <f>ROUND(PRODUCT(AL11:AL12),3)</f>
        <v>8.0000000000000002E-3</v>
      </c>
      <c r="AM13" s="1423">
        <f>ROUND(PRODUCT(AM11:AM12),3)</f>
        <v>8.9999999999999993E-3</v>
      </c>
      <c r="AN13" s="1423">
        <f>ROUND(PRODUCT(AN11:AN12),3)</f>
        <v>3.0000000000000001E-3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2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1.1499999999999999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0.66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1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0.45</v>
      </c>
      <c r="AE15" s="1314">
        <f>ROUND(PRODUCT(AE12:AE14),3)</f>
        <v>0.45</v>
      </c>
      <c r="AF15" s="1314">
        <f>ROUND(PRODUCT(AF12:AF14),3)</f>
        <v>0.45</v>
      </c>
      <c r="AG15" s="1314">
        <f>ROUND(PRODUCT(AG12:AG14),3)</f>
        <v>0.45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4.9000000000000002E-2</v>
      </c>
      <c r="AE16" s="757">
        <f>AE11</f>
        <v>2.7E-2</v>
      </c>
      <c r="AF16" s="757">
        <f>AF11</f>
        <v>1.4999999999999999E-2</v>
      </c>
      <c r="AG16" s="757">
        <f>AG11</f>
        <v>1.2999999999999999E-2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0.66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2.1999999999999999E-2</v>
      </c>
      <c r="AE17" s="1315">
        <f>ROUND(PRODUCT(AE15:AE16),3)</f>
        <v>1.2E-2</v>
      </c>
      <c r="AF17" s="1315">
        <f>ROUND(PRODUCT(AF15:AF16),3)</f>
        <v>7.0000000000000001E-3</v>
      </c>
      <c r="AG17" s="1315">
        <f>ROUND(PRODUCT(AG15:AG16),3)</f>
        <v>6.0000000000000001E-3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>
        <v>2</v>
      </c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0.95</v>
      </c>
      <c r="Q19" s="207">
        <f>IF(C65="Yes",1,IF(C46=250,DF_250Deductible,C47))</f>
        <v>0.95</v>
      </c>
      <c r="R19" s="207">
        <f>IF(C46=250,DF_250Deductible,C47)</f>
        <v>0.95</v>
      </c>
      <c r="S19" s="207">
        <f>IF(C46=250,DF_250Deductible,C47)</f>
        <v>0.95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1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IF(TC3_PP3!F26="Yes","PP","Available")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0.45</v>
      </c>
      <c r="X20" s="299">
        <f>IF(C6="PAC",VLOOKUP(B7,Table_PakMods,MATCH(C11,List_Company,0)+1,FALSE),1)</f>
        <v>0.45</v>
      </c>
      <c r="Y20" s="299">
        <f>IF(C6="PAC",VLOOKUP(B7,Table_PakMods,MATCH(C11,List_Company,0)+1,FALSE),1)</f>
        <v>0.45</v>
      </c>
      <c r="Z20" s="299">
        <f>IF(C6="PAC",VLOOKUP(B7,Table_PakMods,MATCH(C11,List_Company,0)+1,FALSE),1)</f>
        <v>0.45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0.66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9.2999999999999999E-2</v>
      </c>
      <c r="Q21" s="1312">
        <f>ROUND(PRODUCT(Q9:Q20),3)</f>
        <v>0.05</v>
      </c>
      <c r="R21" s="1312">
        <f>ROUND(PRODUCT(R9:R20),3)</f>
        <v>5.7000000000000002E-2</v>
      </c>
      <c r="S21" s="1315">
        <f>ROUND(PRODUCT(S9:S20),3)</f>
        <v>1.7999999999999999E-2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1.9</v>
      </c>
      <c r="BB21" s="268" t="s">
        <v>1018</v>
      </c>
      <c r="BC21" s="423">
        <f>IF(C46=250,DF_250Deductible,C47)</f>
        <v>0.95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0.9</v>
      </c>
      <c r="Q22" s="247">
        <f>IF(F7="Yes",1,IF(C48&gt;=80,VLOOKUP(C48,Table_CoIns2,2,FALSE),1+ IF(Q5&lt;B49,VLOOKUP(B62,Table_CIUnder80,5,FALSE),0.5)))</f>
        <v>0.9</v>
      </c>
      <c r="R22" s="247">
        <f>IF(F7="Yes",1,IF(C48&gt;=80,VLOOKUP(C48,Table_CoIns1,2,FALSE),1+ IF(P5&lt;B49,VLOOKUP(B62,Table_CIUnder80,5,FALSE),0.5)))</f>
        <v>0.9</v>
      </c>
      <c r="S22" s="247">
        <f>IF(F7="Yes",1,IF(C48&gt;=80,VLOOKUP(C48,Table_CoIns1,2,FALSE),1+ IF(P5&lt;B49,VLOOKUP(B62,Table_CIUnder80,5,FALSE),0.5)))</f>
        <v>0.9</v>
      </c>
      <c r="V22" s="83" t="s">
        <v>1150</v>
      </c>
      <c r="W22" s="1315">
        <f>ROUND(PRODUCT(W11:W14,IF(AND(C59="Yes",C61="Sprinkler",C62="Yes"),W15-W16,W15),W17:W21),3)</f>
        <v>1.0999999999999999E-2</v>
      </c>
      <c r="X22" s="1315">
        <f>ROUND(PRODUCT(X11:X21),3)</f>
        <v>6.0000000000000001E-3</v>
      </c>
      <c r="Y22" s="1315">
        <f>ROUND(PRODUCT(Y11:Y21),3)</f>
        <v>8.0000000000000002E-3</v>
      </c>
      <c r="Z22" s="1315">
        <f>ROUND(PRODUCT(Z11:Z21),3)</f>
        <v>2E-3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0.9</v>
      </c>
      <c r="BD22" s="423"/>
      <c r="BE22" s="453"/>
      <c r="BF22" s="186" t="s">
        <v>1019</v>
      </c>
      <c r="BG22" s="208">
        <f>HLOOKUP(C11,Table_StateRates,5,FALSE)</f>
        <v>0.66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9.8000000000000004E-2</v>
      </c>
      <c r="AL23" s="1424">
        <f>AL7</f>
        <v>5.2999999999999999E-2</v>
      </c>
      <c r="AM23" s="1424">
        <f>AM7</f>
        <v>0.06</v>
      </c>
      <c r="AN23" s="1424">
        <f>AN7</f>
        <v>1.9E-2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0.19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0.45</v>
      </c>
      <c r="Q24" s="299">
        <f>IF(C6="PAC",VLOOKUP(B7,Table_PakMods,MATCH(C11,List_Company,0)+1,FALSE),1)</f>
        <v>0.45</v>
      </c>
      <c r="R24" s="299">
        <f>IF(C6="PAC",VLOOKUP(B7,Table_PakMods,MATCH(C11,List_Company,0)+1,FALSE),1)</f>
        <v>0.45</v>
      </c>
      <c r="S24" s="299">
        <f>IF(C6="PAC",VLOOKUP(B7,Table_PakMods,MATCH(C11,List_Company,0)+1,FALSE),1)</f>
        <v>0.45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4.8000000000000001E-2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0.66</v>
      </c>
      <c r="AS24" s="299">
        <f>HLOOKUP(C11,Table_StateRates,5,FALSE)</f>
        <v>0.66</v>
      </c>
      <c r="AT24" s="299">
        <f>HLOOKUP(C11,Table_StateRates,5,FALSE)</f>
        <v>0.66</v>
      </c>
      <c r="AU24" s="299">
        <f>HLOOKUP(C11,Table_StateRates,5,FALSE)</f>
        <v>0.66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0.45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1.4999999999999999E-2</v>
      </c>
      <c r="AL25" s="1423">
        <f>ROUND(PRODUCT(AL23:AL24),3)</f>
        <v>8.0000000000000002E-3</v>
      </c>
      <c r="AM25" s="1423">
        <f>ROUND(PRODUCT(AM23:AM24),3)</f>
        <v>8.9999999999999993E-3</v>
      </c>
      <c r="AN25" s="1423">
        <f>ROUND(PRODUCT(AN23:AN24),3)</f>
        <v>3.0000000000000001E-3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0.9</v>
      </c>
      <c r="AS25" s="299">
        <f>IF(F7="Yes",1,IF(C48&gt;=80,VLOOKUP(C48,Table_CoIns1,2,FALSE),1+ IF(P5&lt;B49,VLOOKUP(B62,Table_CIUnder80,5,FALSE),0.5)))</f>
        <v>0.9</v>
      </c>
      <c r="AT25" s="299">
        <f>IF(F7="Yes",1,IF(C48&gt;=80,VLOOKUP(C48,Table_CoIns1,2,FALSE),1+ IF(P5&lt;B49,VLOOKUP(B62,Table_CIUnder80,5,FALSE),0.5)))</f>
        <v>0.9</v>
      </c>
      <c r="AU25" s="299">
        <f>IF(F7="Yes",1,IF(C48&gt;=80,VLOOKUP(C48,Table_CoIns1,2,FALSE),1+ IF(P5&lt;B49,VLOOKUP(B62,Table_CIUnder80,5,FALSE),0.5)))</f>
        <v>0.9</v>
      </c>
      <c r="AV25" s="385"/>
      <c r="AX25" s="545" t="s">
        <v>1020</v>
      </c>
      <c r="AY25" s="299">
        <f>IF(C6="PAC",VLOOKUP(B7,Table_PakMods,MATCH(C11,List_Company,0)+1,FALSE),1)</f>
        <v>0.45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0.40500000000000003</v>
      </c>
      <c r="Q26" s="1314">
        <f>ROUND(PRODUCT(Q22:Q25),3)</f>
        <v>0.40500000000000003</v>
      </c>
      <c r="R26" s="1314">
        <f>ROUND(PRODUCT(R22:R25),3)</f>
        <v>0.40500000000000003</v>
      </c>
      <c r="S26" s="1314">
        <f>ROUND(PRODUCT(S22:S25),3)</f>
        <v>0.40500000000000003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4.8000000000000001E-2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0.95</v>
      </c>
      <c r="AS26" s="299">
        <f>IF(C46=250,DF_250Deductible,C47)</f>
        <v>0.95</v>
      </c>
      <c r="AT26" s="299">
        <f>IF(C46=250,DF_250Deductible,C47)</f>
        <v>0.95</v>
      </c>
      <c r="AU26" s="299">
        <f>IF(C46=250,DF_250Deductible,C47)</f>
        <v>0.95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0.66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9.2999999999999999E-2</v>
      </c>
      <c r="Q27" s="757">
        <f>Q21</f>
        <v>0.05</v>
      </c>
      <c r="R27" s="757">
        <f>R21</f>
        <v>5.7000000000000002E-2</v>
      </c>
      <c r="S27" s="757">
        <f>S21</f>
        <v>1.7999999999999999E-2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8.5999999999999993E-2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3.9E-2</v>
      </c>
      <c r="Q28" s="1315">
        <f>IF($C$30="Yes",C31,ROUND(PRODUCT(Q26:Q27),3))</f>
        <v>1.9E-2</v>
      </c>
      <c r="R28" s="1315">
        <f>IF($C$30="Yes",B32,ROUND(PRODUCT(R26:R27),3))</f>
        <v>1.7999999999999999E-2</v>
      </c>
      <c r="S28" s="1315">
        <f>IF($C$30="Yes",C32,ROUND(PRODUCT(S26:S27),3))</f>
        <v>0</v>
      </c>
      <c r="AC28" s="168" t="s">
        <v>1019</v>
      </c>
      <c r="AD28" s="207">
        <f>HLOOKUP(C11,Table_StateRates,5,FALSE)</f>
        <v>0.66</v>
      </c>
      <c r="AE28" s="207">
        <f>HLOOKUP(C11,Table_StateRates,5,FALSE)</f>
        <v>0.66</v>
      </c>
      <c r="AF28" s="207">
        <f>HLOOKUP(C11,Table_StateRates,5,FALSE)</f>
        <v>0.66</v>
      </c>
      <c r="AG28" s="207">
        <f>HLOOKUP(C11,Table_StateRates,5,FALSE)</f>
        <v>0.66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0.9</v>
      </c>
      <c r="AE29" s="247">
        <f>IF(F7="Yes",1,IF(C48&gt;=80,VLOOKUP(C48,Table_CoIns1,2,FALSE),1+ IF(P5&lt;B49,VLOOKUP(B62,Table_CIUnder80,5,FALSE),0.5)))</f>
        <v>0.9</v>
      </c>
      <c r="AF29" s="247">
        <f>IF(F7="Yes",1,IF(C48&gt;=80,VLOOKUP(C48,Table_CoIns1,2,FALSE),1+ IF(P5&lt;B49,VLOOKUP(B62,Table_CIUnder80,5,FALSE),0.5)))</f>
        <v>0.9</v>
      </c>
      <c r="AG29" s="247">
        <f>IF(F7="Yes",1,IF(C48&gt;=80,VLOOKUP(C48,Table_CoIns1,2,FALSE),1+ IF(P5&lt;B49,VLOOKUP(B62,Table_CIUnder80,5,FALSE),0.5)))</f>
        <v>0.9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0.45</v>
      </c>
      <c r="AS29" s="299">
        <f>IF(C6="PAC",VLOOKUP(B7,Table_PakMods,MATCH(C11,List_Company,0)+1,FALSE),1)</f>
        <v>0.45</v>
      </c>
      <c r="AT29" s="299">
        <f>IF(C6="PAC",VLOOKUP(B7,Table_PakMods,MATCH(C11,List_Company,0)+1,FALSE),1)</f>
        <v>0.45</v>
      </c>
      <c r="AU29" s="299">
        <f>IF(C6="PAC",VLOOKUP(B7,Table_PakMods,MATCH(C11,List_Company,0)+1,FALSE),1)</f>
        <v>0.45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40" t="s">
        <v>833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0.95</v>
      </c>
      <c r="AE30" s="207">
        <f>IF(C46=250,DF_250Deductible,C47)</f>
        <v>0.95</v>
      </c>
      <c r="AF30" s="207">
        <f>IF(C46=250,DF_250Deductible,C47)</f>
        <v>0.95</v>
      </c>
      <c r="AG30" s="207">
        <f>IF(C46=250,DF_250Deductible,C47)</f>
        <v>0.95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0.66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3.9E-2</v>
      </c>
      <c r="C31" s="1455">
        <v>1.9E-2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0.78600000000000003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0.7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0.72499999999999998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0.72499999999999998</v>
      </c>
      <c r="V31" s="168" t="s">
        <v>407</v>
      </c>
      <c r="W31" s="247">
        <f>P28</f>
        <v>3.9E-2</v>
      </c>
      <c r="X31" s="247">
        <f>Q28</f>
        <v>1.9E-2</v>
      </c>
      <c r="Y31" s="247">
        <f>R28</f>
        <v>1.7999999999999999E-2</v>
      </c>
      <c r="Z31" s="247">
        <f>S28</f>
        <v>0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4.0000000000000001E-3</v>
      </c>
      <c r="AS31" s="247">
        <f>ROUND(PRODUCT(AS21:AS30),3)</f>
        <v>3.0000000000000001E-3</v>
      </c>
      <c r="AT31" s="247">
        <f>ROUND(PRODUCT(AT21:AT30),3)</f>
        <v>3.0000000000000001E-3</v>
      </c>
      <c r="AU31" s="247">
        <f>ROUND(PRODUCT(AU21:AU30),3)</f>
        <v>3.0000000000000001E-3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1.7999999999999999E-2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1.1499999999999999</v>
      </c>
      <c r="S32" s="247">
        <v>1</v>
      </c>
      <c r="U32" s="185"/>
      <c r="V32" s="187" t="s">
        <v>408</v>
      </c>
      <c r="W32" s="208">
        <f>IF(C48&gt;80,P22,1)</f>
        <v>0.9</v>
      </c>
      <c r="X32" s="208">
        <f>IF(C48&gt;80,Q22,1)</f>
        <v>0.9</v>
      </c>
      <c r="Y32" s="208">
        <f>IF(C48&gt;80,R22,1)</f>
        <v>0.9</v>
      </c>
      <c r="Z32" s="208">
        <f>IF(C48&gt;80,S22,1)</f>
        <v>0.9</v>
      </c>
      <c r="AB32" s="146"/>
      <c r="AC32" s="545" t="s">
        <v>1020</v>
      </c>
      <c r="AD32" s="299">
        <f>IF(C6="PAC",VLOOKUP(B7,Table_PakMods,MATCH(C11,List_Company,0)+1,FALSE),1)</f>
        <v>0.45</v>
      </c>
      <c r="AE32" s="299">
        <f>IF(C6="PAC",VLOOKUP(B7,Table_PakMods,MATCH(C11,List_Company,0)+1,FALSE),1)</f>
        <v>0.45</v>
      </c>
      <c r="AF32" s="299">
        <f>IF(C6="PAC",VLOOKUP(B7,Table_PakMods,MATCH(C11,List_Company,0)+1,FALSE),1)</f>
        <v>0.45</v>
      </c>
      <c r="AG32" s="299">
        <f>IF(C6="PAC",VLOOKUP(B7,Table_PakMods,MATCH(C11,List_Company,0)+1,FALSE),1)</f>
        <v>0.45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Apts/Condos</v>
      </c>
      <c r="C33" s="1201">
        <f>IF(ISTEXT(C35),VLOOKUP(C35,Table_G1_LC,3,0),"NA")</f>
        <v>1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10000</v>
      </c>
      <c r="Q33" s="238">
        <f>IF(ISNUMBER(C45),C45/100,0)</f>
        <v>10000</v>
      </c>
      <c r="R33" s="238">
        <f>IF(ISNUMBER(C45),C45/100,0)</f>
        <v>10000</v>
      </c>
      <c r="S33" s="238">
        <f>IF(ISNUMBER(C45),C45/100,0)</f>
        <v>10000</v>
      </c>
      <c r="U33" s="546"/>
      <c r="V33" s="301" t="s">
        <v>409</v>
      </c>
      <c r="W33" s="247">
        <f>ROUND(W31/W32,3)</f>
        <v>4.2999999999999997E-2</v>
      </c>
      <c r="X33" s="247">
        <f>ROUND(X31/X32,3)</f>
        <v>2.1000000000000001E-2</v>
      </c>
      <c r="Y33" s="247">
        <f>ROUND(Y31/Y32,3)</f>
        <v>0.02</v>
      </c>
      <c r="Z33" s="247">
        <f>ROUND(Z31/Z32,3)</f>
        <v>0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390</v>
      </c>
      <c r="Q34" s="1481">
        <f>IF($C$30="Yes",ROUND(PRODUCT(Q28,Q33),0),ROUND(PRODUCT(Q28,Q31:Q33),0))</f>
        <v>190</v>
      </c>
      <c r="R34" s="1481">
        <f>IF($C$30="Yes",ROUND(PRODUCT(R28,R33),0),ROUND(PRODUCT(R28,R31:R33),0))</f>
        <v>180</v>
      </c>
      <c r="S34" s="1481">
        <f>IF($C$30="Yes",ROUND(PRODUCT(S28,S33),0),ROUND(PRODUCT(S28,S31:S33),0))</f>
        <v>0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0.02</v>
      </c>
      <c r="AF34" s="247">
        <f>ROUND(PRODUCT(AF26:AF33),3)</f>
        <v>2.3E-2</v>
      </c>
      <c r="AG34" s="247">
        <f>ROUND(PRODUCT(AG26:AG33),3)</f>
        <v>7.0000000000000001E-3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49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9.8000000000000004E-2</v>
      </c>
      <c r="AL35" s="247">
        <f>AL7</f>
        <v>5.2999999999999999E-2</v>
      </c>
      <c r="AM35" s="247">
        <f>AM7</f>
        <v>0.06</v>
      </c>
      <c r="AN35" s="247">
        <f>AN7</f>
        <v>1.9E-2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390</v>
      </c>
      <c r="Q36" s="248">
        <f>SUM(Q34:Q35)</f>
        <v>190</v>
      </c>
      <c r="R36" s="248">
        <f>SUM(R34:R35)</f>
        <v>180</v>
      </c>
      <c r="S36" s="248">
        <f>SUM(S34:S35)</f>
        <v>0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0.66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0.45</v>
      </c>
      <c r="X37" s="299">
        <f>IF(C6="PAC",VLOOKUP(B7,Table_PakMods,MATCH(C11,List_Company,0)+1,FALSE),1)</f>
        <v>0.45</v>
      </c>
      <c r="Y37" s="299">
        <f>IF(C6="PAC",VLOOKUP(B7,Table_PakMods,MATCH(C11,List_Company,0)+1,FALSE),1)</f>
        <v>0.45</v>
      </c>
      <c r="Z37" s="299">
        <f>IF(C6="PAC",VLOOKUP(B7,Table_PakMods,MATCH(C11,List_Company,0)+1,FALSE),1)</f>
        <v>0.45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0.66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6.0000000000000001E-3</v>
      </c>
      <c r="X39" s="247">
        <f>ROUND(PRODUCT(X33:X38),3)</f>
        <v>3.0000000000000001E-3</v>
      </c>
      <c r="Y39" s="247">
        <f>ROUND(PRODUCT(Y33:Y38),3)</f>
        <v>3.0000000000000001E-3</v>
      </c>
      <c r="Z39" s="247">
        <f>ROUND(PRODUCT(Z33:Z38),3)</f>
        <v>0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8.5000000000000006E-2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0.66</v>
      </c>
      <c r="AZ39" s="423"/>
      <c r="BA39" s="542"/>
      <c r="BB39" s="597" t="s">
        <v>1019</v>
      </c>
      <c r="BC39" s="279">
        <f>HLOOKUP(C11,Table_StateRates,5,FALSE)</f>
        <v>0.66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390</v>
      </c>
      <c r="Q40" s="248">
        <f>Q34</f>
        <v>190</v>
      </c>
      <c r="R40" s="248">
        <f>R34</f>
        <v>180</v>
      </c>
      <c r="S40" s="248">
        <f>S34</f>
        <v>0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1.9E-2</v>
      </c>
      <c r="AZ40" s="559"/>
      <c r="BA40" s="423"/>
      <c r="BB40" s="810" t="s">
        <v>1134</v>
      </c>
      <c r="BC40" s="426">
        <f>ROUND(PRODUCT(BC35:BC39),3)</f>
        <v>1.9E-2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0.92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0.92</v>
      </c>
      <c r="AZ41" s="559"/>
      <c r="BA41" s="423"/>
      <c r="BB41" s="906" t="s">
        <v>1178</v>
      </c>
      <c r="BC41" s="423">
        <f>IF(OR(C28="S",C28="T",C28="SC"),1,VLOOKUP(C14,Table_ProtClass,IF(C15&lt;=3,2,3),FALSE))</f>
        <v>0.92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1.1499999999999999</v>
      </c>
      <c r="AU42" s="207">
        <v>1</v>
      </c>
      <c r="AW42" s="423"/>
      <c r="AX42" s="906" t="s">
        <v>1018</v>
      </c>
      <c r="AY42" s="423">
        <f>IF(C46=250,DF_250Deductible,C47)</f>
        <v>0.95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1.2E-2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0.9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150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9.8000000000000004E-2</v>
      </c>
      <c r="AL44" s="247">
        <f>AL7</f>
        <v>5.2999999999999999E-2</v>
      </c>
      <c r="AM44" s="247">
        <f>AM7</f>
        <v>0.06</v>
      </c>
      <c r="AN44" s="247">
        <f>AN7</f>
        <v>1.9E-2</v>
      </c>
      <c r="AO44" s="557"/>
      <c r="AP44" s="2"/>
      <c r="AQ44" s="168" t="s">
        <v>1019</v>
      </c>
      <c r="AR44" s="207">
        <f>HLOOKUP(C11,Table_StateRates,5,FALSE)</f>
        <v>0.66</v>
      </c>
      <c r="AS44" s="207">
        <f>HLOOKUP(C11,Table_StateRates,5,FALSE)</f>
        <v>0.66</v>
      </c>
      <c r="AT44" s="207">
        <f>HLOOKUP(C11,Table_StateRates,5,FALSE)</f>
        <v>0.66</v>
      </c>
      <c r="AU44" s="207">
        <f>HLOOKUP(C11,Table_StateRates,5,FALSE)</f>
        <v>0.66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4.0000000000000001E-3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1000000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1.4999999999999999E-2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0.96</v>
      </c>
      <c r="C46" s="944">
        <v>1000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10000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0.66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0.84</v>
      </c>
      <c r="C47" s="945">
        <v>0.95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760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150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100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0.45</v>
      </c>
      <c r="AS48" s="299">
        <f>IF(C6="PAC",VLOOKUP(B7,Table_PakMods,MATCH(C11,List_Company,0)+1,FALSE),1)</f>
        <v>0.45</v>
      </c>
      <c r="AT48" s="299">
        <f>IF(C6="PAC",VLOOKUP(B7,Table_PakMods,MATCH(C11,List_Company,0)+1,FALSE),1)</f>
        <v>0.45</v>
      </c>
      <c r="AU48" s="299">
        <f>IF(C6="PAC",VLOOKUP(B7,Table_PakMods,MATCH(C11,List_Company,0)+1,FALSE),1)</f>
        <v>0.45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910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8.5000000000000006E-2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4.8000000000000001E-2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2.1999999999999999E-2</v>
      </c>
      <c r="AS50" s="247">
        <f>ROUND(PRODUCT(AS39:AS49),3)</f>
        <v>1.2E-2</v>
      </c>
      <c r="AT50" s="247">
        <f>ROUND(PRODUCT(AT39:AT49),3)</f>
        <v>4.0000000000000001E-3</v>
      </c>
      <c r="AU50" s="247">
        <f>ROUND(PRODUCT(AU39:AU49),3)</f>
        <v>3.0000000000000001E-3</v>
      </c>
      <c r="AW50" s="566"/>
      <c r="AX50" s="990" t="s">
        <v>395</v>
      </c>
      <c r="AY50" s="813">
        <f>SUM(AY47,BC46)</f>
        <v>150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0.66</v>
      </c>
      <c r="X51" s="207">
        <f>HLOOKUP(C11,Table_StateRates,5,FALSE)</f>
        <v>0.66</v>
      </c>
      <c r="Y51" s="207">
        <f>HLOOKUP(C11,Table_StateRates,5,FALSE)</f>
        <v>0.66</v>
      </c>
      <c r="Z51" s="207">
        <f>HLOOKUP(C11,Table_StateRates,5,FALSE)</f>
        <v>0.66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0.45</v>
      </c>
      <c r="X54" s="299">
        <f>IF(C6="PAC",VLOOKUP(B7,Table_PakMods,MATCH(C11,List_Company,0)+1,FALSE),1)</f>
        <v>0.45</v>
      </c>
      <c r="Y54" s="299">
        <f>IF(C6="PAC",VLOOKUP(B7,Table_PakMods,MATCH(C11,List_Company,0)+1,FALSE),1)</f>
        <v>0.45</v>
      </c>
      <c r="Z54" s="299">
        <f>IF(C6="PAC",VLOOKUP(B7,Table_PakMods,MATCH(C11,List_Company,0)+1,FALSE),1)</f>
        <v>0.45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6.0000000000000001E-3</v>
      </c>
      <c r="X56" s="247">
        <f>ROUND(PRODUCT(X49:X55),3)</f>
        <v>3.0000000000000001E-3</v>
      </c>
      <c r="Y56" s="247">
        <f>ROUND(PRODUCT(Y49:Y55),3)</f>
        <v>2.7E-2</v>
      </c>
      <c r="Z56" s="247">
        <f>ROUND(PRODUCT(Z49:Z55),3)</f>
        <v>8.0000000000000002E-3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2.1999999999999999E-2</v>
      </c>
      <c r="X59" s="247">
        <f>MAX(X56:X57)</f>
        <v>6.0000000000000001E-3</v>
      </c>
      <c r="Y59" s="247">
        <f>MAX(Y56:Y57)</f>
        <v>5.2999999999999999E-2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257" priority="13" stopIfTrue="1">
      <formula>IF($C$24="Yes",FALSE,TRUE)</formula>
    </cfRule>
  </conditionalFormatting>
  <conditionalFormatting sqref="E16">
    <cfRule type="expression" dxfId="256" priority="12" stopIfTrue="1">
      <formula>IF($C$58="Yes",TRUE,FALSE)</formula>
    </cfRule>
  </conditionalFormatting>
  <conditionalFormatting sqref="C18">
    <cfRule type="expression" dxfId="255" priority="10">
      <formula>IF($C$12="SP",TRUE,FALSE)</formula>
    </cfRule>
    <cfRule type="expression" dxfId="254" priority="11">
      <formula>IF($C$12="SP",TRUE,FALSE)</formula>
    </cfRule>
  </conditionalFormatting>
  <conditionalFormatting sqref="A18">
    <cfRule type="expression" dxfId="253" priority="9">
      <formula>IF($C$12="SP",TRUE,FALSE)</formula>
    </cfRule>
  </conditionalFormatting>
  <conditionalFormatting sqref="B21">
    <cfRule type="expression" dxfId="252" priority="8">
      <formula>IF($C$21="Yes",TRUE,FALSE)</formula>
    </cfRule>
  </conditionalFormatting>
  <conditionalFormatting sqref="C18">
    <cfRule type="expression" dxfId="251" priority="6">
      <formula>IF($C$12="SP",TRUE,FALSE)</formula>
    </cfRule>
    <cfRule type="expression" dxfId="250" priority="7">
      <formula>IF($C$12="SP",TRUE,FALSE)</formula>
    </cfRule>
  </conditionalFormatting>
  <conditionalFormatting sqref="C18">
    <cfRule type="expression" dxfId="249" priority="4">
      <formula>IF($C$12="SP",TRUE,FALSE)</formula>
    </cfRule>
    <cfRule type="expression" dxfId="248" priority="5">
      <formula>IF($C$12="SP",TRUE,FALSE)</formula>
    </cfRule>
  </conditionalFormatting>
  <conditionalFormatting sqref="B31:C31">
    <cfRule type="expression" dxfId="247" priority="3">
      <formula>IF($C$30="Yes",TRUE,FALSE)</formula>
    </cfRule>
  </conditionalFormatting>
  <conditionalFormatting sqref="C32">
    <cfRule type="expression" dxfId="246" priority="2">
      <formula>IF(AND($C$30="Yes",$C$12="BR"),TRUE,FALSE)</formula>
    </cfRule>
  </conditionalFormatting>
  <conditionalFormatting sqref="B32">
    <cfRule type="expression" dxfId="245" priority="1">
      <formula>IF(AND($C$30="Yes",$C$12="SP"),TRUE,FALSE)</formula>
    </cfRule>
  </conditionalFormatting>
  <dataValidations count="97"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allowBlank="1" showInputMessage="1" showErrorMessage="1" promptTitle="Special Class Pty: Grp II Symbol" prompt="Group II Symbol supplied for the Special Class Property selected." sqref="E24"/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custom" allowBlank="1" showInputMessage="1" showErrorMessage="1" prompt="EQ Table Lookup Value" sqref="F49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custom" allowBlank="1" showInputMessage="1" showErrorMessage="1" prompt="Bldg Lookup Value" sqref="F36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allowBlank="1" showInputMessage="1" showErrorMessage="1" promptTitle="Occupancy Type Description" prompt="Displays the description of the choice made in the cell to the left.  " sqref="B33 B40"/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custom" allowBlank="1" showInputMessage="1" showErrorMessage="1" sqref="C25 F46 D23 B10 D43:E43 F33:F35 F38:F39 A38 A43">
      <formula1>FALSE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8"/>
  <sheetViews>
    <sheetView topLeftCell="A7" zoomScale="90" zoomScaleNormal="90" zoomScaleSheetLayoutView="90" workbookViewId="0">
      <selection activeCell="C18" sqref="C18"/>
    </sheetView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0.66</v>
      </c>
      <c r="Q2" s="423">
        <f>HLOOKUP(C11,Table_StateRates,5,FALSE)</f>
        <v>0.66</v>
      </c>
      <c r="R2" s="423">
        <f>HLOOKUP(C11,Table_StateRates,5,FALSE)</f>
        <v>0.66</v>
      </c>
      <c r="S2" s="423">
        <f>HLOOKUP(C11,Table_StateRates,5,FALSE)</f>
        <v>0.66</v>
      </c>
      <c r="U2" s="1290"/>
      <c r="V2" s="1294" t="s">
        <v>2165</v>
      </c>
      <c r="W2" s="1300">
        <f ca="1">$P$28</f>
        <v>4.9000000000000002E-2</v>
      </c>
      <c r="X2" s="1300">
        <f>$Q$28</f>
        <v>3.2000000000000001E-2</v>
      </c>
      <c r="Y2" s="1300">
        <f>$R$28</f>
        <v>0.1527</v>
      </c>
      <c r="Z2" s="1300">
        <f>$S$28</f>
        <v>1.2E-2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4.9000000000000002E-2</v>
      </c>
      <c r="AU2" s="247">
        <f>Q28</f>
        <v>3.2000000000000001E-2</v>
      </c>
      <c r="AV2" s="247">
        <f>IF(AND(C27="Yes",C12="SP"),VLOOKUP(C33,Table_Special_PP,3,0),0)</f>
        <v>0.23499999999999999</v>
      </c>
      <c r="AW2" s="247">
        <f>S28</f>
        <v>1.2E-2</v>
      </c>
      <c r="AZ2" s="1117" t="s">
        <v>2154</v>
      </c>
      <c r="BA2" s="247">
        <f ca="1">P28</f>
        <v>4.9000000000000002E-2</v>
      </c>
      <c r="BB2" s="2">
        <f>Q28</f>
        <v>3.2000000000000001E-2</v>
      </c>
      <c r="BC2" s="558">
        <f>R28</f>
        <v>0.1527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 t="str">
        <f>Summary3</f>
        <v>#16 - R34 - BLANKET - GANY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0.627</v>
      </c>
      <c r="X3" s="247">
        <f t="shared" ref="X3:Z3" si="0">Q$31</f>
        <v>0.47799999999999998</v>
      </c>
      <c r="Y3" s="247">
        <f t="shared" si="0"/>
        <v>0.36099999999999999</v>
      </c>
      <c r="Z3" s="247">
        <f t="shared" si="0"/>
        <v>0.36099999999999999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9.4E-2</v>
      </c>
      <c r="AE3" s="2">
        <f>IF(OR(C28="S",C28="T"),C29,VLOOKUP(C16,Table_G2SymLC,3,FALSE)*IF(C60&lt;&gt;"Yes",B16,1))</f>
        <v>5.6000000000000001E-2</v>
      </c>
      <c r="AF3" s="247">
        <f>R5</f>
        <v>0.23499999999999999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4.9000000000000002E-2</v>
      </c>
      <c r="AM3" s="4">
        <f>Q28</f>
        <v>3.2000000000000001E-2</v>
      </c>
      <c r="AN3" s="780">
        <f ca="1">IF(AND(C27="Yes",C12="SP"),IF(C13=1,R28,IF(C13=2,INDIRECT(VLOOKUP(C33,Table_Special_PP,6,FALSE)),"Select Type")),0)</f>
        <v>0.1527</v>
      </c>
      <c r="AO3" s="4">
        <f>S28</f>
        <v>1.2E-2</v>
      </c>
      <c r="AP3" s="4" t="e">
        <f>IF(#REF!="Yes",#REF!,0)</f>
        <v>#REF!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1.254</v>
      </c>
      <c r="Q4" s="1312">
        <f>PRODUCT(Q2:Q3)</f>
        <v>1.254</v>
      </c>
      <c r="R4" s="1312">
        <f>PRODUCT(R2:R3)</f>
        <v>1.254</v>
      </c>
      <c r="S4" s="1312">
        <f>PRODUCT(S2:S3)</f>
        <v>1.254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4.9000000000000002E-2</v>
      </c>
      <c r="AU4" s="247">
        <f>ROUND(AU2/AU3,3)</f>
        <v>3.2000000000000001E-2</v>
      </c>
      <c r="AV4" s="247">
        <f>ROUND(AV2/AV3,3)</f>
        <v>0.23499999999999999</v>
      </c>
      <c r="AW4" s="247">
        <f>ROUND(AW2/AW3,3)</f>
        <v>1.2E-2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>
        <f ca="1">IF(C27="Yes",P35,0)</f>
        <v>307</v>
      </c>
      <c r="J5" s="258">
        <f>IF(C27="Yes",Q35,0)</f>
        <v>153</v>
      </c>
      <c r="K5" s="258">
        <f>IF(AND(C27="Yes",C12="SP"),R35,0)</f>
        <v>551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9.4E-2</v>
      </c>
      <c r="Q5" s="247">
        <f>IF(OR(C28="S",C28="T"),C29,VLOOKUP(C16,Table_G2SymLC,3,FALSE)*IF(C60&lt;&gt;"Yes",B16,1))</f>
        <v>5.6000000000000001E-2</v>
      </c>
      <c r="R5" s="247">
        <f>IF(AND(C27="Yes",C12="SP"),VLOOKUP(C33,Table_Special_PP,3,0),0)</f>
        <v>0.23499999999999999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0</v>
      </c>
      <c r="X5" s="1306">
        <f>ROUND(PRODUCT(X2:X4),0)</f>
        <v>0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5.0000000000000001E-3</v>
      </c>
      <c r="AM5" s="4">
        <f>ROUND(PRODUCT(AM3:AM4),3)</f>
        <v>3.0000000000000001E-3</v>
      </c>
      <c r="AN5" s="780">
        <f ca="1">ROUND(PRODUCT(AN3:AN4),3)</f>
        <v>1.4999999999999999E-2</v>
      </c>
      <c r="AO5" s="4">
        <f>ROUND(PRODUCT(AO3:AO4),3)</f>
        <v>1E-3</v>
      </c>
      <c r="AP5" s="4" t="e">
        <f>ROUND(PRODUCT(AP3:AP4),3)</f>
        <v>#REF!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0.66</v>
      </c>
      <c r="BJ5" s="299">
        <f>HLOOKUP(C11,Table_StateRates,5,FALSE)</f>
        <v>0.66</v>
      </c>
      <c r="BK5" s="299">
        <f>HLOOKUP(C11,Table_StateRates,5,FALSE)</f>
        <v>0.66</v>
      </c>
      <c r="BL5" s="299">
        <f>HLOOKUP(C11,Table_StateRates,5,FALSE)</f>
        <v>0.66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985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0.92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0.17899999999999999</v>
      </c>
      <c r="AE6" s="247">
        <f>ROUND(PRODUCT(AE3:AE5),3)</f>
        <v>0.106</v>
      </c>
      <c r="AF6" s="247">
        <f>ROUND(PRODUCT(AF3:AF5),3)</f>
        <v>0.44700000000000001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0.66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18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0</v>
      </c>
      <c r="X7" s="1301">
        <f>SUM(X5:X6)</f>
        <v>0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#REF!</v>
      </c>
      <c r="AM7" s="235"/>
      <c r="AR7" s="146"/>
      <c r="AS7" s="545" t="s">
        <v>1020</v>
      </c>
      <c r="AT7" s="299">
        <f>IF(C6="PAC",VLOOKUP(B7,Table_PakMods,MATCH(C11,List_Company,0)+1,FALSE),1)</f>
        <v>0.45</v>
      </c>
      <c r="AU7" s="299">
        <f>IF(C6="PAC",VLOOKUP(B7,Table_PakMods,MATCH(C11,List_Company,0)+1,FALSE),1)</f>
        <v>0.45</v>
      </c>
      <c r="AV7" s="299">
        <f>IF(C6="PAC",VLOOKUP(B7,Table_PakMods,MATCH(C11,List_Company,0)+1,FALSE),1)</f>
        <v>0.45</v>
      </c>
      <c r="AW7" s="299">
        <f>IF(C6="PAC",VLOOKUP(B7,Table_PakMods,MATCH(C11,List_Company,0)+1,FALSE),1)</f>
        <v>0.45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0.108</v>
      </c>
      <c r="Q8" s="1315">
        <f>ROUND(PRODUCT(Q4:Q7),3)</f>
        <v>7.0000000000000007E-2</v>
      </c>
      <c r="R8" s="1315">
        <f>ROUND(PRODUCT(R4:R7),3)</f>
        <v>0.29499999999999998</v>
      </c>
      <c r="S8" s="1315">
        <f>ROUND(PRODUCT(S4:S7),3)</f>
        <v>2.5999999999999999E-2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 ca="1"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0.09</v>
      </c>
      <c r="AE9" s="247">
        <f>ROUND(PRODUCT(AE6:AE8),3)</f>
        <v>5.2999999999999999E-2</v>
      </c>
      <c r="AF9" s="247">
        <f>ROUND(PRODUCT(AF6:AF8),3)</f>
        <v>0.224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2.8000000000000001E-2</v>
      </c>
      <c r="AU9" s="247">
        <f>ROUND(PRODUCT(AU4:AU7),3)</f>
        <v>1.7999999999999999E-2</v>
      </c>
      <c r="AV9" s="247">
        <f>ROUND(PRODUCT(AV4:AV7),3)</f>
        <v>0.13200000000000001</v>
      </c>
      <c r="AW9" s="247">
        <f>ROUND(PRODUCT(AW4:AW7),3)</f>
        <v>7.0000000000000001E-3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0.45</v>
      </c>
      <c r="BJ9" s="299">
        <f>IF(C6="PAC",VLOOKUP(B7,Table_PakMods,MATCH(C11,List_Company,0)+1,FALSE),1)</f>
        <v>0.45</v>
      </c>
      <c r="BK9" s="299">
        <f>IF(C6="PAC",VLOOKUP(B7,Table_PakMods,MATCH(C11,List_Company,0)+1,FALSE),1)</f>
        <v>0.45</v>
      </c>
      <c r="BL9" s="299">
        <f>IF(C6="PAC",VLOOKUP(B7,Table_PakMods,MATCH(C11,List_Company,0)+1,FALSE),1)</f>
        <v>0.45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0</v>
      </c>
      <c r="X10" s="1301">
        <f>X5</f>
        <v>0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10000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10000</v>
      </c>
      <c r="AU10" s="238">
        <f>IF(F13="Yes",E14/100,C41/100)</f>
        <v>10000</v>
      </c>
      <c r="AV10" s="238">
        <f>IF(F13="Yes",E14/100,C41/100)</f>
        <v>10000</v>
      </c>
      <c r="AW10" s="238">
        <f>IF(F13="Yes",E14/100,C41/100)</f>
        <v>10000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0.45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1861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#REF!</v>
      </c>
      <c r="AM11" s="146"/>
      <c r="AN11" s="146"/>
      <c r="AO11" s="301"/>
      <c r="AP11" s="976"/>
      <c r="AS11" s="301"/>
      <c r="AT11" s="248">
        <f ca="1">ROUND(PRODUCT(AT9:AT10),0)</f>
        <v>280</v>
      </c>
      <c r="AU11" s="248">
        <f>ROUND(PRODUCT(AU9:AU10),0)</f>
        <v>180</v>
      </c>
      <c r="AV11" s="248">
        <f>ROUND(PRODUCT(AV9:AV10),0)</f>
        <v>1320</v>
      </c>
      <c r="AW11" s="248">
        <f>ROUND(PRODUCT(AW9:AW10),0)</f>
        <v>70</v>
      </c>
      <c r="AZ11" s="1117" t="s">
        <v>2154</v>
      </c>
      <c r="BA11" s="247">
        <f ca="1">P28</f>
        <v>4.9000000000000002E-2</v>
      </c>
      <c r="BB11" s="2">
        <f>Q28</f>
        <v>3.2000000000000001E-2</v>
      </c>
      <c r="BC11" s="558">
        <f>R28</f>
        <v>0.1527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0.45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#REF!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435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0.92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1780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2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1.1499999999999999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0.627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0.47799999999999998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0.36099999999999999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1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3.1E-2</v>
      </c>
      <c r="BB15" s="1315">
        <f>ROUND(PRODUCT(BB11,BB14),3)</f>
        <v>1.4999999999999999E-2</v>
      </c>
      <c r="BC15" s="1315">
        <f>ROUND(PRODUCT(BC11,BC14),3)</f>
        <v>5.5E-2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18</v>
      </c>
      <c r="D16" s="195"/>
      <c r="E16" s="195"/>
      <c r="F16" s="1067"/>
      <c r="H16" s="788" t="s">
        <v>1289</v>
      </c>
      <c r="I16" s="248">
        <f ca="1">SUM(I5:I15)</f>
        <v>307</v>
      </c>
      <c r="J16" s="248">
        <f>SUM(J5:J15)</f>
        <v>153</v>
      </c>
      <c r="K16" s="248">
        <f>SUM(K5:K15)</f>
        <v>551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4.9000000000000002E-2</v>
      </c>
      <c r="X16" s="1300">
        <f>$Q$28</f>
        <v>3.2000000000000001E-2</v>
      </c>
      <c r="Y16" s="1300">
        <f>$R$28</f>
        <v>0.1527</v>
      </c>
      <c r="Z16" s="1300">
        <f>$S$28</f>
        <v>1.2E-2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0.627</v>
      </c>
      <c r="X17" s="247">
        <f t="shared" ref="X17:Z17" si="1">Q$31</f>
        <v>0.47799999999999998</v>
      </c>
      <c r="Y17" s="247">
        <f t="shared" si="1"/>
        <v>0.36099999999999999</v>
      </c>
      <c r="Z17" s="247">
        <f t="shared" si="1"/>
        <v>0.36099999999999999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0.29499999999999998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 ca="1"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>
        <v>2</v>
      </c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0.66</v>
      </c>
      <c r="AE18" s="423">
        <f>HLOOKUP(C11,Table_StateRates,5,FALSE)</f>
        <v>0.66</v>
      </c>
      <c r="AF18" s="423">
        <f>HLOOKUP(C11,Table_StateRates,5,FALSE)</f>
        <v>0.66</v>
      </c>
      <c r="AG18" s="423">
        <f>HLOOKUP(C11,Table_StateRates,5,FALSE)</f>
        <v>0.66</v>
      </c>
      <c r="AI18" s="266"/>
      <c r="AJ18" s="266"/>
      <c r="AK18" s="268" t="s">
        <v>1019</v>
      </c>
      <c r="AL18" s="423">
        <f>HLOOKUP(C11,Table_StateRates,5,FALSE)</f>
        <v>0.66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3.2000000000000001E-2</v>
      </c>
      <c r="AV18" s="247">
        <f>IF(AND(C27="Yes",C12="SP"),VLOOKUP(C33,Table_Special_PP,3,0),0)</f>
        <v>0.23499999999999999</v>
      </c>
      <c r="AW18" s="2">
        <f>S28</f>
        <v>1.2E-2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0</v>
      </c>
      <c r="X19" s="1306">
        <f>ROUND(PRODUCT(X16:X18),0)</f>
        <v>0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5.0999999999999997E-2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0.108</v>
      </c>
      <c r="Q20" s="1312">
        <f>ROUND(PRODUCT(Q8:Q19),3)</f>
        <v>7.0000000000000007E-2</v>
      </c>
      <c r="R20" s="1312">
        <f>ROUND(PRODUCT(R8:R19),3)</f>
        <v>0.29499999999999998</v>
      </c>
      <c r="S20" s="1312">
        <f>ROUND(PRODUCT(S8:S19),3)</f>
        <v>2.5999999999999999E-2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0.45</v>
      </c>
      <c r="AE20" s="559">
        <f>IF(C6="PAC",VLOOKUP(B7,Table_PakMods,MATCH(C11,List_Company,0)+1,FALSE),1)</f>
        <v>0.45</v>
      </c>
      <c r="AF20" s="559">
        <f>IF(C6="PAC",VLOOKUP(B7,Table_PakMods,MATCH(C11,List_Company,0)+1,FALSE),1)</f>
        <v>0.45</v>
      </c>
      <c r="AG20" s="559">
        <f>IF(C6="PAC",VLOOKUP(B7,Table_PakMods,MATCH(C11,List_Company,0)+1,FALSE),1)</f>
        <v>0.45</v>
      </c>
      <c r="AI20" s="423"/>
      <c r="AK20" s="83" t="s">
        <v>2166</v>
      </c>
      <c r="AL20" s="1312">
        <f>PRODUCT(AL18:AL19)</f>
        <v>1.254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3.2000000000000001E-2</v>
      </c>
      <c r="AV20" s="247">
        <f>PRODUCT(AV18:AV19)</f>
        <v>0.23499999999999999</v>
      </c>
      <c r="AW20" s="247">
        <f>PRODUCT(AW18:AW19)</f>
        <v>1.2E-2</v>
      </c>
      <c r="AZ20" s="168" t="s">
        <v>1335</v>
      </c>
      <c r="BA20" s="248">
        <f>F24</f>
        <v>0</v>
      </c>
      <c r="BD20" s="168" t="s">
        <v>1337</v>
      </c>
      <c r="BE20" s="248">
        <f ca="1"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0.66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>
        <f ca="1">SUM(W19:W20)</f>
        <v>0</v>
      </c>
      <c r="X21" s="1301">
        <f>SUM(X19:X20)</f>
        <v>0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0.23499999999999999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 ca="1"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9.7000000000000003E-2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2.5000000000000001E-2</v>
      </c>
      <c r="AE22" s="247">
        <f>ROUND(PRODUCT(AE9:AE21),3)</f>
        <v>1.6E-2</v>
      </c>
      <c r="AF22" s="247">
        <f>ROUND(PRODUCT(AF9:AF21),3)</f>
        <v>7.6999999999999999E-2</v>
      </c>
      <c r="AG22" s="247">
        <f>ROUND(PRODUCT(AG9:AG21),3)</f>
        <v>6.0000000000000001E-3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0.66</v>
      </c>
      <c r="AU22" s="207">
        <f>HLOOKUP(C11,Table_StateRates,5,FALSE)</f>
        <v>0.66</v>
      </c>
      <c r="AV22" s="207">
        <f>HLOOKUP(C11,Table_StateRates,5,FALSE)</f>
        <v>0.66</v>
      </c>
      <c r="AW22" s="207">
        <f>HLOOKUP(C11,Table_StateRates,5,FALSE)</f>
        <v>0.66</v>
      </c>
      <c r="AZ22" s="83" t="s">
        <v>1334</v>
      </c>
      <c r="BA22" s="2">
        <f>ROUND(BA20/BA21,3)</f>
        <v>0</v>
      </c>
      <c r="BD22" s="83" t="s">
        <v>1339</v>
      </c>
      <c r="BE22" s="248">
        <f ca="1">IF(BE20=0,0,BE20-BE21)</f>
        <v>0</v>
      </c>
      <c r="BG22" s="146"/>
      <c r="BH22" s="545" t="s">
        <v>1019</v>
      </c>
      <c r="BI22" s="299">
        <f>HLOOKUP(C11,Table_StateRates,5,FALSE)</f>
        <v>0.66</v>
      </c>
      <c r="BJ22" s="299">
        <f>HLOOKUP(C11,Table_StateRates,5,FALSE)</f>
        <v>0.66</v>
      </c>
      <c r="BK22" s="299">
        <f>HLOOKUP(C11,Table_StateRates,5,FALSE)</f>
        <v>0.66</v>
      </c>
      <c r="BL22" s="299">
        <f>HLOOKUP(C11,Table_StateRates,5,FALSE)</f>
        <v>0.66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0.45</v>
      </c>
      <c r="Q23" s="559">
        <f>IF(C6="PAC",VLOOKUP(B7,Table_PakMods,MATCH(C11,List_Company,0)+1,FALSE),1)</f>
        <v>0.45</v>
      </c>
      <c r="R23" s="559">
        <f>IF(C6="PAC",VLOOKUP(B7,Table_PakMods,MATCH(C11,List_Company,0)+1,FALSE),1)</f>
        <v>0.45</v>
      </c>
      <c r="S23" s="559">
        <f>IF(C6="PAC",VLOOKUP(B7,Table_PakMods,MATCH(C11,List_Company,0)+1,FALSE),1)</f>
        <v>0.45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0.29499999999999998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>
        <f ca="1">ROUND(PRODUCT(BP21:BP22),3)</f>
        <v>0.01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0</v>
      </c>
      <c r="X24" s="1301">
        <f>X19</f>
        <v>0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 ca="1"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0.45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0.45</v>
      </c>
      <c r="Q25" s="1314">
        <f>ROUND(PRODUCT(Q21:Q24),3)</f>
        <v>0.45</v>
      </c>
      <c r="R25" s="1314">
        <f>ROUND(PRODUCT(R21:R24),3)</f>
        <v>0.45</v>
      </c>
      <c r="S25" s="1314">
        <f>ROUND(PRODUCT(S21:S24),3)</f>
        <v>0.45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0.45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IF(TC3_BLDG3!F20="Yes","Bldg","Available")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1.1499999999999999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0.29499999999999998</v>
      </c>
      <c r="AR26" s="146"/>
      <c r="AS26" s="545" t="s">
        <v>1020</v>
      </c>
      <c r="AT26" s="299">
        <f>IF(C6="PAC",VLOOKUP(B7,Table_PakMods,MATCH(C11,List_Company,0)+1,FALSE),1)</f>
        <v>0.45</v>
      </c>
      <c r="AU26" s="299">
        <f>IF(C6="PAC",VLOOKUP(B7,Table_PakMods,MATCH(C11,List_Company,0)+1,FALSE),1)</f>
        <v>0.45</v>
      </c>
      <c r="AV26" s="299">
        <f>IF(C6="PAC",VLOOKUP(B7,Table_PakMods,MATCH(C11,List_Company,0)+1,FALSE),1)</f>
        <v>0.45</v>
      </c>
      <c r="AW26" s="299">
        <f>IF(C6="PAC",VLOOKUP(B7,Table_PakMods,MATCH(C11,List_Company,0)+1,FALSE),1)</f>
        <v>0.45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0.45</v>
      </c>
      <c r="BJ26" s="299">
        <f>IF(C6="PAC",VLOOKUP(B7,Table_PakMods,MATCH(C11,List_Company,0)+1,FALSE),1)</f>
        <v>0.45</v>
      </c>
      <c r="BK26" s="299">
        <f>IF(C6="PAC",VLOOKUP(B7,Table_PakMods,MATCH(C11,List_Company,0)+1,FALSE),1)</f>
        <v>0.45</v>
      </c>
      <c r="BL26" s="299">
        <f>IF(C6="PAC",VLOOKUP(B7,Table_PakMods,MATCH(C11,List_Company,0)+1,FALSE),1)</f>
        <v>0.45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0.108</v>
      </c>
      <c r="Q27" s="757">
        <f>Q20</f>
        <v>7.0000000000000007E-2</v>
      </c>
      <c r="R27" s="757">
        <f>R20</f>
        <v>0.29499999999999998</v>
      </c>
      <c r="S27" s="757">
        <f>S20</f>
        <v>2.5999999999999999E-2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5.0000000000000001E-3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4.9000000000000002E-2</v>
      </c>
      <c r="Q28" s="1315">
        <f>IF($C$30="Yes",C31,ROUND(PRODUCT(Q25:Q27),3))</f>
        <v>3.2000000000000001E-2</v>
      </c>
      <c r="R28" s="1484">
        <f>IF($C$30="Yes",B32,ROUND(PRODUCT(R25:R27),4))</f>
        <v>0.1527</v>
      </c>
      <c r="S28" s="1315">
        <f>IF($C$30="Yes",C32,ROUND(PRODUCT(S25:S27),3))</f>
        <v>1.2E-2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1.7999999999999999E-2</v>
      </c>
      <c r="AV28" s="247">
        <f>ROUND(PRODUCT(AV20:AV27),3)</f>
        <v>0.13300000000000001</v>
      </c>
      <c r="AW28" s="247">
        <f>ROUND(PRODUCT(AW20:AW27),3)</f>
        <v>7.0000000000000001E-3</v>
      </c>
      <c r="AY28" s="60" t="s">
        <v>1583</v>
      </c>
      <c r="BH28" s="301" t="s">
        <v>1389</v>
      </c>
      <c r="BI28" s="247">
        <f>ROUND(PRODUCT(BI19:BI27),3)</f>
        <v>5.0000000000000001E-3</v>
      </c>
      <c r="BJ28" s="247">
        <f>ROUND(PRODUCT(BJ19:BJ27),3)</f>
        <v>3.0000000000000001E-3</v>
      </c>
      <c r="BK28" s="247">
        <f>ROUND(PRODUCT(BK19:BK27),3)</f>
        <v>1.2E-2</v>
      </c>
      <c r="BL28" s="247">
        <f>ROUND(PRODUCT(BL19:BL27),3)</f>
        <v>3.0000000000000001E-3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4.9000000000000002E-2</v>
      </c>
      <c r="X30" s="1300">
        <f>$Q$28</f>
        <v>3.2000000000000001E-2</v>
      </c>
      <c r="Y30" s="1300">
        <f>$R$28</f>
        <v>0.1527</v>
      </c>
      <c r="Z30" s="1300">
        <f>$S$28</f>
        <v>1.2E-2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/>
      <c r="C31" s="1455"/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0.627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0.47799999999999998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0.36099999999999999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0.36099999999999999</v>
      </c>
      <c r="T31" s="299"/>
      <c r="U31" s="1288"/>
      <c r="V31" s="1117" t="s">
        <v>2152</v>
      </c>
      <c r="W31" s="247">
        <f>P$31</f>
        <v>0.627</v>
      </c>
      <c r="X31" s="247">
        <f t="shared" ref="X31:Z31" si="2">Q$31</f>
        <v>0.47799999999999998</v>
      </c>
      <c r="Y31" s="247">
        <f t="shared" si="2"/>
        <v>0.36099999999999999</v>
      </c>
      <c r="Z31" s="247">
        <f t="shared" si="2"/>
        <v>0.36099999999999999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/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10000</v>
      </c>
      <c r="Q32" s="238">
        <f>IF(ISBLANK(C41),0,C41/100)</f>
        <v>10000</v>
      </c>
      <c r="R32" s="238">
        <f>IF(ISBLANK(C41),0,C41/100)</f>
        <v>10000</v>
      </c>
      <c r="S32" s="238">
        <f>IF(ISBLANK(C41),0,C41/100)</f>
        <v>10000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0.66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Apts/Condos</v>
      </c>
      <c r="C33" s="1201">
        <f>IF(ISTEXT(C35),VLOOKUP(C35,Table_G1_LC,3,0),"NA")</f>
        <v>1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307</v>
      </c>
      <c r="Q33" s="1481">
        <f>IF($C$30="Yes",ROUND(PRODUCT(Q28,Q32),0),ROUND(PRODUCT(Q28,Q31:Q32),0))</f>
        <v>153</v>
      </c>
      <c r="R33" s="1481">
        <f>IF($C$30="Yes",ROUND(PRODUCT(R28,R32),0),ROUND(PRODUCT(R28,R31:R32),0))</f>
        <v>551</v>
      </c>
      <c r="S33" s="1481">
        <f>IF($C$30="Yes",ROUND(PRODUCT(S28,S32),0),ROUND(PRODUCT(S28,S31:S32),0))</f>
        <v>43</v>
      </c>
      <c r="U33" s="1293"/>
      <c r="V33" s="1303" t="s">
        <v>2161</v>
      </c>
      <c r="W33" s="1306">
        <f ca="1"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0.66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0.45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49</v>
      </c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307</v>
      </c>
      <c r="Q35" s="248">
        <f>SUM(Q33:Q34)</f>
        <v>153</v>
      </c>
      <c r="R35" s="248">
        <f>SUM(R33:R34)</f>
        <v>551</v>
      </c>
      <c r="S35" s="248">
        <f>SUM(S33:S34)</f>
        <v>43</v>
      </c>
      <c r="T35" s="235"/>
      <c r="U35" s="1288"/>
      <c r="V35" s="1291" t="s">
        <v>2162</v>
      </c>
      <c r="W35" s="1301">
        <f ca="1"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0.66</v>
      </c>
      <c r="AE35" s="266"/>
      <c r="AF35" s="146"/>
      <c r="AG35" s="545" t="s">
        <v>1020</v>
      </c>
      <c r="AH35" s="559">
        <f>IF(C6="PAC",VLOOKUP(B7,Table_PakMods,MATCH(C11,List_Company,0)+1,FALSE),1)</f>
        <v>0.45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0.45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307</v>
      </c>
      <c r="Q39" s="248">
        <f>Q33</f>
        <v>153</v>
      </c>
      <c r="R39" s="248">
        <f>R33</f>
        <v>551</v>
      </c>
      <c r="S39" s="248">
        <f>S33</f>
        <v>43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0.66</v>
      </c>
      <c r="BQ39" s="423"/>
      <c r="BR39" s="542"/>
      <c r="BS39" s="597" t="s">
        <v>1019</v>
      </c>
      <c r="BT39" s="279">
        <f>HLOOKUP(C11,Table_StateRates,5,FALSE)</f>
        <v>0.66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1.9E-2</v>
      </c>
      <c r="BQ40" s="559"/>
      <c r="BR40" s="423"/>
      <c r="BS40" s="810" t="s">
        <v>1134</v>
      </c>
      <c r="BT40" s="426">
        <f>ROUND(PRODUCT(BT35:BT39),3)</f>
        <v>1.9E-2</v>
      </c>
    </row>
    <row r="41" spans="1:72" ht="13.5" thickBot="1" x14ac:dyDescent="0.25">
      <c r="A41" s="203" t="s">
        <v>2112</v>
      </c>
      <c r="B41" s="104"/>
      <c r="C41" s="943">
        <v>1000000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0.92</v>
      </c>
      <c r="BQ41" s="426"/>
      <c r="BR41" s="423"/>
      <c r="BS41" s="906" t="s">
        <v>1178</v>
      </c>
      <c r="BT41" s="423">
        <f>IF(OR(C28="S",C28="T"),1,VLOOKUP(C14,Table_ProtClass,IF(C15&lt;=3,2,3),FALSE))</f>
        <v>0.92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>
        <f>ROUND(PRODUCT(BT40:BT42),3)</f>
        <v>8.9999999999999993E-3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4.9000000000000002E-2</v>
      </c>
      <c r="X44" s="1300">
        <f>$Q$28</f>
        <v>3.2000000000000001E-2</v>
      </c>
      <c r="Y44" s="1300">
        <f>$R$28</f>
        <v>0.1527</v>
      </c>
      <c r="Z44" s="1300">
        <f>$S$28</f>
        <v>1.2E-2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0.627</v>
      </c>
      <c r="X45" s="247">
        <f t="shared" ref="X45:Z45" si="3">Q$31</f>
        <v>0.47799999999999998</v>
      </c>
      <c r="Y45" s="247">
        <f t="shared" si="3"/>
        <v>0.36099999999999999</v>
      </c>
      <c r="Z45" s="247">
        <f t="shared" si="3"/>
        <v>0.36099999999999999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1.7000000000000001E-2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10000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170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170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170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 ca="1">SUM(I16:L16,I38,I46,I52)</f>
        <v>1011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 ca="1">SUM(I54,I49)</f>
        <v>1181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1000000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244" priority="12" stopIfTrue="1">
      <formula>IF($C$24="Yes",FALSE,TRUE)</formula>
    </cfRule>
  </conditionalFormatting>
  <conditionalFormatting sqref="C18">
    <cfRule type="expression" dxfId="243" priority="10">
      <formula>IF($C$12="SP",TRUE,FALSE)</formula>
    </cfRule>
    <cfRule type="expression" dxfId="242" priority="11">
      <formula>IF($C$12="SP",TRUE,FALSE)</formula>
    </cfRule>
  </conditionalFormatting>
  <conditionalFormatting sqref="A18">
    <cfRule type="expression" dxfId="241" priority="9">
      <formula>IF($C$12="SP",TRUE,FALSE)</formula>
    </cfRule>
  </conditionalFormatting>
  <conditionalFormatting sqref="B21">
    <cfRule type="expression" dxfId="240" priority="8">
      <formula>IF($C$21="Yes",TRUE,FALSE)</formula>
    </cfRule>
  </conditionalFormatting>
  <conditionalFormatting sqref="B31:C31">
    <cfRule type="expression" dxfId="239" priority="3">
      <formula>IF($C$30="Yes",TRUE,FALSE)</formula>
    </cfRule>
  </conditionalFormatting>
  <conditionalFormatting sqref="C32">
    <cfRule type="expression" dxfId="238" priority="2">
      <formula>IF(AND($C$30="Yes",$C$12="BR"),TRUE,FALSE)</formula>
    </cfRule>
  </conditionalFormatting>
  <conditionalFormatting sqref="B32">
    <cfRule type="expression" dxfId="237" priority="1">
      <formula>IF(AND($C$30="Yes",$C$12="SP"),TRUE,FALSE)</formula>
    </cfRule>
  </conditionalFormatting>
  <dataValidations count="111"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type="custom" allowBlank="1" showInputMessage="1" showErrorMessage="1" prompt="Spoilage Loss Cost Column Reference" sqref="F37">
      <formula1>FALSE</formula1>
    </dataValidation>
    <dataValidation type="custom" allowBlank="1" showInputMessage="1" showErrorMessage="1" prompt="Lookup Value for Spoil Coverage Loss Cost Table" sqref="F33">
      <formula1>FALSE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Spoilage Coverage" prompt="Please Select:_x000a_{ Yes or No }" sqref="F32">
      <formula1>List_YN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custom" allowBlank="1" showInputMessage="1" showErrorMessage="1" prompt="EQ Table Lookup Value" sqref="F54:F5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Personal Property Lookup Value" sqref="F45">
      <formula1>FALSE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allowBlank="1" showInputMessage="1" showErrorMessage="1" promptTitle="Occupancy Type Description" prompt="Displays the description of the choice made in the cell to the left.  " sqref="B38 B33"/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custom" allowBlank="1" showInputMessage="1" showErrorMessage="1" errorTitle="Do Not Touch" error="This is used to generate the Coinsurance rate." sqref="B58 E62">
      <formula1>FALSE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U80"/>
  <sheetViews>
    <sheetView topLeftCell="A13" zoomScale="90" zoomScaleNormal="90" workbookViewId="0">
      <selection activeCell="C15" sqref="C15"/>
    </sheetView>
  </sheetViews>
  <sheetFormatPr defaultRowHeight="12.75" x14ac:dyDescent="0.2"/>
  <cols>
    <col min="1" max="1" width="24.7109375" style="2" customWidth="1"/>
    <col min="2" max="2" width="12.28515625" style="2" customWidth="1"/>
    <col min="3" max="3" width="13.7109375" style="2" customWidth="1"/>
    <col min="4" max="4" width="7.5703125" style="2" customWidth="1"/>
    <col min="5" max="5" width="12.7109375" style="2" customWidth="1"/>
    <col min="6" max="6" width="9.85546875" style="2" customWidth="1"/>
    <col min="7" max="7" width="10.28515625" style="2" customWidth="1"/>
    <col min="8" max="8" width="11.42578125" style="2" customWidth="1"/>
    <col min="9" max="9" width="15.7109375" style="2" customWidth="1"/>
    <col min="10" max="10" width="6.7109375" style="2" customWidth="1"/>
    <col min="11" max="11" width="23.5703125" style="2" customWidth="1"/>
    <col min="12" max="15" width="12.85546875" style="2" customWidth="1"/>
    <col min="16" max="16" width="4.85546875" style="2" customWidth="1"/>
    <col min="17" max="17" width="27.28515625" style="2" bestFit="1" customWidth="1"/>
    <col min="18" max="18" width="11.85546875" style="2" customWidth="1"/>
    <col min="19" max="19" width="13.28515625" style="2" customWidth="1"/>
    <col min="20" max="21" width="12" style="2" bestFit="1" customWidth="1"/>
    <col min="22" max="23" width="10.85546875" style="2" bestFit="1" customWidth="1"/>
    <col min="24" max="24" width="3.42578125" style="2" customWidth="1"/>
    <col min="25" max="25" width="15.85546875" style="2" customWidth="1"/>
    <col min="26" max="26" width="24.42578125" style="2" customWidth="1"/>
    <col min="27" max="29" width="11.5703125" style="2" customWidth="1"/>
    <col min="30" max="30" width="10.42578125" style="2" customWidth="1"/>
    <col min="31" max="31" width="9.7109375" style="2" customWidth="1"/>
    <col min="32" max="32" width="4.85546875" style="2" customWidth="1"/>
    <col min="33" max="33" width="27.28515625" style="2" bestFit="1" customWidth="1"/>
    <col min="34" max="34" width="11.85546875" style="2" customWidth="1"/>
    <col min="35" max="35" width="13.28515625" style="2" customWidth="1"/>
    <col min="36" max="37" width="10.85546875" style="2" bestFit="1" customWidth="1"/>
    <col min="38" max="39" width="10.42578125" style="2" bestFit="1" customWidth="1"/>
    <col min="40" max="40" width="3.42578125" style="2" customWidth="1"/>
    <col min="41" max="41" width="15.85546875" style="2" customWidth="1"/>
    <col min="42" max="42" width="24.42578125" style="2" customWidth="1"/>
    <col min="43" max="45" width="11.5703125" style="2" customWidth="1"/>
    <col min="46" max="46" width="10.42578125" style="2" customWidth="1"/>
    <col min="47" max="47" width="9.7109375" style="2" customWidth="1"/>
    <col min="48" max="16384" width="9.140625" style="2"/>
  </cols>
  <sheetData>
    <row r="1" spans="1:47" ht="19.5" customHeight="1" thickBot="1" x14ac:dyDescent="0.25">
      <c r="A1" s="99" t="s">
        <v>834</v>
      </c>
      <c r="B1" s="94"/>
      <c r="C1" s="94"/>
      <c r="D1" s="105"/>
      <c r="E1" s="105"/>
      <c r="F1" s="105"/>
      <c r="G1" s="105"/>
      <c r="H1" s="105"/>
      <c r="I1" s="106" t="s">
        <v>840</v>
      </c>
      <c r="K1" s="1594" t="s">
        <v>2175</v>
      </c>
      <c r="L1" s="1595"/>
      <c r="M1" s="1595"/>
      <c r="N1" s="1595"/>
      <c r="O1" s="1596"/>
      <c r="Q1" s="1612" t="s">
        <v>2224</v>
      </c>
      <c r="R1" s="1613"/>
      <c r="S1" s="1613"/>
      <c r="T1" s="1613"/>
      <c r="U1" s="1613"/>
      <c r="V1" s="1613"/>
      <c r="W1" s="1614"/>
      <c r="Y1" s="1612" t="s">
        <v>2225</v>
      </c>
      <c r="Z1" s="1613"/>
      <c r="AA1" s="1613"/>
      <c r="AB1" s="1613"/>
      <c r="AC1" s="1613"/>
      <c r="AD1" s="1613"/>
      <c r="AE1" s="1614"/>
      <c r="AG1" s="1609" t="s">
        <v>2284</v>
      </c>
      <c r="AH1" s="1610"/>
      <c r="AI1" s="1610"/>
      <c r="AJ1" s="1610"/>
      <c r="AK1" s="1610"/>
      <c r="AL1" s="1610"/>
      <c r="AM1" s="1611"/>
      <c r="AO1" s="1609" t="s">
        <v>2285</v>
      </c>
      <c r="AP1" s="1610"/>
      <c r="AQ1" s="1610"/>
      <c r="AR1" s="1610"/>
      <c r="AS1" s="1610"/>
      <c r="AT1" s="1610"/>
      <c r="AU1" s="1611"/>
    </row>
    <row r="2" spans="1:47" ht="13.5" thickBot="1" x14ac:dyDescent="0.25">
      <c r="A2" s="500" t="s">
        <v>1832</v>
      </c>
      <c r="B2" s="501"/>
      <c r="C2" s="502"/>
      <c r="D2" s="500" t="s">
        <v>2213</v>
      </c>
      <c r="E2" s="508"/>
      <c r="F2" s="508"/>
      <c r="G2" s="508"/>
      <c r="H2" s="508"/>
      <c r="I2" s="509"/>
      <c r="K2" s="1479" t="str">
        <f>Summary3</f>
        <v>#16 - R34 - BLANKET - GANY</v>
      </c>
      <c r="Q2" s="60" t="s">
        <v>2182</v>
      </c>
      <c r="S2" s="235" t="s">
        <v>2176</v>
      </c>
      <c r="T2" s="235" t="s">
        <v>2177</v>
      </c>
      <c r="U2" s="235" t="s">
        <v>2178</v>
      </c>
      <c r="V2" s="235" t="s">
        <v>2179</v>
      </c>
      <c r="W2" s="235" t="s">
        <v>2180</v>
      </c>
      <c r="Y2" s="60" t="s">
        <v>2182</v>
      </c>
      <c r="AA2" s="235" t="s">
        <v>2176</v>
      </c>
      <c r="AB2" s="235" t="s">
        <v>2177</v>
      </c>
      <c r="AC2" s="235" t="s">
        <v>2178</v>
      </c>
      <c r="AD2" s="235" t="s">
        <v>2179</v>
      </c>
      <c r="AE2" s="235" t="s">
        <v>2180</v>
      </c>
      <c r="AG2" s="60" t="s">
        <v>2182</v>
      </c>
      <c r="AI2" s="235" t="s">
        <v>2176</v>
      </c>
      <c r="AJ2" s="235" t="s">
        <v>2177</v>
      </c>
      <c r="AK2" s="235" t="s">
        <v>2178</v>
      </c>
      <c r="AL2" s="235" t="s">
        <v>2179</v>
      </c>
      <c r="AM2" s="235" t="s">
        <v>2180</v>
      </c>
      <c r="AO2" s="60" t="s">
        <v>2182</v>
      </c>
      <c r="AQ2" s="235" t="s">
        <v>2176</v>
      </c>
      <c r="AR2" s="235" t="s">
        <v>2177</v>
      </c>
      <c r="AS2" s="235" t="s">
        <v>2178</v>
      </c>
      <c r="AT2" s="235" t="s">
        <v>2179</v>
      </c>
      <c r="AU2" s="235" t="s">
        <v>2180</v>
      </c>
    </row>
    <row r="3" spans="1:47" ht="13.5" thickBot="1" x14ac:dyDescent="0.25">
      <c r="A3" s="505" t="s">
        <v>1024</v>
      </c>
      <c r="B3" s="506"/>
      <c r="C3" s="1268" t="str">
        <f>DF_State</f>
        <v>CT</v>
      </c>
      <c r="D3" s="1320" t="s">
        <v>2173</v>
      </c>
      <c r="E3" s="1323" t="s">
        <v>57</v>
      </c>
      <c r="F3" s="1323" t="s">
        <v>2170</v>
      </c>
      <c r="G3" s="1323" t="s">
        <v>2228</v>
      </c>
      <c r="H3" s="1323" t="s">
        <v>2171</v>
      </c>
      <c r="I3" s="1324" t="s">
        <v>2172</v>
      </c>
      <c r="K3" s="1105"/>
      <c r="L3" s="235" t="s">
        <v>1012</v>
      </c>
      <c r="M3" s="235" t="s">
        <v>1013</v>
      </c>
      <c r="N3" s="557" t="s">
        <v>838</v>
      </c>
      <c r="O3" s="557" t="s">
        <v>837</v>
      </c>
      <c r="Q3" s="60"/>
      <c r="R3" s="1117" t="s">
        <v>1197</v>
      </c>
      <c r="S3" s="2">
        <f>IF(ISTEXT($E4),VLOOKUP($E4,Table_G1_LC,MATCH($G4&amp;"B",List_ClassLC,0)+3,FALSE),0)</f>
        <v>0.124</v>
      </c>
      <c r="T3" s="2">
        <f>IF(ISTEXT($E5),VLOOKUP($E5,Table_G1_LC,MATCH($G5&amp;"B",List_ClassLC,0)+3,FALSE),0)</f>
        <v>0.113</v>
      </c>
      <c r="U3" s="2">
        <f>IF(ISTEXT($E6),VLOOKUP($E6,Table_G1_LC,MATCH($G6&amp;"B",List_ClassLC,0)+3,FALSE),0)</f>
        <v>8.5000000000000006E-2</v>
      </c>
      <c r="V3" s="2">
        <f>IF(ISTEXT($E7),VLOOKUP($E7,Table_G1_LC,MATCH($G7&amp;"B",List_ClassLC,0)+3,FALSE),0)</f>
        <v>0</v>
      </c>
      <c r="W3" s="2">
        <f>IF(ISTEXT($E8),VLOOKUP($E8,Table_G1_LC,MATCH($G8&amp;"B",List_ClassLC,0)+3,FALSE),0)</f>
        <v>0</v>
      </c>
      <c r="Y3" s="60"/>
      <c r="Z3" s="1117" t="s">
        <v>1197</v>
      </c>
      <c r="AA3" s="2">
        <f>IF(ISTEXT($E4),VLOOKUP($H4,Table_G2SymLC,2,FALSE),0)</f>
        <v>4.2000000000000003E-2</v>
      </c>
      <c r="AB3" s="2">
        <f>IF(ISTEXT($E5),VLOOKUP($H5,Table_G2SymLC,2,FALSE),0)</f>
        <v>6.7000000000000004E-2</v>
      </c>
      <c r="AC3" s="2">
        <f>IF(ISTEXT($E6),VLOOKUP($H6,Table_G2SymLC,2,FALSE),0)</f>
        <v>4.2000000000000003E-2</v>
      </c>
      <c r="AD3" s="2">
        <f>IF(ISTEXT($E7),VLOOKUP($H7,Table_G2SymLC,2,FALSE),0)</f>
        <v>0</v>
      </c>
      <c r="AE3" s="2">
        <f>IF(ISTEXT($E8),VLOOKUP($H8,Table_G2SymLC,2,FALSE),0)</f>
        <v>0</v>
      </c>
      <c r="AG3" s="60"/>
      <c r="AH3" s="1117" t="s">
        <v>1198</v>
      </c>
      <c r="AI3" s="2">
        <f>IF(ISTEXT($E13),VLOOKUP($E13,Table_G1_LC,MATCH($G13&amp;"C",List_ClassLC,0)+3,FALSE),0)</f>
        <v>0</v>
      </c>
      <c r="AJ3" s="2">
        <f>IF(ISTEXT($E14),VLOOKUP($E14,Table_G1_LC,MATCH($G14&amp;"C",List_ClassLC,0)+3,FALSE),0)</f>
        <v>0</v>
      </c>
      <c r="AK3" s="2">
        <f>IF(ISTEXT($E15),VLOOKUP($E15,Table_G1_LC,MATCH($G15&amp;"C",List_ClassLC,0)+3,FALSE),0)</f>
        <v>0</v>
      </c>
      <c r="AL3" s="2">
        <f>IF(ISTEXT($E16),VLOOKUP($E16,Table_G1_LC,MATCH($G16&amp;"C",List_ClassLC,0)+3,FALSE),0)</f>
        <v>0</v>
      </c>
      <c r="AM3" s="2">
        <f>IF(ISTEXT($E17),VLOOKUP($E17,Table_G1_LC,MATCH($G17&amp;"C",List_ClassLC,0)+3,FALSE),0)</f>
        <v>0</v>
      </c>
      <c r="AO3" s="60"/>
      <c r="AP3" s="1117" t="s">
        <v>1198</v>
      </c>
      <c r="AQ3" s="2">
        <f>IF(ISTEXT($E13),VLOOKUP($H13,Table_G2SymLC,3,FALSE),0)</f>
        <v>0</v>
      </c>
      <c r="AR3" s="2">
        <f>IF(ISTEXT($E14),VLOOKUP($H14,Table_G2SymLC,3,FALSE),0)</f>
        <v>0</v>
      </c>
      <c r="AS3" s="2">
        <f>IF(ISTEXT($E15),VLOOKUP($H15,Table_G2SymLC,3,FALSE),0)</f>
        <v>0</v>
      </c>
      <c r="AT3" s="2">
        <f>IF(ISTEXT($E16),VLOOKUP($H16,Table_G2SymLC,3,FALSE),0)</f>
        <v>0</v>
      </c>
      <c r="AU3" s="2">
        <f>IF(ISTEXT($E17),VLOOKUP($H17,Table_G2SymLC,3,FALSE),0)</f>
        <v>0</v>
      </c>
    </row>
    <row r="4" spans="1:47" x14ac:dyDescent="0.2">
      <c r="A4" s="1036" t="s">
        <v>1828</v>
      </c>
      <c r="B4" s="1041"/>
      <c r="C4" s="1092"/>
      <c r="D4" s="1321">
        <v>1</v>
      </c>
      <c r="E4" s="1349" t="s">
        <v>43</v>
      </c>
      <c r="F4" s="1359">
        <v>1</v>
      </c>
      <c r="G4" s="1351">
        <v>2</v>
      </c>
      <c r="H4" s="1352" t="s">
        <v>18</v>
      </c>
      <c r="I4" s="1353">
        <v>1000000</v>
      </c>
      <c r="K4" s="1340" t="s">
        <v>55</v>
      </c>
      <c r="L4" s="1341"/>
      <c r="M4" s="1342"/>
      <c r="N4" s="1342"/>
      <c r="O4" s="1342"/>
      <c r="Q4" s="60"/>
      <c r="R4" s="1117" t="s">
        <v>1178</v>
      </c>
      <c r="S4" s="207">
        <f>IF(ISNUMBER($F4),VLOOKUP($F4,Table_ProtClass,IF($G4&lt;=3,2,3),FALSE),0)</f>
        <v>0.88</v>
      </c>
      <c r="T4" s="207">
        <f>IF(ISNUMBER($F5),VLOOKUP($F5,Table_ProtClass,IF($G5&lt;=3,2,3),FALSE),0)</f>
        <v>0.88</v>
      </c>
      <c r="U4" s="207">
        <f>IF(ISNUMBER($F6),VLOOKUP($F6,Table_ProtClass,IF($G6&lt;=3,2,3),FALSE),0)</f>
        <v>0.92</v>
      </c>
      <c r="V4" s="207">
        <f>IF(ISNUMBER($F7),VLOOKUP($F7,Table_ProtClass,IF($G7&lt;=3,2,3),FALSE),0)</f>
        <v>0</v>
      </c>
      <c r="W4" s="207">
        <f>IF(ISNUMBER($F8),VLOOKUP($F8,Table_ProtClass,IF($G8&lt;=3,2,3),FALSE),0)</f>
        <v>0</v>
      </c>
      <c r="Y4" s="60"/>
      <c r="Z4" s="1117" t="s">
        <v>1178</v>
      </c>
      <c r="AA4" s="207">
        <v>1</v>
      </c>
      <c r="AB4" s="207">
        <v>1</v>
      </c>
      <c r="AC4" s="207">
        <v>1</v>
      </c>
      <c r="AD4" s="207">
        <v>1</v>
      </c>
      <c r="AE4" s="207">
        <v>1</v>
      </c>
      <c r="AG4" s="60"/>
      <c r="AH4" s="1117" t="s">
        <v>1178</v>
      </c>
      <c r="AI4" s="207">
        <f>IF(ISNUMBER($F13),VLOOKUP($F13,Table_ProtClass,IF($G13&lt;=3,2,3),FALSE),0)</f>
        <v>0</v>
      </c>
      <c r="AJ4" s="207">
        <f>IF(ISNUMBER($F14),VLOOKUP($F14,Table_ProtClass,IF($G14&lt;=3,2,3),FALSE),0)</f>
        <v>0</v>
      </c>
      <c r="AK4" s="207">
        <f>IF(ISNUMBER($F15),VLOOKUP($F15,Table_ProtClass,IF($G15&lt;=3,2,3),FALSE),0)</f>
        <v>0</v>
      </c>
      <c r="AL4" s="207">
        <f>IF(ISNUMBER($F16),VLOOKUP($F16,Table_ProtClass,IF($G16&lt;=3,2,3),FALSE),0)</f>
        <v>0</v>
      </c>
      <c r="AM4" s="207">
        <f>IF(ISNUMBER($F17),VLOOKUP($F17,Table_ProtClass,IF($G17&lt;=3,2,3),FALSE),0)</f>
        <v>0</v>
      </c>
      <c r="AO4" s="60"/>
      <c r="AP4" s="1117" t="s">
        <v>1178</v>
      </c>
      <c r="AQ4" s="207">
        <v>1</v>
      </c>
      <c r="AR4" s="207">
        <v>1</v>
      </c>
      <c r="AS4" s="207">
        <v>1</v>
      </c>
      <c r="AT4" s="207">
        <v>1</v>
      </c>
      <c r="AU4" s="207">
        <v>1</v>
      </c>
    </row>
    <row r="5" spans="1:47" x14ac:dyDescent="0.2">
      <c r="A5" s="120"/>
      <c r="B5" s="95"/>
      <c r="C5" s="125"/>
      <c r="D5" s="1322">
        <v>2</v>
      </c>
      <c r="E5" s="1354" t="s">
        <v>47</v>
      </c>
      <c r="F5" s="1360">
        <v>1</v>
      </c>
      <c r="G5" s="1352">
        <v>2</v>
      </c>
      <c r="H5" s="1352" t="s">
        <v>28</v>
      </c>
      <c r="I5" s="1353">
        <v>1000000</v>
      </c>
      <c r="K5" s="1458" t="s">
        <v>2278</v>
      </c>
      <c r="L5" s="1463">
        <f>IF($C$21="Yes",$S$30, "NA")</f>
        <v>3.9E-2</v>
      </c>
      <c r="M5" s="1463">
        <f>IF($C$21="Yes",$AA$30, "NA")</f>
        <v>1.9E-2</v>
      </c>
      <c r="N5" s="1463">
        <f>IF($C$21="Yes",$S$75, "NA")</f>
        <v>1.7999999999999999E-2</v>
      </c>
      <c r="O5" s="1463">
        <f>IF($C$21="Yes",$AA$75, "NA")</f>
        <v>6.0000000000000001E-3</v>
      </c>
      <c r="Q5" s="60"/>
      <c r="R5" s="545" t="s">
        <v>971</v>
      </c>
      <c r="S5" s="207">
        <f>HLOOKUP($C$10,Table_StateRates,6,FALSE)</f>
        <v>1.9</v>
      </c>
      <c r="T5" s="207">
        <f>HLOOKUP($C$10,Table_StateRates,6,FALSE)</f>
        <v>1.9</v>
      </c>
      <c r="U5" s="207">
        <f>HLOOKUP($C$10,Table_StateRates,6,FALSE)</f>
        <v>1.9</v>
      </c>
      <c r="V5" s="207">
        <f>HLOOKUP($C$10,Table_StateRates,6,FALSE)</f>
        <v>1.9</v>
      </c>
      <c r="W5" s="207">
        <f>HLOOKUP($C$10,Table_StateRates,6,FALSE)</f>
        <v>1.9</v>
      </c>
      <c r="Y5" s="60"/>
      <c r="Z5" s="545" t="s">
        <v>971</v>
      </c>
      <c r="AA5" s="207">
        <f>HLOOKUP($C$10,Table_StateRates,6,FALSE)</f>
        <v>1.9</v>
      </c>
      <c r="AB5" s="207">
        <f>HLOOKUP($C$10,Table_StateRates,6,FALSE)</f>
        <v>1.9</v>
      </c>
      <c r="AC5" s="207">
        <f>HLOOKUP($C$10,Table_StateRates,6,FALSE)</f>
        <v>1.9</v>
      </c>
      <c r="AD5" s="207">
        <f>HLOOKUP($C$10,Table_StateRates,6,FALSE)</f>
        <v>1.9</v>
      </c>
      <c r="AE5" s="207">
        <f>HLOOKUP($C$10,Table_StateRates,6,FALSE)</f>
        <v>1.9</v>
      </c>
      <c r="AG5" s="60"/>
      <c r="AH5" s="545" t="s">
        <v>971</v>
      </c>
      <c r="AI5" s="207">
        <f>HLOOKUP($C$10,Table_StateRates,6,FALSE)</f>
        <v>1.9</v>
      </c>
      <c r="AJ5" s="207">
        <f>HLOOKUP($C$10,Table_StateRates,6,FALSE)</f>
        <v>1.9</v>
      </c>
      <c r="AK5" s="207">
        <f>HLOOKUP($C$10,Table_StateRates,6,FALSE)</f>
        <v>1.9</v>
      </c>
      <c r="AL5" s="207">
        <f>HLOOKUP($C$10,Table_StateRates,6,FALSE)</f>
        <v>1.9</v>
      </c>
      <c r="AM5" s="207">
        <f>HLOOKUP($C$10,Table_StateRates,6,FALSE)</f>
        <v>1.9</v>
      </c>
      <c r="AO5" s="60"/>
      <c r="AP5" s="545" t="s">
        <v>971</v>
      </c>
      <c r="AQ5" s="207">
        <f>HLOOKUP($C$10,Table_StateRates,6,FALSE)</f>
        <v>1.9</v>
      </c>
      <c r="AR5" s="207">
        <f>HLOOKUP($C$10,Table_StateRates,6,FALSE)</f>
        <v>1.9</v>
      </c>
      <c r="AS5" s="207">
        <f>HLOOKUP($C$10,Table_StateRates,6,FALSE)</f>
        <v>1.9</v>
      </c>
      <c r="AT5" s="207">
        <f>HLOOKUP($C$10,Table_StateRates,6,FALSE)</f>
        <v>1.9</v>
      </c>
      <c r="AU5" s="207">
        <f>HLOOKUP($C$10,Table_StateRates,6,FALSE)</f>
        <v>1.9</v>
      </c>
    </row>
    <row r="6" spans="1:47" x14ac:dyDescent="0.2">
      <c r="A6" s="120" t="s">
        <v>969</v>
      </c>
      <c r="B6" s="95"/>
      <c r="C6" s="1093" t="s">
        <v>985</v>
      </c>
      <c r="D6" s="1322">
        <v>3</v>
      </c>
      <c r="E6" s="1354" t="s">
        <v>49</v>
      </c>
      <c r="F6" s="1360">
        <v>2</v>
      </c>
      <c r="G6" s="1352">
        <v>1</v>
      </c>
      <c r="H6" s="1352" t="s">
        <v>18</v>
      </c>
      <c r="I6" s="1353">
        <v>1000000</v>
      </c>
      <c r="K6" s="1344" t="s">
        <v>2204</v>
      </c>
      <c r="L6" s="258">
        <f>IF($C$21="Yes",S$35,0)</f>
        <v>390</v>
      </c>
      <c r="M6" s="258">
        <f>IF($C$21="Yes",AA$35,0)</f>
        <v>190</v>
      </c>
      <c r="N6" s="259">
        <f>IF(AND($C$21="Yes",$C$11="SP"),S$80,0)</f>
        <v>180</v>
      </c>
      <c r="O6" s="259">
        <f>IF(AND($C$21="Yes",$C$11="BR"),AA$80,0)</f>
        <v>0</v>
      </c>
      <c r="Q6" s="60"/>
      <c r="R6" s="545" t="s">
        <v>2331</v>
      </c>
      <c r="S6" s="207">
        <f>$C$13</f>
        <v>1</v>
      </c>
      <c r="T6" s="207">
        <f t="shared" ref="T6:W6" si="0">$C$13</f>
        <v>1</v>
      </c>
      <c r="U6" s="207">
        <f t="shared" si="0"/>
        <v>1</v>
      </c>
      <c r="V6" s="207">
        <f t="shared" si="0"/>
        <v>1</v>
      </c>
      <c r="W6" s="207">
        <f t="shared" si="0"/>
        <v>1</v>
      </c>
      <c r="Y6" s="60"/>
      <c r="Z6" s="545" t="s">
        <v>1199</v>
      </c>
      <c r="AA6" s="207">
        <v>1</v>
      </c>
      <c r="AB6" s="207">
        <v>1</v>
      </c>
      <c r="AC6" s="207">
        <v>1</v>
      </c>
      <c r="AD6" s="207">
        <v>1</v>
      </c>
      <c r="AE6" s="207">
        <v>1</v>
      </c>
      <c r="AG6" s="60"/>
      <c r="AH6" s="1210" t="s">
        <v>1199</v>
      </c>
      <c r="AI6" s="207">
        <f>$C$13</f>
        <v>1</v>
      </c>
      <c r="AJ6" s="207">
        <f t="shared" ref="AJ6:AM6" si="1">$C$13</f>
        <v>1</v>
      </c>
      <c r="AK6" s="207">
        <f t="shared" si="1"/>
        <v>1</v>
      </c>
      <c r="AL6" s="207">
        <f t="shared" si="1"/>
        <v>1</v>
      </c>
      <c r="AM6" s="207">
        <f t="shared" si="1"/>
        <v>1</v>
      </c>
      <c r="AO6" s="60"/>
      <c r="AP6" s="1210" t="s">
        <v>1199</v>
      </c>
      <c r="AQ6" s="207">
        <v>1</v>
      </c>
      <c r="AR6" s="207">
        <v>1</v>
      </c>
      <c r="AS6" s="207">
        <v>1</v>
      </c>
      <c r="AT6" s="207">
        <v>1</v>
      </c>
      <c r="AU6" s="207">
        <v>1</v>
      </c>
    </row>
    <row r="7" spans="1:47" x14ac:dyDescent="0.2">
      <c r="A7" s="143" t="s">
        <v>923</v>
      </c>
      <c r="B7" s="940" t="s">
        <v>18</v>
      </c>
      <c r="C7" s="1039"/>
      <c r="D7" s="1322">
        <v>4</v>
      </c>
      <c r="E7" s="1354"/>
      <c r="F7" s="1360"/>
      <c r="G7" s="1352"/>
      <c r="H7" s="1352"/>
      <c r="I7" s="1356"/>
      <c r="K7" s="1344" t="s">
        <v>2205</v>
      </c>
      <c r="L7" s="258">
        <f>IF($C$21="Yes",T$35,0)</f>
        <v>390</v>
      </c>
      <c r="M7" s="258">
        <f>IF($C21="Yes",AB$35,0)</f>
        <v>190</v>
      </c>
      <c r="N7" s="259">
        <f>IF(AND($C$21="Yes",$C$11="SP"),T$80,0)</f>
        <v>180</v>
      </c>
      <c r="O7" s="259">
        <f>IF(AND($C$21="Yes",$C$11="BR"),AB$80,0)</f>
        <v>0</v>
      </c>
      <c r="Q7" s="60"/>
      <c r="R7" s="1210" t="s">
        <v>1018</v>
      </c>
      <c r="S7" s="207">
        <f>IF($B$16=250,DF_250Deductible,$C$16)</f>
        <v>0.95</v>
      </c>
      <c r="T7" s="207">
        <f>IF($B$16=250,DF_250Deductible,$C$16)</f>
        <v>0.95</v>
      </c>
      <c r="U7" s="207">
        <f>IF($B$16=250,DF_250Deductible,$C$16)</f>
        <v>0.95</v>
      </c>
      <c r="V7" s="207">
        <f>IF($B$16=250,DF_250Deductible,$C$16)</f>
        <v>0.95</v>
      </c>
      <c r="W7" s="207">
        <f>IF($B$16=250,DF_250Deductible,$C$16)</f>
        <v>0.95</v>
      </c>
      <c r="Y7" s="60"/>
      <c r="Z7" s="1210" t="s">
        <v>1018</v>
      </c>
      <c r="AA7" s="207">
        <f>IF($B$16=250,DF_250Deductible,$C$16)</f>
        <v>0.95</v>
      </c>
      <c r="AB7" s="207">
        <f>IF($B$16=250,DF_250Deductible,$C$16)</f>
        <v>0.95</v>
      </c>
      <c r="AC7" s="207">
        <f>IF($B$16=250,DF_250Deductible,$C$16)</f>
        <v>0.95</v>
      </c>
      <c r="AD7" s="207">
        <f>IF($B$16=250,DF_250Deductible,$C$16)</f>
        <v>0.95</v>
      </c>
      <c r="AE7" s="207">
        <f>IF($B$16=250,DF_250Deductible,$C$16)</f>
        <v>0.95</v>
      </c>
      <c r="AG7" s="60"/>
      <c r="AH7" s="1210" t="s">
        <v>1018</v>
      </c>
      <c r="AI7" s="207">
        <f>IF($B$18=250,DF_250Deductible,$C$18)</f>
        <v>1</v>
      </c>
      <c r="AJ7" s="207">
        <f>IF($B$18=250,DF_250Deductible,$C$18)</f>
        <v>1</v>
      </c>
      <c r="AK7" s="207">
        <f>IF($B$18=250,DF_250Deductible,$C$18)</f>
        <v>1</v>
      </c>
      <c r="AL7" s="207">
        <f>IF($B$18=250,DF_250Deductible,$C$18)</f>
        <v>1</v>
      </c>
      <c r="AM7" s="207">
        <f>IF($B$18=250,DF_250Deductible,$C$18)</f>
        <v>1</v>
      </c>
      <c r="AO7" s="60"/>
      <c r="AP7" s="1210" t="s">
        <v>1018</v>
      </c>
      <c r="AQ7" s="207">
        <f>IF($B$18=250,DF_250Deductible,$C$18)</f>
        <v>1</v>
      </c>
      <c r="AR7" s="207">
        <f>IF($B$18=250,DF_250Deductible,$C$18)</f>
        <v>1</v>
      </c>
      <c r="AS7" s="207">
        <f>IF($B$18=250,DF_250Deductible,$C$18)</f>
        <v>1</v>
      </c>
      <c r="AT7" s="207">
        <f>IF($B$18=250,DF_250Deductible,$C$18)</f>
        <v>1</v>
      </c>
      <c r="AU7" s="207">
        <f>IF($B$18=250,DF_250Deductible,$C$18)</f>
        <v>1</v>
      </c>
    </row>
    <row r="8" spans="1:47" x14ac:dyDescent="0.2">
      <c r="A8" s="120"/>
      <c r="B8" s="95"/>
      <c r="C8" s="1039"/>
      <c r="D8" s="1322">
        <v>5</v>
      </c>
      <c r="E8" s="1354"/>
      <c r="F8" s="1360"/>
      <c r="G8" s="1352"/>
      <c r="H8" s="1352"/>
      <c r="I8" s="1356"/>
      <c r="K8" s="1344" t="s">
        <v>2206</v>
      </c>
      <c r="L8" s="258">
        <f>IF($C$21="Yes",U$35,0)</f>
        <v>390</v>
      </c>
      <c r="M8" s="258">
        <f>IF($C21="Yes",AC$35,0)</f>
        <v>190</v>
      </c>
      <c r="N8" s="259">
        <f>IF(AND($C$21="Yes",$C$11="SP"),U$80,0)</f>
        <v>180</v>
      </c>
      <c r="O8" s="259">
        <f>IF(AND($C$21="Yes",$C$11="BR"),AC$80,0)</f>
        <v>0</v>
      </c>
      <c r="Q8" s="185"/>
      <c r="R8" s="1226" t="s">
        <v>1019</v>
      </c>
      <c r="S8" s="208">
        <f>HLOOKUP($C$10,Table_StateRates,5,FALSE)</f>
        <v>0.66</v>
      </c>
      <c r="T8" s="208">
        <f>HLOOKUP(C10,Table_StateRates,5,FALSE)</f>
        <v>0.66</v>
      </c>
      <c r="U8" s="208">
        <f>HLOOKUP(C10,Table_StateRates,5,FALSE)</f>
        <v>0.66</v>
      </c>
      <c r="V8" s="208">
        <f>HLOOKUP(C10,Table_StateRates,5,FALSE)</f>
        <v>0.66</v>
      </c>
      <c r="W8" s="208">
        <f>HLOOKUP(C10,Table_StateRates,5,FALSE)</f>
        <v>0.66</v>
      </c>
      <c r="Y8" s="185"/>
      <c r="Z8" s="1226" t="s">
        <v>1019</v>
      </c>
      <c r="AA8" s="208">
        <f>HLOOKUP(C10,Table_StateRates,5,FALSE)</f>
        <v>0.66</v>
      </c>
      <c r="AB8" s="208">
        <f>HLOOKUP(C10,Table_StateRates,5,FALSE)</f>
        <v>0.66</v>
      </c>
      <c r="AC8" s="208">
        <f>HLOOKUP(C10,Table_StateRates,5,FALSE)</f>
        <v>0.66</v>
      </c>
      <c r="AD8" s="208">
        <f>HLOOKUP(C10,Table_StateRates,5,FALSE)</f>
        <v>0.66</v>
      </c>
      <c r="AE8" s="208">
        <f>HLOOKUP(C10,Table_StateRates,5,FALSE)</f>
        <v>0.66</v>
      </c>
      <c r="AG8" s="185"/>
      <c r="AH8" s="1226" t="s">
        <v>1019</v>
      </c>
      <c r="AI8" s="208">
        <f>HLOOKUP($C$10,Table_StateRates,5,FALSE)</f>
        <v>0.66</v>
      </c>
      <c r="AJ8" s="208">
        <f>HLOOKUP($C$10,Table_StateRates,5,FALSE)</f>
        <v>0.66</v>
      </c>
      <c r="AK8" s="208">
        <f>HLOOKUP($C$10,Table_StateRates,5,FALSE)</f>
        <v>0.66</v>
      </c>
      <c r="AL8" s="208">
        <f>HLOOKUP($C$10,Table_StateRates,5,FALSE)</f>
        <v>0.66</v>
      </c>
      <c r="AM8" s="208">
        <f>HLOOKUP($C$10,Table_StateRates,5,FALSE)</f>
        <v>0.66</v>
      </c>
      <c r="AO8" s="185"/>
      <c r="AP8" s="1226" t="s">
        <v>1019</v>
      </c>
      <c r="AQ8" s="208">
        <f>HLOOKUP($C$10,Table_StateRates,5,FALSE)</f>
        <v>0.66</v>
      </c>
      <c r="AR8" s="208">
        <f>HLOOKUP($C$10,Table_StateRates,5,FALSE)</f>
        <v>0.66</v>
      </c>
      <c r="AS8" s="208">
        <f>HLOOKUP($C$10,Table_StateRates,5,FALSE)</f>
        <v>0.66</v>
      </c>
      <c r="AT8" s="208">
        <f>HLOOKUP($C$10,Table_StateRates,5,FALSE)</f>
        <v>0.66</v>
      </c>
      <c r="AU8" s="208">
        <f>HLOOKUP($C$10,Table_StateRates,5,FALSE)</f>
        <v>0.66</v>
      </c>
    </row>
    <row r="9" spans="1:47" x14ac:dyDescent="0.2">
      <c r="A9" s="120" t="s">
        <v>1829</v>
      </c>
      <c r="B9" s="95"/>
      <c r="C9" s="1094">
        <v>1</v>
      </c>
      <c r="D9" s="1326"/>
      <c r="E9" s="1327"/>
      <c r="F9" s="1347"/>
      <c r="G9" s="1328"/>
      <c r="H9" s="1329" t="s">
        <v>2174</v>
      </c>
      <c r="I9" s="1325">
        <f>SUM(I4:I8)</f>
        <v>3000000</v>
      </c>
      <c r="K9" s="1344" t="s">
        <v>2207</v>
      </c>
      <c r="L9" s="258">
        <f>IF($C$21="Yes",V$35,0)</f>
        <v>0</v>
      </c>
      <c r="M9" s="258">
        <f>IF($C21="Yes",AD$35,0)</f>
        <v>0</v>
      </c>
      <c r="N9" s="259">
        <f>IF(AND($C$21="Yes",$C$11="SP"),V$80,0)</f>
        <v>0</v>
      </c>
      <c r="O9" s="259">
        <f>IF(AND($C$21="Yes",$C$11="BR"),AD$80,0)</f>
        <v>0</v>
      </c>
      <c r="Q9" s="60"/>
      <c r="R9" s="83" t="s">
        <v>2181</v>
      </c>
      <c r="S9" s="1315">
        <f>ROUND(PRODUCT(S3:S8),3)</f>
        <v>0.13</v>
      </c>
      <c r="T9" s="1315">
        <f>ROUND(PRODUCT(T3:T8),3)</f>
        <v>0.11799999999999999</v>
      </c>
      <c r="U9" s="1315">
        <f>ROUND(PRODUCT(U3:U8),3)</f>
        <v>9.2999999999999999E-2</v>
      </c>
      <c r="V9" s="1315">
        <f>ROUND(PRODUCT(V3:V8),3)</f>
        <v>0</v>
      </c>
      <c r="W9" s="1315">
        <f>ROUND(PRODUCT(W3:W8),3)</f>
        <v>0</v>
      </c>
      <c r="Y9" s="60"/>
      <c r="Z9" s="83" t="s">
        <v>2223</v>
      </c>
      <c r="AA9" s="1315">
        <f>ROUND(PRODUCT(AA3:AA8),3)</f>
        <v>0.05</v>
      </c>
      <c r="AB9" s="1315">
        <f>ROUND(PRODUCT(AB3:AB8),3)</f>
        <v>0.08</v>
      </c>
      <c r="AC9" s="1315">
        <f>ROUND(PRODUCT(AC3:AC8),3)</f>
        <v>0.05</v>
      </c>
      <c r="AD9" s="1315">
        <f>ROUND(PRODUCT(AD3:AD8),3)</f>
        <v>0</v>
      </c>
      <c r="AE9" s="1315">
        <f>ROUND(PRODUCT(AE3:AE8),3)</f>
        <v>0</v>
      </c>
      <c r="AG9" s="60"/>
      <c r="AH9" s="83" t="s">
        <v>2181</v>
      </c>
      <c r="AI9" s="1315">
        <f>ROUND(PRODUCT(AI3:AI8),3)</f>
        <v>0</v>
      </c>
      <c r="AJ9" s="1315">
        <f>ROUND(PRODUCT(AJ3:AJ8),3)</f>
        <v>0</v>
      </c>
      <c r="AK9" s="1315">
        <f>ROUND(PRODUCT(AK3:AK8),3)</f>
        <v>0</v>
      </c>
      <c r="AL9" s="1315">
        <f>ROUND(PRODUCT(AL3:AL8),3)</f>
        <v>0</v>
      </c>
      <c r="AM9" s="1315">
        <f>ROUND(PRODUCT(AM3:AM8),3)</f>
        <v>0</v>
      </c>
      <c r="AO9" s="60"/>
      <c r="AP9" s="83" t="s">
        <v>2223</v>
      </c>
      <c r="AQ9" s="1312">
        <f>ROUND(PRODUCT(AQ3:AQ8),3)</f>
        <v>0</v>
      </c>
      <c r="AR9" s="1312">
        <f>ROUND(PRODUCT(AR3:AR8),3)</f>
        <v>0</v>
      </c>
      <c r="AS9" s="1312">
        <f>ROUND(PRODUCT(AS3:AS8),3)</f>
        <v>0</v>
      </c>
      <c r="AT9" s="1312">
        <f>ROUND(PRODUCT(AT3:AT8),3)</f>
        <v>0</v>
      </c>
      <c r="AU9" s="1312">
        <f>ROUND(PRODUCT(AU3:AU8),3)</f>
        <v>0</v>
      </c>
    </row>
    <row r="10" spans="1:47" ht="13.5" thickBot="1" x14ac:dyDescent="0.25">
      <c r="A10" s="120" t="s">
        <v>835</v>
      </c>
      <c r="B10" s="1317"/>
      <c r="C10" s="1093" t="s">
        <v>1861</v>
      </c>
      <c r="D10" s="126"/>
      <c r="E10" s="541"/>
      <c r="F10" s="541"/>
      <c r="G10" s="96"/>
      <c r="H10" s="96"/>
      <c r="I10" s="1096"/>
      <c r="K10" s="1345" t="s">
        <v>2208</v>
      </c>
      <c r="L10" s="1357">
        <f>IF($C$21="Yes",W$35,0)</f>
        <v>0</v>
      </c>
      <c r="M10" s="1357">
        <f>IF($C21="Yes",AE$35,0)</f>
        <v>0</v>
      </c>
      <c r="N10" s="884">
        <f>IF(AND($C$21="Yes",$C$11="SP"),W$80,0)</f>
        <v>0</v>
      </c>
      <c r="O10" s="884">
        <f>IF(AND($C$21="Yes",$C$11="BR"),AE$80,0)</f>
        <v>0</v>
      </c>
      <c r="Q10" s="60"/>
      <c r="R10" s="83"/>
      <c r="S10" s="1312"/>
      <c r="T10" s="1312"/>
      <c r="U10" s="1312"/>
      <c r="V10" s="1312"/>
      <c r="W10" s="1312"/>
      <c r="AG10" s="60"/>
      <c r="AH10" s="83"/>
      <c r="AI10" s="1312"/>
      <c r="AJ10" s="1312"/>
      <c r="AK10" s="1312"/>
      <c r="AL10" s="1312"/>
      <c r="AM10" s="1312"/>
    </row>
    <row r="11" spans="1:47" x14ac:dyDescent="0.2">
      <c r="A11" s="415" t="s">
        <v>910</v>
      </c>
      <c r="B11" s="1318"/>
      <c r="C11" s="704" t="s">
        <v>894</v>
      </c>
      <c r="D11" s="500" t="s">
        <v>2215</v>
      </c>
      <c r="E11" s="508"/>
      <c r="F11" s="508"/>
      <c r="G11" s="508"/>
      <c r="H11" s="508"/>
      <c r="I11" s="509"/>
      <c r="K11" s="1343" t="s">
        <v>2218</v>
      </c>
      <c r="L11" s="485">
        <f>SUM(L6:L10)</f>
        <v>1170</v>
      </c>
      <c r="M11" s="485">
        <f>SUM(M6:M10)</f>
        <v>570</v>
      </c>
      <c r="N11" s="485">
        <f>SUM(N6:N10)</f>
        <v>540</v>
      </c>
      <c r="O11" s="485">
        <f>SUM(O6:O10)</f>
        <v>0</v>
      </c>
      <c r="Q11" s="60" t="s">
        <v>2183</v>
      </c>
      <c r="R11" s="83"/>
      <c r="S11" s="1312"/>
      <c r="T11" s="1312"/>
      <c r="U11" s="1312"/>
      <c r="V11" s="1312"/>
      <c r="W11" s="1312"/>
      <c r="Y11" s="60" t="s">
        <v>2183</v>
      </c>
      <c r="Z11" s="83"/>
      <c r="AA11" s="1312"/>
      <c r="AB11" s="1312"/>
      <c r="AC11" s="1312"/>
      <c r="AD11" s="1312"/>
      <c r="AE11" s="1312"/>
      <c r="AG11" s="60" t="s">
        <v>2183</v>
      </c>
      <c r="AH11" s="83"/>
      <c r="AI11" s="1312"/>
      <c r="AJ11" s="1312"/>
      <c r="AK11" s="1312"/>
      <c r="AL11" s="1312"/>
      <c r="AM11" s="1312"/>
      <c r="AO11" s="60" t="s">
        <v>2183</v>
      </c>
      <c r="AP11" s="83"/>
      <c r="AQ11" s="1312"/>
      <c r="AR11" s="1312"/>
      <c r="AS11" s="1312"/>
      <c r="AT11" s="1312"/>
      <c r="AU11" s="1312"/>
    </row>
    <row r="12" spans="1:47" ht="13.5" thickBot="1" x14ac:dyDescent="0.25">
      <c r="A12" s="507" t="s">
        <v>1069</v>
      </c>
      <c r="B12" s="95"/>
      <c r="C12" s="1319">
        <v>1</v>
      </c>
      <c r="D12" s="1320" t="s">
        <v>2173</v>
      </c>
      <c r="E12" s="1323" t="s">
        <v>57</v>
      </c>
      <c r="F12" s="1323" t="s">
        <v>2170</v>
      </c>
      <c r="G12" s="1323" t="s">
        <v>2228</v>
      </c>
      <c r="H12" s="1323" t="s">
        <v>2171</v>
      </c>
      <c r="I12" s="1324" t="s">
        <v>2172</v>
      </c>
      <c r="K12" s="1206"/>
      <c r="L12" s="485"/>
      <c r="M12" s="485"/>
      <c r="N12" s="485"/>
      <c r="O12" s="485"/>
      <c r="R12" s="1117" t="s">
        <v>2184</v>
      </c>
      <c r="S12" s="478">
        <f>IF(ISNUMBER($I4),$I4,0)</f>
        <v>1000000</v>
      </c>
      <c r="T12" s="478">
        <f>IF(ISNUMBER($I5),$I5,0)</f>
        <v>1000000</v>
      </c>
      <c r="U12" s="478">
        <f>IF(ISNUMBER($I6),$I6,0)</f>
        <v>1000000</v>
      </c>
      <c r="V12" s="478">
        <f>IF(ISNUMBER($I7),$I7,0)</f>
        <v>0</v>
      </c>
      <c r="W12" s="478">
        <f>IF(ISNUMBER($I8),$I8,0)</f>
        <v>0</v>
      </c>
      <c r="Z12" s="1117" t="s">
        <v>2184</v>
      </c>
      <c r="AA12" s="478">
        <f>IF(ISNUMBER($I$4),$I$4,0)</f>
        <v>1000000</v>
      </c>
      <c r="AB12" s="478">
        <f>IF(ISNUMBER($I$5),$I$5,0)</f>
        <v>1000000</v>
      </c>
      <c r="AC12" s="478">
        <f>IF(ISNUMBER($I$6),$I$6,0)</f>
        <v>1000000</v>
      </c>
      <c r="AD12" s="478">
        <f>IF(ISNUMBER($I$7),$I$7,0)</f>
        <v>0</v>
      </c>
      <c r="AE12" s="478">
        <f>IF(ISNUMBER($I$8),$I$8,0)</f>
        <v>0</v>
      </c>
      <c r="AH12" s="1117" t="s">
        <v>2184</v>
      </c>
      <c r="AI12" s="478">
        <f>IF(ISNUMBER($I13),$I13,0)</f>
        <v>0</v>
      </c>
      <c r="AJ12" s="478">
        <f>IF(ISNUMBER($I14),$I14,0)</f>
        <v>0</v>
      </c>
      <c r="AK12" s="478">
        <f>IF(ISNUMBER($I15),$I15,0)</f>
        <v>0</v>
      </c>
      <c r="AL12" s="478">
        <f>IF(ISNUMBER($I16),$I16,0)</f>
        <v>0</v>
      </c>
      <c r="AM12" s="478">
        <f>IF(ISNUMBER($I17),$I17,0)</f>
        <v>0</v>
      </c>
      <c r="AP12" s="1117" t="s">
        <v>2184</v>
      </c>
      <c r="AQ12" s="478">
        <f>IF(ISNUMBER($I$13),$I$13,0)</f>
        <v>0</v>
      </c>
      <c r="AR12" s="478">
        <f>IF(ISNUMBER($I$14),$I$14,0)</f>
        <v>0</v>
      </c>
      <c r="AS12" s="478">
        <f>IF(ISNUMBER($I$15),$I$15,0)</f>
        <v>0</v>
      </c>
      <c r="AT12" s="478">
        <f>IF(ISNUMBER($I$16),$I$16,0)</f>
        <v>0</v>
      </c>
      <c r="AU12" s="478">
        <f>IF(ISNUMBER($I$17),$I$17,0)</f>
        <v>0</v>
      </c>
    </row>
    <row r="13" spans="1:47" x14ac:dyDescent="0.2">
      <c r="A13" s="1485" t="s">
        <v>2333</v>
      </c>
      <c r="B13" s="95"/>
      <c r="C13" s="1486">
        <v>1</v>
      </c>
      <c r="D13" s="1321">
        <v>1</v>
      </c>
      <c r="E13" s="1349"/>
      <c r="F13" s="1359"/>
      <c r="G13" s="1351"/>
      <c r="H13" s="1352"/>
      <c r="I13" s="1353"/>
      <c r="K13" s="1340" t="s">
        <v>2219</v>
      </c>
      <c r="L13" s="1341"/>
      <c r="M13" s="1342"/>
      <c r="N13" s="1342"/>
      <c r="O13" s="1342"/>
      <c r="Q13" s="185"/>
      <c r="R13" s="1226" t="s">
        <v>2185</v>
      </c>
      <c r="S13" s="238">
        <f>$I$9</f>
        <v>3000000</v>
      </c>
      <c r="T13" s="238">
        <f>$I$9</f>
        <v>3000000</v>
      </c>
      <c r="U13" s="238">
        <f>$I$9</f>
        <v>3000000</v>
      </c>
      <c r="V13" s="238">
        <f>$I$9</f>
        <v>3000000</v>
      </c>
      <c r="W13" s="238">
        <f>$I$9</f>
        <v>3000000</v>
      </c>
      <c r="Y13" s="185"/>
      <c r="Z13" s="1226" t="s">
        <v>2185</v>
      </c>
      <c r="AA13" s="238">
        <f>$I$9</f>
        <v>3000000</v>
      </c>
      <c r="AB13" s="238">
        <f t="shared" ref="AB13:AE13" si="2">$I$9</f>
        <v>3000000</v>
      </c>
      <c r="AC13" s="238">
        <f t="shared" si="2"/>
        <v>3000000</v>
      </c>
      <c r="AD13" s="238">
        <f t="shared" si="2"/>
        <v>3000000</v>
      </c>
      <c r="AE13" s="238">
        <f t="shared" si="2"/>
        <v>3000000</v>
      </c>
      <c r="AG13" s="185"/>
      <c r="AH13" s="1226" t="s">
        <v>2185</v>
      </c>
      <c r="AI13" s="238">
        <f>$I$18</f>
        <v>0</v>
      </c>
      <c r="AJ13" s="238">
        <f t="shared" ref="AJ13:AM13" si="3">$I$18</f>
        <v>0</v>
      </c>
      <c r="AK13" s="238">
        <f t="shared" si="3"/>
        <v>0</v>
      </c>
      <c r="AL13" s="238">
        <f t="shared" si="3"/>
        <v>0</v>
      </c>
      <c r="AM13" s="238">
        <f t="shared" si="3"/>
        <v>0</v>
      </c>
      <c r="AO13" s="185"/>
      <c r="AP13" s="1226" t="s">
        <v>2185</v>
      </c>
      <c r="AQ13" s="238">
        <f>$I$18</f>
        <v>0</v>
      </c>
      <c r="AR13" s="238">
        <f t="shared" ref="AR13:AU13" si="4">$I$18</f>
        <v>0</v>
      </c>
      <c r="AS13" s="238">
        <f t="shared" si="4"/>
        <v>0</v>
      </c>
      <c r="AT13" s="238">
        <f t="shared" si="4"/>
        <v>0</v>
      </c>
      <c r="AU13" s="238">
        <f t="shared" si="4"/>
        <v>0</v>
      </c>
    </row>
    <row r="14" spans="1:47" x14ac:dyDescent="0.2">
      <c r="A14" s="1485" t="s">
        <v>2332</v>
      </c>
      <c r="B14" s="95"/>
      <c r="C14" s="1486">
        <v>1</v>
      </c>
      <c r="D14" s="1322">
        <v>2</v>
      </c>
      <c r="E14" s="1354"/>
      <c r="F14" s="1360"/>
      <c r="G14" s="1352"/>
      <c r="H14" s="1352"/>
      <c r="I14" s="1356"/>
      <c r="K14" s="1458" t="s">
        <v>2278</v>
      </c>
      <c r="L14" s="1463" t="str">
        <f>IF($C$22="Yes",$AI$30,"NA")</f>
        <v>NA</v>
      </c>
      <c r="M14" s="1463" t="str">
        <f>IF($C$22="Yes",$AQ$30,"NA")</f>
        <v>NA</v>
      </c>
      <c r="N14" s="1463" t="str">
        <f>IF($C$22="Yes",$AI$75,"NA")</f>
        <v>NA</v>
      </c>
      <c r="O14" s="1463" t="str">
        <f>IF($C$22="Yes",$AQ$75,"NA")</f>
        <v>NA</v>
      </c>
      <c r="Q14" s="146"/>
      <c r="R14" s="301" t="s">
        <v>2187</v>
      </c>
      <c r="S14" s="1313">
        <f>ROUND(S12/S13,2)</f>
        <v>0.33</v>
      </c>
      <c r="T14" s="1313">
        <f>ROUND(T12/T13,2)</f>
        <v>0.33</v>
      </c>
      <c r="U14" s="1313">
        <f>ROUND(U12/U13,2)</f>
        <v>0.33</v>
      </c>
      <c r="V14" s="1313">
        <f>ROUND(V12/V13,2)</f>
        <v>0</v>
      </c>
      <c r="W14" s="1313">
        <f>ROUND(W12/W13,2)</f>
        <v>0</v>
      </c>
      <c r="Y14" s="146"/>
      <c r="Z14" s="301" t="s">
        <v>2187</v>
      </c>
      <c r="AA14" s="1313">
        <f>ROUND(AA12/AA13,2)</f>
        <v>0.33</v>
      </c>
      <c r="AB14" s="1313">
        <f>ROUND(AB12/AB13,2)</f>
        <v>0.33</v>
      </c>
      <c r="AC14" s="1313">
        <f>ROUND(AC12/AC13,2)</f>
        <v>0.33</v>
      </c>
      <c r="AD14" s="1313">
        <f>ROUND(AD12/AD13,2)</f>
        <v>0</v>
      </c>
      <c r="AE14" s="1313">
        <f>ROUND(AE12/AE13,2)</f>
        <v>0</v>
      </c>
      <c r="AG14" s="146"/>
      <c r="AH14" s="301" t="s">
        <v>2187</v>
      </c>
      <c r="AI14" s="1313" t="e">
        <f>ROUND(AI12/AI13,2)</f>
        <v>#DIV/0!</v>
      </c>
      <c r="AJ14" s="1313" t="e">
        <f>ROUND(AJ12/AJ13,2)</f>
        <v>#DIV/0!</v>
      </c>
      <c r="AK14" s="1313" t="e">
        <f>ROUND(AK12/AK13,2)</f>
        <v>#DIV/0!</v>
      </c>
      <c r="AL14" s="1313" t="e">
        <f>ROUND(AL12/AL13,2)</f>
        <v>#DIV/0!</v>
      </c>
      <c r="AM14" s="1313" t="e">
        <f>ROUND(AM12/AM13,2)</f>
        <v>#DIV/0!</v>
      </c>
      <c r="AO14" s="146"/>
      <c r="AP14" s="301" t="s">
        <v>2187</v>
      </c>
      <c r="AQ14" s="1313" t="e">
        <f>ROUND(AQ12/AQ13,2)</f>
        <v>#DIV/0!</v>
      </c>
      <c r="AR14" s="1313" t="e">
        <f>ROUND(AR12/AR13,2)</f>
        <v>#DIV/0!</v>
      </c>
      <c r="AS14" s="1313" t="e">
        <f>ROUND(AS12/AS13,2)</f>
        <v>#DIV/0!</v>
      </c>
      <c r="AT14" s="1313" t="e">
        <f>ROUND(AT12/AT13,2)</f>
        <v>#DIV/0!</v>
      </c>
      <c r="AU14" s="1313" t="e">
        <f>ROUND(AU12/AU13,2)</f>
        <v>#DIV/0!</v>
      </c>
    </row>
    <row r="15" spans="1:47" ht="13.5" customHeight="1" x14ac:dyDescent="0.2">
      <c r="A15" s="1316" t="s">
        <v>2226</v>
      </c>
      <c r="B15" s="160"/>
      <c r="C15" s="1330">
        <v>100</v>
      </c>
      <c r="D15" s="1322">
        <v>3</v>
      </c>
      <c r="E15" s="1354"/>
      <c r="F15" s="1360"/>
      <c r="G15" s="1352"/>
      <c r="H15" s="1352"/>
      <c r="I15" s="1356"/>
      <c r="K15" s="1344" t="s">
        <v>2204</v>
      </c>
      <c r="L15" s="258">
        <f>IF($C$22="Yes",AI$35,0)</f>
        <v>0</v>
      </c>
      <c r="M15" s="258">
        <f>IF($C$22="Yes",AQ$35,0)</f>
        <v>0</v>
      </c>
      <c r="N15" s="259">
        <f>IF(AND($C$22="Yes",$C$11="SP"),AI$80,0)</f>
        <v>0</v>
      </c>
      <c r="O15" s="259">
        <f>IF(AND($C$22="Yes",$C$11="BR"),AQ$80,0)</f>
        <v>0</v>
      </c>
      <c r="Q15" s="185"/>
      <c r="R15" s="1226" t="s">
        <v>2188</v>
      </c>
      <c r="S15" s="238">
        <f>PRODUCT(0.9,$I$9)</f>
        <v>2700000</v>
      </c>
      <c r="T15" s="238">
        <f>PRODUCT(0.9,$I$9)</f>
        <v>2700000</v>
      </c>
      <c r="U15" s="238">
        <f>PRODUCT(0.9,$I$9)</f>
        <v>2700000</v>
      </c>
      <c r="V15" s="238">
        <f>PRODUCT(0.9,$I$9)</f>
        <v>2700000</v>
      </c>
      <c r="W15" s="238">
        <f>PRODUCT(0.9,$I$9)</f>
        <v>2700000</v>
      </c>
      <c r="Y15" s="185"/>
      <c r="Z15" s="1226" t="s">
        <v>2188</v>
      </c>
      <c r="AA15" s="238">
        <f>PRODUCT(0.9,$I$9)</f>
        <v>2700000</v>
      </c>
      <c r="AB15" s="238">
        <f>PRODUCT(0.9,$I$9)</f>
        <v>2700000</v>
      </c>
      <c r="AC15" s="238">
        <f>PRODUCT(0.9,$I$9)</f>
        <v>2700000</v>
      </c>
      <c r="AD15" s="238">
        <f>PRODUCT(0.9,$I$9)</f>
        <v>2700000</v>
      </c>
      <c r="AE15" s="238">
        <f>PRODUCT(0.9,$I$9)</f>
        <v>2700000</v>
      </c>
      <c r="AG15" s="185"/>
      <c r="AH15" s="1226" t="s">
        <v>2188</v>
      </c>
      <c r="AI15" s="238">
        <f>PRODUCT(0.9,$I$18)</f>
        <v>0</v>
      </c>
      <c r="AJ15" s="238">
        <f>PRODUCT(0.9,$I$18)</f>
        <v>0</v>
      </c>
      <c r="AK15" s="238">
        <f>PRODUCT(0.9,$I$18)</f>
        <v>0</v>
      </c>
      <c r="AL15" s="238">
        <f>PRODUCT(0.9,$I$18)</f>
        <v>0</v>
      </c>
      <c r="AM15" s="238">
        <f>PRODUCT(0.9,$I$18)</f>
        <v>0</v>
      </c>
      <c r="AO15" s="185"/>
      <c r="AP15" s="1226" t="s">
        <v>2188</v>
      </c>
      <c r="AQ15" s="238">
        <f>PRODUCT(0.9,$I$18)</f>
        <v>0</v>
      </c>
      <c r="AR15" s="238">
        <f>PRODUCT(0.9,$I$18)</f>
        <v>0</v>
      </c>
      <c r="AS15" s="238">
        <f>PRODUCT(0.9,$I$18)</f>
        <v>0</v>
      </c>
      <c r="AT15" s="238">
        <f>PRODUCT(0.9,$I$18)</f>
        <v>0</v>
      </c>
      <c r="AU15" s="238">
        <f>PRODUCT(0.9,$I$18)</f>
        <v>0</v>
      </c>
    </row>
    <row r="16" spans="1:47" x14ac:dyDescent="0.2">
      <c r="A16" s="1316" t="s">
        <v>2323</v>
      </c>
      <c r="B16" s="1482">
        <v>1000</v>
      </c>
      <c r="C16" s="1483">
        <v>0.95</v>
      </c>
      <c r="D16" s="1322">
        <v>4</v>
      </c>
      <c r="E16" s="1354"/>
      <c r="F16" s="1360"/>
      <c r="G16" s="1352"/>
      <c r="H16" s="1352"/>
      <c r="I16" s="1356"/>
      <c r="K16" s="1344" t="s">
        <v>2205</v>
      </c>
      <c r="L16" s="258">
        <f>IF($C$22="Yes",AJ$35,0)</f>
        <v>0</v>
      </c>
      <c r="M16" s="258">
        <f>IF($C$22="Yes",AR$35,0)</f>
        <v>0</v>
      </c>
      <c r="N16" s="259">
        <f>IF(AND($C$22="Yes",$C$11="SP"),AJ$80,0)</f>
        <v>0</v>
      </c>
      <c r="O16" s="259">
        <f>IF(AND($C$22="Yes",$C$11="BR"),AR$80,0)</f>
        <v>0</v>
      </c>
      <c r="R16" s="83" t="s">
        <v>2189</v>
      </c>
      <c r="S16" s="248">
        <f>PRODUCT(S14:S15)</f>
        <v>891000</v>
      </c>
      <c r="T16" s="248">
        <f>PRODUCT(T14:T15)</f>
        <v>891000</v>
      </c>
      <c r="U16" s="248">
        <f>PRODUCT(U14:U15)</f>
        <v>891000</v>
      </c>
      <c r="V16" s="248">
        <f>PRODUCT(V14:V15)</f>
        <v>0</v>
      </c>
      <c r="W16" s="248">
        <f>PRODUCT(W14:W15)</f>
        <v>0</v>
      </c>
      <c r="Z16" s="83" t="s">
        <v>2189</v>
      </c>
      <c r="AA16" s="248">
        <f>PRODUCT(AA14:AA15)</f>
        <v>891000</v>
      </c>
      <c r="AB16" s="248">
        <f>PRODUCT(AB14:AB15)</f>
        <v>891000</v>
      </c>
      <c r="AC16" s="248">
        <f>PRODUCT(AC14:AC15)</f>
        <v>891000</v>
      </c>
      <c r="AD16" s="248">
        <f>PRODUCT(AD14:AD15)</f>
        <v>0</v>
      </c>
      <c r="AE16" s="248">
        <f>PRODUCT(AE14:AE15)</f>
        <v>0</v>
      </c>
      <c r="AH16" s="83" t="s">
        <v>2189</v>
      </c>
      <c r="AI16" s="248" t="e">
        <f>PRODUCT(AI14:AI15)</f>
        <v>#DIV/0!</v>
      </c>
      <c r="AJ16" s="248" t="e">
        <f>PRODUCT(AJ14:AJ15)</f>
        <v>#DIV/0!</v>
      </c>
      <c r="AK16" s="248" t="e">
        <f>PRODUCT(AK14:AK15)</f>
        <v>#DIV/0!</v>
      </c>
      <c r="AL16" s="248" t="e">
        <f>PRODUCT(AL14:AL15)</f>
        <v>#DIV/0!</v>
      </c>
      <c r="AM16" s="248" t="e">
        <f>PRODUCT(AM14:AM15)</f>
        <v>#DIV/0!</v>
      </c>
      <c r="AP16" s="83" t="s">
        <v>2189</v>
      </c>
      <c r="AQ16" s="248" t="e">
        <f>PRODUCT(AQ14:AQ15)</f>
        <v>#DIV/0!</v>
      </c>
      <c r="AR16" s="248" t="e">
        <f>PRODUCT(AR14:AR15)</f>
        <v>#DIV/0!</v>
      </c>
      <c r="AS16" s="248" t="e">
        <f>PRODUCT(AS14:AS15)</f>
        <v>#DIV/0!</v>
      </c>
      <c r="AT16" s="248" t="e">
        <f>PRODUCT(AT14:AT15)</f>
        <v>#DIV/0!</v>
      </c>
      <c r="AU16" s="248" t="e">
        <f>PRODUCT(AU14:AU15)</f>
        <v>#DIV/0!</v>
      </c>
    </row>
    <row r="17" spans="1:47" ht="15" customHeight="1" x14ac:dyDescent="0.2">
      <c r="A17" s="1316" t="s">
        <v>2227</v>
      </c>
      <c r="B17" s="160"/>
      <c r="C17" s="1330">
        <v>100</v>
      </c>
      <c r="D17" s="1322">
        <v>5</v>
      </c>
      <c r="E17" s="1354"/>
      <c r="F17" s="1360"/>
      <c r="G17" s="1352"/>
      <c r="H17" s="1352"/>
      <c r="I17" s="1356"/>
      <c r="K17" s="1344" t="s">
        <v>2206</v>
      </c>
      <c r="L17" s="258">
        <f>IF($C$22="Yes",AK$35,0)</f>
        <v>0</v>
      </c>
      <c r="M17" s="258">
        <f>IF($C$22="Yes",AS$35,0)</f>
        <v>0</v>
      </c>
      <c r="N17" s="259">
        <f>IF(AND($C$22="Yes",$C$11="SP"),AK$80,0)</f>
        <v>0</v>
      </c>
      <c r="O17" s="259">
        <f>IF(AND($C$22="Yes",$C$11="BR"),AS$80,0)</f>
        <v>0</v>
      </c>
      <c r="Q17" s="1332"/>
      <c r="R17" s="1333" t="s">
        <v>2193</v>
      </c>
      <c r="S17" s="1334">
        <f>IF(S16=0,"N/A",IF(ISNA(MATCH(S16,List_LOI_Bldg,0)),VLOOKUP(S16,List_LOI_Bldg,1,TRUE),"N/A"))</f>
        <v>850000</v>
      </c>
      <c r="T17" s="1334">
        <f>IF(T16=0,"N/A",IF(ISNA(MATCH(T16,List_LOI_Bldg,0)),VLOOKUP(T16,List_LOI_Bldg,1,TRUE),"N/A"))</f>
        <v>850000</v>
      </c>
      <c r="U17" s="1334">
        <f>IF(U16=0,"N/A",IF(ISNA(MATCH(U16,List_LOI_Bldg,0)),VLOOKUP(U16,List_LOI_Bldg,1,TRUE),"N/A"))</f>
        <v>850000</v>
      </c>
      <c r="V17" s="1335" t="str">
        <f>IF(V16=0,"N/A",IF(ISNA(MATCH(V16,List_LOI_Bldg,0)),VLOOKUP(V16,List_LOI_Bldg,1,TRUE),"N/A"))</f>
        <v>N/A</v>
      </c>
      <c r="W17" s="1335" t="str">
        <f>IF(W16=0,"N/A",IF(ISNA(MATCH(W16,List_LOI_Bldg,0)),VLOOKUP(W16,List_LOI_Bldg,1,TRUE),"N/A"))</f>
        <v>N/A</v>
      </c>
      <c r="Y17" s="1332"/>
      <c r="Z17" s="1333" t="s">
        <v>2193</v>
      </c>
      <c r="AA17" s="1334">
        <f>IF(AA16=0,"N/A",IF(ISNA(MATCH(AA16,List_LOI_Bldg,0)),VLOOKUP(AA16,List_LOI_Bldg,1,TRUE),"N/A"))</f>
        <v>850000</v>
      </c>
      <c r="AB17" s="1334">
        <f>IF(AB16=0,"N/A",IF(ISNA(MATCH(AB16,List_LOI_Bldg,0)),VLOOKUP(AB16,List_LOI_Bldg,1,TRUE),"N/A"))</f>
        <v>850000</v>
      </c>
      <c r="AC17" s="1335">
        <f>IF(AC16=0,"N/A",IF(ISNA(MATCH(AC16,List_LOI_Bldg,0)),VLOOKUP(AC16,List_LOI_Bldg,1,TRUE),"N/A"))</f>
        <v>850000</v>
      </c>
      <c r="AD17" s="1335" t="str">
        <f>IF(AD16=0,"N/A",IF(ISNA(MATCH(AD16,List_LOI_Bldg,0)),VLOOKUP(AD16,List_LOI_Bldg,1,TRUE),"N/A"))</f>
        <v>N/A</v>
      </c>
      <c r="AE17" s="1335" t="str">
        <f>IF(AE16=0,"N/A",IF(ISNA(MATCH(AE16,List_LOI_Bldg,0)),VLOOKUP(AE16,List_LOI_Bldg,1,TRUE),"N/A"))</f>
        <v>N/A</v>
      </c>
      <c r="AG17" s="1332"/>
      <c r="AH17" s="1333" t="s">
        <v>2193</v>
      </c>
      <c r="AI17" s="1334" t="e">
        <f>IF(AI16=0,"N/A",IF(ISNA(MATCH(AI16,List_LOI_PP,0)),VLOOKUP(AI16,List_LOI_PP,1,TRUE),"N/A"))</f>
        <v>#DIV/0!</v>
      </c>
      <c r="AJ17" s="1334" t="e">
        <f>IF(AJ16=0,"N/A",IF(ISNA(MATCH(AJ16,List_LOI_PP,0)),VLOOKUP(AJ16,List_LOI_PP,1,TRUE),"N/A"))</f>
        <v>#DIV/0!</v>
      </c>
      <c r="AK17" s="1334" t="e">
        <f>IF(AK16=0,"N/A",IF(ISNA(MATCH(AK16,List_LOI_PP,0)),VLOOKUP(AK16,List_LOI_PP,1,TRUE),"N/A"))</f>
        <v>#DIV/0!</v>
      </c>
      <c r="AL17" s="1335" t="e">
        <f>IF(AL16=0,"N/A",IF(ISNA(MATCH(AL16,List_LOI_PP,0)),VLOOKUP(AL16,List_LOI_PP,1,TRUE),"N/A"))</f>
        <v>#DIV/0!</v>
      </c>
      <c r="AM17" s="1335" t="e">
        <f>IF(AM16=0,"N/A",IF(ISNA(MATCH(AM16,List_LOI_PP,0)),VLOOKUP(AM16,List_LOI_PP,1,TRUE),"N/A"))</f>
        <v>#DIV/0!</v>
      </c>
      <c r="AO17" s="1332"/>
      <c r="AP17" s="1333" t="s">
        <v>2193</v>
      </c>
      <c r="AQ17" s="1334" t="e">
        <f>IF(AQ16=0,"N/A",IF(ISNA(MATCH(AQ16,List_LOI_PP,0)),VLOOKUP(AQ16,List_LOI_PP,1,TRUE),"N/A"))</f>
        <v>#DIV/0!</v>
      </c>
      <c r="AR17" s="1334" t="e">
        <f>IF(AR16=0,"N/A",IF(ISNA(MATCH(AR16,List_LOI_PP,0)),VLOOKUP(AR16,List_LOI_PP,1,TRUE),"N/A"))</f>
        <v>#DIV/0!</v>
      </c>
      <c r="AS17" s="1335" t="e">
        <f>IF(AS16=0,"N/A",IF(ISNA(MATCH(AS16,List_LOI_PP,0)),VLOOKUP(AS16,List_LOI_PP,1,TRUE),"N/A"))</f>
        <v>#DIV/0!</v>
      </c>
      <c r="AT17" s="1335" t="e">
        <f>IF(AT16=0,"N/A",IF(ISNA(MATCH(AT16,List_LOI_PP,0)),VLOOKUP(AT16,List_LOI_PP,1,TRUE),"N/A"))</f>
        <v>#DIV/0!</v>
      </c>
      <c r="AU17" s="1335" t="e">
        <f>IF(AU16=0,"N/A",IF(ISNA(MATCH(AU16,List_LOI_PP,0)),VLOOKUP(AU16,List_LOI_PP,1,TRUE),"N/A"))</f>
        <v>#DIV/0!</v>
      </c>
    </row>
    <row r="18" spans="1:47" x14ac:dyDescent="0.2">
      <c r="A18" s="1316" t="s">
        <v>2323</v>
      </c>
      <c r="B18" s="1482">
        <v>500</v>
      </c>
      <c r="C18" s="1483">
        <v>1</v>
      </c>
      <c r="D18" s="1326"/>
      <c r="E18" s="1327"/>
      <c r="F18" s="1347"/>
      <c r="G18" s="1328"/>
      <c r="H18" s="1329" t="s">
        <v>2174</v>
      </c>
      <c r="I18" s="1325">
        <f>SUM(I13:I17)</f>
        <v>0</v>
      </c>
      <c r="K18" s="1344" t="s">
        <v>2207</v>
      </c>
      <c r="L18" s="258">
        <f>IF($C$22="Yes",AL$35,0)</f>
        <v>0</v>
      </c>
      <c r="M18" s="258">
        <f>IF($C$22="Yes",AT$35,0)</f>
        <v>0</v>
      </c>
      <c r="N18" s="259">
        <f>IF(AND($C$22="Yes",$C$11="SP"),AL$80,0)</f>
        <v>0</v>
      </c>
      <c r="O18" s="259">
        <f>IF(AND($C$22="Yes",$C$11="BR"),AT$80,0)</f>
        <v>0</v>
      </c>
      <c r="Q18" s="1336"/>
      <c r="R18" s="1337" t="s">
        <v>2194</v>
      </c>
      <c r="S18" s="1338">
        <f>IF(S17="N/A",0,INDEX(List_LOI_Bldg,MATCH(S17,List_LOI_Bldg,0)+1,1))</f>
        <v>900000</v>
      </c>
      <c r="T18" s="1338">
        <f>IF(T17="N/A",0,INDEX(List_LOI_Bldg,MATCH(T17,List_LOI_Bldg,0)+1,1))</f>
        <v>900000</v>
      </c>
      <c r="U18" s="1338">
        <f>IF(U17="N/A",0,INDEX(List_LOI_Bldg,MATCH(U17,List_LOI_Bldg,0)+1,1))</f>
        <v>900000</v>
      </c>
      <c r="V18" s="1338">
        <f>IF(V17="N/A",0,INDEX(List_LOI_Bldg,MATCH(V17,List_LOI_Bldg,0)+1,1))</f>
        <v>0</v>
      </c>
      <c r="W18" s="1338">
        <f>IF(W17="N/A",0,INDEX(List_LOI_Bldg,MATCH(W17,List_LOI_Bldg,0)+1,1))</f>
        <v>0</v>
      </c>
      <c r="Y18" s="1336"/>
      <c r="Z18" s="1337" t="s">
        <v>2194</v>
      </c>
      <c r="AA18" s="1338">
        <f>IF(AA17="N/A",0,INDEX(List_LOI_Bldg,MATCH(AA17,List_LOI_Bldg,0)+1,1))</f>
        <v>900000</v>
      </c>
      <c r="AB18" s="1338">
        <f>IF(AB17="N/A",0,INDEX(List_LOI_Bldg,MATCH(AB17,List_LOI_Bldg,0)+1,1))</f>
        <v>900000</v>
      </c>
      <c r="AC18" s="1338">
        <f>IF(AC17="N/A",0,INDEX(List_LOI_Bldg,MATCH(AC17,List_LOI_Bldg,0)+1,1))</f>
        <v>900000</v>
      </c>
      <c r="AD18" s="1338">
        <f>IF(AD17="N/A",0,INDEX(List_LOI_Bldg,MATCH(AD17,List_LOI_Bldg,0)+1,1))</f>
        <v>0</v>
      </c>
      <c r="AE18" s="1338">
        <f>IF(AE17="N/A",0,INDEX(List_LOI_Bldg,MATCH(AE17,List_LOI_Bldg,0)+1,1))</f>
        <v>0</v>
      </c>
      <c r="AG18" s="1336"/>
      <c r="AH18" s="1337" t="s">
        <v>2194</v>
      </c>
      <c r="AI18" s="1338" t="e">
        <f>IF(AI17="N/A",0,INDEX(List_LOI_PP,MATCH(AI17,List_LOI_PP,0)+1,1))</f>
        <v>#DIV/0!</v>
      </c>
      <c r="AJ18" s="1338" t="e">
        <f>IF(AJ17="N/A",0,INDEX(List_LOI_PP,MATCH(AJ17,List_LOI_PP,0)+1,1))</f>
        <v>#DIV/0!</v>
      </c>
      <c r="AK18" s="1338" t="e">
        <f>IF(AK17="N/A",0,INDEX(List_LOI_PP,MATCH(AK17,List_LOI_PP,0)+1,1))</f>
        <v>#DIV/0!</v>
      </c>
      <c r="AL18" s="1338" t="e">
        <f>IF(AL17="N/A",0,INDEX(List_LOI_PP,MATCH(AL17,List_LOI_PP,0)+1,1))</f>
        <v>#DIV/0!</v>
      </c>
      <c r="AM18" s="1338" t="e">
        <f>IF(AM17="N/A",0,INDEX(List_LOI_PP,MATCH(AM17,List_LOI_PP,0)+1,1))</f>
        <v>#DIV/0!</v>
      </c>
      <c r="AO18" s="1336"/>
      <c r="AP18" s="1337" t="s">
        <v>2194</v>
      </c>
      <c r="AQ18" s="1338" t="e">
        <f>IF(AQ17="N/A",0,INDEX(List_LOI_PP,MATCH(AQ17,List_LOI_PP,0)+1,1))</f>
        <v>#DIV/0!</v>
      </c>
      <c r="AR18" s="1338" t="e">
        <f>IF(AR17="N/A",0,INDEX(List_LOI_PP,MATCH(AR17,List_LOI_PP,0)+1,1))</f>
        <v>#DIV/0!</v>
      </c>
      <c r="AS18" s="1338" t="e">
        <f>IF(AS17="N/A",0,INDEX(List_LOI_PP,MATCH(AS17,List_LOI_PP,0)+1,1))</f>
        <v>#DIV/0!</v>
      </c>
      <c r="AT18" s="1338" t="e">
        <f>IF(AT17="N/A",0,INDEX(List_LOI_PP,MATCH(AT17,List_LOI_PP,0)+1,1))</f>
        <v>#DIV/0!</v>
      </c>
      <c r="AU18" s="1338" t="e">
        <f>IF(AU17="N/A",0,INDEX(List_LOI_PP,MATCH(AU17,List_LOI_PP,0)+1,1))</f>
        <v>#DIV/0!</v>
      </c>
    </row>
    <row r="19" spans="1:47" ht="13.5" thickBot="1" x14ac:dyDescent="0.25">
      <c r="A19" s="120"/>
      <c r="B19" s="95"/>
      <c r="C19" s="1039"/>
      <c r="D19" s="126"/>
      <c r="E19" s="541"/>
      <c r="F19" s="541"/>
      <c r="G19" s="96"/>
      <c r="H19" s="96"/>
      <c r="I19" s="1096"/>
      <c r="K19" s="1345" t="s">
        <v>2208</v>
      </c>
      <c r="L19" s="1357">
        <f>IF($C$22="Yes",AM$35,0)</f>
        <v>0</v>
      </c>
      <c r="M19" s="1357">
        <f>IF($C$22="Yes",AU$35,0)</f>
        <v>0</v>
      </c>
      <c r="N19" s="884">
        <f>IF(AND($C$22="Yes",$C$11="SP"),AM$80,0)</f>
        <v>0</v>
      </c>
      <c r="O19" s="884">
        <f>IF(AND($C$22="Yes",$C$11="BR"),AU$80,0)</f>
        <v>0</v>
      </c>
      <c r="Q19" s="185"/>
      <c r="R19" s="1226" t="s">
        <v>2195</v>
      </c>
      <c r="S19" s="1457">
        <f>IF(S16=0,0,IF(AND(S17="N/A",S16&gt;0),VLOOKUP(S16,Table_LOI_Bldg,MATCH($G4,List_Relatives,0)+1,FALSE),
ROUND(VLOOKUP(S17,Table_LOI_Bldg,MATCH($G4,List_Relatives,0)+1,FALSE) -
ROUND(PRODUCT((VLOOKUP(S17,Table_LOI_Bldg,MATCH($G4,List_Relatives,0)+1,FALSE) - VLOOKUP(S18,Table_LOI_Bldg,MATCH($G4,List_Relatives,0)+1,FALSE)),S16-S17)/(S18-S17),4),4)))</f>
        <v>0.8024</v>
      </c>
      <c r="T19" s="1457">
        <f>IF(T16=0,0,IF(AND(T17="N/A",T16&gt;0),VLOOKUP(T16,Table_LOI_Bldg,MATCH($G5,List_Relatives,0)+1,FALSE),
ROUND(VLOOKUP(T17,Table_LOI_Bldg,MATCH($G5,List_Relatives,0)+1,FALSE) -
ROUND(PRODUCT((VLOOKUP(T17,Table_LOI_Bldg,MATCH($G5,List_Relatives,0)+1,FALSE) - VLOOKUP(T18,Table_LOI_Bldg,MATCH($G5,List_Relatives,0)+1,FALSE)),T16-T17)/(T18-T17),4),4)))</f>
        <v>0.8024</v>
      </c>
      <c r="U19" s="1457">
        <f>IF(U16=0,0,IF(AND(U17="N/A",U16&gt;0),VLOOKUP(U16,Table_LOI_Bldg,MATCH($G6,List_Relatives,0)+1,FALSE),
ROUND(VLOOKUP(U17,Table_LOI_Bldg,MATCH($G6,List_Relatives,0)+1,FALSE) -
ROUND(PRODUCT((VLOOKUP(U17,Table_LOI_Bldg,MATCH($G6,List_Relatives,0)+1,FALSE) - VLOOKUP(U18,Table_LOI_Bldg,MATCH($G6,List_Relatives,0)+1,FALSE)),U16-U17)/(U18-U17),4),4)))</f>
        <v>0.8024</v>
      </c>
      <c r="V19" s="1457">
        <f>IF(V16=0,0,IF(AND(V17="N/A",V16&gt;0),VLOOKUP(V16,Table_LOI_Bldg,MATCH($G7,List_Relatives,0)+1,FALSE),
ROUND(VLOOKUP(V17,Table_LOI_Bldg,MATCH($G7,List_Relatives,0)+1,FALSE) -
ROUND(PRODUCT((VLOOKUP(V17,Table_LOI_Bldg,MATCH($G7,List_Relatives,0)+1,FALSE) - VLOOKUP(V18,Table_LOI_Bldg,MATCH($G7,List_Relatives,0)+1,FALSE)),V16-V17)/(V18-V17),4),4)))</f>
        <v>0</v>
      </c>
      <c r="W19" s="1457">
        <f>IF(W16=0,0,IF(AND(W17="N/A",W16&gt;0),VLOOKUP(W16,Table_LOI_Bldg,MATCH($G8,List_Relatives,0)+1,FALSE),
ROUND(VLOOKUP(W17,Table_LOI_Bldg,MATCH($G8,List_Relatives,0)+1,FALSE) -
ROUND(PRODUCT((VLOOKUP(W17,Table_LOI_Bldg,MATCH($G8,List_Relatives,0)+1,FALSE) - VLOOKUP(W18,Table_LOI_Bldg,MATCH($G8,List_Relatives,0)+1,FALSE)),W16-W17)/(W18-W17),4),4)))</f>
        <v>0</v>
      </c>
      <c r="Y19" s="185"/>
      <c r="Z19" s="1226" t="s">
        <v>2195</v>
      </c>
      <c r="AA19" s="1457">
        <f>IF(AA16=0,0,IF(AND(AA17="N/A",AA16&gt;0),VLOOKUP(AA16,Table_LOI_Bldg,MATCH("BA2",List_Relatives,0)+1,FALSE),
ROUND(VLOOKUP(AA17,Table_LOI_Bldg,MATCH("BA2",List_Relatives,0)+1,FALSE) -
ROUND(PRODUCT((VLOOKUP(AA17,Table_LOI_Bldg,MATCH("BA2",List_Relatives,0)+1,FALSE) - VLOOKUP(AA18,Table_LOI_Bldg,MATCH("BA2",List_Relatives,0)+1,FALSE)),AA16-AA17)/(AA18-AA17),4),4)))</f>
        <v>0.72099999999999997</v>
      </c>
      <c r="AB19" s="1457">
        <f>IF(AB16=0,0,IF(AND(AB17="N/A",AB16&gt;0),VLOOKUP(AB16,Table_LOI_Bldg,MATCH("BA2",List_Relatives,0)+1,FALSE),
ROUND(VLOOKUP(AB17,Table_LOI_Bldg,MATCH("BA2",List_Relatives,0)+1,FALSE) -
ROUND(PRODUCT((VLOOKUP(AB17,Table_LOI_Bldg,MATCH("BA2",List_Relatives,0)+1,FALSE) - VLOOKUP(AB18,Table_LOI_Bldg,MATCH("BA2",List_Relatives,0)+1,FALSE)),AB16-AB17)/(AB18-AB17),4),4)))</f>
        <v>0.72099999999999997</v>
      </c>
      <c r="AC19" s="1457">
        <f>IF(AC16=0,0,IF(AND(AC17="N/A",AC16&gt;0),VLOOKUP(AC16,Table_LOI_Bldg,MATCH("BA2",List_Relatives,0)+1,FALSE),
ROUND(VLOOKUP(AC17,Table_LOI_Bldg,MATCH("BA2",List_Relatives,0)+1,FALSE) -
ROUND(PRODUCT((VLOOKUP(AC17,Table_LOI_Bldg,MATCH("BA2",List_Relatives,0)+1,FALSE) - VLOOKUP(AC18,Table_LOI_Bldg,MATCH("BA2",List_Relatives,0)+1,FALSE)),AC16-AC17)/(AC18-AC17),4),4)))</f>
        <v>0.72099999999999997</v>
      </c>
      <c r="AD19" s="1457">
        <f>IF(AD16=0,0,IF(AND(AD17="N/A",AD16&gt;0),VLOOKUP(AD16,Table_LOI_Bldg,MATCH($G7,List_Relatives,0)+1,FALSE),
ROUND(VLOOKUP(AD17,Table_LOI_Bldg,MATCH($G7,List_Relatives,0)+1,FALSE) -
ROUND(PRODUCT((VLOOKUP(AD17,Table_LOI_Bldg,MATCH($G7,List_Relatives,0)+1,FALSE) - VLOOKUP(AD18,Table_LOI_Bldg,MATCH($G7,List_Relatives,0)+1,FALSE)),AD16-AD17)/(AD18-AD17),4),4)))</f>
        <v>0</v>
      </c>
      <c r="AE19" s="1457">
        <f>IF(AE16=0,0,IF(AND(AE17="N/A",AE16&gt;0),VLOOKUP(AE16,Table_LOI_Bldg,MATCH($G8,List_Relatives,0)+1,FALSE),
ROUND(VLOOKUP(AE17,Table_LOI_Bldg,MATCH($G8,List_Relatives,0)+1,FALSE) -
ROUND(PRODUCT((VLOOKUP(AE17,Table_LOI_Bldg,MATCH($G8,List_Relatives,0)+1,FALSE) - VLOOKUP(AE18,Table_LOI_Bldg,MATCH($G8,List_Relatives,0)+1,FALSE)),AE16-AE17)/(AE18-AE17),4),4)))</f>
        <v>0</v>
      </c>
      <c r="AG19" s="185"/>
      <c r="AH19" s="1226" t="s">
        <v>2195</v>
      </c>
      <c r="AI19" s="1457" t="e">
        <f>IF(AI16=0,0,IF(AND(AI17="N/A",AI16&gt;0),VLOOKUP(AI16,Table_LOI_PP,MATCH($G13,List_Relatives,0)+1,FALSE),
ROUND(VLOOKUP(AI17,Table_LOI_PP,MATCH($G13,List_Relatives,0)+1,FALSE) -
ROUND(PRODUCT((VLOOKUP(AI17,Table_LOI_PP,MATCH($G13,List_Relatives,0)+1,FALSE) - VLOOKUP(AI18,Table_LOI_PP,MATCH($G13,List_Relatives,0)+1,FALSE)),AI16-AI17)/(AI18-AI17),4),4)))</f>
        <v>#DIV/0!</v>
      </c>
      <c r="AJ19" s="1457" t="e">
        <f>IF(AJ16=0,0,IF(AND(AJ17="N/A",AJ16&gt;0),VLOOKUP(AJ16,Table_LOI_PP,MATCH($G14,List_Relatives,0)+1,FALSE),
ROUND(VLOOKUP(AJ17,Table_LOI_PP,MATCH($G14,List_Relatives,0)+1,FALSE) -
ROUND(PRODUCT((VLOOKUP(AJ17,Table_LOI_PP,MATCH($G14,List_Relatives,0)+1,FALSE) - VLOOKUP(AJ18,Table_LOI_PP,MATCH($G14,List_Relatives,0)+1,FALSE)),AJ16-AJ17)/(AJ18-AJ17),4),4)))</f>
        <v>#DIV/0!</v>
      </c>
      <c r="AK19" s="1457" t="e">
        <f>IF(AK16=0,0,IF(AND(AK17="N/A",AK16&gt;0),VLOOKUP(AK16,Table_LOI_PP,MATCH($G15,List_Relatives,0)+1,FALSE),
ROUND(VLOOKUP(AK17,Table_LOI_PP,MATCH($G15,List_Relatives,0)+1,FALSE) -
ROUND(PRODUCT((VLOOKUP(AK17,Table_LOI_PP,MATCH($G15,List_Relatives,0)+1,FALSE) - VLOOKUP(AK18,Table_LOI_PP,MATCH($G15,List_Relatives,0)+1,FALSE)),AK16-AK17)/(AK18-AK17),4),4)))</f>
        <v>#DIV/0!</v>
      </c>
      <c r="AL19" s="1457" t="e">
        <f>IF(AL16=0,0,IF(AND(AL17="N/A",AL16&gt;0),VLOOKUP(AL16,Table_LOI_PP,MATCH($G16,List_Relatives,0)+1,FALSE),
ROUND(VLOOKUP(AL17,Table_LOI_PP,MATCH($G16,List_Relatives,0)+1,FALSE) -
ROUND(PRODUCT((VLOOKUP(AL17,Table_LOI_PP,MATCH($G16,List_Relatives,0)+1,FALSE) - VLOOKUP(AL18,Table_LOI_PP,MATCH($G16,List_Relatives,0)+1,FALSE)),AL16-AL17)/(AL18-AL17),4),4)))</f>
        <v>#DIV/0!</v>
      </c>
      <c r="AM19" s="1457" t="e">
        <f>IF(AM16=0,0,IF(AND(AM17="N/A",AM16&gt;0),VLOOKUP(AM16,Table_LOI_PP,MATCH($G17,List_Relatives,0)+1,FALSE),
ROUND(VLOOKUP(AM17,Table_LOI_PP,MATCH($G17,List_Relatives,0)+1,FALSE) -
ROUND(PRODUCT((VLOOKUP(AM17,Table_LOI_PP,MATCH($G17,List_Relatives,0)+1,FALSE) - VLOOKUP(AM18,Table_LOI_PP,MATCH($G17,List_Relatives,0)+1,FALSE)),AM16-AM17)/(AM18-AM17),4),4)))</f>
        <v>#DIV/0!</v>
      </c>
      <c r="AO19" s="185"/>
      <c r="AP19" s="1226" t="s">
        <v>2195</v>
      </c>
      <c r="AQ19" s="1457" t="e">
        <f>IF(AQ16=0,0,IF(AND(AQ17="N/A",AQ16&gt;0),VLOOKUP(AQ16,Table_LOI_PP,MATCH("BA2",List_Relatives,0)+1,FALSE),
ROUND(VLOOKUP(AQ17,Table_LOI_PP,MATCH("BA2",List_Relatives,0)+1,FALSE) -
ROUND(PRODUCT((VLOOKUP(AQ17,Table_LOI_PP,MATCH("BA2",List_Relatives,0)+1,FALSE) - VLOOKUP(AQ18,Table_LOI_PP,MATCH("BA2",List_Relatives,0)+1,FALSE)),AQ16-AQ17)/(AQ18-AQ17),4),4)))</f>
        <v>#DIV/0!</v>
      </c>
      <c r="AR19" s="1457" t="e">
        <f>IF(AR16=0,0,IF(AND(AR17="N/A",AR16&gt;0),VLOOKUP(AR16,Table_LOI_PP,MATCH("BA2",List_Relatives,0)+1,FALSE),
ROUND(VLOOKUP(AR17,Table_LOI_PP,MATCH("BA2",List_Relatives,0)+1,FALSE) -
ROUND(PRODUCT((VLOOKUP(AR17,Table_LOI_PP,MATCH("BA2",List_Relatives,0)+1,FALSE) - VLOOKUP(AR18,Table_LOI_PP,MATCH("BA2",List_Relatives,0)+1,FALSE)),AR16-AR17)/(AR18-AR17),4),4)))</f>
        <v>#DIV/0!</v>
      </c>
      <c r="AS19" s="1457" t="e">
        <f>IF(AS16=0,0,IF(AND(AS17="N/A",AS16&gt;0),VLOOKUP(AS16,Table_LOI_PP,MATCH("BA2",List_Relatives,0)+1,FALSE),
ROUND(VLOOKUP(AS17,Table_LOI_PP,MATCH("BA2",List_Relatives,0)+1,FALSE) -
ROUND(PRODUCT((VLOOKUP(AS17,Table_LOI_PP,MATCH("BA2",List_Relatives,0)+1,FALSE) - VLOOKUP(AS18,Table_LOI_PP,MATCH("BA2",List_Relatives,0)+1,FALSE)),AS16-AS17)/(AS18-AS17),4),4)))</f>
        <v>#DIV/0!</v>
      </c>
      <c r="AT19" s="1457" t="e">
        <f>IF(AT16=0,0,IF(AND(AT17="N/A",AT16&gt;0),VLOOKUP(AT16,Table_LOI_PP,MATCH($G16,List_Relatives,0)+1,FALSE),
ROUND(VLOOKUP(AT17,Table_LOI_PP,MATCH($G16,List_Relatives,0)+1,FALSE) -
ROUND(PRODUCT((VLOOKUP(AT17,Table_LOI_PP,MATCH($G16,List_Relatives,0)+1,FALSE) - VLOOKUP(AT18,Table_LOI_PP,MATCH($G16,List_Relatives,0)+1,FALSE)),AT16-AT17)/(AT18-AT17),4),4)))</f>
        <v>#DIV/0!</v>
      </c>
      <c r="AU19" s="1457" t="e">
        <f>IF(AU16=0,0,IF(AND(AU17="N/A",AU16&gt;0),VLOOKUP(AU16,Table_LOI_PP,MATCH($G17,List_Relatives,0)+1,FALSE),
ROUND(VLOOKUP(AU17,Table_LOI_PP,MATCH($G17,List_Relatives,0)+1,FALSE) -
ROUND(PRODUCT((VLOOKUP(AU17,Table_LOI_PP,MATCH($G17,List_Relatives,0)+1,FALSE) - VLOOKUP(AU18,Table_LOI_PP,MATCH($G17,List_Relatives,0)+1,FALSE)),AU16-AU17)/(AU18-AU17),4),4)))</f>
        <v>#DIV/0!</v>
      </c>
    </row>
    <row r="20" spans="1:47" ht="13.5" thickBot="1" x14ac:dyDescent="0.25">
      <c r="A20" s="529" t="s">
        <v>2214</v>
      </c>
      <c r="B20" s="531"/>
      <c r="C20" s="532"/>
      <c r="D20" s="500" t="s">
        <v>2216</v>
      </c>
      <c r="E20" s="508"/>
      <c r="F20" s="508"/>
      <c r="G20" s="508"/>
      <c r="H20" s="508"/>
      <c r="I20" s="509"/>
      <c r="K20" s="1343" t="s">
        <v>2218</v>
      </c>
      <c r="L20" s="485">
        <f>SUM(L15:L19)</f>
        <v>0</v>
      </c>
      <c r="M20" s="485">
        <f>SUM(M15:M19)</f>
        <v>0</v>
      </c>
      <c r="N20" s="485">
        <f>SUM(N15:N19)</f>
        <v>0</v>
      </c>
      <c r="O20" s="485">
        <f>SUM(O15:O19)</f>
        <v>0</v>
      </c>
      <c r="R20" s="83" t="s">
        <v>2196</v>
      </c>
      <c r="S20" s="247">
        <f>PRODUCT(S9,S19)</f>
        <v>0.104312</v>
      </c>
      <c r="T20" s="247">
        <f>PRODUCT(T9,T19)</f>
        <v>9.4683199999999995E-2</v>
      </c>
      <c r="U20" s="2">
        <f>PRODUCT(U9,U19)</f>
        <v>7.4623200000000001E-2</v>
      </c>
      <c r="V20" s="2">
        <f>PRODUCT(V9,V19)</f>
        <v>0</v>
      </c>
      <c r="W20" s="2">
        <f>PRODUCT(W9,W19)</f>
        <v>0</v>
      </c>
      <c r="Z20" s="83" t="s">
        <v>2196</v>
      </c>
      <c r="AA20" s="2">
        <f>PRODUCT(AA9,AA19)</f>
        <v>3.6049999999999999E-2</v>
      </c>
      <c r="AB20" s="2">
        <f>PRODUCT(AB9,AB19)</f>
        <v>5.7680000000000002E-2</v>
      </c>
      <c r="AC20" s="2">
        <f>PRODUCT(AC9,AC19)</f>
        <v>3.6049999999999999E-2</v>
      </c>
      <c r="AD20" s="2">
        <f>PRODUCT(AD9,AD19)</f>
        <v>0</v>
      </c>
      <c r="AE20" s="2">
        <f>PRODUCT(AE9,AE19)</f>
        <v>0</v>
      </c>
      <c r="AH20" s="83" t="s">
        <v>2196</v>
      </c>
      <c r="AI20" s="247" t="e">
        <f>PRODUCT(AI9,AI19)</f>
        <v>#DIV/0!</v>
      </c>
      <c r="AJ20" s="247" t="e">
        <f>PRODUCT(AJ9,AJ19)</f>
        <v>#DIV/0!</v>
      </c>
      <c r="AK20" s="2" t="e">
        <f>PRODUCT(AK9,AK19)</f>
        <v>#DIV/0!</v>
      </c>
      <c r="AL20" s="2" t="e">
        <f>PRODUCT(AL9,AL19)</f>
        <v>#DIV/0!</v>
      </c>
      <c r="AM20" s="2" t="e">
        <f>PRODUCT(AM9,AM19)</f>
        <v>#DIV/0!</v>
      </c>
      <c r="AP20" s="83" t="s">
        <v>2196</v>
      </c>
      <c r="AQ20" s="2" t="e">
        <f>PRODUCT(AQ9,AQ19)</f>
        <v>#DIV/0!</v>
      </c>
      <c r="AR20" s="2" t="e">
        <f>PRODUCT(AR9,AR19)</f>
        <v>#DIV/0!</v>
      </c>
      <c r="AS20" s="2" t="e">
        <f>PRODUCT(AS9,AS19)</f>
        <v>#DIV/0!</v>
      </c>
      <c r="AT20" s="2" t="e">
        <f>PRODUCT(AT9,AT19)</f>
        <v>#DIV/0!</v>
      </c>
      <c r="AU20" s="2" t="e">
        <f>PRODUCT(AU9,AU19)</f>
        <v>#DIV/0!</v>
      </c>
    </row>
    <row r="21" spans="1:47" ht="13.5" thickBot="1" x14ac:dyDescent="0.25">
      <c r="A21" s="1346" t="s">
        <v>856</v>
      </c>
      <c r="B21" s="95"/>
      <c r="C21" s="1097" t="s">
        <v>833</v>
      </c>
      <c r="D21" s="1320" t="s">
        <v>2173</v>
      </c>
      <c r="E21" s="1323" t="s">
        <v>57</v>
      </c>
      <c r="F21" s="1323"/>
      <c r="G21" s="1323"/>
      <c r="H21" s="1323" t="s">
        <v>2171</v>
      </c>
      <c r="I21" s="1324" t="s">
        <v>2172</v>
      </c>
      <c r="K21" s="685"/>
      <c r="L21" s="726"/>
      <c r="M21" s="726"/>
      <c r="N21" s="726"/>
      <c r="O21" s="726"/>
      <c r="Q21" s="185"/>
      <c r="R21" s="1226" t="s">
        <v>2197</v>
      </c>
      <c r="S21" s="238">
        <f>IF(ISNUMBER($I4),$I4,0)</f>
        <v>1000000</v>
      </c>
      <c r="T21" s="238">
        <f>IF(ISNUMBER($I5),$I5,0)</f>
        <v>1000000</v>
      </c>
      <c r="U21" s="238">
        <f>IF(ISNUMBER($I6),$I6,0)</f>
        <v>1000000</v>
      </c>
      <c r="V21" s="238">
        <f>IF(ISNUMBER($I7),$I7,0)</f>
        <v>0</v>
      </c>
      <c r="W21" s="238">
        <f>IF(ISNUMBER($I8),$I8,0)</f>
        <v>0</v>
      </c>
      <c r="Y21" s="185"/>
      <c r="Z21" s="1226" t="s">
        <v>2197</v>
      </c>
      <c r="AA21" s="238">
        <f>IF(ISNUMBER($I4),$I4,0)</f>
        <v>1000000</v>
      </c>
      <c r="AB21" s="238">
        <f>IF(ISNUMBER($I5),$I5,0)</f>
        <v>1000000</v>
      </c>
      <c r="AC21" s="238">
        <f>IF(ISNUMBER($I6),$I6,0)</f>
        <v>1000000</v>
      </c>
      <c r="AD21" s="238">
        <f>IF(ISNUMBER($I7),$I7,0)</f>
        <v>0</v>
      </c>
      <c r="AE21" s="238">
        <f>IF(ISNUMBER($I8),$I8,0)</f>
        <v>0</v>
      </c>
      <c r="AG21" s="185"/>
      <c r="AH21" s="1226" t="s">
        <v>2197</v>
      </c>
      <c r="AI21" s="238">
        <f>IF(ISNUMBER($I13),$I13,0)</f>
        <v>0</v>
      </c>
      <c r="AJ21" s="238">
        <f>IF(ISNUMBER($I14),$I14,0)</f>
        <v>0</v>
      </c>
      <c r="AK21" s="238">
        <f>IF(ISNUMBER($I15),$I15,0)</f>
        <v>0</v>
      </c>
      <c r="AL21" s="238">
        <f>IF(ISNUMBER($I16),$I16,0)</f>
        <v>0</v>
      </c>
      <c r="AM21" s="238">
        <f>IF(ISNUMBER($I17),$I17,0)</f>
        <v>0</v>
      </c>
      <c r="AO21" s="185"/>
      <c r="AP21" s="1226" t="s">
        <v>2197</v>
      </c>
      <c r="AQ21" s="238">
        <f>IF(ISNUMBER($I13),$I13,0)</f>
        <v>0</v>
      </c>
      <c r="AR21" s="238">
        <f>IF(ISNUMBER($I14),$I14,0)</f>
        <v>0</v>
      </c>
      <c r="AS21" s="238">
        <f>IF(ISNUMBER($I15),$I15,0)</f>
        <v>0</v>
      </c>
      <c r="AT21" s="238">
        <f>IF(ISNUMBER($I16),$I16,0)</f>
        <v>0</v>
      </c>
      <c r="AU21" s="238">
        <f>IF(ISNUMBER($I17),$I17,0)</f>
        <v>0</v>
      </c>
    </row>
    <row r="22" spans="1:47" x14ac:dyDescent="0.2">
      <c r="A22" s="1346" t="s">
        <v>1068</v>
      </c>
      <c r="B22" s="95"/>
      <c r="C22" s="1348" t="s">
        <v>857</v>
      </c>
      <c r="D22" s="1321">
        <v>1</v>
      </c>
      <c r="E22" s="1349"/>
      <c r="F22" s="1350"/>
      <c r="G22" s="1351"/>
      <c r="H22" s="1352"/>
      <c r="I22" s="1353"/>
      <c r="K22" s="1340" t="s">
        <v>2220</v>
      </c>
      <c r="L22" s="1341"/>
      <c r="M22" s="1342"/>
      <c r="N22" s="1342"/>
      <c r="O22" s="1342"/>
      <c r="R22" s="83" t="s">
        <v>2198</v>
      </c>
      <c r="S22" s="1339">
        <f>PRODUCT(S20:S21)</f>
        <v>104312</v>
      </c>
      <c r="T22" s="1339">
        <f>PRODUCT(T20:T21)</f>
        <v>94683.199999999997</v>
      </c>
      <c r="U22" s="1339">
        <f>PRODUCT(U20:U21)</f>
        <v>74623.199999999997</v>
      </c>
      <c r="V22" s="1339">
        <f>PRODUCT(V20:V21)</f>
        <v>0</v>
      </c>
      <c r="W22" s="1339">
        <f>PRODUCT(W20:W21)</f>
        <v>0</v>
      </c>
      <c r="Z22" s="83" t="s">
        <v>2198</v>
      </c>
      <c r="AA22" s="1339">
        <f>PRODUCT(AA20:AA21)</f>
        <v>36050</v>
      </c>
      <c r="AB22" s="1339">
        <f>PRODUCT(AB20:AB21)</f>
        <v>57680</v>
      </c>
      <c r="AC22" s="1339">
        <f>PRODUCT(AC20:AC21)</f>
        <v>36050</v>
      </c>
      <c r="AD22" s="1339">
        <f>PRODUCT(AD20:AD21)</f>
        <v>0</v>
      </c>
      <c r="AE22" s="1339">
        <f>PRODUCT(AE20:AE21)</f>
        <v>0</v>
      </c>
      <c r="AH22" s="83" t="s">
        <v>2198</v>
      </c>
      <c r="AI22" s="1339" t="e">
        <f>PRODUCT(AI20:AI21)</f>
        <v>#DIV/0!</v>
      </c>
      <c r="AJ22" s="1339" t="e">
        <f>PRODUCT(AJ20:AJ21)</f>
        <v>#DIV/0!</v>
      </c>
      <c r="AK22" s="1339" t="e">
        <f>PRODUCT(AK20:AK21)</f>
        <v>#DIV/0!</v>
      </c>
      <c r="AL22" s="1339" t="e">
        <f>PRODUCT(AL20:AL21)</f>
        <v>#DIV/0!</v>
      </c>
      <c r="AM22" s="1339" t="e">
        <f>PRODUCT(AM20:AM21)</f>
        <v>#DIV/0!</v>
      </c>
      <c r="AP22" s="83" t="s">
        <v>2198</v>
      </c>
      <c r="AQ22" s="1339" t="e">
        <f>PRODUCT(AQ20:AQ21)</f>
        <v>#DIV/0!</v>
      </c>
      <c r="AR22" s="1339" t="e">
        <f>PRODUCT(AR20:AR21)</f>
        <v>#DIV/0!</v>
      </c>
      <c r="AS22" s="1339" t="e">
        <f>PRODUCT(AS20:AS21)</f>
        <v>#DIV/0!</v>
      </c>
      <c r="AT22" s="1339" t="e">
        <f>PRODUCT(AT20:AT21)</f>
        <v>#DIV/0!</v>
      </c>
      <c r="AU22" s="1339" t="e">
        <f>PRODUCT(AU20:AU21)</f>
        <v>#DIV/0!</v>
      </c>
    </row>
    <row r="23" spans="1:47" x14ac:dyDescent="0.2">
      <c r="A23" s="1346" t="s">
        <v>306</v>
      </c>
      <c r="B23" s="95"/>
      <c r="C23" s="1348" t="s">
        <v>857</v>
      </c>
      <c r="D23" s="1322">
        <v>2</v>
      </c>
      <c r="E23" s="1354"/>
      <c r="F23" s="1355"/>
      <c r="G23" s="1352"/>
      <c r="H23" s="1352"/>
      <c r="I23" s="1356"/>
      <c r="K23" s="1458" t="s">
        <v>2278</v>
      </c>
      <c r="L23" s="1459"/>
      <c r="M23" s="1460"/>
      <c r="N23" s="1460"/>
      <c r="O23" s="1461"/>
    </row>
    <row r="24" spans="1:47" x14ac:dyDescent="0.2">
      <c r="A24" s="1346" t="s">
        <v>962</v>
      </c>
      <c r="B24" s="95"/>
      <c r="C24" s="1348" t="s">
        <v>857</v>
      </c>
      <c r="D24" s="1322">
        <v>3</v>
      </c>
      <c r="E24" s="1354"/>
      <c r="F24" s="1355"/>
      <c r="G24" s="1352"/>
      <c r="H24" s="1352"/>
      <c r="I24" s="1356"/>
      <c r="K24" s="1344" t="s">
        <v>2204</v>
      </c>
      <c r="L24" s="258"/>
      <c r="M24" s="258"/>
      <c r="N24" s="259"/>
      <c r="O24" s="259"/>
      <c r="Q24" s="60" t="s">
        <v>2199</v>
      </c>
      <c r="Y24" s="60" t="s">
        <v>2199</v>
      </c>
      <c r="AG24" s="60" t="s">
        <v>2199</v>
      </c>
      <c r="AO24" s="60" t="s">
        <v>2199</v>
      </c>
    </row>
    <row r="25" spans="1:47" ht="13.5" thickBot="1" x14ac:dyDescent="0.25">
      <c r="A25" s="526"/>
      <c r="B25" s="96"/>
      <c r="C25" s="1076"/>
      <c r="D25" s="1322">
        <v>4</v>
      </c>
      <c r="E25" s="1354"/>
      <c r="F25" s="1355"/>
      <c r="G25" s="1352"/>
      <c r="H25" s="1352"/>
      <c r="I25" s="1356"/>
      <c r="K25" s="1344" t="s">
        <v>2205</v>
      </c>
      <c r="L25" s="258"/>
      <c r="M25" s="259"/>
      <c r="N25" s="259"/>
      <c r="O25" s="259"/>
      <c r="R25" s="1117" t="s">
        <v>2200</v>
      </c>
      <c r="S25" s="1339">
        <f>SUM(S22:W22)</f>
        <v>273618.40000000002</v>
      </c>
      <c r="Z25" s="1117" t="s">
        <v>2200</v>
      </c>
      <c r="AA25" s="1339">
        <f>SUM(AA22:AE22)</f>
        <v>129780</v>
      </c>
      <c r="AH25" s="1117" t="s">
        <v>2200</v>
      </c>
      <c r="AI25" s="1339" t="e">
        <f>SUM(AI22:AM22)</f>
        <v>#DIV/0!</v>
      </c>
      <c r="AP25" s="1117" t="s">
        <v>2200</v>
      </c>
      <c r="AQ25" s="1339" t="e">
        <f>SUM(AQ22:AU22)</f>
        <v>#DIV/0!</v>
      </c>
    </row>
    <row r="26" spans="1:47" x14ac:dyDescent="0.2">
      <c r="D26" s="1322">
        <v>5</v>
      </c>
      <c r="E26" s="1354"/>
      <c r="F26" s="1355"/>
      <c r="G26" s="1352"/>
      <c r="H26" s="1352"/>
      <c r="I26" s="1356"/>
      <c r="K26" s="1344" t="s">
        <v>2206</v>
      </c>
      <c r="L26" s="248"/>
      <c r="M26" s="248"/>
      <c r="N26" s="248"/>
      <c r="O26" s="248"/>
      <c r="Q26" s="185"/>
      <c r="R26" s="1226" t="s">
        <v>2186</v>
      </c>
      <c r="S26" s="238">
        <f>$I$9</f>
        <v>3000000</v>
      </c>
      <c r="Y26" s="185"/>
      <c r="Z26" s="1226" t="s">
        <v>2186</v>
      </c>
      <c r="AA26" s="238">
        <f>$I$9</f>
        <v>3000000</v>
      </c>
      <c r="AG26" s="185"/>
      <c r="AH26" s="1226" t="s">
        <v>2186</v>
      </c>
      <c r="AI26" s="238">
        <f>$I$18</f>
        <v>0</v>
      </c>
      <c r="AO26" s="185"/>
      <c r="AP26" s="1226" t="s">
        <v>2186</v>
      </c>
      <c r="AQ26" s="238">
        <f>$I$18</f>
        <v>0</v>
      </c>
    </row>
    <row r="27" spans="1:47" x14ac:dyDescent="0.2">
      <c r="D27" s="1326"/>
      <c r="E27" s="1327"/>
      <c r="F27" s="1347"/>
      <c r="G27" s="1328"/>
      <c r="H27" s="1329" t="s">
        <v>2174</v>
      </c>
      <c r="I27" s="1325">
        <f>SUM(I22:I26)</f>
        <v>0</v>
      </c>
      <c r="K27" s="1344" t="s">
        <v>2207</v>
      </c>
      <c r="L27" s="485"/>
      <c r="M27" s="485"/>
      <c r="N27" s="485"/>
      <c r="O27" s="485"/>
      <c r="R27" s="1117" t="s">
        <v>2201</v>
      </c>
      <c r="S27" s="2">
        <f>ROUND(S25/S26,3)</f>
        <v>9.0999999999999998E-2</v>
      </c>
      <c r="Z27" s="1117" t="s">
        <v>2229</v>
      </c>
      <c r="AA27" s="2">
        <f>ROUND(AA25/AA26,4)</f>
        <v>4.3299999999999998E-2</v>
      </c>
      <c r="AH27" s="1117" t="s">
        <v>2201</v>
      </c>
      <c r="AI27" s="2" t="e">
        <f>ROUND(AI25/AI26,3)</f>
        <v>#DIV/0!</v>
      </c>
      <c r="AP27" s="1117" t="s">
        <v>2229</v>
      </c>
      <c r="AQ27" s="2" t="e">
        <f>ROUND(AQ25/AQ26,4)</f>
        <v>#DIV/0!</v>
      </c>
    </row>
    <row r="28" spans="1:47" ht="13.5" thickBot="1" x14ac:dyDescent="0.25">
      <c r="D28" s="126"/>
      <c r="E28" s="541"/>
      <c r="F28" s="541"/>
      <c r="G28" s="96"/>
      <c r="H28" s="96"/>
      <c r="I28" s="1096"/>
      <c r="K28" s="1345" t="s">
        <v>2208</v>
      </c>
      <c r="L28" s="238"/>
      <c r="M28" s="238"/>
      <c r="N28" s="238"/>
      <c r="O28" s="238"/>
      <c r="Q28" s="146"/>
      <c r="R28" s="1210" t="s">
        <v>2202</v>
      </c>
      <c r="S28" s="299">
        <f>VLOOKUP($C$15,Table_CoIns_Blanket,2,0)</f>
        <v>0.95</v>
      </c>
      <c r="Y28" s="146"/>
      <c r="Z28" s="1210" t="s">
        <v>2202</v>
      </c>
      <c r="AA28" s="299">
        <f>VLOOKUP($C$15,Table_CoIns_Blanket,2,0)</f>
        <v>0.95</v>
      </c>
      <c r="AG28" s="146"/>
      <c r="AH28" s="1210" t="s">
        <v>2202</v>
      </c>
      <c r="AI28" s="299">
        <f>VLOOKUP($C$15,Table_CoIns_Blanket,2,0)</f>
        <v>0.95</v>
      </c>
      <c r="AO28" s="146"/>
      <c r="AP28" s="1210" t="s">
        <v>2202</v>
      </c>
      <c r="AQ28" s="299">
        <f>VLOOKUP($C$15,Table_CoIns_Blanket,2,0)</f>
        <v>0.95</v>
      </c>
    </row>
    <row r="29" spans="1:47" x14ac:dyDescent="0.2">
      <c r="D29" s="500" t="s">
        <v>2217</v>
      </c>
      <c r="E29" s="508"/>
      <c r="F29" s="508"/>
      <c r="G29" s="508"/>
      <c r="H29" s="508"/>
      <c r="I29" s="509"/>
      <c r="K29" s="1343" t="s">
        <v>2218</v>
      </c>
      <c r="L29" s="485">
        <f>SUM(L24:L28)</f>
        <v>0</v>
      </c>
      <c r="M29" s="485">
        <f>SUM(M24:M28)</f>
        <v>0</v>
      </c>
      <c r="N29" s="485">
        <f>SUM(N24:N28)</f>
        <v>0</v>
      </c>
      <c r="O29" s="485">
        <f>SUM(O24:O28)</f>
        <v>0</v>
      </c>
      <c r="Q29" s="185"/>
      <c r="R29" s="1226" t="s">
        <v>1020</v>
      </c>
      <c r="S29" s="208">
        <f>IF($C$6="PAC",VLOOKUP(B7,Table_PakMods,MATCH($C$10,List_Company,0)+1,FALSE),1)</f>
        <v>0.45</v>
      </c>
      <c r="Y29" s="185"/>
      <c r="Z29" s="1226" t="s">
        <v>1020</v>
      </c>
      <c r="AA29" s="208">
        <f>IF($C$6="PAC",VLOOKUP(B7,Table_PakMods,MATCH($C$10,List_Company,0)+1,FALSE),1)</f>
        <v>0.45</v>
      </c>
      <c r="AG29" s="185"/>
      <c r="AH29" s="1226" t="s">
        <v>1020</v>
      </c>
      <c r="AI29" s="208">
        <f>IF($C$6="PAC",VLOOKUP(B7,Table_PakMods,MATCH($C$10,List_Company,0)+1,FALSE),1)</f>
        <v>0.45</v>
      </c>
      <c r="AO29" s="185"/>
      <c r="AP29" s="1226" t="s">
        <v>1020</v>
      </c>
      <c r="AQ29" s="208">
        <f>IF($C$6="PAC",VLOOKUP(B7,Table_PakMods,MATCH($C$10,List_Company,0)+1,FALSE),1)</f>
        <v>0.45</v>
      </c>
    </row>
    <row r="30" spans="1:47" ht="13.5" thickBot="1" x14ac:dyDescent="0.25">
      <c r="D30" s="1320" t="s">
        <v>2173</v>
      </c>
      <c r="E30" s="1323" t="s">
        <v>57</v>
      </c>
      <c r="F30" s="1323"/>
      <c r="G30" s="1323" t="s">
        <v>2222</v>
      </c>
      <c r="H30" s="1323" t="s">
        <v>2171</v>
      </c>
      <c r="I30" s="1324" t="s">
        <v>2172</v>
      </c>
      <c r="K30" s="702"/>
      <c r="L30" s="575"/>
      <c r="M30" s="478"/>
      <c r="N30" s="575"/>
      <c r="O30" s="575"/>
      <c r="R30" s="83" t="s">
        <v>2203</v>
      </c>
      <c r="S30" s="60">
        <f>ROUND(PRODUCT(S27:S29),3)</f>
        <v>3.9E-2</v>
      </c>
      <c r="Z30" s="83" t="s">
        <v>2230</v>
      </c>
      <c r="AA30" s="60">
        <f>ROUND(PRODUCT(AA27:AA29),3)</f>
        <v>1.9E-2</v>
      </c>
      <c r="AH30" s="83" t="s">
        <v>2203</v>
      </c>
      <c r="AI30" s="60" t="e">
        <f>ROUND(PRODUCT(AI27:AI29),3)</f>
        <v>#DIV/0!</v>
      </c>
      <c r="AP30" s="83" t="s">
        <v>2230</v>
      </c>
      <c r="AQ30" s="60" t="e">
        <f>ROUND(PRODUCT(AQ27:AQ29),3)</f>
        <v>#DIV/0!</v>
      </c>
    </row>
    <row r="31" spans="1:47" x14ac:dyDescent="0.2">
      <c r="D31" s="1321">
        <v>1</v>
      </c>
      <c r="E31" s="1349"/>
      <c r="F31" s="1350"/>
      <c r="G31" s="1351"/>
      <c r="H31" s="1352"/>
      <c r="I31" s="1353"/>
      <c r="K31" s="1340" t="s">
        <v>2221</v>
      </c>
      <c r="L31" s="1341"/>
      <c r="M31" s="1342"/>
      <c r="N31" s="1342"/>
      <c r="O31" s="1342"/>
    </row>
    <row r="32" spans="1:47" x14ac:dyDescent="0.2">
      <c r="D32" s="1322">
        <v>2</v>
      </c>
      <c r="E32" s="1354"/>
      <c r="F32" s="1355"/>
      <c r="G32" s="1352"/>
      <c r="H32" s="1352"/>
      <c r="I32" s="1356"/>
      <c r="K32" s="1458" t="s">
        <v>2278</v>
      </c>
      <c r="L32" s="1459"/>
      <c r="M32" s="1460"/>
      <c r="N32" s="1460"/>
      <c r="O32" s="1461"/>
      <c r="Q32" s="60" t="s">
        <v>2209</v>
      </c>
      <c r="S32" s="235" t="s">
        <v>2176</v>
      </c>
      <c r="T32" s="235" t="s">
        <v>2177</v>
      </c>
      <c r="U32" s="235" t="s">
        <v>2178</v>
      </c>
      <c r="V32" s="235" t="s">
        <v>2179</v>
      </c>
      <c r="W32" s="235" t="s">
        <v>2180</v>
      </c>
      <c r="Y32" s="60" t="s">
        <v>2209</v>
      </c>
      <c r="AA32" s="235" t="s">
        <v>2176</v>
      </c>
      <c r="AB32" s="235" t="s">
        <v>2177</v>
      </c>
      <c r="AC32" s="235" t="s">
        <v>2178</v>
      </c>
      <c r="AD32" s="235" t="s">
        <v>2179</v>
      </c>
      <c r="AE32" s="235" t="s">
        <v>2180</v>
      </c>
      <c r="AG32" s="60" t="s">
        <v>2209</v>
      </c>
      <c r="AI32" s="235" t="s">
        <v>2176</v>
      </c>
      <c r="AJ32" s="235" t="s">
        <v>2177</v>
      </c>
      <c r="AK32" s="235" t="s">
        <v>2178</v>
      </c>
      <c r="AL32" s="235" t="s">
        <v>2179</v>
      </c>
      <c r="AM32" s="235" t="s">
        <v>2180</v>
      </c>
      <c r="AO32" s="60" t="s">
        <v>2209</v>
      </c>
      <c r="AQ32" s="235" t="s">
        <v>2176</v>
      </c>
      <c r="AR32" s="235" t="s">
        <v>2177</v>
      </c>
      <c r="AS32" s="235" t="s">
        <v>2178</v>
      </c>
      <c r="AT32" s="235" t="s">
        <v>2179</v>
      </c>
      <c r="AU32" s="235" t="s">
        <v>2180</v>
      </c>
    </row>
    <row r="33" spans="4:47" x14ac:dyDescent="0.2">
      <c r="D33" s="1322">
        <v>3</v>
      </c>
      <c r="E33" s="1354"/>
      <c r="F33" s="1355"/>
      <c r="G33" s="1352"/>
      <c r="H33" s="1352"/>
      <c r="I33" s="1356"/>
      <c r="K33" s="1344" t="s">
        <v>2204</v>
      </c>
      <c r="L33" s="258"/>
      <c r="M33" s="258"/>
      <c r="N33" s="259"/>
      <c r="O33" s="259"/>
      <c r="Q33" s="1227"/>
      <c r="R33" s="1117" t="s">
        <v>2212</v>
      </c>
      <c r="S33" s="478">
        <f>IF(ISNUMBER($I4),$I4/100,0)</f>
        <v>10000</v>
      </c>
      <c r="T33" s="478">
        <f>IF(ISNUMBER($I5),$I5/100,0)</f>
        <v>10000</v>
      </c>
      <c r="U33" s="478">
        <f>IF(ISNUMBER($I6),$I6/100,0)</f>
        <v>10000</v>
      </c>
      <c r="V33" s="478">
        <f>IF(ISNUMBER($I7),$I7/100,0)</f>
        <v>0</v>
      </c>
      <c r="W33" s="478">
        <f>IF(ISNUMBER($I8),$I8/100,0)</f>
        <v>0</v>
      </c>
      <c r="Y33" s="1227"/>
      <c r="Z33" s="1117" t="s">
        <v>2212</v>
      </c>
      <c r="AA33" s="478">
        <f>IF(ISNUMBER($I4),$I4/100,0)</f>
        <v>10000</v>
      </c>
      <c r="AB33" s="478">
        <f>IF(ISNUMBER($I5),$I5/100,0)</f>
        <v>10000</v>
      </c>
      <c r="AC33" s="478">
        <f>IF(ISNUMBER($I6),$I6/100,0)</f>
        <v>10000</v>
      </c>
      <c r="AD33" s="478">
        <f>IF(ISNUMBER($I7),$I7/100,0)</f>
        <v>0</v>
      </c>
      <c r="AE33" s="478">
        <f>IF(ISNUMBER($I8),$I8/100,0)</f>
        <v>0</v>
      </c>
      <c r="AG33" s="1227"/>
      <c r="AH33" s="1117" t="s">
        <v>2212</v>
      </c>
      <c r="AI33" s="478">
        <f>IF(ISNUMBER($I13),$I13/100,0)</f>
        <v>0</v>
      </c>
      <c r="AJ33" s="478">
        <f>IF(ISNUMBER($I14),$I14/100,0)</f>
        <v>0</v>
      </c>
      <c r="AK33" s="478">
        <f>IF(ISNUMBER($I15),$I15/100,0)</f>
        <v>0</v>
      </c>
      <c r="AL33" s="478">
        <f>IF(ISNUMBER($I16),$I16/100,0)</f>
        <v>0</v>
      </c>
      <c r="AM33" s="478">
        <f>IF(ISNUMBER($I17),$I17/100,0)</f>
        <v>0</v>
      </c>
      <c r="AO33" s="1227"/>
      <c r="AP33" s="1117" t="s">
        <v>2212</v>
      </c>
      <c r="AQ33" s="478">
        <f>IF(ISNUMBER($I13),$I13/100,0)</f>
        <v>0</v>
      </c>
      <c r="AR33" s="478">
        <f>IF(ISNUMBER($I14),$I14/100,0)</f>
        <v>0</v>
      </c>
      <c r="AS33" s="478">
        <f>IF(ISNUMBER($I15),$I15/100,0)</f>
        <v>0</v>
      </c>
      <c r="AT33" s="478">
        <f>IF(ISNUMBER($I16),$I16/100,0)</f>
        <v>0</v>
      </c>
      <c r="AU33" s="478">
        <f>IF(ISNUMBER($I17),$I17/100,0)</f>
        <v>0</v>
      </c>
    </row>
    <row r="34" spans="4:47" x14ac:dyDescent="0.2">
      <c r="D34" s="1322">
        <v>4</v>
      </c>
      <c r="E34" s="1354"/>
      <c r="F34" s="1355"/>
      <c r="G34" s="1352"/>
      <c r="H34" s="1352"/>
      <c r="I34" s="1356"/>
      <c r="K34" s="1344" t="s">
        <v>2205</v>
      </c>
      <c r="L34" s="258"/>
      <c r="M34" s="259"/>
      <c r="N34" s="259"/>
      <c r="O34" s="259"/>
      <c r="Q34" s="185"/>
      <c r="R34" s="1226" t="s">
        <v>2210</v>
      </c>
      <c r="S34" s="185">
        <f>$S$30</f>
        <v>3.9E-2</v>
      </c>
      <c r="T34" s="185">
        <f>$S$30</f>
        <v>3.9E-2</v>
      </c>
      <c r="U34" s="185">
        <f>$S$30</f>
        <v>3.9E-2</v>
      </c>
      <c r="V34" s="185">
        <f>$S$30</f>
        <v>3.9E-2</v>
      </c>
      <c r="W34" s="185">
        <f>$S$30</f>
        <v>3.9E-2</v>
      </c>
      <c r="Y34" s="185"/>
      <c r="Z34" s="1226" t="s">
        <v>2210</v>
      </c>
      <c r="AA34" s="185">
        <f>$AA$30</f>
        <v>1.9E-2</v>
      </c>
      <c r="AB34" s="185">
        <f>$AA$30</f>
        <v>1.9E-2</v>
      </c>
      <c r="AC34" s="185">
        <f>$AA$30</f>
        <v>1.9E-2</v>
      </c>
      <c r="AD34" s="185">
        <f>$AA$30</f>
        <v>1.9E-2</v>
      </c>
      <c r="AE34" s="185">
        <f>$AA$30</f>
        <v>1.9E-2</v>
      </c>
      <c r="AG34" s="185"/>
      <c r="AH34" s="1226" t="s">
        <v>2210</v>
      </c>
      <c r="AI34" s="185" t="e">
        <f>$AI$30</f>
        <v>#DIV/0!</v>
      </c>
      <c r="AJ34" s="185" t="e">
        <f t="shared" ref="AJ34:AM34" si="5">$AI$30</f>
        <v>#DIV/0!</v>
      </c>
      <c r="AK34" s="185" t="e">
        <f t="shared" si="5"/>
        <v>#DIV/0!</v>
      </c>
      <c r="AL34" s="185" t="e">
        <f t="shared" si="5"/>
        <v>#DIV/0!</v>
      </c>
      <c r="AM34" s="185" t="e">
        <f t="shared" si="5"/>
        <v>#DIV/0!</v>
      </c>
      <c r="AO34" s="185"/>
      <c r="AP34" s="1226" t="s">
        <v>2210</v>
      </c>
      <c r="AQ34" s="455" t="e">
        <f>$AQ$30</f>
        <v>#DIV/0!</v>
      </c>
      <c r="AR34" s="455" t="e">
        <f t="shared" ref="AR34:AU34" si="6">$AQ$30</f>
        <v>#DIV/0!</v>
      </c>
      <c r="AS34" s="455" t="e">
        <f t="shared" si="6"/>
        <v>#DIV/0!</v>
      </c>
      <c r="AT34" s="455" t="e">
        <f t="shared" si="6"/>
        <v>#DIV/0!</v>
      </c>
      <c r="AU34" s="455" t="e">
        <f t="shared" si="6"/>
        <v>#DIV/0!</v>
      </c>
    </row>
    <row r="35" spans="4:47" x14ac:dyDescent="0.2">
      <c r="D35" s="1322">
        <v>5</v>
      </c>
      <c r="E35" s="1354"/>
      <c r="F35" s="1355"/>
      <c r="G35" s="1352"/>
      <c r="H35" s="1352"/>
      <c r="I35" s="1356"/>
      <c r="K35" s="1344" t="s">
        <v>2206</v>
      </c>
      <c r="L35" s="248"/>
      <c r="M35" s="248"/>
      <c r="N35" s="248"/>
      <c r="O35" s="248"/>
      <c r="R35" s="83" t="s">
        <v>2211</v>
      </c>
      <c r="S35" s="248">
        <f>ROUND(PRODUCT(S33:S34),0)</f>
        <v>390</v>
      </c>
      <c r="T35" s="248">
        <f>ROUND(PRODUCT(T33:T34),0)</f>
        <v>390</v>
      </c>
      <c r="U35" s="248">
        <f>ROUND(PRODUCT(U33:U34),0)</f>
        <v>390</v>
      </c>
      <c r="V35" s="248">
        <f>ROUND(PRODUCT(V33:V34),0)</f>
        <v>0</v>
      </c>
      <c r="W35" s="248">
        <f>ROUND(PRODUCT(W33:W34),0)</f>
        <v>0</v>
      </c>
      <c r="Z35" s="83" t="s">
        <v>2231</v>
      </c>
      <c r="AA35" s="248">
        <f>ROUND(PRODUCT(AA33:AA34),0)</f>
        <v>190</v>
      </c>
      <c r="AB35" s="248">
        <f>ROUND(PRODUCT(AB33:AB34),0)</f>
        <v>190</v>
      </c>
      <c r="AC35" s="248">
        <f>ROUND(PRODUCT(AC33:AC34),0)</f>
        <v>190</v>
      </c>
      <c r="AD35" s="248">
        <f>ROUND(PRODUCT(AD33:AD34),0)</f>
        <v>0</v>
      </c>
      <c r="AE35" s="248">
        <f>ROUND(PRODUCT(AE33:AE34),0)</f>
        <v>0</v>
      </c>
      <c r="AH35" s="83" t="s">
        <v>2211</v>
      </c>
      <c r="AI35" s="248" t="e">
        <f>ROUND(PRODUCT(AI33:AI34),0)</f>
        <v>#DIV/0!</v>
      </c>
      <c r="AJ35" s="248" t="e">
        <f>ROUND(PRODUCT(AJ33:AJ34),0)</f>
        <v>#DIV/0!</v>
      </c>
      <c r="AK35" s="248" t="e">
        <f>ROUND(PRODUCT(AK33:AK34),0)</f>
        <v>#DIV/0!</v>
      </c>
      <c r="AL35" s="248" t="e">
        <f>ROUND(PRODUCT(AL33:AL34),0)</f>
        <v>#DIV/0!</v>
      </c>
      <c r="AM35" s="248" t="e">
        <f>ROUND(PRODUCT(AM33:AM34),0)</f>
        <v>#DIV/0!</v>
      </c>
      <c r="AP35" s="83" t="s">
        <v>2231</v>
      </c>
      <c r="AQ35" s="248" t="e">
        <f>ROUND(PRODUCT(AQ33:AQ34),0)</f>
        <v>#DIV/0!</v>
      </c>
      <c r="AR35" s="248" t="e">
        <f>ROUND(PRODUCT(AR33:AR34),0)</f>
        <v>#DIV/0!</v>
      </c>
      <c r="AS35" s="248" t="e">
        <f>ROUND(PRODUCT(AS33:AS34),0)</f>
        <v>#DIV/0!</v>
      </c>
      <c r="AT35" s="248" t="e">
        <f>ROUND(PRODUCT(AT33:AT34),0)</f>
        <v>#DIV/0!</v>
      </c>
      <c r="AU35" s="248" t="e">
        <f>ROUND(PRODUCT(AU33:AU34),0)</f>
        <v>#DIV/0!</v>
      </c>
    </row>
    <row r="36" spans="4:47" x14ac:dyDescent="0.2">
      <c r="D36" s="1326"/>
      <c r="E36" s="1327"/>
      <c r="F36" s="1347"/>
      <c r="G36" s="1328"/>
      <c r="H36" s="1329" t="s">
        <v>2174</v>
      </c>
      <c r="I36" s="1325">
        <f>SUM(I31:I35)</f>
        <v>0</v>
      </c>
      <c r="K36" s="1344" t="s">
        <v>2207</v>
      </c>
      <c r="L36" s="485"/>
      <c r="M36" s="485"/>
      <c r="N36" s="485"/>
      <c r="O36" s="485"/>
    </row>
    <row r="37" spans="4:47" ht="13.5" thickBot="1" x14ac:dyDescent="0.25">
      <c r="D37" s="126"/>
      <c r="E37" s="541"/>
      <c r="F37" s="541"/>
      <c r="G37" s="96"/>
      <c r="H37" s="96"/>
      <c r="I37" s="1096"/>
      <c r="K37" s="1345" t="s">
        <v>2208</v>
      </c>
      <c r="L37" s="238"/>
      <c r="M37" s="238"/>
      <c r="N37" s="238"/>
      <c r="O37" s="238"/>
    </row>
    <row r="38" spans="4:47" x14ac:dyDescent="0.2">
      <c r="I38" s="139"/>
      <c r="K38" s="1343" t="s">
        <v>2218</v>
      </c>
      <c r="L38" s="485">
        <f>SUM(L33:L37)</f>
        <v>0</v>
      </c>
      <c r="M38" s="485">
        <f>SUM(M33:M37)</f>
        <v>0</v>
      </c>
      <c r="N38" s="485">
        <f>SUM(N33:N37)</f>
        <v>0</v>
      </c>
      <c r="O38" s="485">
        <f>SUM(O33:O37)</f>
        <v>0</v>
      </c>
    </row>
    <row r="39" spans="4:47" x14ac:dyDescent="0.2">
      <c r="K39" s="793"/>
      <c r="L39" s="478"/>
      <c r="M39" s="146"/>
      <c r="N39" s="146"/>
      <c r="O39" s="146"/>
    </row>
    <row r="40" spans="4:47" x14ac:dyDescent="0.2">
      <c r="K40" s="793"/>
      <c r="L40" s="146"/>
      <c r="M40" s="146"/>
      <c r="N40" s="146"/>
      <c r="O40" s="146"/>
    </row>
    <row r="41" spans="4:47" x14ac:dyDescent="0.2">
      <c r="K41" s="146"/>
      <c r="L41" s="478"/>
      <c r="M41" s="146"/>
      <c r="N41" s="146"/>
      <c r="O41" s="146"/>
    </row>
    <row r="42" spans="4:47" x14ac:dyDescent="0.2">
      <c r="J42" s="8"/>
      <c r="K42" s="146"/>
      <c r="L42" s="478"/>
      <c r="M42" s="146"/>
      <c r="N42" s="146"/>
      <c r="O42" s="146"/>
    </row>
    <row r="43" spans="4:47" x14ac:dyDescent="0.2">
      <c r="J43" s="8"/>
      <c r="K43" s="146"/>
      <c r="L43" s="146"/>
      <c r="M43" s="146"/>
      <c r="N43" s="146"/>
      <c r="O43" s="146"/>
    </row>
    <row r="44" spans="4:47" x14ac:dyDescent="0.2">
      <c r="J44" s="8"/>
      <c r="K44" s="146"/>
      <c r="L44" s="146"/>
      <c r="M44" s="146"/>
      <c r="N44" s="146"/>
      <c r="O44" s="146"/>
    </row>
    <row r="45" spans="4:47" ht="13.5" thickBot="1" x14ac:dyDescent="0.25">
      <c r="J45" s="8"/>
      <c r="K45" s="146"/>
      <c r="L45" s="146"/>
      <c r="M45" s="146"/>
      <c r="N45" s="146"/>
      <c r="O45" s="146"/>
    </row>
    <row r="46" spans="4:47" ht="13.5" thickBot="1" x14ac:dyDescent="0.25">
      <c r="J46" s="8"/>
      <c r="K46" s="146"/>
      <c r="L46" s="146"/>
      <c r="M46" s="146"/>
      <c r="N46" s="146"/>
      <c r="O46" s="146"/>
      <c r="Q46" s="1612" t="s">
        <v>2279</v>
      </c>
      <c r="R46" s="1613"/>
      <c r="S46" s="1613"/>
      <c r="T46" s="1613"/>
      <c r="U46" s="1613"/>
      <c r="V46" s="1613"/>
      <c r="W46" s="1614"/>
      <c r="Y46" s="1612" t="s">
        <v>2280</v>
      </c>
      <c r="Z46" s="1613"/>
      <c r="AA46" s="1613"/>
      <c r="AB46" s="1613"/>
      <c r="AC46" s="1613"/>
      <c r="AD46" s="1613"/>
      <c r="AE46" s="1614"/>
      <c r="AG46" s="1609" t="s">
        <v>2286</v>
      </c>
      <c r="AH46" s="1610"/>
      <c r="AI46" s="1610"/>
      <c r="AJ46" s="1610"/>
      <c r="AK46" s="1610"/>
      <c r="AL46" s="1610"/>
      <c r="AM46" s="1611"/>
      <c r="AO46" s="1609" t="s">
        <v>2287</v>
      </c>
      <c r="AP46" s="1610"/>
      <c r="AQ46" s="1610"/>
      <c r="AR46" s="1610"/>
      <c r="AS46" s="1610"/>
      <c r="AT46" s="1610"/>
      <c r="AU46" s="1611"/>
    </row>
    <row r="47" spans="4:47" x14ac:dyDescent="0.2">
      <c r="K47" s="146"/>
      <c r="L47" s="146"/>
      <c r="M47" s="146"/>
      <c r="N47" s="146"/>
      <c r="O47" s="146"/>
      <c r="Q47" s="60" t="s">
        <v>2182</v>
      </c>
      <c r="S47" s="235" t="s">
        <v>2176</v>
      </c>
      <c r="T47" s="235" t="s">
        <v>2177</v>
      </c>
      <c r="U47" s="235" t="s">
        <v>2178</v>
      </c>
      <c r="V47" s="235" t="s">
        <v>2179</v>
      </c>
      <c r="W47" s="235" t="s">
        <v>2180</v>
      </c>
      <c r="Y47" s="60" t="s">
        <v>2182</v>
      </c>
      <c r="AA47" s="235" t="s">
        <v>2176</v>
      </c>
      <c r="AB47" s="235" t="s">
        <v>2177</v>
      </c>
      <c r="AC47" s="235" t="s">
        <v>2178</v>
      </c>
      <c r="AD47" s="235" t="s">
        <v>2179</v>
      </c>
      <c r="AE47" s="235" t="s">
        <v>2180</v>
      </c>
      <c r="AG47" s="60" t="s">
        <v>2182</v>
      </c>
      <c r="AI47" s="235" t="s">
        <v>2176</v>
      </c>
      <c r="AJ47" s="235" t="s">
        <v>2177</v>
      </c>
      <c r="AK47" s="235" t="s">
        <v>2178</v>
      </c>
      <c r="AL47" s="235" t="s">
        <v>2179</v>
      </c>
      <c r="AM47" s="235" t="s">
        <v>2180</v>
      </c>
      <c r="AO47" s="60" t="s">
        <v>2182</v>
      </c>
      <c r="AQ47" s="235" t="s">
        <v>2176</v>
      </c>
      <c r="AR47" s="235" t="s">
        <v>2177</v>
      </c>
      <c r="AS47" s="235" t="s">
        <v>2178</v>
      </c>
      <c r="AT47" s="235" t="s">
        <v>2179</v>
      </c>
      <c r="AU47" s="235" t="s">
        <v>2180</v>
      </c>
    </row>
    <row r="48" spans="4:47" x14ac:dyDescent="0.2">
      <c r="K48" s="146"/>
      <c r="L48" s="146"/>
      <c r="M48" s="146"/>
      <c r="N48" s="146"/>
      <c r="O48" s="146"/>
      <c r="Q48" s="60"/>
      <c r="R48" s="1117" t="s">
        <v>1197</v>
      </c>
      <c r="S48" s="2">
        <f>IF(OR(ISBLANK($C$12),$C$12="No"),0,IF(ISTEXT($E4),VLOOKUP(1,Table_Special_Bldg,2,FALSE)*IF(AND($C$11="SP",$C$12=2),VLOOKUP(2,Table_Special_Bldg,2,0),1),0))</f>
        <v>4.8000000000000001E-2</v>
      </c>
      <c r="T48" s="2">
        <f>IF(OR(ISBLANK($C$12),$C$12="No"),0,IF(ISTEXT($E5),VLOOKUP(1,Table_Special_Bldg,2,FALSE)*IF(AND($C$11="SP",$C$12=2),VLOOKUP(2,Table_Special_Bldg,2,0),1),0))</f>
        <v>4.8000000000000001E-2</v>
      </c>
      <c r="U48" s="2">
        <f>IF(OR(ISBLANK($C$12),$C$12="No"),0,IF(ISTEXT($E6),VLOOKUP(1,Table_Special_Bldg,2,FALSE)*IF(AND($C$11="SP",$C$12=2),VLOOKUP(2,Table_Special_Bldg,2,0),1),0))</f>
        <v>4.8000000000000001E-2</v>
      </c>
      <c r="V48" s="2">
        <f>IF(OR(ISBLANK($C$12),$C$12="No"),0,IF(ISTEXT($E7),VLOOKUP(1,Table_Special_Bldg,2,FALSE)*IF(AND($C$11="SP",$C$12=2),VLOOKUP(2,Table_Special_Bldg,2,0),1),0))</f>
        <v>0</v>
      </c>
      <c r="W48" s="2">
        <f>IF(OR(ISBLANK($C$12),$C$12="No"),0,IF(ISTEXT($E8),VLOOKUP(1,Table_Special_Bldg,2,FALSE)*IF(AND($C$11="SP",$C$12=2),VLOOKUP(2,Table_Special_Bldg,2,0),1),0))</f>
        <v>0</v>
      </c>
      <c r="Y48" s="60"/>
      <c r="Z48" s="1117" t="s">
        <v>2283</v>
      </c>
      <c r="AA48" s="1462">
        <f>IF(OR($G$4=5,$G$4=6),1,2)</f>
        <v>2</v>
      </c>
      <c r="AB48" s="1462">
        <f>IF(OR($G$5=5,$G$5=6),1,2)</f>
        <v>2</v>
      </c>
      <c r="AC48" s="1462">
        <f>IF(OR($G$6=5,$G$6=6),1,2)</f>
        <v>2</v>
      </c>
      <c r="AD48" s="1462">
        <f>IF(OR($G$7=5,$G$7=6),1,2)</f>
        <v>2</v>
      </c>
      <c r="AE48" s="1462">
        <f>IF(OR($G$8=5,$G$8=6),1,2)</f>
        <v>2</v>
      </c>
      <c r="AH48" s="1117" t="s">
        <v>2315</v>
      </c>
      <c r="AI48" s="168" t="str">
        <f>IF(ISTEXT($E13),VLOOKUP($E13,Table_G1_LC,3,0),"NA")</f>
        <v>NA</v>
      </c>
      <c r="AJ48" s="168" t="str">
        <f>IF(ISTEXT($E14),VLOOKUP($E14,Table_G1_LC,3,0),"NA")</f>
        <v>NA</v>
      </c>
      <c r="AK48" s="168" t="str">
        <f>IF(ISTEXT($E15),VLOOKUP($E15,Table_G1_LC,3,0),"NA")</f>
        <v>NA</v>
      </c>
      <c r="AL48" s="168" t="str">
        <f>IF(ISTEXT($E16),VLOOKUP($E16,Table_G1_LC,3,0),"NA")</f>
        <v>NA</v>
      </c>
      <c r="AM48" s="168" t="str">
        <f>IF(ISTEXT($E17),VLOOKUP($E17,Table_G1_LC,3,0),"NA")</f>
        <v>NA</v>
      </c>
      <c r="AO48" s="60"/>
      <c r="AP48" s="1117" t="s">
        <v>2283</v>
      </c>
      <c r="AQ48" s="1462">
        <f>IF(OR($G$13=5,$G$13=6),1,2)</f>
        <v>2</v>
      </c>
      <c r="AR48" s="1462">
        <f>IF(OR($G$14=5,$G$14=6),1,2)</f>
        <v>2</v>
      </c>
      <c r="AS48" s="1462">
        <f>IF(OR($G$15=5,$G$15=6),1,2)</f>
        <v>2</v>
      </c>
      <c r="AT48" s="1462">
        <f>IF(OR($G$16=5,$G$16=6),1,2)</f>
        <v>2</v>
      </c>
      <c r="AU48" s="1462">
        <f>IF(OR($G$17=5,$G$17=6),1,2)</f>
        <v>2</v>
      </c>
    </row>
    <row r="49" spans="10:47" x14ac:dyDescent="0.2">
      <c r="K49" s="146"/>
      <c r="L49" s="146"/>
      <c r="M49" s="146"/>
      <c r="N49" s="146"/>
      <c r="O49" s="146"/>
      <c r="Q49" s="60"/>
      <c r="R49" s="1117" t="s">
        <v>1178</v>
      </c>
      <c r="S49" s="207">
        <v>1</v>
      </c>
      <c r="T49" s="207">
        <v>1</v>
      </c>
      <c r="U49" s="207">
        <v>1</v>
      </c>
      <c r="V49" s="207">
        <v>1</v>
      </c>
      <c r="W49" s="207">
        <v>1</v>
      </c>
      <c r="Y49" s="60"/>
      <c r="Z49" s="1117" t="s">
        <v>1197</v>
      </c>
      <c r="AA49" s="2">
        <f>IF(ISTEXT($E4),HLOOKUP(AA48,Table_BroadLC,IF($E$4&lt;&gt;"1150",2,4),FALSE),0)</f>
        <v>1.4999999999999999E-2</v>
      </c>
      <c r="AB49" s="2">
        <f>IF(ISTEXT($E5),HLOOKUP(AB48,Table_BroadLC,IF($E$5&lt;&gt;"1150",2,4),FALSE),0)</f>
        <v>1.4999999999999999E-2</v>
      </c>
      <c r="AC49" s="2">
        <f>IF(ISTEXT($E6),HLOOKUP(AC48,Table_BroadLC,IF($E$6&lt;&gt;"1150",2,4),FALSE),0)</f>
        <v>1.4999999999999999E-2</v>
      </c>
      <c r="AD49" s="2">
        <f>IF(ISTEXT($E7),HLOOKUP(AD48,Table_BroadLC,IF($E$7&lt;&gt;"1150",2,4),FALSE),0)</f>
        <v>0</v>
      </c>
      <c r="AE49" s="2">
        <f>IF(ISTEXT($E8),HLOOKUP(AE48,Table_BroadLC,IF($E$8&lt;&gt;"1150",2,4),FALSE),0)</f>
        <v>0</v>
      </c>
      <c r="AG49" s="60"/>
      <c r="AH49" s="1117" t="s">
        <v>1198</v>
      </c>
      <c r="AI49" s="2">
        <f>IF(OR(ISBLANK($C$12),$C$12="No"),0,IF(ISTEXT($E13),VLOOKUP(AI48,Table_Special_PP,3,FALSE)*IF(AND($C$11="SP",$C$12=2),VLOOKUP(AI48,Table_Special_PP,4,0),1),0))</f>
        <v>0</v>
      </c>
      <c r="AJ49" s="2">
        <f>IF(OR(ISBLANK($C$12),$C$12="No"),0,IF(ISTEXT($E14),VLOOKUP(AJ48,Table_Special_PP,3,FALSE)*IF(AND($C$11="SP",$C$12=2),VLOOKUP(AJ48,Table_Special_PP,4,0),1),0))</f>
        <v>0</v>
      </c>
      <c r="AK49" s="2">
        <f>IF(OR(ISBLANK($C$12),$C$12="No"),0,IF(ISTEXT($E15),VLOOKUP(AK48,Table_Special_PP,3,FALSE)*IF(AND($C$11="SP",$C$12=2),VLOOKUP(AK48,Table_Special_PP,4,0),1),0))</f>
        <v>0</v>
      </c>
      <c r="AL49" s="2">
        <f>IF(OR(ISBLANK($C$12),$C$12="No"),0,IF(ISTEXT($E16),VLOOKUP(AL48,Table_Special_PP,3,FALSE)*IF(AND($C$11="SP",$C$12=2),VLOOKUP(AL48,Table_Special_PP,4,0),1),0))</f>
        <v>0</v>
      </c>
      <c r="AM49" s="2">
        <f>IF(OR(ISBLANK($C$12),$C$12="No"),0,IF(ISTEXT($E17),VLOOKUP(AM48,Table_Special_PP,3,FALSE)*IF(AND($C$11="SP",$C$12=2),VLOOKUP(AM48,Table_Special_PP,4,0),1),0))</f>
        <v>0</v>
      </c>
      <c r="AO49" s="60"/>
      <c r="AP49" s="1117" t="s">
        <v>1198</v>
      </c>
      <c r="AQ49" s="2">
        <f>IF(ISTEXT($E13),HLOOKUP(AQ48,Table_BroadLC,IF($E$4&lt;&gt;"1150",3,4),FALSE),0)</f>
        <v>0</v>
      </c>
      <c r="AR49" s="2">
        <f>IF(ISTEXT($E14),HLOOKUP(AR48,Table_BroadLC,IF($E$5&lt;&gt;"1150",3,4),FALSE),0)</f>
        <v>0</v>
      </c>
      <c r="AS49" s="2">
        <f>IF(ISTEXT($E15),HLOOKUP(AS48,Table_BroadLC,IF($E$6&lt;&gt;"1150",3,4),FALSE),0)</f>
        <v>0</v>
      </c>
      <c r="AT49" s="2">
        <f>IF(ISTEXT($E16),HLOOKUP(AT48,Table_BroadLC,IF($E$7&lt;&gt;"1150",3,4),FALSE),0)</f>
        <v>0</v>
      </c>
      <c r="AU49" s="2">
        <f>IF(ISTEXT($E17),HLOOKUP(AU48,Table_BroadLC,IF($E$8&lt;&gt;"1150",3,4),FALSE),0)</f>
        <v>0</v>
      </c>
    </row>
    <row r="50" spans="10:47" x14ac:dyDescent="0.2">
      <c r="K50" s="146"/>
      <c r="L50" s="146"/>
      <c r="M50" s="146"/>
      <c r="N50" s="146"/>
      <c r="O50" s="146"/>
      <c r="Q50" s="60"/>
      <c r="R50" s="545" t="s">
        <v>971</v>
      </c>
      <c r="S50" s="207">
        <f>HLOOKUP($C$10,Table_StateRates,6,FALSE)</f>
        <v>1.9</v>
      </c>
      <c r="T50" s="207">
        <f>HLOOKUP($C$10,Table_StateRates,6,FALSE)</f>
        <v>1.9</v>
      </c>
      <c r="U50" s="207">
        <f>HLOOKUP($C$10,Table_StateRates,6,FALSE)</f>
        <v>1.9</v>
      </c>
      <c r="V50" s="207">
        <f>HLOOKUP($C$10,Table_StateRates,6,FALSE)</f>
        <v>1.9</v>
      </c>
      <c r="W50" s="207">
        <f>HLOOKUP($C$10,Table_StateRates,6,FALSE)</f>
        <v>1.9</v>
      </c>
      <c r="Y50" s="60"/>
      <c r="Z50" s="545" t="s">
        <v>971</v>
      </c>
      <c r="AA50" s="207">
        <f>HLOOKUP($C$10,Table_StateRates,6,FALSE)</f>
        <v>1.9</v>
      </c>
      <c r="AB50" s="207">
        <f>HLOOKUP($C$10,Table_StateRates,6,FALSE)</f>
        <v>1.9</v>
      </c>
      <c r="AC50" s="207">
        <f>HLOOKUP($C$10,Table_StateRates,6,FALSE)</f>
        <v>1.9</v>
      </c>
      <c r="AD50" s="207">
        <f>HLOOKUP($C$10,Table_StateRates,6,FALSE)</f>
        <v>1.9</v>
      </c>
      <c r="AE50" s="207">
        <f>HLOOKUP($C$10,Table_StateRates,6,FALSE)</f>
        <v>1.9</v>
      </c>
      <c r="AG50" s="60"/>
      <c r="AH50" s="545" t="s">
        <v>971</v>
      </c>
      <c r="AI50" s="207">
        <f>HLOOKUP($C$10,Table_StateRates,6,FALSE)</f>
        <v>1.9</v>
      </c>
      <c r="AJ50" s="207">
        <f>HLOOKUP($C$10,Table_StateRates,6,FALSE)</f>
        <v>1.9</v>
      </c>
      <c r="AK50" s="207">
        <f>HLOOKUP($C$10,Table_StateRates,6,FALSE)</f>
        <v>1.9</v>
      </c>
      <c r="AL50" s="207">
        <f>HLOOKUP($C$10,Table_StateRates,6,FALSE)</f>
        <v>1.9</v>
      </c>
      <c r="AM50" s="207">
        <f>HLOOKUP($C$10,Table_StateRates,6,FALSE)</f>
        <v>1.9</v>
      </c>
      <c r="AO50" s="60"/>
      <c r="AP50" s="545" t="s">
        <v>971</v>
      </c>
      <c r="AQ50" s="207">
        <f>HLOOKUP($C$10,Table_StateRates,6,FALSE)</f>
        <v>1.9</v>
      </c>
      <c r="AR50" s="207">
        <f>HLOOKUP($C$10,Table_StateRates,6,FALSE)</f>
        <v>1.9</v>
      </c>
      <c r="AS50" s="207">
        <f>HLOOKUP($C$10,Table_StateRates,6,FALSE)</f>
        <v>1.9</v>
      </c>
      <c r="AT50" s="207">
        <f>HLOOKUP($C$10,Table_StateRates,6,FALSE)</f>
        <v>1.9</v>
      </c>
      <c r="AU50" s="207">
        <f>HLOOKUP($C$10,Table_StateRates,6,FALSE)</f>
        <v>1.9</v>
      </c>
    </row>
    <row r="51" spans="10:47" x14ac:dyDescent="0.2">
      <c r="J51" s="8"/>
      <c r="K51" s="146"/>
      <c r="L51" s="146"/>
      <c r="M51" s="146"/>
      <c r="N51" s="146"/>
      <c r="O51" s="146"/>
      <c r="Q51" s="60"/>
      <c r="R51" s="1210" t="s">
        <v>1018</v>
      </c>
      <c r="S51" s="207">
        <f>IF($B$16=250,DF_250Deductible,$C$16)</f>
        <v>0.95</v>
      </c>
      <c r="T51" s="207">
        <f>IF($B$16=250,DF_250Deductible,$C$16)</f>
        <v>0.95</v>
      </c>
      <c r="U51" s="207">
        <f>IF($B$16=250,DF_250Deductible,$C$16)</f>
        <v>0.95</v>
      </c>
      <c r="V51" s="207">
        <f>IF($B$16=250,DF_250Deductible,$C$16)</f>
        <v>0.95</v>
      </c>
      <c r="W51" s="207">
        <f>IF($B$16=250,DF_250Deductible,$C$16)</f>
        <v>0.95</v>
      </c>
      <c r="Y51" s="60"/>
      <c r="Z51" s="1210" t="s">
        <v>1018</v>
      </c>
      <c r="AA51" s="207">
        <f>IF($B$16=250,DF_250Deductible,$C$16)</f>
        <v>0.95</v>
      </c>
      <c r="AB51" s="207">
        <f>IF($B$16=250,DF_250Deductible,$C$16)</f>
        <v>0.95</v>
      </c>
      <c r="AC51" s="207">
        <f>IF($B$16=250,DF_250Deductible,$C$16)</f>
        <v>0.95</v>
      </c>
      <c r="AD51" s="207">
        <f>IF($B$16=250,DF_250Deductible,$C$16)</f>
        <v>0.95</v>
      </c>
      <c r="AE51" s="207">
        <f>IF($B$16=250,DF_250Deductible,$C$16)</f>
        <v>0.95</v>
      </c>
      <c r="AG51" s="60"/>
      <c r="AH51" s="1210" t="s">
        <v>1018</v>
      </c>
      <c r="AI51" s="207">
        <f>IF($B$18=250,DF_250Deductible,$C$18)</f>
        <v>1</v>
      </c>
      <c r="AJ51" s="207">
        <f>IF($B$18=250,DF_250Deductible,$C$18)</f>
        <v>1</v>
      </c>
      <c r="AK51" s="207">
        <f>IF($B$18=250,DF_250Deductible,$C$18)</f>
        <v>1</v>
      </c>
      <c r="AL51" s="207">
        <f>IF($B$18=250,DF_250Deductible,$C$18)</f>
        <v>1</v>
      </c>
      <c r="AM51" s="207">
        <f>IF($B$18=250,DF_250Deductible,$C$18)</f>
        <v>1</v>
      </c>
      <c r="AO51" s="60"/>
      <c r="AP51" s="1210" t="s">
        <v>1018</v>
      </c>
      <c r="AQ51" s="207">
        <f>IF($B$18=250,DF_250Deductible,$C$18)</f>
        <v>1</v>
      </c>
      <c r="AR51" s="207">
        <f>IF($B$18=250,DF_250Deductible,$C$18)</f>
        <v>1</v>
      </c>
      <c r="AS51" s="207">
        <f>IF($B$18=250,DF_250Deductible,$C$18)</f>
        <v>1</v>
      </c>
      <c r="AT51" s="207">
        <f>IF($B$18=250,DF_250Deductible,$C$18)</f>
        <v>1</v>
      </c>
      <c r="AU51" s="207">
        <f>IF($B$18=250,DF_250Deductible,$C$18)</f>
        <v>1</v>
      </c>
    </row>
    <row r="52" spans="10:47" x14ac:dyDescent="0.2">
      <c r="J52" s="8"/>
      <c r="K52" s="146"/>
      <c r="L52" s="146"/>
      <c r="M52" s="146"/>
      <c r="N52" s="146"/>
      <c r="O52" s="146"/>
      <c r="Q52" s="185"/>
      <c r="R52" s="1226" t="s">
        <v>1019</v>
      </c>
      <c r="S52" s="208">
        <f>HLOOKUP($C$10,Table_StateRates,5,FALSE)</f>
        <v>0.66</v>
      </c>
      <c r="T52" s="208">
        <f>HLOOKUP($C$10,Table_StateRates,5,FALSE)</f>
        <v>0.66</v>
      </c>
      <c r="U52" s="208">
        <f>HLOOKUP($C$10,Table_StateRates,5,FALSE)</f>
        <v>0.66</v>
      </c>
      <c r="V52" s="208">
        <f>HLOOKUP($C$10,Table_StateRates,5,FALSE)</f>
        <v>0.66</v>
      </c>
      <c r="W52" s="208">
        <f>HLOOKUP($C$10,Table_StateRates,5,FALSE)</f>
        <v>0.66</v>
      </c>
      <c r="Y52" s="185"/>
      <c r="Z52" s="1226" t="s">
        <v>1019</v>
      </c>
      <c r="AA52" s="208">
        <f>HLOOKUP($C$10,Table_StateRates,5,FALSE)</f>
        <v>0.66</v>
      </c>
      <c r="AB52" s="208">
        <f>HLOOKUP($C$10,Table_StateRates,5,FALSE)</f>
        <v>0.66</v>
      </c>
      <c r="AC52" s="208">
        <f>HLOOKUP($C$10,Table_StateRates,5,FALSE)</f>
        <v>0.66</v>
      </c>
      <c r="AD52" s="208">
        <f>HLOOKUP($C$10,Table_StateRates,5,FALSE)</f>
        <v>0.66</v>
      </c>
      <c r="AE52" s="208">
        <f>HLOOKUP($C$10,Table_StateRates,5,FALSE)</f>
        <v>0.66</v>
      </c>
      <c r="AG52" s="185"/>
      <c r="AH52" s="1226" t="s">
        <v>1019</v>
      </c>
      <c r="AI52" s="208">
        <f>HLOOKUP($C$10,Table_StateRates,5,FALSE)</f>
        <v>0.66</v>
      </c>
      <c r="AJ52" s="208">
        <f>HLOOKUP($C$10,Table_StateRates,5,FALSE)</f>
        <v>0.66</v>
      </c>
      <c r="AK52" s="208">
        <f>HLOOKUP($C$10,Table_StateRates,5,FALSE)</f>
        <v>0.66</v>
      </c>
      <c r="AL52" s="208">
        <f>HLOOKUP($C$10,Table_StateRates,5,FALSE)</f>
        <v>0.66</v>
      </c>
      <c r="AM52" s="208">
        <f>HLOOKUP($C$10,Table_StateRates,5,FALSE)</f>
        <v>0.66</v>
      </c>
      <c r="AO52" s="185"/>
      <c r="AP52" s="1226" t="s">
        <v>1019</v>
      </c>
      <c r="AQ52" s="208">
        <f>HLOOKUP($C$10,Table_StateRates,5,FALSE)</f>
        <v>0.66</v>
      </c>
      <c r="AR52" s="208">
        <f>HLOOKUP($C$10,Table_StateRates,5,FALSE)</f>
        <v>0.66</v>
      </c>
      <c r="AS52" s="208">
        <f>HLOOKUP($C$10,Table_StateRates,5,FALSE)</f>
        <v>0.66</v>
      </c>
      <c r="AT52" s="208">
        <f>HLOOKUP($C$10,Table_StateRates,5,FALSE)</f>
        <v>0.66</v>
      </c>
      <c r="AU52" s="208">
        <f>HLOOKUP($C$10,Table_StateRates,5,FALSE)</f>
        <v>0.66</v>
      </c>
    </row>
    <row r="53" spans="10:47" x14ac:dyDescent="0.2">
      <c r="J53" s="8"/>
      <c r="K53" s="146"/>
      <c r="L53" s="146"/>
      <c r="M53" s="146"/>
      <c r="N53" s="146"/>
      <c r="O53" s="146"/>
      <c r="Q53" s="60"/>
      <c r="R53" s="83" t="s">
        <v>2281</v>
      </c>
      <c r="S53" s="1315">
        <f>ROUND(PRODUCT(S48:S52),3)</f>
        <v>5.7000000000000002E-2</v>
      </c>
      <c r="T53" s="1315">
        <f>ROUND(PRODUCT(T48:T52),3)</f>
        <v>5.7000000000000002E-2</v>
      </c>
      <c r="U53" s="1315">
        <f>ROUND(PRODUCT(U48:U52),3)</f>
        <v>5.7000000000000002E-2</v>
      </c>
      <c r="V53" s="1315">
        <f>ROUND(PRODUCT(V48:V52),3)</f>
        <v>0</v>
      </c>
      <c r="W53" s="1315">
        <f>ROUND(PRODUCT(W48:W52),3)</f>
        <v>0</v>
      </c>
      <c r="Y53" s="60"/>
      <c r="Z53" s="83" t="s">
        <v>2282</v>
      </c>
      <c r="AA53" s="1315">
        <f>ROUND(PRODUCT(AA49:AA52),3)</f>
        <v>1.7999999999999999E-2</v>
      </c>
      <c r="AB53" s="1315">
        <f>ROUND(PRODUCT(AB49:AB52),3)</f>
        <v>1.7999999999999999E-2</v>
      </c>
      <c r="AC53" s="1315">
        <f>ROUND(PRODUCT(AC49:AC52),3)</f>
        <v>1.7999999999999999E-2</v>
      </c>
      <c r="AD53" s="1315">
        <f>ROUND(PRODUCT(AD49:AD52),3)</f>
        <v>0</v>
      </c>
      <c r="AE53" s="1315">
        <f>ROUND(PRODUCT(AE49:AE52),3)</f>
        <v>0</v>
      </c>
      <c r="AG53" s="60"/>
      <c r="AH53" s="83" t="s">
        <v>2281</v>
      </c>
      <c r="AI53" s="1315">
        <f>ROUND(PRODUCT(AI49:AI52),3)</f>
        <v>0</v>
      </c>
      <c r="AJ53" s="1315">
        <f>ROUND(PRODUCT(AJ49:AJ52),3)</f>
        <v>0</v>
      </c>
      <c r="AK53" s="1315">
        <f>ROUND(PRODUCT(AK49:AK52),3)</f>
        <v>0</v>
      </c>
      <c r="AL53" s="1315">
        <f>ROUND(PRODUCT(AL49:AL52),3)</f>
        <v>0</v>
      </c>
      <c r="AM53" s="1315">
        <f>ROUND(PRODUCT(AM49:AM52),3)</f>
        <v>0</v>
      </c>
      <c r="AO53" s="60"/>
      <c r="AP53" s="83" t="s">
        <v>2282</v>
      </c>
      <c r="AQ53" s="1315">
        <f>ROUND(PRODUCT(AQ49:AQ52),3)</f>
        <v>0</v>
      </c>
      <c r="AR53" s="1315">
        <f>ROUND(PRODUCT(AR49:AR52),3)</f>
        <v>0</v>
      </c>
      <c r="AS53" s="1315">
        <f>ROUND(PRODUCT(AS49:AS52),3)</f>
        <v>0</v>
      </c>
      <c r="AT53" s="1315">
        <f>ROUND(PRODUCT(AT49:AT52),3)</f>
        <v>0</v>
      </c>
      <c r="AU53" s="1315">
        <f>ROUND(PRODUCT(AU49:AU52),3)</f>
        <v>0</v>
      </c>
    </row>
    <row r="54" spans="10:47" x14ac:dyDescent="0.2">
      <c r="J54" s="8"/>
      <c r="K54" s="146"/>
      <c r="L54" s="146"/>
      <c r="M54" s="146"/>
      <c r="N54" s="146"/>
      <c r="O54" s="146"/>
      <c r="Q54" s="60"/>
      <c r="R54" s="83"/>
      <c r="S54" s="1312"/>
      <c r="T54" s="1312"/>
      <c r="U54" s="1312"/>
      <c r="V54" s="1312"/>
      <c r="W54" s="1312"/>
      <c r="AG54" s="60"/>
      <c r="AH54" s="83"/>
      <c r="AI54" s="1312"/>
      <c r="AJ54" s="1312"/>
      <c r="AK54" s="1312"/>
      <c r="AL54" s="1312"/>
      <c r="AM54" s="1312"/>
    </row>
    <row r="55" spans="10:47" x14ac:dyDescent="0.2">
      <c r="J55" s="8"/>
      <c r="K55" s="146"/>
      <c r="L55" s="146"/>
      <c r="M55" s="146"/>
      <c r="N55" s="146"/>
      <c r="O55" s="146"/>
      <c r="Q55" s="60" t="s">
        <v>2183</v>
      </c>
      <c r="R55" s="83"/>
      <c r="S55" s="1312"/>
      <c r="T55" s="1312"/>
      <c r="U55" s="1312"/>
      <c r="V55" s="1312"/>
      <c r="W55" s="1312"/>
      <c r="Y55" s="60" t="s">
        <v>2183</v>
      </c>
      <c r="Z55" s="83"/>
      <c r="AA55" s="1312"/>
      <c r="AB55" s="1312"/>
      <c r="AC55" s="1312"/>
      <c r="AD55" s="1312"/>
      <c r="AE55" s="1312"/>
      <c r="AG55" s="60" t="s">
        <v>2183</v>
      </c>
      <c r="AH55" s="83"/>
      <c r="AI55" s="1312"/>
      <c r="AJ55" s="1312"/>
      <c r="AK55" s="1312"/>
      <c r="AL55" s="1312"/>
      <c r="AM55" s="1312"/>
      <c r="AO55" s="60" t="s">
        <v>2183</v>
      </c>
      <c r="AP55" s="83"/>
      <c r="AQ55" s="1312"/>
      <c r="AR55" s="1312"/>
      <c r="AS55" s="1312"/>
      <c r="AT55" s="1312"/>
      <c r="AU55" s="1312"/>
    </row>
    <row r="56" spans="10:47" x14ac:dyDescent="0.2">
      <c r="J56" s="8"/>
      <c r="K56" s="146"/>
      <c r="L56" s="146"/>
      <c r="M56" s="146"/>
      <c r="N56" s="146"/>
      <c r="O56" s="146"/>
      <c r="R56" s="1117" t="s">
        <v>2184</v>
      </c>
      <c r="S56" s="478">
        <f>IF(ISNUMBER($I4),$I4,0)</f>
        <v>1000000</v>
      </c>
      <c r="T56" s="478">
        <f>IF(ISNUMBER($I5),$I5,0)</f>
        <v>1000000</v>
      </c>
      <c r="U56" s="478">
        <f>IF(ISNUMBER($I6),$I6,0)</f>
        <v>1000000</v>
      </c>
      <c r="V56" s="478">
        <f>IF(ISNUMBER($I7),$I7,0)</f>
        <v>0</v>
      </c>
      <c r="W56" s="478">
        <f>IF(ISNUMBER($I8),$I8,0)</f>
        <v>0</v>
      </c>
      <c r="Z56" s="1117" t="s">
        <v>2184</v>
      </c>
      <c r="AA56" s="478">
        <f>IF(ISNUMBER($I$4),$I$4,0)</f>
        <v>1000000</v>
      </c>
      <c r="AB56" s="478">
        <f>IF(ISNUMBER($I$5),$I$5,0)</f>
        <v>1000000</v>
      </c>
      <c r="AC56" s="478">
        <f>IF(ISNUMBER($I$6),$I$6,0)</f>
        <v>1000000</v>
      </c>
      <c r="AD56" s="478">
        <f>IF(ISNUMBER($I$7),$I$7,0)</f>
        <v>0</v>
      </c>
      <c r="AE56" s="478">
        <f>IF(ISNUMBER($I$8),$I$8,0)</f>
        <v>0</v>
      </c>
      <c r="AH56" s="1117" t="s">
        <v>2184</v>
      </c>
      <c r="AI56" s="478">
        <f>IF(ISNUMBER($I13),$I13,0)</f>
        <v>0</v>
      </c>
      <c r="AJ56" s="478">
        <f>IF(ISNUMBER($I14),$I14,0)</f>
        <v>0</v>
      </c>
      <c r="AK56" s="478">
        <f>IF(ISNUMBER($I15),$I15,0)</f>
        <v>0</v>
      </c>
      <c r="AL56" s="478">
        <f>IF(ISNUMBER($I16),$I16,0)</f>
        <v>0</v>
      </c>
      <c r="AM56" s="478">
        <f>IF(ISNUMBER($I17),$I17,0)</f>
        <v>0</v>
      </c>
      <c r="AP56" s="1117" t="s">
        <v>2184</v>
      </c>
      <c r="AQ56" s="478">
        <f>IF(ISNUMBER($I$13),$I$13,0)</f>
        <v>0</v>
      </c>
      <c r="AR56" s="478">
        <f>IF(ISNUMBER($I$14),$I$14,0)</f>
        <v>0</v>
      </c>
      <c r="AS56" s="478">
        <f>IF(ISNUMBER($I$15),$I$15,0)</f>
        <v>0</v>
      </c>
      <c r="AT56" s="478">
        <f>IF(ISNUMBER($I$16),$I$16,0)</f>
        <v>0</v>
      </c>
      <c r="AU56" s="478">
        <f>IF(ISNUMBER($I$17),$I$17,0)</f>
        <v>0</v>
      </c>
    </row>
    <row r="57" spans="10:47" x14ac:dyDescent="0.2">
      <c r="J57" s="8"/>
      <c r="K57" s="146"/>
      <c r="L57" s="146"/>
      <c r="M57" s="146"/>
      <c r="N57" s="146"/>
      <c r="O57" s="146"/>
      <c r="Q57" s="185"/>
      <c r="R57" s="1226" t="s">
        <v>2185</v>
      </c>
      <c r="S57" s="238">
        <f>$I$9</f>
        <v>3000000</v>
      </c>
      <c r="T57" s="238">
        <f>$I$9</f>
        <v>3000000</v>
      </c>
      <c r="U57" s="238">
        <f>$I$9</f>
        <v>3000000</v>
      </c>
      <c r="V57" s="238">
        <f>$I$9</f>
        <v>3000000</v>
      </c>
      <c r="W57" s="238">
        <f>$I$9</f>
        <v>3000000</v>
      </c>
      <c r="Y57" s="185"/>
      <c r="Z57" s="1226" t="s">
        <v>2185</v>
      </c>
      <c r="AA57" s="238">
        <f>$I$9</f>
        <v>3000000</v>
      </c>
      <c r="AB57" s="238">
        <f t="shared" ref="AB57:AE57" si="7">$I$9</f>
        <v>3000000</v>
      </c>
      <c r="AC57" s="238">
        <f t="shared" si="7"/>
        <v>3000000</v>
      </c>
      <c r="AD57" s="238">
        <f t="shared" si="7"/>
        <v>3000000</v>
      </c>
      <c r="AE57" s="238">
        <f t="shared" si="7"/>
        <v>3000000</v>
      </c>
      <c r="AG57" s="185"/>
      <c r="AH57" s="1226" t="s">
        <v>2185</v>
      </c>
      <c r="AI57" s="238">
        <f>$I$18</f>
        <v>0</v>
      </c>
      <c r="AJ57" s="238">
        <f t="shared" ref="AJ57:AM57" si="8">$I$18</f>
        <v>0</v>
      </c>
      <c r="AK57" s="238">
        <f t="shared" si="8"/>
        <v>0</v>
      </c>
      <c r="AL57" s="238">
        <f t="shared" si="8"/>
        <v>0</v>
      </c>
      <c r="AM57" s="238">
        <f t="shared" si="8"/>
        <v>0</v>
      </c>
      <c r="AO57" s="185"/>
      <c r="AP57" s="1226" t="s">
        <v>2185</v>
      </c>
      <c r="AQ57" s="238">
        <f>$I$18</f>
        <v>0</v>
      </c>
      <c r="AR57" s="238">
        <f t="shared" ref="AR57:AU57" si="9">$I$18</f>
        <v>0</v>
      </c>
      <c r="AS57" s="238">
        <f t="shared" si="9"/>
        <v>0</v>
      </c>
      <c r="AT57" s="238">
        <f t="shared" si="9"/>
        <v>0</v>
      </c>
      <c r="AU57" s="238">
        <f t="shared" si="9"/>
        <v>0</v>
      </c>
    </row>
    <row r="58" spans="10:47" x14ac:dyDescent="0.2">
      <c r="J58" s="8"/>
      <c r="K58" s="146"/>
      <c r="L58" s="146"/>
      <c r="M58" s="146"/>
      <c r="N58" s="146"/>
      <c r="O58" s="146"/>
      <c r="Q58" s="146"/>
      <c r="R58" s="301" t="s">
        <v>2187</v>
      </c>
      <c r="S58" s="1313">
        <f>ROUND(S56/S57,2)</f>
        <v>0.33</v>
      </c>
      <c r="T58" s="1313">
        <f>ROUND(T56/T57,2)</f>
        <v>0.33</v>
      </c>
      <c r="U58" s="1313">
        <f>ROUND(U56/U57,2)</f>
        <v>0.33</v>
      </c>
      <c r="V58" s="1313">
        <f>ROUND(V56/V57,2)</f>
        <v>0</v>
      </c>
      <c r="W58" s="1313">
        <f>ROUND(W56/W57,2)</f>
        <v>0</v>
      </c>
      <c r="Y58" s="146"/>
      <c r="Z58" s="301" t="s">
        <v>2187</v>
      </c>
      <c r="AA58" s="1313">
        <f>ROUND(AA56/AA57,2)</f>
        <v>0.33</v>
      </c>
      <c r="AB58" s="1313">
        <f>ROUND(AB56/AB57,2)</f>
        <v>0.33</v>
      </c>
      <c r="AC58" s="1313">
        <f>ROUND(AC56/AC57,2)</f>
        <v>0.33</v>
      </c>
      <c r="AD58" s="1313">
        <f>ROUND(AD56/AD57,2)</f>
        <v>0</v>
      </c>
      <c r="AE58" s="1313">
        <f>ROUND(AE56/AE57,2)</f>
        <v>0</v>
      </c>
      <c r="AG58" s="146"/>
      <c r="AH58" s="301" t="s">
        <v>2187</v>
      </c>
      <c r="AI58" s="1313" t="e">
        <f>ROUND(AI56/AI57,2)</f>
        <v>#DIV/0!</v>
      </c>
      <c r="AJ58" s="1313" t="e">
        <f>ROUND(AJ56/AJ57,2)</f>
        <v>#DIV/0!</v>
      </c>
      <c r="AK58" s="1313" t="e">
        <f>ROUND(AK56/AK57,2)</f>
        <v>#DIV/0!</v>
      </c>
      <c r="AL58" s="1313" t="e">
        <f>ROUND(AL56/AL57,2)</f>
        <v>#DIV/0!</v>
      </c>
      <c r="AM58" s="1313" t="e">
        <f>ROUND(AM56/AM57,2)</f>
        <v>#DIV/0!</v>
      </c>
      <c r="AO58" s="146"/>
      <c r="AP58" s="301" t="s">
        <v>2187</v>
      </c>
      <c r="AQ58" s="1313" t="e">
        <f>ROUND(AQ56/AQ57,2)</f>
        <v>#DIV/0!</v>
      </c>
      <c r="AR58" s="1313" t="e">
        <f>ROUND(AR56/AR57,2)</f>
        <v>#DIV/0!</v>
      </c>
      <c r="AS58" s="1313" t="e">
        <f>ROUND(AS56/AS57,2)</f>
        <v>#DIV/0!</v>
      </c>
      <c r="AT58" s="1313" t="e">
        <f>ROUND(AT56/AT57,2)</f>
        <v>#DIV/0!</v>
      </c>
      <c r="AU58" s="1313" t="e">
        <f>ROUND(AU56/AU57,2)</f>
        <v>#DIV/0!</v>
      </c>
    </row>
    <row r="59" spans="10:47" x14ac:dyDescent="0.2">
      <c r="J59" s="146"/>
      <c r="K59" s="146"/>
      <c r="L59" s="146"/>
      <c r="M59" s="146"/>
      <c r="N59" s="146"/>
      <c r="O59" s="146"/>
      <c r="Q59" s="185"/>
      <c r="R59" s="1226" t="s">
        <v>2188</v>
      </c>
      <c r="S59" s="238">
        <f>PRODUCT(0.9,$I$9)</f>
        <v>2700000</v>
      </c>
      <c r="T59" s="238">
        <f>PRODUCT(0.9,$I$9)</f>
        <v>2700000</v>
      </c>
      <c r="U59" s="238">
        <f>PRODUCT(0.9,$I$9)</f>
        <v>2700000</v>
      </c>
      <c r="V59" s="238">
        <f>PRODUCT(0.9,$I$9)</f>
        <v>2700000</v>
      </c>
      <c r="W59" s="238">
        <f>PRODUCT(0.9,$I$9)</f>
        <v>2700000</v>
      </c>
      <c r="Y59" s="185"/>
      <c r="Z59" s="1226" t="s">
        <v>2188</v>
      </c>
      <c r="AA59" s="238">
        <f>PRODUCT(0.9,$I$9)</f>
        <v>2700000</v>
      </c>
      <c r="AB59" s="238">
        <f>PRODUCT(0.9,$I$9)</f>
        <v>2700000</v>
      </c>
      <c r="AC59" s="238">
        <f>PRODUCT(0.9,$I$9)</f>
        <v>2700000</v>
      </c>
      <c r="AD59" s="238">
        <f>PRODUCT(0.9,$I$9)</f>
        <v>2700000</v>
      </c>
      <c r="AE59" s="238">
        <f>PRODUCT(0.9,$I$9)</f>
        <v>2700000</v>
      </c>
      <c r="AG59" s="185"/>
      <c r="AH59" s="1226" t="s">
        <v>2188</v>
      </c>
      <c r="AI59" s="238">
        <f>PRODUCT(0.9,$I$18)</f>
        <v>0</v>
      </c>
      <c r="AJ59" s="238">
        <f>PRODUCT(0.9,$I$18)</f>
        <v>0</v>
      </c>
      <c r="AK59" s="238">
        <f>PRODUCT(0.9,$I$18)</f>
        <v>0</v>
      </c>
      <c r="AL59" s="238">
        <f>PRODUCT(0.9,$I$18)</f>
        <v>0</v>
      </c>
      <c r="AM59" s="238">
        <f>PRODUCT(0.9,$I$18)</f>
        <v>0</v>
      </c>
      <c r="AO59" s="185"/>
      <c r="AP59" s="1226" t="s">
        <v>2188</v>
      </c>
      <c r="AQ59" s="238">
        <f>PRODUCT(0.9,$I$18)</f>
        <v>0</v>
      </c>
      <c r="AR59" s="238">
        <f>PRODUCT(0.9,$I$18)</f>
        <v>0</v>
      </c>
      <c r="AS59" s="238">
        <f>PRODUCT(0.9,$I$18)</f>
        <v>0</v>
      </c>
      <c r="AT59" s="238">
        <f>PRODUCT(0.9,$I$18)</f>
        <v>0</v>
      </c>
      <c r="AU59" s="238">
        <f>PRODUCT(0.9,$I$18)</f>
        <v>0</v>
      </c>
    </row>
    <row r="60" spans="10:47" x14ac:dyDescent="0.2">
      <c r="K60" s="146"/>
      <c r="L60" s="146"/>
      <c r="M60" s="146"/>
      <c r="N60" s="146"/>
      <c r="O60" s="146"/>
      <c r="R60" s="83" t="s">
        <v>2189</v>
      </c>
      <c r="S60" s="248">
        <f>PRODUCT(S58:S59)</f>
        <v>891000</v>
      </c>
      <c r="T60" s="248">
        <f>PRODUCT(T58:T59)</f>
        <v>891000</v>
      </c>
      <c r="U60" s="248">
        <f>PRODUCT(U58:U59)</f>
        <v>891000</v>
      </c>
      <c r="V60" s="248">
        <f>PRODUCT(V58:V59)</f>
        <v>0</v>
      </c>
      <c r="W60" s="248">
        <f>PRODUCT(W58:W59)</f>
        <v>0</v>
      </c>
      <c r="Z60" s="83" t="s">
        <v>2189</v>
      </c>
      <c r="AA60" s="248">
        <f>PRODUCT(AA58:AA59)</f>
        <v>891000</v>
      </c>
      <c r="AB60" s="248">
        <f>PRODUCT(AB58:AB59)</f>
        <v>891000</v>
      </c>
      <c r="AC60" s="248">
        <f>PRODUCT(AC58:AC59)</f>
        <v>891000</v>
      </c>
      <c r="AD60" s="248">
        <f>PRODUCT(AD58:AD59)</f>
        <v>0</v>
      </c>
      <c r="AE60" s="248">
        <f>PRODUCT(AE58:AE59)</f>
        <v>0</v>
      </c>
      <c r="AH60" s="83" t="s">
        <v>2189</v>
      </c>
      <c r="AI60" s="248" t="e">
        <f>PRODUCT(AI58:AI59)</f>
        <v>#DIV/0!</v>
      </c>
      <c r="AJ60" s="248" t="e">
        <f>PRODUCT(AJ58:AJ59)</f>
        <v>#DIV/0!</v>
      </c>
      <c r="AK60" s="248" t="e">
        <f>PRODUCT(AK58:AK59)</f>
        <v>#DIV/0!</v>
      </c>
      <c r="AL60" s="248" t="e">
        <f>PRODUCT(AL58:AL59)</f>
        <v>#DIV/0!</v>
      </c>
      <c r="AM60" s="248" t="e">
        <f>PRODUCT(AM58:AM59)</f>
        <v>#DIV/0!</v>
      </c>
      <c r="AP60" s="83" t="s">
        <v>2189</v>
      </c>
      <c r="AQ60" s="248" t="e">
        <f>PRODUCT(AQ58:AQ59)</f>
        <v>#DIV/0!</v>
      </c>
      <c r="AR60" s="248" t="e">
        <f>PRODUCT(AR58:AR59)</f>
        <v>#DIV/0!</v>
      </c>
      <c r="AS60" s="248" t="e">
        <f>PRODUCT(AS58:AS59)</f>
        <v>#DIV/0!</v>
      </c>
      <c r="AT60" s="248" t="e">
        <f>PRODUCT(AT58:AT59)</f>
        <v>#DIV/0!</v>
      </c>
      <c r="AU60" s="248" t="e">
        <f>PRODUCT(AU58:AU59)</f>
        <v>#DIV/0!</v>
      </c>
    </row>
    <row r="61" spans="10:47" x14ac:dyDescent="0.2">
      <c r="K61" s="146"/>
      <c r="L61" s="146"/>
      <c r="M61" s="146"/>
      <c r="N61" s="146"/>
      <c r="O61" s="146"/>
      <c r="Q61" s="1332"/>
      <c r="R61" s="1333" t="s">
        <v>2193</v>
      </c>
      <c r="S61" s="1334">
        <f>IF(S60=0,"N/A",IF(ISNA(MATCH(S60,List_LOI_Bldg,0)),VLOOKUP(S60,List_LOI_Bldg,1,TRUE),"N/A"))</f>
        <v>850000</v>
      </c>
      <c r="T61" s="1334">
        <f>IF(T60=0,"N/A",IF(ISNA(MATCH(T60,List_LOI_Bldg,0)),VLOOKUP(T60,List_LOI_Bldg,1,TRUE),"N/A"))</f>
        <v>850000</v>
      </c>
      <c r="U61" s="1334">
        <f>IF(U60=0,"N/A",IF(ISNA(MATCH(U60,List_LOI_Bldg,0)),VLOOKUP(U60,List_LOI_Bldg,1,TRUE),"N/A"))</f>
        <v>850000</v>
      </c>
      <c r="V61" s="1335" t="str">
        <f>IF(V60=0,"N/A",IF(ISNA(MATCH(V60,List_LOI_Bldg,0)),VLOOKUP(V60,List_LOI_Bldg,1,TRUE),"N/A"))</f>
        <v>N/A</v>
      </c>
      <c r="W61" s="1335" t="str">
        <f>IF(W60=0,"N/A",IF(ISNA(MATCH(W60,List_LOI_Bldg,0)),VLOOKUP(W60,List_LOI_Bldg,1,TRUE),"N/A"))</f>
        <v>N/A</v>
      </c>
      <c r="Y61" s="1332"/>
      <c r="Z61" s="1333" t="s">
        <v>2193</v>
      </c>
      <c r="AA61" s="1334">
        <f>IF(AA60=0,"N/A",IF(ISNA(MATCH(AA60,List_LOI_Bldg,0)),VLOOKUP(AA60,List_LOI_Bldg,1,TRUE),"N/A"))</f>
        <v>850000</v>
      </c>
      <c r="AB61" s="1334">
        <f>IF(AB60=0,"N/A",IF(ISNA(MATCH(AB60,List_LOI_Bldg,0)),VLOOKUP(AB60,List_LOI_Bldg,1,TRUE),"N/A"))</f>
        <v>850000</v>
      </c>
      <c r="AC61" s="1335">
        <f>IF(AC60=0,"N/A",IF(ISNA(MATCH(AC60,List_LOI_Bldg,0)),VLOOKUP(AC60,List_LOI_Bldg,1,TRUE),"N/A"))</f>
        <v>850000</v>
      </c>
      <c r="AD61" s="1335" t="str">
        <f>IF(AD60=0,"N/A",IF(ISNA(MATCH(AD60,List_LOI_Bldg,0)),VLOOKUP(AD60,List_LOI_Bldg,1,TRUE),"N/A"))</f>
        <v>N/A</v>
      </c>
      <c r="AE61" s="1335" t="str">
        <f>IF(AE60=0,"N/A",IF(ISNA(MATCH(AE60,List_LOI_Bldg,0)),VLOOKUP(AE60,List_LOI_Bldg,1,TRUE),"N/A"))</f>
        <v>N/A</v>
      </c>
      <c r="AG61" s="1332"/>
      <c r="AH61" s="1333" t="s">
        <v>2193</v>
      </c>
      <c r="AI61" s="1334" t="e">
        <f>IF(AI60=0,"N/A",IF(ISNA(MATCH(AI60,List_LOI_PP,0)),VLOOKUP(AI60,List_LOI_PP,1,TRUE),"N/A"))</f>
        <v>#DIV/0!</v>
      </c>
      <c r="AJ61" s="1334" t="e">
        <f>IF(AJ60=0,"N/A",IF(ISNA(MATCH(AJ60,List_LOI_PP,0)),VLOOKUP(AJ60,List_LOI_PP,1,TRUE),"N/A"))</f>
        <v>#DIV/0!</v>
      </c>
      <c r="AK61" s="1334" t="e">
        <f>IF(AK60=0,"N/A",IF(ISNA(MATCH(AK60,List_LOI_PP,0)),VLOOKUP(AK60,List_LOI_PP,1,TRUE),"N/A"))</f>
        <v>#DIV/0!</v>
      </c>
      <c r="AL61" s="1335" t="e">
        <f>IF(AL60=0,"N/A",IF(ISNA(MATCH(AL60,List_LOI_PP,0)),VLOOKUP(AL60,List_LOI_PP,1,TRUE),"N/A"))</f>
        <v>#DIV/0!</v>
      </c>
      <c r="AM61" s="1335" t="e">
        <f>IF(AM60=0,"N/A",IF(ISNA(MATCH(AM60,List_LOI_PP,0)),VLOOKUP(AM60,List_LOI_PP,1,TRUE),"N/A"))</f>
        <v>#DIV/0!</v>
      </c>
      <c r="AO61" s="1332"/>
      <c r="AP61" s="1333" t="s">
        <v>2193</v>
      </c>
      <c r="AQ61" s="1334" t="e">
        <f>IF(AQ60=0,"N/A",IF(ISNA(MATCH(AQ60,List_LOI_PP,0)),VLOOKUP(AQ60,List_LOI_PP,1,TRUE),"N/A"))</f>
        <v>#DIV/0!</v>
      </c>
      <c r="AR61" s="1334" t="e">
        <f>IF(AR60=0,"N/A",IF(ISNA(MATCH(AR60,List_LOI_PP,0)),VLOOKUP(AR60,List_LOI_PP,1,TRUE),"N/A"))</f>
        <v>#DIV/0!</v>
      </c>
      <c r="AS61" s="1335" t="e">
        <f>IF(AS60=0,"N/A",IF(ISNA(MATCH(AS60,List_LOI_PP,0)),VLOOKUP(AS60,List_LOI_PP,1,TRUE),"N/A"))</f>
        <v>#DIV/0!</v>
      </c>
      <c r="AT61" s="1335" t="e">
        <f>IF(AT60=0,"N/A",IF(ISNA(MATCH(AT60,List_LOI_PP,0)),VLOOKUP(AT60,List_LOI_PP,1,TRUE),"N/A"))</f>
        <v>#DIV/0!</v>
      </c>
      <c r="AU61" s="1335" t="e">
        <f>IF(AU60=0,"N/A",IF(ISNA(MATCH(AU60,List_LOI_PP,0)),VLOOKUP(AU60,List_LOI_PP,1,TRUE),"N/A"))</f>
        <v>#DIV/0!</v>
      </c>
    </row>
    <row r="62" spans="10:47" x14ac:dyDescent="0.2">
      <c r="K62" s="146"/>
      <c r="L62" s="146"/>
      <c r="M62" s="146"/>
      <c r="N62" s="146"/>
      <c r="O62" s="146"/>
      <c r="Q62" s="1336"/>
      <c r="R62" s="1337" t="s">
        <v>2194</v>
      </c>
      <c r="S62" s="1338">
        <f>IF(S61="N/A",0,INDEX(List_LOI_Bldg,MATCH(S61,List_LOI_Bldg,0)+1,1))</f>
        <v>900000</v>
      </c>
      <c r="T62" s="1338">
        <f>IF(T61="N/A",0,INDEX(List_LOI_Bldg,MATCH(T61,List_LOI_Bldg,0)+1,1))</f>
        <v>900000</v>
      </c>
      <c r="U62" s="1338">
        <f>IF(U61="N/A",0,INDEX(List_LOI_Bldg,MATCH(U61,List_LOI_Bldg,0)+1,1))</f>
        <v>900000</v>
      </c>
      <c r="V62" s="1338">
        <f>IF(V61="N/A",0,INDEX(List_LOI_Bldg,MATCH(V61,List_LOI_Bldg,0)+1,1))</f>
        <v>0</v>
      </c>
      <c r="W62" s="1338">
        <f>IF(W61="N/A",0,INDEX(List_LOI_Bldg,MATCH(W61,List_LOI_Bldg,0)+1,1))</f>
        <v>0</v>
      </c>
      <c r="Y62" s="1336"/>
      <c r="Z62" s="1337" t="s">
        <v>2194</v>
      </c>
      <c r="AA62" s="1338">
        <f>IF(AA61="N/A",0,INDEX(List_LOI_Bldg,MATCH(AA61,List_LOI_Bldg,0)+1,1))</f>
        <v>900000</v>
      </c>
      <c r="AB62" s="1338">
        <f>IF(AB61="N/A",0,INDEX(List_LOI_Bldg,MATCH(AB61,List_LOI_Bldg,0)+1,1))</f>
        <v>900000</v>
      </c>
      <c r="AC62" s="1338">
        <f>IF(AC61="N/A",0,INDEX(List_LOI_Bldg,MATCH(AC61,List_LOI_Bldg,0)+1,1))</f>
        <v>900000</v>
      </c>
      <c r="AD62" s="1338">
        <f>IF(AD61="N/A",0,INDEX(List_LOI_Bldg,MATCH(AD61,List_LOI_Bldg,0)+1,1))</f>
        <v>0</v>
      </c>
      <c r="AE62" s="1338">
        <f>IF(AE61="N/A",0,INDEX(List_LOI_Bldg,MATCH(AE61,List_LOI_Bldg,0)+1,1))</f>
        <v>0</v>
      </c>
      <c r="AG62" s="1336"/>
      <c r="AH62" s="1337" t="s">
        <v>2194</v>
      </c>
      <c r="AI62" s="1338" t="e">
        <f>IF(AI61="N/A",0,INDEX(List_LOI_PP,MATCH(AI61,List_LOI_PP,0)+1,1))</f>
        <v>#DIV/0!</v>
      </c>
      <c r="AJ62" s="1338" t="e">
        <f>IF(AJ61="N/A",0,INDEX(List_LOI_PP,MATCH(AJ61,List_LOI_PP,0)+1,1))</f>
        <v>#DIV/0!</v>
      </c>
      <c r="AK62" s="1338" t="e">
        <f>IF(AK61="N/A",0,INDEX(List_LOI_PP,MATCH(AK61,List_LOI_PP,0)+1,1))</f>
        <v>#DIV/0!</v>
      </c>
      <c r="AL62" s="1338" t="e">
        <f>IF(AL61="N/A",0,INDEX(List_LOI_PP,MATCH(AL61,List_LOI_PP,0)+1,1))</f>
        <v>#DIV/0!</v>
      </c>
      <c r="AM62" s="1338" t="e">
        <f>IF(AM61="N/A",0,INDEX(List_LOI_PP,MATCH(AM61,List_LOI_PP,0)+1,1))</f>
        <v>#DIV/0!</v>
      </c>
      <c r="AO62" s="1336"/>
      <c r="AP62" s="1337" t="s">
        <v>2194</v>
      </c>
      <c r="AQ62" s="1338" t="e">
        <f>IF(AQ61="N/A",0,INDEX(List_LOI_PP,MATCH(AQ61,List_LOI_PP,0)+1,1))</f>
        <v>#DIV/0!</v>
      </c>
      <c r="AR62" s="1338" t="e">
        <f>IF(AR61="N/A",0,INDEX(List_LOI_PP,MATCH(AR61,List_LOI_PP,0)+1,1))</f>
        <v>#DIV/0!</v>
      </c>
      <c r="AS62" s="1338" t="e">
        <f>IF(AS61="N/A",0,INDEX(List_LOI_PP,MATCH(AS61,List_LOI_PP,0)+1,1))</f>
        <v>#DIV/0!</v>
      </c>
      <c r="AT62" s="1338" t="e">
        <f>IF(AT61="N/A",0,INDEX(List_LOI_PP,MATCH(AT61,List_LOI_PP,0)+1,1))</f>
        <v>#DIV/0!</v>
      </c>
      <c r="AU62" s="1338" t="e">
        <f>IF(AU61="N/A",0,INDEX(List_LOI_PP,MATCH(AU61,List_LOI_PP,0)+1,1))</f>
        <v>#DIV/0!</v>
      </c>
    </row>
    <row r="63" spans="10:47" x14ac:dyDescent="0.2">
      <c r="Q63" s="185"/>
      <c r="R63" s="1226" t="s">
        <v>2195</v>
      </c>
      <c r="S63" s="1457">
        <f>IF(S60=0,0,IF(AND(S61="N/A",S60&gt;0),VLOOKUP(S60,Table_LOI_Bldg,MATCH("SP",List_Relatives,0)+1,FALSE),
ROUND(VLOOKUP(S61,Table_LOI_Bldg,MATCH("SP",List_Relatives,0)+1,FALSE) -
ROUND(PRODUCT((VLOOKUP(S61,Table_LOI_Bldg,MATCH("SP",List_Relatives,0)+1,FALSE) - VLOOKUP(S62,Table_LOI_Bldg,MATCH("SP",List_Relatives,0)+1,FALSE)),S60-S61)/(S62-S61),4),4)))</f>
        <v>0.74480000000000002</v>
      </c>
      <c r="T63" s="1457">
        <f>IF(T60=0,0,IF(AND(T61="N/A",T60&gt;0),VLOOKUP(T60,Table_LOI_Bldg,MATCH("SP",List_Relatives,0)+1,FALSE),
ROUND(VLOOKUP(T61,Table_LOI_Bldg,MATCH("SP",List_Relatives,0)+1,FALSE) -
ROUND(PRODUCT((VLOOKUP(T61,Table_LOI_Bldg,MATCH("SP",List_Relatives,0)+1,FALSE) - VLOOKUP(T62,Table_LOI_Bldg,MATCH("SP",List_Relatives,0)+1,FALSE)),T60-T61)/(T62-T61),4),4)))</f>
        <v>0.74480000000000002</v>
      </c>
      <c r="U63" s="1457">
        <f>IF(U60=0,0,IF(AND(U61="N/A",U60&gt;0),VLOOKUP(U60,Table_LOI_Bldg,MATCH("SP",List_Relatives,0)+1,FALSE),
ROUND(VLOOKUP(U61,Table_LOI_Bldg,MATCH("SP",List_Relatives,0)+1,FALSE) -
ROUND(PRODUCT((VLOOKUP(U61,Table_LOI_Bldg,MATCH("SP",List_Relatives,0)+1,FALSE) - VLOOKUP(U62,Table_LOI_Bldg,MATCH("SP",List_Relatives,0)+1,FALSE)),U60-U61)/(U62-U61),4),4)))</f>
        <v>0.74480000000000002</v>
      </c>
      <c r="V63" s="1457">
        <f>IF(V60=0,0,IF(AND(V61="N/A",V60&gt;0),VLOOKUP(V60,Table_LOI_Bldg,MATCH("SP",List_Relatives,0)+1,FALSE),
ROUND(VLOOKUP(V61,Table_LOI_Bldg,MATCH("SP",List_Relatives,0)+1,FALSE) -
ROUND(PRODUCT((VLOOKUP(V61,Table_LOI_Bldg,MATCH("SP",List_Relatives,0)+1,FALSE) - VLOOKUP(V62,Table_LOI_Bldg,MATCH("SP",List_Relatives,0)+1,FALSE)),V60-V61)/(V62-V61),4),4)))</f>
        <v>0</v>
      </c>
      <c r="W63" s="1457">
        <f>IF(W60=0,0,IF(AND(W61="N/A",W60&gt;0),VLOOKUP(W60,Table_LOI_Bldg,MATCH("SP",List_Relatives,0)+1,FALSE),
ROUND(VLOOKUP(W61,Table_LOI_Bldg,MATCH("SP",List_Relatives,0)+1,FALSE) -
ROUND(PRODUCT((VLOOKUP(W61,Table_LOI_Bldg,MATCH("SP",List_Relatives,0)+1,FALSE) - VLOOKUP(W62,Table_LOI_Bldg,MATCH("SP",List_Relatives,0)+1,FALSE)),W60-W61)/(W62-W61),4),4)))</f>
        <v>0</v>
      </c>
      <c r="Y63" s="185"/>
      <c r="Z63" s="1226" t="s">
        <v>2195</v>
      </c>
      <c r="AA63" s="1457">
        <f>IF(AA60=0,0,IF(AND(AA61="N/A",AA60&gt;0),VLOOKUP(AA60,Table_LOI_Bldg,MATCH("BR",List_Relatives,0)+1,FALSE),
ROUND(VLOOKUP(AA61,Table_LOI_Bldg,MATCH("BR",List_Relatives,0)+1,FALSE) -
ROUND(PRODUCT((VLOOKUP(AA61,Table_LOI_Bldg,MATCH("BR",List_Relatives,0)+1,FALSE) - VLOOKUP(AA62,Table_LOI_Bldg,MATCH("BR",List_Relatives,0)+1,FALSE)),AA60-AA61)/(AA62-AA61),4),4)))</f>
        <v>0.74480000000000002</v>
      </c>
      <c r="AB63" s="1457">
        <f>IF(AB60=0,0,IF(AND(AB61="N/A",AB60&gt;0),VLOOKUP(AB60,Table_LOI_Bldg,MATCH("BR",List_Relatives,0)+1,FALSE),
ROUND(VLOOKUP(AB61,Table_LOI_Bldg,MATCH("BR",List_Relatives,0)+1,FALSE) -
ROUND(PRODUCT((VLOOKUP(AB61,Table_LOI_Bldg,MATCH("BR",List_Relatives,0)+1,FALSE) - VLOOKUP(AB62,Table_LOI_Bldg,MATCH("BR",List_Relatives,0)+1,FALSE)),AB60-AB61)/(AB62-AB61),4),4)))</f>
        <v>0.74480000000000002</v>
      </c>
      <c r="AC63" s="1457">
        <f>IF(AC60=0,0,IF(AND(AC61="N/A",AC60&gt;0),VLOOKUP(AC60,Table_LOI_Bldg,MATCH("BR",List_Relatives,0)+1,FALSE),
ROUND(VLOOKUP(AC61,Table_LOI_Bldg,MATCH("BR",List_Relatives,0)+1,FALSE) -
ROUND(PRODUCT((VLOOKUP(AC61,Table_LOI_Bldg,MATCH("BR",List_Relatives,0)+1,FALSE) - VLOOKUP(AC62,Table_LOI_Bldg,MATCH("BR",List_Relatives,0)+1,FALSE)),AC60-AC61)/(AC62-AC61),4),4)))</f>
        <v>0.74480000000000002</v>
      </c>
      <c r="AD63" s="1457">
        <f>IF(AD60=0,0,IF(AND(AD61="N/A",AD60&gt;0),VLOOKUP(AD60,Table_LOI_Bldg,MATCH($G41,List_Relatives,0)+1,FALSE),
ROUND(VLOOKUP(AD61,Table_LOI_Bldg,MATCH($G41,List_Relatives,0)+1,FALSE) -
ROUND(PRODUCT((VLOOKUP(AD61,Table_LOI_Bldg,MATCH($G41,List_Relatives,0)+1,FALSE) - VLOOKUP(AD62,Table_LOI_Bldg,MATCH($G41,List_Relatives,0)+1,FALSE)),AD60-AD61)/(AD62-AD61),4),4)))</f>
        <v>0</v>
      </c>
      <c r="AE63" s="1457">
        <f>IF(AE60=0,0,IF(AND(AE61="N/A",AE60&gt;0),VLOOKUP(AE60,Table_LOI_Bldg,MATCH($G42,List_Relatives,0)+1,FALSE),
ROUND(VLOOKUP(AE61,Table_LOI_Bldg,MATCH($G42,List_Relatives,0)+1,FALSE) -
ROUND(PRODUCT((VLOOKUP(AE61,Table_LOI_Bldg,MATCH($G42,List_Relatives,0)+1,FALSE) - VLOOKUP(AE62,Table_LOI_Bldg,MATCH($G42,List_Relatives,0)+1,FALSE)),AE60-AE61)/(AE62-AE61),4),4)))</f>
        <v>0</v>
      </c>
      <c r="AG63" s="185"/>
      <c r="AH63" s="1226" t="s">
        <v>2195</v>
      </c>
      <c r="AI63" s="1457" t="e">
        <f>IF(AI60=0,0,IF(AND(AI61="N/A",AI60&gt;0),VLOOKUP(AI60,Table_LOI_PP,MATCH("SP",List_Relatives,0)+1,FALSE),
ROUND(VLOOKUP(AI61,Table_LOI_PP,MATCH("SP",List_Relatives,0)+1,FALSE) -
ROUND(PRODUCT((VLOOKUP(AI61,Table_LOI_PP,MATCH("SP",List_Relatives,0)+1,FALSE) - VLOOKUP(AI62,Table_LOI_PP,MATCH("SP",List_Relatives,0)+1,FALSE)),AI60-AI61)/(AI62-AI61),4),4)))</f>
        <v>#DIV/0!</v>
      </c>
      <c r="AJ63" s="1457" t="e">
        <f>IF(AJ60=0,0,IF(AND(AJ61="N/A",AJ60&gt;0),VLOOKUP(AJ60,Table_LOI_PP,MATCH("SP",List_Relatives,0)+1,FALSE),
ROUND(VLOOKUP(AJ61,Table_LOI_PP,MATCH("SP",List_Relatives,0)+1,FALSE) -
ROUND(PRODUCT((VLOOKUP(AJ61,Table_LOI_PP,MATCH("SP",List_Relatives,0)+1,FALSE) - VLOOKUP(AJ62,Table_LOI_PP,MATCH("SP",List_Relatives,0)+1,FALSE)),AJ60-AJ61)/(AJ62-AJ61),4),4)))</f>
        <v>#DIV/0!</v>
      </c>
      <c r="AK63" s="1457" t="e">
        <f>IF(AK60=0,0,IF(AND(AK61="N/A",AK60&gt;0),VLOOKUP(AK60,Table_LOI_PP,MATCH("SP",List_Relatives,0)+1,FALSE),
ROUND(VLOOKUP(AK61,Table_LOI_PP,MATCH("SP",List_Relatives,0)+1,FALSE) -
ROUND(PRODUCT((VLOOKUP(AK61,Table_LOI_PP,MATCH("SP",List_Relatives,0)+1,FALSE) - VLOOKUP(AK62,Table_LOI_PP,MATCH("SP",List_Relatives,0)+1,FALSE)),AK60-AK61)/(AK62-AK61),4),4)))</f>
        <v>#DIV/0!</v>
      </c>
      <c r="AL63" s="1457" t="e">
        <f>IF(AL60=0,0,IF(AND(AL61="N/A",AL60&gt;0),VLOOKUP(AL60,Table_LOI_PP,MATCH("SP",List_Relatives,0)+1,FALSE),
ROUND(VLOOKUP(AL61,Table_LOI_PP,MATCH("SP",List_Relatives,0)+1,FALSE) -
ROUND(PRODUCT((VLOOKUP(AL61,Table_LOI_PP,MATCH("SP",List_Relatives,0)+1,FALSE) - VLOOKUP(AL62,Table_LOI_PP,MATCH("SP",List_Relatives,0)+1,FALSE)),AL60-AL61)/(AL62-AL61),4),4)))</f>
        <v>#DIV/0!</v>
      </c>
      <c r="AM63" s="1457" t="e">
        <f>IF(AM60=0,0,IF(AND(AM61="N/A",AM60&gt;0),VLOOKUP(AM60,Table_LOI_PP,MATCH("SP",List_Relatives,0)+1,FALSE),
ROUND(VLOOKUP(AM61,Table_LOI_PP,MATCH("SP",List_Relatives,0)+1,FALSE) -
ROUND(PRODUCT((VLOOKUP(AM61,Table_LOI_PP,MATCH("SP",List_Relatives,0)+1,FALSE) - VLOOKUP(AM62,Table_LOI_PP,MATCH("SP",List_Relatives,0)+1,FALSE)),AM60-AM61)/(AM62-AM61),4),4)))</f>
        <v>#DIV/0!</v>
      </c>
      <c r="AO63" s="185"/>
      <c r="AP63" s="1226" t="s">
        <v>2195</v>
      </c>
      <c r="AQ63" s="1457" t="e">
        <f>IF(AQ60=0,0,IF(AND(AQ61="N/A",AQ60&gt;0),VLOOKUP(AQ60,Table_LOI_PP,MATCH("BR",List_Relatives,0)+1,FALSE),
ROUND(VLOOKUP(AQ61,Table_LOI_PP,MATCH("BR",List_Relatives,0)+1,FALSE) -
ROUND(PRODUCT((VLOOKUP(AQ61,Table_LOI_PP,MATCH("BR",List_Relatives,0)+1,FALSE) - VLOOKUP(AQ62,Table_LOI_PP,MATCH("BR",List_Relatives,0)+1,FALSE)),AQ60-AQ61)/(AQ62-AQ61),4),4)))</f>
        <v>#DIV/0!</v>
      </c>
      <c r="AR63" s="1457" t="e">
        <f>IF(AR60=0,0,IF(AND(AR61="N/A",AR60&gt;0),VLOOKUP(AR60,Table_LOI_PP,MATCH("BR",List_Relatives,0)+1,FALSE),
ROUND(VLOOKUP(AR61,Table_LOI_PP,MATCH("BR",List_Relatives,0)+1,FALSE) -
ROUND(PRODUCT((VLOOKUP(AR61,Table_LOI_PP,MATCH("BR",List_Relatives,0)+1,FALSE) - VLOOKUP(AR62,Table_LOI_PP,MATCH("BR",List_Relatives,0)+1,FALSE)),AR60-AR61)/(AR62-AR61),4),4)))</f>
        <v>#DIV/0!</v>
      </c>
      <c r="AS63" s="1457" t="e">
        <f>IF(AS60=0,0,IF(AND(AS61="N/A",AS60&gt;0),VLOOKUP(AS60,Table_LOI_PP,MATCH("BR",List_Relatives,0)+1,FALSE),
ROUND(VLOOKUP(AS61,Table_LOI_PP,MATCH("BR",List_Relatives,0)+1,FALSE) -
ROUND(PRODUCT((VLOOKUP(AS61,Table_LOI_PP,MATCH("BR",List_Relatives,0)+1,FALSE) - VLOOKUP(AS62,Table_LOI_PP,MATCH("BR",List_Relatives,0)+1,FALSE)),AS60-AS61)/(AS62-AS61),4),4)))</f>
        <v>#DIV/0!</v>
      </c>
      <c r="AT63" s="1457" t="e">
        <f>IF(AT60=0,0,IF(AND(AT61="N/A",AT60&gt;0),VLOOKUP(AT60,Table_LOI_PP,MATCH($G131,List_Relatives,0)+1,FALSE),
ROUND(VLOOKUP(AT61,Table_LOI_PP,MATCH($G131,List_Relatives,0)+1,FALSE) -
ROUND(PRODUCT((VLOOKUP(AT61,Table_LOI_PP,MATCH($G131,List_Relatives,0)+1,FALSE) - VLOOKUP(AT62,Table_LOI_PP,MATCH($G131,List_Relatives,0)+1,FALSE)),AT60-AT61)/(AT62-AT61),4),4)))</f>
        <v>#DIV/0!</v>
      </c>
      <c r="AU63" s="1457" t="e">
        <f>IF(AU60=0,0,IF(AND(AU61="N/A",AU60&gt;0),VLOOKUP(AU60,Table_LOI_PP,MATCH($G132,List_Relatives,0)+1,FALSE),
ROUND(VLOOKUP(AU61,Table_LOI_PP,MATCH($G132,List_Relatives,0)+1,FALSE) -
ROUND(PRODUCT((VLOOKUP(AU61,Table_LOI_PP,MATCH($G132,List_Relatives,0)+1,FALSE) - VLOOKUP(AU62,Table_LOI_PP,MATCH($G132,List_Relatives,0)+1,FALSE)),AU60-AU61)/(AU62-AU61),4),4)))</f>
        <v>#DIV/0!</v>
      </c>
    </row>
    <row r="64" spans="10:47" x14ac:dyDescent="0.2">
      <c r="R64" s="83" t="s">
        <v>2196</v>
      </c>
      <c r="S64" s="247">
        <f>PRODUCT(S53,S63)</f>
        <v>4.2453600000000001E-2</v>
      </c>
      <c r="T64" s="247">
        <f>PRODUCT(T53,T63)</f>
        <v>4.2453600000000001E-2</v>
      </c>
      <c r="U64" s="2">
        <f>PRODUCT(U53,U63)</f>
        <v>4.2453600000000001E-2</v>
      </c>
      <c r="V64" s="2">
        <f>PRODUCT(V53,V63)</f>
        <v>0</v>
      </c>
      <c r="W64" s="2">
        <f>PRODUCT(W53,W63)</f>
        <v>0</v>
      </c>
      <c r="Z64" s="83" t="s">
        <v>2196</v>
      </c>
      <c r="AA64" s="2">
        <f>PRODUCT(AA53,AA63)</f>
        <v>1.3406399999999999E-2</v>
      </c>
      <c r="AB64" s="2">
        <f>PRODUCT(AB53,AB63)</f>
        <v>1.3406399999999999E-2</v>
      </c>
      <c r="AC64" s="2">
        <f>PRODUCT(AC53,AC63)</f>
        <v>1.3406399999999999E-2</v>
      </c>
      <c r="AD64" s="2">
        <f>PRODUCT(AD53,AD63)</f>
        <v>0</v>
      </c>
      <c r="AE64" s="2">
        <f>PRODUCT(AE53,AE63)</f>
        <v>0</v>
      </c>
      <c r="AH64" s="83" t="s">
        <v>2196</v>
      </c>
      <c r="AI64" s="247" t="e">
        <f>PRODUCT(AI53,AI63)</f>
        <v>#DIV/0!</v>
      </c>
      <c r="AJ64" s="247" t="e">
        <f>PRODUCT(AJ53,AJ63)</f>
        <v>#DIV/0!</v>
      </c>
      <c r="AK64" s="2" t="e">
        <f>PRODUCT(AK53,AK63)</f>
        <v>#DIV/0!</v>
      </c>
      <c r="AL64" s="2" t="e">
        <f>PRODUCT(AL53,AL63)</f>
        <v>#DIV/0!</v>
      </c>
      <c r="AM64" s="2" t="e">
        <f>PRODUCT(AM53,AM63)</f>
        <v>#DIV/0!</v>
      </c>
      <c r="AP64" s="83" t="s">
        <v>2196</v>
      </c>
      <c r="AQ64" s="2" t="e">
        <f>PRODUCT(AQ53,AQ63)</f>
        <v>#DIV/0!</v>
      </c>
      <c r="AR64" s="2" t="e">
        <f>PRODUCT(AR53,AR63)</f>
        <v>#DIV/0!</v>
      </c>
      <c r="AS64" s="2" t="e">
        <f>PRODUCT(AS53,AS63)</f>
        <v>#DIV/0!</v>
      </c>
      <c r="AT64" s="2" t="e">
        <f>PRODUCT(AT53,AT63)</f>
        <v>#DIV/0!</v>
      </c>
      <c r="AU64" s="2" t="e">
        <f>PRODUCT(AU53,AU63)</f>
        <v>#DIV/0!</v>
      </c>
    </row>
    <row r="65" spans="17:47" x14ac:dyDescent="0.2">
      <c r="R65" s="1117" t="s">
        <v>2330</v>
      </c>
      <c r="S65" s="247">
        <f>$C$14</f>
        <v>1</v>
      </c>
      <c r="T65" s="247">
        <f t="shared" ref="T65:W65" si="10">$C$14</f>
        <v>1</v>
      </c>
      <c r="U65" s="247">
        <f t="shared" si="10"/>
        <v>1</v>
      </c>
      <c r="V65" s="247">
        <f t="shared" si="10"/>
        <v>1</v>
      </c>
      <c r="W65" s="247">
        <f t="shared" si="10"/>
        <v>1</v>
      </c>
      <c r="Z65" s="1117" t="s">
        <v>2330</v>
      </c>
      <c r="AA65" s="247">
        <v>1</v>
      </c>
      <c r="AB65" s="247">
        <v>1</v>
      </c>
      <c r="AC65" s="247">
        <v>1</v>
      </c>
      <c r="AD65" s="247">
        <v>1</v>
      </c>
      <c r="AE65" s="247">
        <v>1</v>
      </c>
      <c r="AH65" s="1117" t="s">
        <v>2330</v>
      </c>
      <c r="AI65" s="247">
        <f>$C$14</f>
        <v>1</v>
      </c>
      <c r="AJ65" s="247">
        <f t="shared" ref="AJ65:AM65" si="11">$C$14</f>
        <v>1</v>
      </c>
      <c r="AK65" s="247">
        <f t="shared" si="11"/>
        <v>1</v>
      </c>
      <c r="AL65" s="247">
        <f t="shared" si="11"/>
        <v>1</v>
      </c>
      <c r="AM65" s="247">
        <f t="shared" si="11"/>
        <v>1</v>
      </c>
      <c r="AP65" s="1117" t="s">
        <v>2330</v>
      </c>
      <c r="AQ65" s="247">
        <v>1</v>
      </c>
      <c r="AR65" s="247">
        <v>1</v>
      </c>
      <c r="AS65" s="247">
        <v>1</v>
      </c>
      <c r="AT65" s="247">
        <v>1</v>
      </c>
      <c r="AU65" s="247">
        <v>1</v>
      </c>
    </row>
    <row r="66" spans="17:47" x14ac:dyDescent="0.2">
      <c r="Q66" s="185"/>
      <c r="R66" s="1226" t="s">
        <v>2197</v>
      </c>
      <c r="S66" s="238">
        <f>IF(ISNUMBER($I4),$I4,0)</f>
        <v>1000000</v>
      </c>
      <c r="T66" s="238">
        <f>IF(ISNUMBER($I5),$I5,0)</f>
        <v>1000000</v>
      </c>
      <c r="U66" s="238">
        <f>IF(ISNUMBER($I6),$I6,0)</f>
        <v>1000000</v>
      </c>
      <c r="V66" s="238">
        <f>IF(ISNUMBER($I7),$I7,0)</f>
        <v>0</v>
      </c>
      <c r="W66" s="238">
        <f>IF(ISNUMBER($I8),$I8,0)</f>
        <v>0</v>
      </c>
      <c r="Y66" s="185"/>
      <c r="Z66" s="1226" t="s">
        <v>2197</v>
      </c>
      <c r="AA66" s="238">
        <f>IF(ISNUMBER($I$4),$I$4,0)</f>
        <v>1000000</v>
      </c>
      <c r="AB66" s="238">
        <f>IF(ISNUMBER($I$5),$I$5,0)</f>
        <v>1000000</v>
      </c>
      <c r="AC66" s="238">
        <f>IF(ISNUMBER($I$6),$I$6,0)</f>
        <v>1000000</v>
      </c>
      <c r="AD66" s="238">
        <f>IF(ISNUMBER($I$7),$I$7,0)</f>
        <v>0</v>
      </c>
      <c r="AE66" s="238">
        <f>IF(ISNUMBER($I$8),$I$8,0)</f>
        <v>0</v>
      </c>
      <c r="AG66" s="185"/>
      <c r="AH66" s="1226" t="s">
        <v>2197</v>
      </c>
      <c r="AI66" s="238">
        <f>IF(ISNUMBER($I13),$I13,0)</f>
        <v>0</v>
      </c>
      <c r="AJ66" s="238">
        <f>IF(ISNUMBER($I14),$I14,0)</f>
        <v>0</v>
      </c>
      <c r="AK66" s="238">
        <f>IF(ISNUMBER($I15),$I15,0)</f>
        <v>0</v>
      </c>
      <c r="AL66" s="238">
        <f>IF(ISNUMBER($I16),$I16,0)</f>
        <v>0</v>
      </c>
      <c r="AM66" s="238">
        <f>IF(ISNUMBER($I17),$I17,0)</f>
        <v>0</v>
      </c>
      <c r="AO66" s="185"/>
      <c r="AP66" s="1226" t="s">
        <v>2197</v>
      </c>
      <c r="AQ66" s="238">
        <f>IF(ISNUMBER($I13),$I13,0)</f>
        <v>0</v>
      </c>
      <c r="AR66" s="238">
        <f>IF(ISNUMBER($I14),$I14,0)</f>
        <v>0</v>
      </c>
      <c r="AS66" s="238">
        <f>IF(ISNUMBER($I15),$I15,0)</f>
        <v>0</v>
      </c>
      <c r="AT66" s="238">
        <f>IF(ISNUMBER($I16),$I16,0)</f>
        <v>0</v>
      </c>
      <c r="AU66" s="238">
        <f>IF(ISNUMBER($I17),$I17,0)</f>
        <v>0</v>
      </c>
    </row>
    <row r="67" spans="17:47" x14ac:dyDescent="0.2">
      <c r="R67" s="83" t="s">
        <v>2198</v>
      </c>
      <c r="S67" s="1339">
        <f>PRODUCT(S64:S66)</f>
        <v>42453.599999999999</v>
      </c>
      <c r="T67" s="1339">
        <f>PRODUCT(T64:T66)</f>
        <v>42453.599999999999</v>
      </c>
      <c r="U67" s="1339">
        <f>PRODUCT(U64:U66)</f>
        <v>42453.599999999999</v>
      </c>
      <c r="V67" s="1339">
        <f>PRODUCT(V64:V66)</f>
        <v>0</v>
      </c>
      <c r="W67" s="1339">
        <f>PRODUCT(W64:W66)</f>
        <v>0</v>
      </c>
      <c r="Z67" s="83" t="s">
        <v>2198</v>
      </c>
      <c r="AA67" s="1339">
        <f>PRODUCT(AA64:AA66)</f>
        <v>13406.4</v>
      </c>
      <c r="AB67" s="1339">
        <f>PRODUCT(AB64:AB66)</f>
        <v>13406.4</v>
      </c>
      <c r="AC67" s="1339">
        <f>PRODUCT(AC64:AC66)</f>
        <v>13406.4</v>
      </c>
      <c r="AD67" s="1339">
        <f>PRODUCT(AD64:AD66)</f>
        <v>0</v>
      </c>
      <c r="AE67" s="1339">
        <f>PRODUCT(AE64:AE66)</f>
        <v>0</v>
      </c>
      <c r="AH67" s="83" t="s">
        <v>2198</v>
      </c>
      <c r="AI67" s="1339" t="e">
        <f>PRODUCT(AI64:AI66)</f>
        <v>#DIV/0!</v>
      </c>
      <c r="AJ67" s="1339" t="e">
        <f>PRODUCT(AJ64:AJ66)</f>
        <v>#DIV/0!</v>
      </c>
      <c r="AK67" s="1339" t="e">
        <f>PRODUCT(AK64:AK66)</f>
        <v>#DIV/0!</v>
      </c>
      <c r="AL67" s="1339" t="e">
        <f>PRODUCT(AL64:AL66)</f>
        <v>#DIV/0!</v>
      </c>
      <c r="AM67" s="1339" t="e">
        <f>PRODUCT(AM64:AM66)</f>
        <v>#DIV/0!</v>
      </c>
      <c r="AP67" s="83" t="s">
        <v>2198</v>
      </c>
      <c r="AQ67" s="1339" t="e">
        <f>PRODUCT(AQ64:AQ66)</f>
        <v>#DIV/0!</v>
      </c>
      <c r="AR67" s="1339" t="e">
        <f>PRODUCT(AR64:AR66)</f>
        <v>#DIV/0!</v>
      </c>
      <c r="AS67" s="1339" t="e">
        <f>PRODUCT(AS64:AS66)</f>
        <v>#DIV/0!</v>
      </c>
      <c r="AT67" s="1339" t="e">
        <f>PRODUCT(AT64:AT66)</f>
        <v>#DIV/0!</v>
      </c>
      <c r="AU67" s="1339" t="e">
        <f>PRODUCT(AU64:AU66)</f>
        <v>#DIV/0!</v>
      </c>
    </row>
    <row r="69" spans="17:47" x14ac:dyDescent="0.2">
      <c r="Q69" s="60" t="s">
        <v>2199</v>
      </c>
      <c r="Y69" s="60" t="s">
        <v>2199</v>
      </c>
      <c r="AG69" s="60" t="s">
        <v>2199</v>
      </c>
      <c r="AO69" s="60" t="s">
        <v>2199</v>
      </c>
    </row>
    <row r="70" spans="17:47" x14ac:dyDescent="0.2">
      <c r="R70" s="1117" t="s">
        <v>2200</v>
      </c>
      <c r="S70" s="1339">
        <f>SUM(S67:W67)</f>
        <v>127360.79999999999</v>
      </c>
      <c r="Z70" s="1117" t="s">
        <v>2200</v>
      </c>
      <c r="AA70" s="1339">
        <f>SUM(AA67:AE67)</f>
        <v>40219.199999999997</v>
      </c>
      <c r="AH70" s="1117" t="s">
        <v>2200</v>
      </c>
      <c r="AI70" s="1339" t="e">
        <f>SUM(AI67:AM67)</f>
        <v>#DIV/0!</v>
      </c>
      <c r="AP70" s="1117" t="s">
        <v>2200</v>
      </c>
      <c r="AQ70" s="1339" t="e">
        <f>SUM(AQ67:AU67)</f>
        <v>#DIV/0!</v>
      </c>
    </row>
    <row r="71" spans="17:47" x14ac:dyDescent="0.2">
      <c r="Q71" s="185"/>
      <c r="R71" s="1226" t="s">
        <v>2186</v>
      </c>
      <c r="S71" s="238">
        <f>$I$9</f>
        <v>3000000</v>
      </c>
      <c r="Y71" s="185"/>
      <c r="Z71" s="1226" t="s">
        <v>2186</v>
      </c>
      <c r="AA71" s="238">
        <f>$I$9</f>
        <v>3000000</v>
      </c>
      <c r="AG71" s="185"/>
      <c r="AH71" s="1226" t="s">
        <v>2186</v>
      </c>
      <c r="AI71" s="238">
        <f>$I$18</f>
        <v>0</v>
      </c>
      <c r="AO71" s="185"/>
      <c r="AP71" s="1226" t="s">
        <v>2186</v>
      </c>
      <c r="AQ71" s="238">
        <f>$I$18</f>
        <v>0</v>
      </c>
    </row>
    <row r="72" spans="17:47" x14ac:dyDescent="0.2">
      <c r="R72" s="1117" t="s">
        <v>2201</v>
      </c>
      <c r="S72" s="2">
        <f>ROUND(S70/S71,3)</f>
        <v>4.2000000000000003E-2</v>
      </c>
      <c r="Z72" s="1117" t="s">
        <v>2229</v>
      </c>
      <c r="AA72" s="2">
        <f>ROUND(AA70/AA71,4)</f>
        <v>1.34E-2</v>
      </c>
      <c r="AH72" s="1117" t="s">
        <v>2201</v>
      </c>
      <c r="AI72" s="2" t="e">
        <f>ROUND(AI70/AI71,3)</f>
        <v>#DIV/0!</v>
      </c>
      <c r="AP72" s="1117" t="s">
        <v>2229</v>
      </c>
      <c r="AQ72" s="2" t="e">
        <f>ROUND(AQ70/AQ71,4)</f>
        <v>#DIV/0!</v>
      </c>
    </row>
    <row r="73" spans="17:47" x14ac:dyDescent="0.2">
      <c r="Q73" s="146"/>
      <c r="R73" s="1210" t="s">
        <v>2202</v>
      </c>
      <c r="S73" s="299">
        <f>VLOOKUP($C$15,Table_CoIns_Blanket,2,0)</f>
        <v>0.95</v>
      </c>
      <c r="Y73" s="146"/>
      <c r="Z73" s="1210" t="s">
        <v>2202</v>
      </c>
      <c r="AA73" s="299">
        <f>VLOOKUP($C$15,Table_CoIns_Blanket,2,0)</f>
        <v>0.95</v>
      </c>
      <c r="AG73" s="146"/>
      <c r="AH73" s="1210" t="s">
        <v>2202</v>
      </c>
      <c r="AI73" s="299">
        <f>VLOOKUP($C$15,Table_CoIns_Blanket,2,0)</f>
        <v>0.95</v>
      </c>
      <c r="AO73" s="146"/>
      <c r="AP73" s="1210" t="s">
        <v>2202</v>
      </c>
      <c r="AQ73" s="299">
        <f>VLOOKUP($C$15,Table_CoIns_Blanket,2,0)</f>
        <v>0.95</v>
      </c>
    </row>
    <row r="74" spans="17:47" x14ac:dyDescent="0.2">
      <c r="Q74" s="185"/>
      <c r="R74" s="1226" t="s">
        <v>1020</v>
      </c>
      <c r="S74" s="208">
        <f>IF($C$6="PAC",VLOOKUP(B7,Table_PakMods,MATCH($C$10,List_Company,0)+1,FALSE),1)</f>
        <v>0.45</v>
      </c>
      <c r="Y74" s="185"/>
      <c r="Z74" s="1226" t="s">
        <v>1020</v>
      </c>
      <c r="AA74" s="208">
        <f>IF($C$6="PAC",VLOOKUP(B7,Table_PakMods,MATCH($C$10,List_Company,0)+1,FALSE),1)</f>
        <v>0.45</v>
      </c>
      <c r="AG74" s="185"/>
      <c r="AH74" s="1226" t="s">
        <v>1020</v>
      </c>
      <c r="AI74" s="208">
        <f>IF($C$6="PAC",VLOOKUP(B7,Table_PakMods,MATCH($C$10,List_Company,0)+1,FALSE),1)</f>
        <v>0.45</v>
      </c>
      <c r="AO74" s="185"/>
      <c r="AP74" s="1226" t="s">
        <v>1020</v>
      </c>
      <c r="AQ74" s="208">
        <f>IF($C$6="PAC",VLOOKUP(B7,Table_PakMods,MATCH($C$10,List_Company,0)+1,FALSE),1)</f>
        <v>0.45</v>
      </c>
    </row>
    <row r="75" spans="17:47" x14ac:dyDescent="0.2">
      <c r="R75" s="83" t="s">
        <v>2203</v>
      </c>
      <c r="S75" s="60">
        <f>ROUND(PRODUCT(S72:S74),3)</f>
        <v>1.7999999999999999E-2</v>
      </c>
      <c r="Z75" s="83" t="s">
        <v>2230</v>
      </c>
      <c r="AA75" s="60">
        <f>ROUND(PRODUCT(AA72:AA74),3)</f>
        <v>6.0000000000000001E-3</v>
      </c>
      <c r="AH75" s="83" t="s">
        <v>2203</v>
      </c>
      <c r="AI75" s="60" t="e">
        <f>ROUND(PRODUCT(AI72:AI74),3)</f>
        <v>#DIV/0!</v>
      </c>
      <c r="AP75" s="83" t="s">
        <v>2230</v>
      </c>
      <c r="AQ75" s="60" t="e">
        <f>ROUND(PRODUCT(AQ72:AQ74),3)</f>
        <v>#DIV/0!</v>
      </c>
    </row>
    <row r="77" spans="17:47" x14ac:dyDescent="0.2">
      <c r="Q77" s="60" t="s">
        <v>2209</v>
      </c>
      <c r="S77" s="235" t="s">
        <v>2176</v>
      </c>
      <c r="T77" s="235" t="s">
        <v>2177</v>
      </c>
      <c r="U77" s="235" t="s">
        <v>2178</v>
      </c>
      <c r="V77" s="235" t="s">
        <v>2179</v>
      </c>
      <c r="W77" s="235" t="s">
        <v>2180</v>
      </c>
      <c r="Y77" s="60" t="s">
        <v>2209</v>
      </c>
      <c r="AA77" s="235" t="s">
        <v>2176</v>
      </c>
      <c r="AB77" s="235" t="s">
        <v>2177</v>
      </c>
      <c r="AC77" s="235" t="s">
        <v>2178</v>
      </c>
      <c r="AD77" s="235" t="s">
        <v>2179</v>
      </c>
      <c r="AE77" s="235" t="s">
        <v>2180</v>
      </c>
      <c r="AG77" s="60" t="s">
        <v>2209</v>
      </c>
      <c r="AI77" s="235" t="s">
        <v>2176</v>
      </c>
      <c r="AJ77" s="235" t="s">
        <v>2177</v>
      </c>
      <c r="AK77" s="235" t="s">
        <v>2178</v>
      </c>
      <c r="AL77" s="235" t="s">
        <v>2179</v>
      </c>
      <c r="AM77" s="235" t="s">
        <v>2180</v>
      </c>
      <c r="AO77" s="60" t="s">
        <v>2209</v>
      </c>
      <c r="AQ77" s="235" t="s">
        <v>2176</v>
      </c>
      <c r="AR77" s="235" t="s">
        <v>2177</v>
      </c>
      <c r="AS77" s="235" t="s">
        <v>2178</v>
      </c>
      <c r="AT77" s="235" t="s">
        <v>2179</v>
      </c>
      <c r="AU77" s="235" t="s">
        <v>2180</v>
      </c>
    </row>
    <row r="78" spans="17:47" x14ac:dyDescent="0.2">
      <c r="Q78" s="1227"/>
      <c r="R78" s="1117" t="s">
        <v>2212</v>
      </c>
      <c r="S78" s="478">
        <f>IF(ISNUMBER($I$4),$I$4/100,0)</f>
        <v>10000</v>
      </c>
      <c r="T78" s="478">
        <f>IF(ISNUMBER($I$5),$I$5/100,0)</f>
        <v>10000</v>
      </c>
      <c r="U78" s="478">
        <f>IF(ISNUMBER($I$6),$I$6/100,0)</f>
        <v>10000</v>
      </c>
      <c r="V78" s="478">
        <f>IF(ISNUMBER($I$7),$I$7/100,0)</f>
        <v>0</v>
      </c>
      <c r="W78" s="478">
        <f>IF(ISNUMBER($I$8),$I$8/100,0)</f>
        <v>0</v>
      </c>
      <c r="Y78" s="1227"/>
      <c r="Z78" s="1117" t="s">
        <v>2212</v>
      </c>
      <c r="AA78" s="478">
        <f>IF(ISNUMBER($I$4),$I$4/100,0)</f>
        <v>10000</v>
      </c>
      <c r="AB78" s="478">
        <f>IF(ISNUMBER($I$5),$I$5/100,0)</f>
        <v>10000</v>
      </c>
      <c r="AC78" s="478">
        <f>IF(ISNUMBER($I$6),$I$6/100,0)</f>
        <v>10000</v>
      </c>
      <c r="AD78" s="478">
        <f>IF(ISNUMBER($I$7),$I$7/100,0)</f>
        <v>0</v>
      </c>
      <c r="AE78" s="478">
        <f>IF(ISNUMBER($I$8),$I$8/100,0)</f>
        <v>0</v>
      </c>
      <c r="AG78" s="1227"/>
      <c r="AH78" s="1117" t="s">
        <v>2212</v>
      </c>
      <c r="AI78" s="478">
        <f>IF(ISNUMBER($I$13),$I$13/100,0)</f>
        <v>0</v>
      </c>
      <c r="AJ78" s="478">
        <f>IF(ISNUMBER($I$14),$I$14/100,0)</f>
        <v>0</v>
      </c>
      <c r="AK78" s="478">
        <f>IF(ISNUMBER($I$15),$I$15/100,0)</f>
        <v>0</v>
      </c>
      <c r="AL78" s="478">
        <f>IF(ISNUMBER($I$16),$I$16/100,0)</f>
        <v>0</v>
      </c>
      <c r="AM78" s="478">
        <f>IF(ISNUMBER($I$17),$I$17/100,0)</f>
        <v>0</v>
      </c>
      <c r="AO78" s="1227"/>
      <c r="AP78" s="1117" t="s">
        <v>2212</v>
      </c>
      <c r="AQ78" s="478">
        <f>IF(ISNUMBER($I$13),$I$13/100,0)</f>
        <v>0</v>
      </c>
      <c r="AR78" s="478">
        <f>IF(ISNUMBER($I$14),$I$14/100,0)</f>
        <v>0</v>
      </c>
      <c r="AS78" s="478">
        <f>IF(ISNUMBER($I$15),$I$15/100,0)</f>
        <v>0</v>
      </c>
      <c r="AT78" s="478">
        <f>IF(ISNUMBER($I$16),$I$16/100,0)</f>
        <v>0</v>
      </c>
      <c r="AU78" s="478">
        <f>IF(ISNUMBER($I$17),$I$17/100,0)</f>
        <v>0</v>
      </c>
    </row>
    <row r="79" spans="17:47" x14ac:dyDescent="0.2">
      <c r="Q79" s="185"/>
      <c r="R79" s="1226" t="s">
        <v>2210</v>
      </c>
      <c r="S79" s="185">
        <f>$S$75</f>
        <v>1.7999999999999999E-2</v>
      </c>
      <c r="T79" s="185">
        <f t="shared" ref="T79:W79" si="12">$S$75</f>
        <v>1.7999999999999999E-2</v>
      </c>
      <c r="U79" s="185">
        <f t="shared" si="12"/>
        <v>1.7999999999999999E-2</v>
      </c>
      <c r="V79" s="185">
        <f t="shared" si="12"/>
        <v>1.7999999999999999E-2</v>
      </c>
      <c r="W79" s="185">
        <f t="shared" si="12"/>
        <v>1.7999999999999999E-2</v>
      </c>
      <c r="Y79" s="185"/>
      <c r="Z79" s="1226" t="s">
        <v>2210</v>
      </c>
      <c r="AA79" s="455">
        <f>$AA$75</f>
        <v>6.0000000000000001E-3</v>
      </c>
      <c r="AB79" s="455">
        <f t="shared" ref="AB79:AE79" si="13">$AA$75</f>
        <v>6.0000000000000001E-3</v>
      </c>
      <c r="AC79" s="455">
        <f t="shared" si="13"/>
        <v>6.0000000000000001E-3</v>
      </c>
      <c r="AD79" s="455">
        <f t="shared" si="13"/>
        <v>6.0000000000000001E-3</v>
      </c>
      <c r="AE79" s="455">
        <f t="shared" si="13"/>
        <v>6.0000000000000001E-3</v>
      </c>
      <c r="AG79" s="185"/>
      <c r="AH79" s="1226" t="s">
        <v>2210</v>
      </c>
      <c r="AI79" s="185" t="e">
        <f>$AI$75</f>
        <v>#DIV/0!</v>
      </c>
      <c r="AJ79" s="185" t="e">
        <f t="shared" ref="AJ79:AM79" si="14">$AI$75</f>
        <v>#DIV/0!</v>
      </c>
      <c r="AK79" s="185" t="e">
        <f t="shared" si="14"/>
        <v>#DIV/0!</v>
      </c>
      <c r="AL79" s="185" t="e">
        <f t="shared" si="14"/>
        <v>#DIV/0!</v>
      </c>
      <c r="AM79" s="185" t="e">
        <f t="shared" si="14"/>
        <v>#DIV/0!</v>
      </c>
      <c r="AO79" s="185"/>
      <c r="AP79" s="1226" t="s">
        <v>2210</v>
      </c>
      <c r="AQ79" s="455" t="e">
        <f>$AQ$75</f>
        <v>#DIV/0!</v>
      </c>
      <c r="AR79" s="455" t="e">
        <f t="shared" ref="AR79:AU79" si="15">$AQ$75</f>
        <v>#DIV/0!</v>
      </c>
      <c r="AS79" s="455" t="e">
        <f t="shared" si="15"/>
        <v>#DIV/0!</v>
      </c>
      <c r="AT79" s="455" t="e">
        <f t="shared" si="15"/>
        <v>#DIV/0!</v>
      </c>
      <c r="AU79" s="455" t="e">
        <f t="shared" si="15"/>
        <v>#DIV/0!</v>
      </c>
    </row>
    <row r="80" spans="17:47" x14ac:dyDescent="0.2">
      <c r="R80" s="83" t="s">
        <v>2211</v>
      </c>
      <c r="S80" s="248">
        <f>ROUND(PRODUCT(S78:S79),0)</f>
        <v>180</v>
      </c>
      <c r="T80" s="248">
        <f>ROUND(PRODUCT(T78:T79),0)</f>
        <v>180</v>
      </c>
      <c r="U80" s="248">
        <f>ROUND(PRODUCT(U78:U79),0)</f>
        <v>180</v>
      </c>
      <c r="V80" s="248">
        <f>ROUND(PRODUCT(V78:V79),0)</f>
        <v>0</v>
      </c>
      <c r="W80" s="248">
        <f>ROUND(PRODUCT(W78:W79),0)</f>
        <v>0</v>
      </c>
      <c r="Z80" s="83" t="s">
        <v>2231</v>
      </c>
      <c r="AA80" s="248">
        <f>ROUND(PRODUCT(AA78:AA79),0)</f>
        <v>60</v>
      </c>
      <c r="AB80" s="248">
        <f>ROUND(PRODUCT(AB78:AB79),0)</f>
        <v>60</v>
      </c>
      <c r="AC80" s="248">
        <f>ROUND(PRODUCT(AC78:AC79),0)</f>
        <v>60</v>
      </c>
      <c r="AD80" s="248">
        <f>ROUND(PRODUCT(AD78:AD79),0)</f>
        <v>0</v>
      </c>
      <c r="AE80" s="248">
        <f>ROUND(PRODUCT(AE78:AE79),0)</f>
        <v>0</v>
      </c>
      <c r="AH80" s="83" t="s">
        <v>2211</v>
      </c>
      <c r="AI80" s="248" t="e">
        <f>ROUND(PRODUCT(AI78:AI79),0)</f>
        <v>#DIV/0!</v>
      </c>
      <c r="AJ80" s="248" t="e">
        <f>ROUND(PRODUCT(AJ78:AJ79),0)</f>
        <v>#DIV/0!</v>
      </c>
      <c r="AK80" s="248" t="e">
        <f>ROUND(PRODUCT(AK78:AK79),0)</f>
        <v>#DIV/0!</v>
      </c>
      <c r="AL80" s="248" t="e">
        <f>ROUND(PRODUCT(AL78:AL79),0)</f>
        <v>#DIV/0!</v>
      </c>
      <c r="AM80" s="248" t="e">
        <f>ROUND(PRODUCT(AM78:AM79),0)</f>
        <v>#DIV/0!</v>
      </c>
      <c r="AP80" s="83" t="s">
        <v>2231</v>
      </c>
      <c r="AQ80" s="248" t="e">
        <f>ROUND(PRODUCT(AQ78:AQ79),0)</f>
        <v>#DIV/0!</v>
      </c>
      <c r="AR80" s="248" t="e">
        <f>ROUND(PRODUCT(AR78:AR79),0)</f>
        <v>#DIV/0!</v>
      </c>
      <c r="AS80" s="248" t="e">
        <f>ROUND(PRODUCT(AS78:AS79),0)</f>
        <v>#DIV/0!</v>
      </c>
      <c r="AT80" s="248" t="e">
        <f>ROUND(PRODUCT(AT78:AT79),0)</f>
        <v>#DIV/0!</v>
      </c>
      <c r="AU80" s="248" t="e">
        <f>ROUND(PRODUCT(AU78:AU79),0)</f>
        <v>#DIV/0!</v>
      </c>
    </row>
  </sheetData>
  <mergeCells count="9">
    <mergeCell ref="Q46:W46"/>
    <mergeCell ref="Y46:AE46"/>
    <mergeCell ref="AG46:AM46"/>
    <mergeCell ref="AO46:AU46"/>
    <mergeCell ref="K1:O1"/>
    <mergeCell ref="Q1:W1"/>
    <mergeCell ref="Y1:AE1"/>
    <mergeCell ref="AG1:AM1"/>
    <mergeCell ref="AO1:AU1"/>
  </mergeCells>
  <conditionalFormatting sqref="E22:I26">
    <cfRule type="expression" dxfId="236" priority="4">
      <formula>IF($C$23="Yes",TRUE,FALSE)</formula>
    </cfRule>
  </conditionalFormatting>
  <conditionalFormatting sqref="E31:I35">
    <cfRule type="expression" dxfId="235" priority="3">
      <formula>IF($C$24="Yes",TRUE,FALSE)</formula>
    </cfRule>
  </conditionalFormatting>
  <conditionalFormatting sqref="E13:I17">
    <cfRule type="expression" dxfId="234" priority="2">
      <formula>IF($C$22="Yes",TRUE,FALSE)</formula>
    </cfRule>
  </conditionalFormatting>
  <conditionalFormatting sqref="E4:I8">
    <cfRule type="expression" dxfId="233" priority="1">
      <formula>IF($C$21="Yes",TRUE,FALSE)</formula>
    </cfRule>
  </conditionalFormatting>
  <dataValidations count="15">
    <dataValidation type="list" allowBlank="1" showInputMessage="1" showErrorMessage="1" promptTitle="Protection Class" prompt="Please Select from drop down" sqref="F4:F8">
      <formula1>OFFSET(Table_ProtClass,0,0,,1)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H4:H8 H13:H17 H22:H26 H31:H35">
      <formula1>OFFSET(Table_G2SymLC,0,0,,1)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G4:G8 G13:G17 G22:G26 G31:G35">
      <formula1>List_ConstrNum</formula1>
    </dataValidation>
    <dataValidation type="list" allowBlank="1" showInputMessage="1" showErrorMessage="1" promptTitle="Class Code Selection" prompt="Please select your building class code" sqref="E4:E8 E13:E17 E22:F26 E31:F35">
      <formula1>OFFSET(Table_G1_LC,0,0,,1)</formula1>
    </dataValidation>
    <dataValidation type="list" allowBlank="1" showInputMessage="1" showErrorMessage="1" promptTitle="Protection Class:" prompt="Please select a number (1 - 10)" sqref="F13:F17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2">
      <formula1>IF($C$11="SP",List_SPTheft,List_No)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" sqref="C11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Coverage Selection" prompt="Please Select:_x000a_{ Yes or No }" sqref="C21:C24">
      <formula1>List_YN</formula1>
    </dataValidation>
    <dataValidation type="list" allowBlank="1" showInputMessage="1" showErrorMessage="1" promptTitle="Coinsurance Percent" prompt="Please Select:_x000a_{ 80, 90, 100 }" sqref="C15 C17">
      <formula1>OFFSET(Table_CoIns_Blanket,0,0,,1)</formula1>
    </dataValidation>
    <dataValidation type="list" allowBlank="1" showInputMessage="1" showErrorMessage="1" promptTitle="Deductible Amount:" prompt="Please Select from list:_x000a_(250 - 75,000)" sqref="B16 B18">
      <formula1>List_DedSelect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rowBreaks count="1" manualBreakCount="1">
    <brk id="45" max="46" man="1"/>
  </rowBreaks>
  <colBreaks count="6" manualBreakCount="6">
    <brk id="9" max="1048575" man="1"/>
    <brk id="16" max="44" man="1"/>
    <brk id="24" max="44" man="1"/>
    <brk id="24" min="45" max="81" man="1"/>
    <brk id="40" max="44" man="1"/>
    <brk id="40" min="45" max="81" man="1"/>
  </col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G51"/>
  <sheetViews>
    <sheetView zoomScale="90" zoomScaleNormal="90" workbookViewId="0">
      <selection activeCell="C48" sqref="C48:E48"/>
    </sheetView>
  </sheetViews>
  <sheetFormatPr defaultRowHeight="12.75" x14ac:dyDescent="0.2"/>
  <cols>
    <col min="1" max="1" width="18" style="2" customWidth="1"/>
    <col min="2" max="2" width="16.85546875" style="2" customWidth="1"/>
    <col min="3" max="3" width="17" style="2" customWidth="1"/>
    <col min="4" max="4" width="5.42578125" style="2" customWidth="1"/>
    <col min="5" max="5" width="17.85546875" style="2" customWidth="1"/>
    <col min="6" max="6" width="13.7109375" style="2" customWidth="1"/>
    <col min="7" max="7" width="16.85546875" style="2" customWidth="1"/>
    <col min="8" max="16384" width="9.140625" style="2"/>
  </cols>
  <sheetData>
    <row r="1" spans="1:7" ht="15.75" x14ac:dyDescent="0.2">
      <c r="A1" s="1440" t="s">
        <v>2256</v>
      </c>
    </row>
    <row r="2" spans="1:7" x14ac:dyDescent="0.2">
      <c r="A2" s="1227"/>
    </row>
    <row r="3" spans="1:7" ht="14.25" customHeight="1" x14ac:dyDescent="0.2">
      <c r="A3" s="82" t="s">
        <v>1024</v>
      </c>
      <c r="B3" s="917" t="str">
        <f>DF_State</f>
        <v>CT</v>
      </c>
    </row>
    <row r="4" spans="1:7" ht="17.25" customHeight="1" x14ac:dyDescent="0.2">
      <c r="A4" s="82" t="s">
        <v>2104</v>
      </c>
      <c r="B4" s="1441" t="str">
        <f>UI_CustNumber</f>
        <v>0004514584</v>
      </c>
    </row>
    <row r="5" spans="1:7" ht="16.5" customHeight="1" x14ac:dyDescent="0.2">
      <c r="A5" s="82"/>
      <c r="B5" s="984"/>
    </row>
    <row r="6" spans="1:7" x14ac:dyDescent="0.2">
      <c r="A6" s="82" t="s">
        <v>2258</v>
      </c>
      <c r="B6" s="1442"/>
      <c r="F6" s="1443"/>
      <c r="G6" s="1444"/>
    </row>
    <row r="7" spans="1:7" ht="16.5" customHeight="1" x14ac:dyDescent="0.2">
      <c r="A7" s="82"/>
      <c r="B7" s="834"/>
      <c r="F7" s="1443"/>
      <c r="G7" s="1444"/>
    </row>
    <row r="8" spans="1:7" x14ac:dyDescent="0.2">
      <c r="A8" s="82" t="s">
        <v>2259</v>
      </c>
      <c r="B8" s="1442"/>
      <c r="F8" s="1443"/>
      <c r="G8" s="1444"/>
    </row>
    <row r="9" spans="1:7" ht="16.5" customHeight="1" x14ac:dyDescent="0.2">
      <c r="A9" s="82"/>
      <c r="B9" s="984"/>
      <c r="F9" s="1443"/>
      <c r="G9" s="1444"/>
    </row>
    <row r="10" spans="1:7" x14ac:dyDescent="0.2">
      <c r="A10" s="82" t="s">
        <v>2257</v>
      </c>
      <c r="B10" s="1593"/>
      <c r="C10" s="1593"/>
      <c r="D10" s="1593"/>
      <c r="G10" s="834"/>
    </row>
    <row r="13" spans="1:7" ht="13.5" thickBot="1" x14ac:dyDescent="0.25">
      <c r="A13" s="1464" t="s">
        <v>55</v>
      </c>
      <c r="B13" s="1465"/>
      <c r="C13" s="1465"/>
      <c r="D13" s="1465"/>
      <c r="E13" s="1465"/>
    </row>
    <row r="14" spans="1:7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</row>
    <row r="15" spans="1:7" x14ac:dyDescent="0.2">
      <c r="A15" s="1445">
        <v>1</v>
      </c>
      <c r="B15" s="1453"/>
      <c r="C15" s="1446" t="str">
        <f ca="1">IF(ISBLANK(B15),"",INDIRECT($B15&amp;"!"&amp;"$I$47"))</f>
        <v/>
      </c>
      <c r="E15" s="1446" t="str">
        <f ca="1">IF(ISBLANK(B15),"",INDIRECT($B15&amp;"!"&amp;"$I$44"))</f>
        <v/>
      </c>
    </row>
    <row r="16" spans="1:7" x14ac:dyDescent="0.2">
      <c r="A16" s="1453">
        <v>2</v>
      </c>
      <c r="B16" s="1453"/>
      <c r="C16" s="1446" t="str">
        <f t="shared" ref="C16:C19" ca="1" si="0">IF(ISBLANK(B16),"",INDIRECT($B16&amp;"!"&amp;"$I$47"))</f>
        <v/>
      </c>
      <c r="E16" s="1446" t="str">
        <f t="shared" ref="E16:E19" ca="1" si="1">IF(ISBLANK(B16),"",INDIRECT($B16&amp;"!"&amp;"$I$44"))</f>
        <v/>
      </c>
    </row>
    <row r="17" spans="1:5" ht="17.25" customHeight="1" x14ac:dyDescent="0.2">
      <c r="A17" s="1453">
        <v>3</v>
      </c>
      <c r="B17" s="1453"/>
      <c r="C17" s="1446" t="str">
        <f t="shared" ca="1" si="0"/>
        <v/>
      </c>
      <c r="E17" s="1446" t="str">
        <f t="shared" ca="1" si="1"/>
        <v/>
      </c>
    </row>
    <row r="18" spans="1:5" x14ac:dyDescent="0.2">
      <c r="A18" s="1453">
        <v>4</v>
      </c>
      <c r="B18" s="1453"/>
      <c r="C18" s="1446" t="str">
        <f t="shared" ca="1" si="0"/>
        <v/>
      </c>
      <c r="E18" s="1446" t="str">
        <f t="shared" ca="1" si="1"/>
        <v/>
      </c>
    </row>
    <row r="19" spans="1:5" ht="13.5" thickBot="1" x14ac:dyDescent="0.25">
      <c r="A19" s="1084">
        <v>5</v>
      </c>
      <c r="B19" s="1453"/>
      <c r="C19" s="1446" t="str">
        <f t="shared" ca="1" si="0"/>
        <v/>
      </c>
      <c r="E19" s="1446" t="str">
        <f t="shared" ca="1" si="1"/>
        <v/>
      </c>
    </row>
    <row r="20" spans="1:5" x14ac:dyDescent="0.2">
      <c r="A20" s="1450"/>
      <c r="B20" s="1451" t="s">
        <v>2271</v>
      </c>
      <c r="C20" s="1452">
        <f ca="1">SUM(C15:C19)</f>
        <v>0</v>
      </c>
      <c r="D20" s="1450"/>
      <c r="E20" s="1452">
        <f ca="1">SUM(E15:E19)</f>
        <v>0</v>
      </c>
    </row>
    <row r="21" spans="1:5" ht="19.5" customHeight="1" x14ac:dyDescent="0.2"/>
    <row r="22" spans="1:5" ht="19.5" customHeight="1" thickBot="1" x14ac:dyDescent="0.25">
      <c r="A22" s="1464" t="s">
        <v>2219</v>
      </c>
      <c r="B22" s="1465"/>
      <c r="C22" s="1465"/>
      <c r="D22" s="1465"/>
      <c r="E22" s="1465"/>
    </row>
    <row r="23" spans="1:5" ht="18.75" customHeight="1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</row>
    <row r="24" spans="1:5" x14ac:dyDescent="0.2">
      <c r="A24" s="1445">
        <v>1</v>
      </c>
      <c r="B24" s="1445"/>
      <c r="C24" s="1446" t="str">
        <f ca="1">IF(ISBLANK(B24),"",INDIRECT($B24&amp;"!"&amp;"$I$54"))</f>
        <v/>
      </c>
      <c r="E24" s="1446" t="str">
        <f ca="1">IF(ISBLANK(B24),"",INDIRECT($B24&amp;"!"&amp;"$I$49"))</f>
        <v/>
      </c>
    </row>
    <row r="25" spans="1:5" x14ac:dyDescent="0.2">
      <c r="A25" s="1453">
        <v>2</v>
      </c>
      <c r="B25" s="1453"/>
      <c r="C25" s="1446" t="str">
        <f t="shared" ref="C25:C28" ca="1" si="2">IF(ISBLANK(B25),"",INDIRECT($B25&amp;"!"&amp;"$I$54"))</f>
        <v/>
      </c>
      <c r="D25" s="146"/>
      <c r="E25" s="1446" t="str">
        <f t="shared" ref="E25:E28" ca="1" si="3">IF(ISBLANK(B25),"",INDIRECT($B25&amp;"!"&amp;"$I$49"))</f>
        <v/>
      </c>
    </row>
    <row r="26" spans="1:5" x14ac:dyDescent="0.2">
      <c r="A26" s="1445">
        <v>3</v>
      </c>
      <c r="B26" s="1453"/>
      <c r="C26" s="1446" t="str">
        <f t="shared" ca="1" si="2"/>
        <v/>
      </c>
      <c r="D26" s="146"/>
      <c r="E26" s="1446" t="str">
        <f t="shared" ca="1" si="3"/>
        <v/>
      </c>
    </row>
    <row r="27" spans="1:5" x14ac:dyDescent="0.2">
      <c r="A27" s="1453">
        <v>4</v>
      </c>
      <c r="B27" s="1453"/>
      <c r="C27" s="1446" t="str">
        <f t="shared" ca="1" si="2"/>
        <v/>
      </c>
      <c r="D27" s="146"/>
      <c r="E27" s="1446" t="str">
        <f t="shared" ca="1" si="3"/>
        <v/>
      </c>
    </row>
    <row r="28" spans="1:5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</row>
    <row r="29" spans="1:5" x14ac:dyDescent="0.2">
      <c r="A29" s="1450"/>
      <c r="B29" s="1451" t="s">
        <v>2271</v>
      </c>
      <c r="C29" s="1452">
        <f ca="1">SUM(C24:C28)</f>
        <v>0</v>
      </c>
      <c r="D29" s="1450"/>
      <c r="E29" s="1452">
        <f ca="1">SUM(E24:E28)</f>
        <v>0</v>
      </c>
    </row>
    <row r="31" spans="1:5" ht="13.5" thickBot="1" x14ac:dyDescent="0.25">
      <c r="A31" s="1464" t="s">
        <v>2220</v>
      </c>
      <c r="B31" s="1465"/>
      <c r="C31" s="1465"/>
      <c r="D31" s="1465"/>
      <c r="E31" s="1465"/>
    </row>
    <row r="32" spans="1:5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</row>
    <row r="33" spans="1:5" x14ac:dyDescent="0.2">
      <c r="A33" s="1445">
        <v>1</v>
      </c>
      <c r="B33" s="1445"/>
      <c r="C33" s="1446" t="str">
        <f ca="1">IF(ISBLANK(B33),"",INDIRECT($B33&amp;"!"&amp;"$I$29"))</f>
        <v/>
      </c>
      <c r="E33" s="1446" t="str">
        <f ca="1">IF(ISBLANK(B33),"",INDIRECT($B33&amp;"!"&amp;"$I$26"))</f>
        <v/>
      </c>
    </row>
    <row r="34" spans="1:5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E34" s="1446" t="str">
        <f t="shared" ref="E34:E37" ca="1" si="5">IF(ISBLANK(B34),"",INDIRECT($B34&amp;"!"&amp;"$I$26"))</f>
        <v/>
      </c>
    </row>
    <row r="35" spans="1:5" x14ac:dyDescent="0.2">
      <c r="A35" s="1445">
        <v>3</v>
      </c>
      <c r="B35" s="1453"/>
      <c r="C35" s="1446" t="str">
        <f t="shared" ca="1" si="4"/>
        <v/>
      </c>
      <c r="E35" s="1446" t="str">
        <f t="shared" ca="1" si="5"/>
        <v/>
      </c>
    </row>
    <row r="36" spans="1:5" x14ac:dyDescent="0.2">
      <c r="A36" s="1453">
        <v>4</v>
      </c>
      <c r="B36" s="1453"/>
      <c r="C36" s="1446" t="str">
        <f t="shared" ca="1" si="4"/>
        <v/>
      </c>
      <c r="E36" s="1446" t="str">
        <f t="shared" ca="1" si="5"/>
        <v/>
      </c>
    </row>
    <row r="37" spans="1:5" ht="13.5" thickBot="1" x14ac:dyDescent="0.25">
      <c r="A37" s="1084">
        <v>5</v>
      </c>
      <c r="B37" s="1453"/>
      <c r="C37" s="1446" t="str">
        <f t="shared" ca="1" si="4"/>
        <v/>
      </c>
      <c r="E37" s="1446" t="str">
        <f t="shared" ca="1" si="5"/>
        <v/>
      </c>
    </row>
    <row r="38" spans="1:5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</row>
    <row r="41" spans="1:5" ht="13.5" thickBot="1" x14ac:dyDescent="0.25">
      <c r="A41" s="1464" t="s">
        <v>2221</v>
      </c>
      <c r="B41" s="1465"/>
      <c r="C41" s="1465"/>
      <c r="D41" s="1465"/>
      <c r="E41" s="1465"/>
    </row>
    <row r="42" spans="1:5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</row>
    <row r="43" spans="1:5" x14ac:dyDescent="0.2">
      <c r="A43" s="1445">
        <v>1</v>
      </c>
      <c r="B43" s="1445"/>
      <c r="C43" s="1446" t="str">
        <f ca="1">IF(ISBLANK(B43),"",INDIRECT($B43&amp;"!"&amp;"$I$21"))</f>
        <v/>
      </c>
      <c r="E43" s="1446" t="str">
        <f ca="1">IF(ISBLANK(B43),"",INDIRECT($B43&amp;"!"&amp;"$I$18"))</f>
        <v/>
      </c>
    </row>
    <row r="44" spans="1:5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E44" s="1446" t="str">
        <f t="shared" ref="E44:E47" ca="1" si="7">IF(ISBLANK(B44),"",INDIRECT($B44&amp;"!"&amp;"$I$18"))</f>
        <v/>
      </c>
    </row>
    <row r="45" spans="1:5" x14ac:dyDescent="0.2">
      <c r="A45" s="1445">
        <v>3</v>
      </c>
      <c r="B45" s="1453"/>
      <c r="C45" s="1446" t="str">
        <f t="shared" ca="1" si="6"/>
        <v/>
      </c>
      <c r="E45" s="1446" t="str">
        <f t="shared" ca="1" si="7"/>
        <v/>
      </c>
    </row>
    <row r="46" spans="1:5" x14ac:dyDescent="0.2">
      <c r="A46" s="1453">
        <v>4</v>
      </c>
      <c r="B46" s="1453"/>
      <c r="C46" s="1446" t="str">
        <f t="shared" ca="1" si="6"/>
        <v/>
      </c>
      <c r="E46" s="1446" t="str">
        <f t="shared" ca="1" si="7"/>
        <v/>
      </c>
    </row>
    <row r="47" spans="1:5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</row>
    <row r="48" spans="1:5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</row>
    <row r="50" spans="4:5" ht="13.5" thickBot="1" x14ac:dyDescent="0.25"/>
    <row r="51" spans="4:5" ht="13.5" thickBot="1" x14ac:dyDescent="0.25">
      <c r="D51" s="788" t="s">
        <v>2272</v>
      </c>
      <c r="E51" s="1448">
        <f ca="1">SUM(C20:E20,C29:E29,C38:E38,C48:E48)</f>
        <v>0</v>
      </c>
    </row>
  </sheetData>
  <mergeCells count="1">
    <mergeCell ref="B10:D10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R76"/>
  <sheetViews>
    <sheetView topLeftCell="B1" zoomScale="90" zoomScaleNormal="90" zoomScaleSheetLayoutView="85" workbookViewId="0">
      <selection activeCell="C48" sqref="C48:E48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0.9</v>
      </c>
      <c r="Q2" s="207">
        <f>HLOOKUP(C11,Table_StateRates,5,FALSE)</f>
        <v>0.9</v>
      </c>
      <c r="R2" s="207">
        <f>HLOOKUP(C11,Table_StateRates,5,FALSE)</f>
        <v>0.9</v>
      </c>
      <c r="S2" s="207">
        <f>HLOOKUP(C11,Table_StateRates,5,FALSE)</f>
        <v>0.9</v>
      </c>
      <c r="V2" s="168" t="s">
        <v>1019</v>
      </c>
      <c r="W2" s="207">
        <f>HLOOKUP(C11,Table_StateRates,5,FALSE)</f>
        <v>0.9</v>
      </c>
      <c r="X2" s="207">
        <f>HLOOKUP(C11,Table_StateRates,5,FALSE)</f>
        <v>0.9</v>
      </c>
      <c r="Y2" s="207">
        <f>HLOOKUP(C11,Table_StateRates,5,FALSE)</f>
        <v>0.9</v>
      </c>
      <c r="Z2" s="207">
        <f>HLOOKUP(C11,Table_StateRates,5,FALSE)</f>
        <v>0.9</v>
      </c>
      <c r="AB2" s="546"/>
      <c r="AC2" s="545" t="s">
        <v>1019</v>
      </c>
      <c r="AD2" s="207">
        <f>HLOOKUP(C11,Table_StateRates,5,FALSE)</f>
        <v>0.9</v>
      </c>
      <c r="AE2" s="207">
        <f>HLOOKUP(C11,Table_StateRates,5,FALSE)</f>
        <v>0.9</v>
      </c>
      <c r="AF2" s="207">
        <f>HLOOKUP(C11,Table_StateRates,5,FALSE)</f>
        <v>0.9</v>
      </c>
      <c r="AG2" s="207">
        <f>HLOOKUP(C11,Table_StateRates,5,FALSE)</f>
        <v>0.9</v>
      </c>
      <c r="AJ2" s="1117" t="s">
        <v>916</v>
      </c>
      <c r="AK2" s="207">
        <f>HLOOKUP(C11,Table_StateRates,5,FALSE)</f>
        <v>0.9</v>
      </c>
      <c r="AL2" s="207">
        <f>HLOOKUP(C11,Table_StateRates,5,FALSE)</f>
        <v>0.9</v>
      </c>
      <c r="AM2" s="207">
        <f>HLOOKUP(C11,Table_StateRates,5,FALSE)</f>
        <v>0.9</v>
      </c>
      <c r="AN2" s="207">
        <f>HLOOKUP(C11,Table_StateRates,5,FALSE)</f>
        <v>0.9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>
        <f>Summary4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1.71</v>
      </c>
      <c r="Q4" s="1312">
        <f>PRODUCT(Q2:Q3)</f>
        <v>1.71</v>
      </c>
      <c r="R4" s="1312">
        <f>PRODUCT(R2:R3)</f>
        <v>1.71</v>
      </c>
      <c r="S4" s="1312">
        <f>PRODUCT(S2:S3)</f>
        <v>1.71</v>
      </c>
      <c r="U4" s="146"/>
      <c r="V4" s="83" t="s">
        <v>2166</v>
      </c>
      <c r="W4" s="1312">
        <f>PRODUCT(W2:W3)</f>
        <v>1.71</v>
      </c>
      <c r="X4" s="1312">
        <f>PRODUCT(X2:X3)</f>
        <v>1.71</v>
      </c>
      <c r="Y4" s="1312">
        <f>PRODUCT(Y2:Y3)</f>
        <v>1.71</v>
      </c>
      <c r="Z4" s="1312">
        <f>PRODUCT(Z2:Z3)</f>
        <v>1.71</v>
      </c>
      <c r="AB4" s="60"/>
      <c r="AC4" s="83" t="s">
        <v>2166</v>
      </c>
      <c r="AD4" s="1312">
        <f>PRODUCT(AD2:AD3)</f>
        <v>1.71</v>
      </c>
      <c r="AE4" s="1312">
        <f>PRODUCT(AE2:AE3)</f>
        <v>1.71</v>
      </c>
      <c r="AF4" s="1312">
        <f>PRODUCT(AF2:AF3)</f>
        <v>1.71</v>
      </c>
      <c r="AG4" s="1312">
        <f>PRODUCT(AG2:AG3)</f>
        <v>1.71</v>
      </c>
      <c r="AI4" s="60"/>
      <c r="AJ4" s="83" t="s">
        <v>2166</v>
      </c>
      <c r="AK4" s="1312">
        <f>PRODUCT(AK2:AK3)</f>
        <v>1.71</v>
      </c>
      <c r="AL4" s="1312">
        <f>PRODUCT(AL2:AL3)</f>
        <v>1.71</v>
      </c>
      <c r="AM4" s="1312">
        <f>PRODUCT(AM2:AM3)</f>
        <v>1.71</v>
      </c>
      <c r="AN4" s="1312">
        <f>PRODUCT(AN2:AN3)</f>
        <v>1.71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2546</v>
      </c>
      <c r="J5" s="258">
        <f>IF(C27="Yes",Q36,0)</f>
        <v>1274</v>
      </c>
      <c r="K5" s="259">
        <f>IF(AND(C27="Yes",C12="SP"),R36,0)</f>
        <v>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7.5999999999999998E-2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0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7.5999999999999998E-2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0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7.5999999999999998E-2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7.5999999999999998E-2</v>
      </c>
      <c r="AL5" s="247">
        <f>Q5</f>
        <v>4.2000000000000003E-2</v>
      </c>
      <c r="AM5" s="247">
        <f>R5</f>
        <v>0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984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0.88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0.88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0.9</v>
      </c>
      <c r="AS6" s="299">
        <f>HLOOKUP(C11,Table_StateRates,5,FALSE)</f>
        <v>0.9</v>
      </c>
      <c r="AT6" s="299">
        <f>HLOOKUP(C11,Table_StateRates,5,FALSE)</f>
        <v>0.9</v>
      </c>
      <c r="AU6" s="299">
        <f>HLOOKUP(C11,Table_StateRates,5,FALSE)</f>
        <v>0.9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0.9</v>
      </c>
      <c r="BE6" s="453"/>
      <c r="BF6" s="186" t="s">
        <v>1019</v>
      </c>
      <c r="BG6" s="208">
        <f>HLOOKUP(C11,Table_StateRates,5,FALSE)</f>
        <v>0.9</v>
      </c>
      <c r="BH6" s="146"/>
      <c r="BI6" s="453"/>
      <c r="BJ6" s="186" t="s">
        <v>1019</v>
      </c>
      <c r="BK6" s="208">
        <f>HLOOKUP(C11,Table_StateRates,5,FALSE)</f>
        <v>0.9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0.88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0.88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0.114</v>
      </c>
      <c r="AE7" s="1315">
        <f>ROUND(PRODUCT(AE4:AE6),3)</f>
        <v>7.1999999999999995E-2</v>
      </c>
      <c r="AF7" s="1315">
        <f>ROUND(PRODUCT(AF4:AF6),3)</f>
        <v>1.7000000000000001E-2</v>
      </c>
      <c r="AG7" s="1315">
        <f>ROUND(PRODUCT(AG4:AG6),3)</f>
        <v>1.7000000000000001E-2</v>
      </c>
      <c r="AH7" s="207"/>
      <c r="AI7" s="146"/>
      <c r="AJ7" s="301" t="s">
        <v>2243</v>
      </c>
      <c r="AK7" s="1315">
        <f>ROUND(PRODUCT(AK4:AK6),3)</f>
        <v>0.114</v>
      </c>
      <c r="AL7" s="1315">
        <f>ROUND(PRODUCT(AL4:AL6),3)</f>
        <v>7.1999999999999995E-2</v>
      </c>
      <c r="AM7" s="1315">
        <f>ROUND(PRODUCT(AM4:AM6),3)</f>
        <v>0</v>
      </c>
      <c r="AN7" s="1315">
        <f>ROUND(PRODUCT(AN4:AN6),3)</f>
        <v>2.5999999999999999E-2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0.9</v>
      </c>
      <c r="AS7" s="299">
        <f>IF(F7="Yes",1,IF(C48&gt;=80,VLOOKUP(C48,Table_CoIns1,2,FALSE),1+ IF(P5&lt;B49,VLOOKUP(B62,Table_CIUnder80,5,FALSE),0.5)))</f>
        <v>0.9</v>
      </c>
      <c r="AT7" s="299">
        <f>IF(F7="Yes",1,IF(C48&gt;=80,VLOOKUP(C48,Table_CoIns1,2,FALSE),1+ IF(P5&lt;B49,VLOOKUP(B62,Table_CIUnder80,5,FALSE),0.5)))</f>
        <v>0.9</v>
      </c>
      <c r="AU7" s="299">
        <f>IF(F7="Yes",1,IF(C48&gt;=80,VLOOKUP(C48,Table_CoIns1,2,FALSE),1+ IF(P5&lt;B49,VLOOKUP(B62,Table_CIUnder80,5,FALSE),0.5)))</f>
        <v>0.9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0.114</v>
      </c>
      <c r="X8" s="1315">
        <f>ROUND(PRODUCT(X4:X7),3)</f>
        <v>7.1999999999999995E-2</v>
      </c>
      <c r="Y8" s="1315">
        <f>ROUND(PRODUCT(Y4:Y7),3)</f>
        <v>0</v>
      </c>
      <c r="Z8" s="1315">
        <f>ROUND(PRODUCT(Z4:Z7),3)</f>
        <v>2.5999999999999999E-2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0.9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0.114</v>
      </c>
      <c r="Q9" s="1313">
        <f>ROUND(PRODUCT(Q4:Q8),3)</f>
        <v>7.1999999999999995E-2</v>
      </c>
      <c r="R9" s="1313">
        <f>ROUND(PRODUCT(R4:R8),3)</f>
        <v>0</v>
      </c>
      <c r="S9" s="1313">
        <f>ROUND(PRODUCT(S4:S8),3)</f>
        <v>2.5999999999999999E-2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0.9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857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1860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2.9000000000000001E-2</v>
      </c>
      <c r="X11" s="1315">
        <f>ROUND(PRODUCT(X8:X10),3)</f>
        <v>1.7999999999999999E-2</v>
      </c>
      <c r="Y11" s="1315">
        <f>ROUND(PRODUCT(Y8:Y10),3)</f>
        <v>0</v>
      </c>
      <c r="Z11" s="1315">
        <f>ROUND(PRODUCT(Z8:Z10),3)</f>
        <v>7.0000000000000001E-3</v>
      </c>
      <c r="AB11" s="146"/>
      <c r="AC11" s="83" t="s">
        <v>2167</v>
      </c>
      <c r="AD11" s="1313">
        <f>ROUND(PRODUCT(AD7:AD10),3)</f>
        <v>5.7000000000000002E-2</v>
      </c>
      <c r="AE11" s="1313">
        <f>ROUND(PRODUCT(AE7:AE10),3)</f>
        <v>3.5999999999999997E-2</v>
      </c>
      <c r="AF11" s="1313">
        <f>ROUND(PRODUCT(AF7:AF10),3)</f>
        <v>1.7000000000000001E-2</v>
      </c>
      <c r="AG11" s="1313">
        <f>ROUND(PRODUCT(AG7:AG10),3)</f>
        <v>1.7000000000000001E-2</v>
      </c>
      <c r="AH11" s="426"/>
      <c r="AI11" s="146"/>
      <c r="AJ11" s="1210" t="s">
        <v>2243</v>
      </c>
      <c r="AK11" s="1424">
        <f>AK7</f>
        <v>0.114</v>
      </c>
      <c r="AL11" s="1424">
        <f>AL7</f>
        <v>7.1999999999999995E-2</v>
      </c>
      <c r="AM11" s="1424">
        <f>AM7</f>
        <v>0</v>
      </c>
      <c r="AN11" s="1424">
        <f>AN7</f>
        <v>2.5999999999999999E-2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1006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3</v>
      </c>
      <c r="C13" s="1106" t="s">
        <v>857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1.7000000000000001E-2</v>
      </c>
      <c r="AL13" s="1423">
        <f>ROUND(PRODUCT(AL11:AL12),3)</f>
        <v>1.0999999999999999E-2</v>
      </c>
      <c r="AM13" s="1423">
        <f>ROUND(PRODUCT(AM11:AM12),3)</f>
        <v>0</v>
      </c>
      <c r="AN13" s="1423">
        <f>ROUND(PRODUCT(AN11:AN12),3)</f>
        <v>4.0000000000000001E-3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1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0.9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2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5.7000000000000002E-2</v>
      </c>
      <c r="AE16" s="757">
        <f>AE11</f>
        <v>3.5999999999999997E-2</v>
      </c>
      <c r="AF16" s="757">
        <f>AF11</f>
        <v>1.7000000000000001E-2</v>
      </c>
      <c r="AG16" s="757">
        <f>AG11</f>
        <v>1.7000000000000001E-2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0.9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5.7000000000000002E-2</v>
      </c>
      <c r="AE17" s="1315">
        <f>ROUND(PRODUCT(AE15:AE16),3)</f>
        <v>3.5999999999999997E-2</v>
      </c>
      <c r="AF17" s="1315">
        <f>ROUND(PRODUCT(AF15:AF16),3)</f>
        <v>1.7000000000000001E-2</v>
      </c>
      <c r="AG17" s="1315">
        <f>ROUND(PRODUCT(AG15:AG16),3)</f>
        <v>1.7000000000000001E-2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/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8.5000000000000006E-2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IF(TC4_PP1!F26="Yes","PP","Available")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0.9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0.114</v>
      </c>
      <c r="Q21" s="1312">
        <f>ROUND(PRODUCT(Q9:Q20),3)</f>
        <v>7.1999999999999995E-2</v>
      </c>
      <c r="R21" s="1312">
        <f>ROUND(PRODUCT(R9:R20),3)</f>
        <v>0</v>
      </c>
      <c r="S21" s="1315">
        <f>ROUND(PRODUCT(S9:S20),3)</f>
        <v>2.5999999999999999E-2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0.16200000000000001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0.9</v>
      </c>
      <c r="Q22" s="247">
        <f>IF(F7="Yes",1,IF(C48&gt;=80,VLOOKUP(C48,Table_CoIns2,2,FALSE),1+ IF(Q5&lt;B49,VLOOKUP(B62,Table_CIUnder80,5,FALSE),0.5)))</f>
        <v>0.9</v>
      </c>
      <c r="R22" s="247">
        <f>IF(F7="Yes",1,IF(C48&gt;=80,VLOOKUP(C48,Table_CoIns1,2,FALSE),1+ IF(P5&lt;B49,VLOOKUP(B62,Table_CIUnder80,5,FALSE),0.5)))</f>
        <v>0.9</v>
      </c>
      <c r="S22" s="247">
        <f>IF(F7="Yes",1,IF(C48&gt;=80,VLOOKUP(C48,Table_CoIns1,2,FALSE),1+ IF(P5&lt;B49,VLOOKUP(B62,Table_CIUnder80,5,FALSE),0.5)))</f>
        <v>0.9</v>
      </c>
      <c r="V22" s="83" t="s">
        <v>1150</v>
      </c>
      <c r="W22" s="1315">
        <f>ROUND(PRODUCT(W11:W14,IF(AND(C59="Yes",C61="Sprinkler",C62="Yes"),W15-W16,W15),W17:W21),3)</f>
        <v>2.9000000000000001E-2</v>
      </c>
      <c r="X22" s="1315">
        <f>ROUND(PRODUCT(X11:X21),3)</f>
        <v>1.7999999999999999E-2</v>
      </c>
      <c r="Y22" s="1315">
        <f>ROUND(PRODUCT(Y11:Y21),3)</f>
        <v>0</v>
      </c>
      <c r="Z22" s="1315">
        <f>ROUND(PRODUCT(Z11:Z21),3)</f>
        <v>7.0000000000000001E-3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0.9</v>
      </c>
      <c r="BD22" s="423"/>
      <c r="BE22" s="453"/>
      <c r="BF22" s="186" t="s">
        <v>1019</v>
      </c>
      <c r="BG22" s="208">
        <f>HLOOKUP(C11,Table_StateRates,5,FALSE)</f>
        <v>0.9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0.114</v>
      </c>
      <c r="AL23" s="1424">
        <f>AL7</f>
        <v>7.1999999999999995E-2</v>
      </c>
      <c r="AM23" s="1424">
        <f>AM7</f>
        <v>0</v>
      </c>
      <c r="AN23" s="1424">
        <f>AN7</f>
        <v>2.5999999999999999E-2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1.6E-2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0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0.9</v>
      </c>
      <c r="AS24" s="299">
        <f>HLOOKUP(C11,Table_StateRates,5,FALSE)</f>
        <v>0.9</v>
      </c>
      <c r="AT24" s="299">
        <f>HLOOKUP(C11,Table_StateRates,5,FALSE)</f>
        <v>0.9</v>
      </c>
      <c r="AU24" s="299">
        <f>HLOOKUP(C11,Table_StateRates,5,FALSE)</f>
        <v>0.9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1.7000000000000001E-2</v>
      </c>
      <c r="AL25" s="1423">
        <f>ROUND(PRODUCT(AL23:AL24),3)</f>
        <v>1.0999999999999999E-2</v>
      </c>
      <c r="AM25" s="1423">
        <f>ROUND(PRODUCT(AM23:AM24),3)</f>
        <v>0</v>
      </c>
      <c r="AN25" s="1423">
        <f>ROUND(PRODUCT(AN23:AN24),3)</f>
        <v>4.0000000000000001E-3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0.9</v>
      </c>
      <c r="AS25" s="299">
        <f>IF(F7="Yes",1,IF(C48&gt;=80,VLOOKUP(C48,Table_CoIns1,2,FALSE),1+ IF(P5&lt;B49,VLOOKUP(B62,Table_CIUnder80,5,FALSE),0.5)))</f>
        <v>0.9</v>
      </c>
      <c r="AT25" s="299">
        <f>IF(F7="Yes",1,IF(C48&gt;=80,VLOOKUP(C48,Table_CoIns1,2,FALSE),1+ IF(P5&lt;B49,VLOOKUP(B62,Table_CIUnder80,5,FALSE),0.5)))</f>
        <v>0.9</v>
      </c>
      <c r="AU25" s="299">
        <f>IF(F7="Yes",1,IF(C48&gt;=80,VLOOKUP(C48,Table_CoIns1,2,FALSE),1+ IF(P5&lt;B49,VLOOKUP(B62,Table_CIUnder80,5,FALSE),0.5)))</f>
        <v>0.9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0.9</v>
      </c>
      <c r="Q26" s="1314">
        <f>ROUND(PRODUCT(Q22:Q25),3)</f>
        <v>0.9</v>
      </c>
      <c r="R26" s="1314">
        <f>ROUND(PRODUCT(R22:R25),3)</f>
        <v>0.9</v>
      </c>
      <c r="S26" s="1314">
        <f>ROUND(PRODUCT(S22:S25),3)</f>
        <v>0.9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0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0.9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0.114</v>
      </c>
      <c r="Q27" s="757">
        <f>Q21</f>
        <v>7.1999999999999995E-2</v>
      </c>
      <c r="R27" s="757">
        <f>R21</f>
        <v>0</v>
      </c>
      <c r="S27" s="757">
        <f>S21</f>
        <v>2.5999999999999999E-2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1.6E-2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0.10299999999999999</v>
      </c>
      <c r="Q28" s="1315">
        <f>IF($C$30="Yes",C31,ROUND(PRODUCT(Q26:Q27),3))</f>
        <v>6.5000000000000002E-2</v>
      </c>
      <c r="R28" s="1315">
        <f>IF($C$30="Yes",B32,ROUND(PRODUCT(R26:R27),3))</f>
        <v>0</v>
      </c>
      <c r="S28" s="1315">
        <f>IF($C$30="Yes",C32,ROUND(PRODUCT(S26:S27),3))</f>
        <v>2.3E-2</v>
      </c>
      <c r="AC28" s="168" t="s">
        <v>1019</v>
      </c>
      <c r="AD28" s="207">
        <f>HLOOKUP(C11,Table_StateRates,5,FALSE)</f>
        <v>0.9</v>
      </c>
      <c r="AE28" s="207">
        <f>HLOOKUP(C11,Table_StateRates,5,FALSE)</f>
        <v>0.9</v>
      </c>
      <c r="AF28" s="207">
        <f>HLOOKUP(C11,Table_StateRates,5,FALSE)</f>
        <v>0.9</v>
      </c>
      <c r="AG28" s="207">
        <f>HLOOKUP(C11,Table_StateRates,5,FALSE)</f>
        <v>0.9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0.9</v>
      </c>
      <c r="AE29" s="247">
        <f>IF(F7="Yes",1,IF(C48&gt;=80,VLOOKUP(C48,Table_CoIns1,2,FALSE),1+ IF(P5&lt;B49,VLOOKUP(B62,Table_CIUnder80,5,FALSE),0.5)))</f>
        <v>0.9</v>
      </c>
      <c r="AF29" s="247">
        <f>IF(F7="Yes",1,IF(C48&gt;=80,VLOOKUP(C48,Table_CoIns1,2,FALSE),1+ IF(P5&lt;B49,VLOOKUP(B62,Table_CIUnder80,5,FALSE),0.5)))</f>
        <v>0.9</v>
      </c>
      <c r="AG29" s="247">
        <f>IF(F7="Yes",1,IF(C48&gt;=80,VLOOKUP(C48,Table_CoIns1,2,FALSE),1+ IF(P5&lt;B49,VLOOKUP(B62,Table_CIUnder80,5,FALSE),0.5)))</f>
        <v>0.9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857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0.9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0.61799999999999999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0.49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0.52600000000000002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0.52600000000000002</v>
      </c>
      <c r="V31" s="168" t="s">
        <v>407</v>
      </c>
      <c r="W31" s="247">
        <f>P28</f>
        <v>0.10299999999999999</v>
      </c>
      <c r="X31" s="247">
        <f>Q28</f>
        <v>6.5000000000000002E-2</v>
      </c>
      <c r="Y31" s="247">
        <f>R28</f>
        <v>0</v>
      </c>
      <c r="Z31" s="247">
        <f>S28</f>
        <v>2.3E-2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1.2E-2</v>
      </c>
      <c r="AS31" s="247">
        <f>ROUND(PRODUCT(AS21:AS30),3)</f>
        <v>8.9999999999999993E-3</v>
      </c>
      <c r="AT31" s="247">
        <f>ROUND(PRODUCT(AT21:AT30),3)</f>
        <v>8.9999999999999993E-3</v>
      </c>
      <c r="AU31" s="247">
        <f>ROUND(PRODUCT(AU21:AU30),3)</f>
        <v>8.9999999999999993E-3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</v>
      </c>
      <c r="S32" s="247">
        <v>1</v>
      </c>
      <c r="U32" s="185"/>
      <c r="V32" s="187" t="s">
        <v>408</v>
      </c>
      <c r="W32" s="208">
        <f>IF(C48&gt;80,P22,1)</f>
        <v>0.9</v>
      </c>
      <c r="X32" s="208">
        <f>IF(C48&gt;80,Q22,1)</f>
        <v>0.9</v>
      </c>
      <c r="Y32" s="208">
        <f>IF(C48&gt;80,R22,1)</f>
        <v>0.9</v>
      </c>
      <c r="Z32" s="208">
        <f>IF(C48&gt;80,S22,1)</f>
        <v>0.9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Apts/Condos</v>
      </c>
      <c r="C33" s="1201">
        <f>IF(ISTEXT(C35),VLOOKUP(C35,Table_G1_LC,3,0),"NA")</f>
        <v>1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40000</v>
      </c>
      <c r="Q33" s="238">
        <f>IF(ISNUMBER(C45),C45/100,0)</f>
        <v>40000</v>
      </c>
      <c r="R33" s="238">
        <f>IF(ISNUMBER(C45),C45/100,0)</f>
        <v>40000</v>
      </c>
      <c r="S33" s="238">
        <f>IF(ISNUMBER(C45),C45/100,0)</f>
        <v>40000</v>
      </c>
      <c r="U33" s="546"/>
      <c r="V33" s="301" t="s">
        <v>409</v>
      </c>
      <c r="W33" s="247">
        <f>ROUND(W31/W32,3)</f>
        <v>0.114</v>
      </c>
      <c r="X33" s="247">
        <f>ROUND(X31/X32,3)</f>
        <v>7.1999999999999995E-2</v>
      </c>
      <c r="Y33" s="247">
        <f>ROUND(Y31/Y32,3)</f>
        <v>0</v>
      </c>
      <c r="Z33" s="247">
        <f>ROUND(Z31/Z32,3)</f>
        <v>2.5999999999999999E-2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2546</v>
      </c>
      <c r="Q34" s="1481">
        <f>IF($C$30="Yes",ROUND(PRODUCT(Q28,Q33),0),ROUND(PRODUCT(Q28,Q31:Q33),0))</f>
        <v>1274</v>
      </c>
      <c r="R34" s="1481">
        <f>IF($C$30="Yes",ROUND(PRODUCT(R28,R33),0),ROUND(PRODUCT(R28,R31:R33),0))</f>
        <v>0</v>
      </c>
      <c r="S34" s="1481">
        <f>IF($C$30="Yes",ROUND(PRODUCT(S28,S33),0),ROUND(PRODUCT(S28,S31:S33),0))</f>
        <v>484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6.5000000000000002E-2</v>
      </c>
      <c r="AF34" s="247">
        <f>ROUND(PRODUCT(AF26:AF33),3)</f>
        <v>0</v>
      </c>
      <c r="AG34" s="247">
        <f>ROUND(PRODUCT(AG26:AG33),3)</f>
        <v>2.3E-2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49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0.114</v>
      </c>
      <c r="AL35" s="247">
        <f>AL7</f>
        <v>7.1999999999999995E-2</v>
      </c>
      <c r="AM35" s="247">
        <f>AM7</f>
        <v>0</v>
      </c>
      <c r="AN35" s="247">
        <f>AN7</f>
        <v>2.5999999999999999E-2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2546</v>
      </c>
      <c r="Q36" s="248">
        <f>SUM(Q34:Q35)</f>
        <v>1274</v>
      </c>
      <c r="R36" s="248">
        <f>SUM(R34:R35)</f>
        <v>0</v>
      </c>
      <c r="S36" s="248">
        <f>SUM(S34:S35)</f>
        <v>484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0.9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0.9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3.4000000000000002E-2</v>
      </c>
      <c r="X39" s="247">
        <f>ROUND(PRODUCT(X33:X38),3)</f>
        <v>2.1999999999999999E-2</v>
      </c>
      <c r="Y39" s="247">
        <f>ROUND(PRODUCT(Y33:Y38),3)</f>
        <v>0</v>
      </c>
      <c r="Z39" s="247">
        <f>ROUND(PRODUCT(Z33:Z38),3)</f>
        <v>8.0000000000000002E-3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7.5999999999999998E-2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0.9</v>
      </c>
      <c r="AZ39" s="423"/>
      <c r="BA39" s="542"/>
      <c r="BB39" s="597" t="s">
        <v>1019</v>
      </c>
      <c r="BC39" s="279">
        <f>HLOOKUP(C11,Table_StateRates,5,FALSE)</f>
        <v>0.9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2546</v>
      </c>
      <c r="Q40" s="248">
        <f>Q34</f>
        <v>1274</v>
      </c>
      <c r="R40" s="248">
        <f>R34</f>
        <v>0</v>
      </c>
      <c r="S40" s="248">
        <f>S34</f>
        <v>484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2.5999999999999999E-2</v>
      </c>
      <c r="AZ40" s="559"/>
      <c r="BA40" s="423"/>
      <c r="BB40" s="810" t="s">
        <v>1134</v>
      </c>
      <c r="BC40" s="426">
        <f>ROUND(PRODUCT(BC35:BC39),3)</f>
        <v>2.5999999999999999E-2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0.88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0.88</v>
      </c>
      <c r="AZ41" s="559"/>
      <c r="BA41" s="423"/>
      <c r="BB41" s="906" t="s">
        <v>1178</v>
      </c>
      <c r="BC41" s="423">
        <f>IF(OR(C28="S",C28="T",C28="SC"),1,VLOOKUP(C14,Table_ProtClass,IF(C15&lt;=3,2,3),FALSE))</f>
        <v>0.88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5.6000000000000001E-2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0.9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840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0.114</v>
      </c>
      <c r="AL44" s="247">
        <f>AL7</f>
        <v>7.1999999999999995E-2</v>
      </c>
      <c r="AM44" s="247">
        <f>AM7</f>
        <v>0</v>
      </c>
      <c r="AN44" s="247">
        <f>AN7</f>
        <v>2.5999999999999999E-2</v>
      </c>
      <c r="AO44" s="557"/>
      <c r="AP44" s="2"/>
      <c r="AQ44" s="168" t="s">
        <v>1019</v>
      </c>
      <c r="AR44" s="207">
        <f>HLOOKUP(C11,Table_StateRates,5,FALSE)</f>
        <v>0.9</v>
      </c>
      <c r="AS44" s="207">
        <f>HLOOKUP(C11,Table_StateRates,5,FALSE)</f>
        <v>0.9</v>
      </c>
      <c r="AT44" s="207">
        <f>HLOOKUP(C11,Table_StateRates,5,FALSE)</f>
        <v>0.9</v>
      </c>
      <c r="AU44" s="207">
        <f>HLOOKUP(C11,Table_StateRates,5,FALSE)</f>
        <v>0.9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6.0000000000000001E-3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4000000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2.1000000000000001E-2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40000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0.9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3820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840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100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4660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7.5999999999999998E-2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0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5.7000000000000002E-2</v>
      </c>
      <c r="AS50" s="247">
        <f>ROUND(PRODUCT(AS39:AS49),3)</f>
        <v>3.5999999999999997E-2</v>
      </c>
      <c r="AT50" s="247">
        <f>ROUND(PRODUCT(AT39:AT49),3)</f>
        <v>0.01</v>
      </c>
      <c r="AU50" s="247">
        <f>ROUND(PRODUCT(AU39:AU49),3)</f>
        <v>0.01</v>
      </c>
      <c r="AW50" s="566"/>
      <c r="AX50" s="990" t="s">
        <v>395</v>
      </c>
      <c r="AY50" s="813">
        <f>SUM(AY47,BC46)</f>
        <v>840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0.9</v>
      </c>
      <c r="X51" s="207">
        <f>HLOOKUP(C11,Table_StateRates,5,FALSE)</f>
        <v>0.9</v>
      </c>
      <c r="Y51" s="207">
        <f>HLOOKUP(C11,Table_StateRates,5,FALSE)</f>
        <v>0.9</v>
      </c>
      <c r="Z51" s="207">
        <f>HLOOKUP(C11,Table_StateRates,5,FALSE)</f>
        <v>0.9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1.7000000000000001E-2</v>
      </c>
      <c r="X56" s="247">
        <f>ROUND(PRODUCT(X49:X55),3)</f>
        <v>8.9999999999999993E-3</v>
      </c>
      <c r="Y56" s="247">
        <f>ROUND(PRODUCT(Y49:Y55),3)</f>
        <v>0</v>
      </c>
      <c r="Z56" s="247">
        <f>ROUND(PRODUCT(Z49:Z55),3)</f>
        <v>2.5999999999999999E-2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2.1999999999999999E-2</v>
      </c>
      <c r="X59" s="247">
        <f>MAX(X56:X57)</f>
        <v>8.9999999999999993E-3</v>
      </c>
      <c r="Y59" s="247">
        <f>MAX(Y56:Y57)</f>
        <v>5.2999999999999999E-2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232" priority="21" stopIfTrue="1">
      <formula>IF($C$24="Yes",FALSE,TRUE)</formula>
    </cfRule>
  </conditionalFormatting>
  <conditionalFormatting sqref="E16">
    <cfRule type="expression" dxfId="231" priority="20" stopIfTrue="1">
      <formula>IF($C$58="Yes",TRUE,FALSE)</formula>
    </cfRule>
  </conditionalFormatting>
  <conditionalFormatting sqref="C18">
    <cfRule type="expression" dxfId="230" priority="18">
      <formula>IF($C$12="SP",TRUE,FALSE)</formula>
    </cfRule>
    <cfRule type="expression" dxfId="229" priority="19">
      <formula>IF($C$12="SP",TRUE,FALSE)</formula>
    </cfRule>
  </conditionalFormatting>
  <conditionalFormatting sqref="A18">
    <cfRule type="expression" dxfId="228" priority="17">
      <formula>IF($C$12="SP",TRUE,FALSE)</formula>
    </cfRule>
  </conditionalFormatting>
  <conditionalFormatting sqref="B21">
    <cfRule type="expression" dxfId="227" priority="14">
      <formula>IF($C$21="Yes",TRUE,FALSE)</formula>
    </cfRule>
  </conditionalFormatting>
  <conditionalFormatting sqref="C18">
    <cfRule type="expression" dxfId="226" priority="10">
      <formula>IF($C$12="SP",TRUE,FALSE)</formula>
    </cfRule>
    <cfRule type="expression" dxfId="225" priority="11">
      <formula>IF($C$12="SP",TRUE,FALSE)</formula>
    </cfRule>
  </conditionalFormatting>
  <conditionalFormatting sqref="C32">
    <cfRule type="expression" dxfId="224" priority="2">
      <formula>IF(AND($C$30="Yes",$C$12="BR"),TRUE,FALSE)</formula>
    </cfRule>
  </conditionalFormatting>
  <conditionalFormatting sqref="B32">
    <cfRule type="expression" dxfId="223" priority="1">
      <formula>IF(AND($C$30="Yes",$C$12="SP"),TRUE,FALSE)</formula>
    </cfRule>
  </conditionalFormatting>
  <conditionalFormatting sqref="B31:C31">
    <cfRule type="expression" dxfId="222" priority="3">
      <formula>IF($C$30="Yes",TRUE,FALSE)</formula>
    </cfRule>
  </conditionalFormatting>
  <dataValidations count="97"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custom" allowBlank="1" showInputMessage="1" showErrorMessage="1" sqref="C25 F46 D23 B10 D43:E43 F33:F35 F38:F39 A38 A43">
      <formula1>FALSE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allowBlank="1" showInputMessage="1" showErrorMessage="1" promptTitle="Occupancy Type Description" prompt="Displays the description of the choice made in the cell to the left.  " sqref="B33 B40"/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="Bldg Lookup Value" sqref="F36">
      <formula1>FALSE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custom" allowBlank="1" showInputMessage="1" showErrorMessage="1" prompt="EQ Table Lookup Value" sqref="F49">
      <formula1>FALSE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allowBlank="1" showInputMessage="1" showErrorMessage="1" promptTitle="Special Class Pty: Grp II Symbol" prompt="Group II Symbol supplied for the Special Class Property selected." sqref="E24"/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A78"/>
  <sheetViews>
    <sheetView topLeftCell="A13" zoomScale="90" zoomScaleNormal="90" zoomScaleSheetLayoutView="90" workbookViewId="0">
      <selection activeCell="C48" sqref="C48:E48"/>
    </sheetView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0.9</v>
      </c>
      <c r="Q2" s="423">
        <f>HLOOKUP(C11,Table_StateRates,5,FALSE)</f>
        <v>0.9</v>
      </c>
      <c r="R2" s="423">
        <f>HLOOKUP(C11,Table_StateRates,5,FALSE)</f>
        <v>0.9</v>
      </c>
      <c r="S2" s="423">
        <f>HLOOKUP(C11,Table_StateRates,5,FALSE)</f>
        <v>0.9</v>
      </c>
      <c r="U2" s="1290"/>
      <c r="V2" s="1294" t="s">
        <v>2165</v>
      </c>
      <c r="W2" s="1300">
        <f ca="1">$P$28</f>
        <v>0.115</v>
      </c>
      <c r="X2" s="1300">
        <f>$Q$28</f>
        <v>8.5999999999999993E-2</v>
      </c>
      <c r="Y2" s="1300">
        <f>$R$28</f>
        <v>0</v>
      </c>
      <c r="Z2" s="1300">
        <f>$S$28</f>
        <v>3.2000000000000001E-2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0.115</v>
      </c>
      <c r="AU2" s="247">
        <f>Q28</f>
        <v>8.5999999999999993E-2</v>
      </c>
      <c r="AV2" s="247">
        <f>IF(AND(C27="Yes",C12="SP"),VLOOKUP(C33,Table_Special_PP,3,0),0)</f>
        <v>0</v>
      </c>
      <c r="AW2" s="247">
        <f>S28</f>
        <v>3.2000000000000001E-2</v>
      </c>
      <c r="AZ2" s="1117" t="s">
        <v>2154</v>
      </c>
      <c r="BA2" s="247">
        <f ca="1">P28</f>
        <v>0.115</v>
      </c>
      <c r="BB2" s="2">
        <f>Q28</f>
        <v>8.5999999999999993E-2</v>
      </c>
      <c r="BC2" s="558">
        <f>R28</f>
        <v>0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>
        <f>Summary4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0.505</v>
      </c>
      <c r="X3" s="247">
        <f t="shared" ref="X3:Z3" si="0">Q$31</f>
        <v>0.33900000000000002</v>
      </c>
      <c r="Y3" s="247">
        <f t="shared" si="0"/>
        <v>0.22500000000000001</v>
      </c>
      <c r="Z3" s="247">
        <f t="shared" si="0"/>
        <v>0.22500000000000001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8.5000000000000006E-2</v>
      </c>
      <c r="AE3" s="2">
        <f>IF(OR(C28="S",C28="T"),C29,VLOOKUP(C16,Table_G2SymLC,3,FALSE)*IF(C60&lt;&gt;"Yes",B16,1))</f>
        <v>5.6000000000000001E-2</v>
      </c>
      <c r="AF3" s="247">
        <f>R5</f>
        <v>0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0.115</v>
      </c>
      <c r="AM3" s="4">
        <f>Q28</f>
        <v>8.5999999999999993E-2</v>
      </c>
      <c r="AN3" s="780">
        <f ca="1">IF(AND(C27="Yes",C12="SP"),IF(C13=1,R28,IF(C13=2,INDIRECT(VLOOKUP(C33,Table_Special_PP,6,FALSE)),"Select Type")),0)</f>
        <v>0</v>
      </c>
      <c r="AO3" s="4">
        <f>S28</f>
        <v>3.2000000000000001E-2</v>
      </c>
      <c r="AP3" s="4" t="e">
        <f>IF(#REF!="Yes",#REF!,0)</f>
        <v>#REF!</v>
      </c>
      <c r="AR3" s="185"/>
      <c r="AS3" s="187" t="s">
        <v>408</v>
      </c>
      <c r="AT3" s="455">
        <f>IF(C44&gt;80,VLOOKUP(C44,Table_CoIns1,2,FALSE),1)</f>
        <v>0.9</v>
      </c>
      <c r="AU3" s="455">
        <f>IF(C44&gt;80,VLOOKUP(C44,Table_CoIns1,2,FALSE),1)</f>
        <v>0.9</v>
      </c>
      <c r="AV3" s="455">
        <f>IF(C44&gt;80,VLOOKUP(C44,Table_CoIns1,2,FALSE),1)</f>
        <v>0.9</v>
      </c>
      <c r="AW3" s="455">
        <f>IF(C44&gt;80,VLOOKUP(C44,Table_CoIns1,2,FALSE),1)</f>
        <v>0.9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1.71</v>
      </c>
      <c r="Q4" s="1312">
        <f>PRODUCT(Q2:Q3)</f>
        <v>1.71</v>
      </c>
      <c r="R4" s="1312">
        <f>PRODUCT(R2:R3)</f>
        <v>1.71</v>
      </c>
      <c r="S4" s="1312">
        <f>PRODUCT(S2:S3)</f>
        <v>1.71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0.128</v>
      </c>
      <c r="AU4" s="247">
        <f>ROUND(AU2/AU3,3)</f>
        <v>9.6000000000000002E-2</v>
      </c>
      <c r="AV4" s="247">
        <f>ROUND(AV2/AV3,3)</f>
        <v>0</v>
      </c>
      <c r="AW4" s="247">
        <f>ROUND(AW2/AW3,3)</f>
        <v>3.5999999999999997E-2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>
        <f ca="1">IF(C27="Yes",P35,0)</f>
        <v>2323</v>
      </c>
      <c r="J5" s="258">
        <f>IF(C27="Yes",Q35,0)</f>
        <v>1166</v>
      </c>
      <c r="K5" s="258">
        <f>IF(AND(C27="Yes",C12="SP"),R35,0)</f>
        <v>0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8.5000000000000006E-2</v>
      </c>
      <c r="Q5" s="247">
        <f>IF(OR(C28="S",C28="T"),C29,VLOOKUP(C16,Table_G2SymLC,3,FALSE)*IF(C60&lt;&gt;"Yes",B16,1))</f>
        <v>5.6000000000000001E-2</v>
      </c>
      <c r="R5" s="247">
        <f>IF(AND(C27="Yes",C12="SP"),VLOOKUP(C33,Table_Special_PP,3,0),0)</f>
        <v>0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0</v>
      </c>
      <c r="X5" s="1306">
        <f>ROUND(PRODUCT(X2:X4),0)</f>
        <v>0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1.2E-2</v>
      </c>
      <c r="AM5" s="4">
        <f>ROUND(PRODUCT(AM3:AM4),3)</f>
        <v>8.9999999999999993E-3</v>
      </c>
      <c r="AN5" s="780">
        <f ca="1">ROUND(PRODUCT(AN3:AN4),3)</f>
        <v>0</v>
      </c>
      <c r="AO5" s="4">
        <f>ROUND(PRODUCT(AO3:AO4),3)</f>
        <v>3.0000000000000001E-3</v>
      </c>
      <c r="AP5" s="4" t="e">
        <f>ROUND(PRODUCT(AP3:AP4),3)</f>
        <v>#REF!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0.9</v>
      </c>
      <c r="BJ5" s="299">
        <f>HLOOKUP(C11,Table_StateRates,5,FALSE)</f>
        <v>0.9</v>
      </c>
      <c r="BK5" s="299">
        <f>HLOOKUP(C11,Table_StateRates,5,FALSE)</f>
        <v>0.9</v>
      </c>
      <c r="BL5" s="299">
        <f>HLOOKUP(C11,Table_StateRates,5,FALSE)</f>
        <v>0.9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984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0.88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0.16200000000000001</v>
      </c>
      <c r="AE6" s="247">
        <f>ROUND(PRODUCT(AE3:AE5),3)</f>
        <v>0.106</v>
      </c>
      <c r="AF6" s="247">
        <f>ROUND(PRODUCT(AF3:AF5),3)</f>
        <v>0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</v>
      </c>
      <c r="BB6" s="1315">
        <f>ROUND(PRODUCT(BB2,BB5),3)</f>
        <v>0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0.9</v>
      </c>
      <c r="BJ6" s="299">
        <f>IF(C44&gt;=80,VLOOKUP(C44,Table_CoIns1,2,FALSE),1+ IF(P5&lt;B45,VLOOKUP(B58,Table_CIUnder80,5,FALSE),0.5))</f>
        <v>0.9</v>
      </c>
      <c r="BK6" s="299">
        <f>IF(C44&gt;=80,VLOOKUP(C44,Table_CoIns1,2,FALSE),1+ IF(P5&lt;B45,VLOOKUP(B58,Table_CIUnder80,5,FALSE),0.5))</f>
        <v>0.9</v>
      </c>
      <c r="BL6" s="299">
        <f>IF(C44&gt;=80,VLOOKUP(C44,Table_CoIns1,2,FALSE),1+ IF(P5&lt;B45,VLOOKUP(B58,Table_CIUnder80,5,FALSE),0.5))</f>
        <v>0.9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0.9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0</v>
      </c>
      <c r="X7" s="1301">
        <f>SUM(X5:X6)</f>
        <v>0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#REF!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0.128</v>
      </c>
      <c r="Q8" s="1315">
        <f>ROUND(PRODUCT(Q4:Q7),3)</f>
        <v>9.6000000000000002E-2</v>
      </c>
      <c r="R8" s="1315">
        <f>ROUND(PRODUCT(R4:R7),3)</f>
        <v>0</v>
      </c>
      <c r="S8" s="1315">
        <f>ROUND(PRODUCT(S4:S7),3)</f>
        <v>3.5999999999999997E-2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0</v>
      </c>
      <c r="BB8" s="248">
        <f>ROUND(PRODUCT(BB6:BB7),0)</f>
        <v>0</v>
      </c>
      <c r="BC8" s="248">
        <f>ROUND(PRODUCT(BC6:BC7),0)</f>
        <v>0</v>
      </c>
      <c r="BD8" s="575"/>
      <c r="BE8" s="572">
        <f ca="1">SUM(BA8:BC8)</f>
        <v>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0.9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8.1000000000000003E-2</v>
      </c>
      <c r="AE9" s="247">
        <f>ROUND(PRODUCT(AE6:AE8),3)</f>
        <v>5.2999999999999999E-2</v>
      </c>
      <c r="AF9" s="247">
        <f>ROUND(PRODUCT(AF6:AF8),3)</f>
        <v>0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0.16</v>
      </c>
      <c r="AU9" s="247">
        <f>ROUND(PRODUCT(AU4:AU7),3)</f>
        <v>0.12</v>
      </c>
      <c r="AV9" s="247">
        <f>ROUND(PRODUCT(AV4:AV7),3)</f>
        <v>0</v>
      </c>
      <c r="AW9" s="247">
        <f>ROUND(PRODUCT(AW4:AW7),3)</f>
        <v>4.4999999999999998E-2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0.9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0</v>
      </c>
      <c r="X10" s="1301">
        <f>X5</f>
        <v>0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40000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40000</v>
      </c>
      <c r="AU10" s="238">
        <f>IF(F13="Yes",E14/100,C41/100)</f>
        <v>40000</v>
      </c>
      <c r="AV10" s="238">
        <f>IF(F13="Yes",E14/100,C41/100)</f>
        <v>40000</v>
      </c>
      <c r="AW10" s="238">
        <f>IF(F13="Yes",E14/100,C41/100)</f>
        <v>40000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1860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#REF!</v>
      </c>
      <c r="AM11" s="146"/>
      <c r="AN11" s="146"/>
      <c r="AO11" s="301"/>
      <c r="AP11" s="976"/>
      <c r="AS11" s="301"/>
      <c r="AT11" s="248">
        <f ca="1">ROUND(PRODUCT(AT9:AT10),0)</f>
        <v>6400</v>
      </c>
      <c r="AU11" s="248">
        <f>ROUND(PRODUCT(AU9:AU10),0)</f>
        <v>4800</v>
      </c>
      <c r="AV11" s="248">
        <f>ROUND(PRODUCT(AV9:AV10),0)</f>
        <v>0</v>
      </c>
      <c r="AW11" s="248">
        <f>ROUND(PRODUCT(AW9:AW10),0)</f>
        <v>1800</v>
      </c>
      <c r="AZ11" s="1117" t="s">
        <v>2154</v>
      </c>
      <c r="BA11" s="247">
        <f ca="1">P28</f>
        <v>0.115</v>
      </c>
      <c r="BB11" s="2">
        <f>Q28</f>
        <v>8.5999999999999993E-2</v>
      </c>
      <c r="BC11" s="558">
        <f>R28</f>
        <v>0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1006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#REF!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 t="str">
        <f>IF(C13="No","NA",C13+2)</f>
        <v>NA</v>
      </c>
      <c r="C13" s="1106" t="s">
        <v>857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0.88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6400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1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0.505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0.33900000000000002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0.22500000000000001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2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5.8000000000000003E-2</v>
      </c>
      <c r="BB15" s="1315">
        <f>ROUND(PRODUCT(BB11,BB14),3)</f>
        <v>2.9000000000000001E-2</v>
      </c>
      <c r="BC15" s="1315">
        <f>ROUND(PRODUCT(BC11,BC14),3)</f>
        <v>0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18</v>
      </c>
      <c r="D16" s="195"/>
      <c r="E16" s="195"/>
      <c r="F16" s="1067"/>
      <c r="H16" s="788" t="s">
        <v>1289</v>
      </c>
      <c r="I16" s="248">
        <f ca="1">SUM(I5:I15)</f>
        <v>2323</v>
      </c>
      <c r="J16" s="248">
        <f>SUM(J5:J15)</f>
        <v>1166</v>
      </c>
      <c r="K16" s="248">
        <f>SUM(K5:K15)</f>
        <v>0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0.115</v>
      </c>
      <c r="X16" s="1300">
        <f>$Q$28</f>
        <v>8.5999999999999993E-2</v>
      </c>
      <c r="Y16" s="1300">
        <f>$R$28</f>
        <v>0</v>
      </c>
      <c r="Z16" s="1300">
        <f>$S$28</f>
        <v>3.2000000000000001E-2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0.505</v>
      </c>
      <c r="X17" s="247">
        <f t="shared" ref="X17:Z17" si="1">Q$31</f>
        <v>0.33900000000000002</v>
      </c>
      <c r="Y17" s="247">
        <f t="shared" si="1"/>
        <v>0.22500000000000001</v>
      </c>
      <c r="Z17" s="247">
        <f t="shared" si="1"/>
        <v>0.22500000000000001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0</v>
      </c>
      <c r="BB17" s="248">
        <f>ROUND(PRODUCT(BB15:BB16),0)</f>
        <v>0</v>
      </c>
      <c r="BC17" s="248">
        <f>ROUND(PRODUCT(BC15:BC16),0)</f>
        <v>0</v>
      </c>
      <c r="BD17" s="575"/>
      <c r="BE17" s="572">
        <f ca="1">SUM(BA17:BC17)</f>
        <v>0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/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0.9</v>
      </c>
      <c r="AE18" s="423">
        <f>HLOOKUP(C11,Table_StateRates,5,FALSE)</f>
        <v>0.9</v>
      </c>
      <c r="AF18" s="423">
        <f>HLOOKUP(C11,Table_StateRates,5,FALSE)</f>
        <v>0.9</v>
      </c>
      <c r="AG18" s="423">
        <f>HLOOKUP(C11,Table_StateRates,5,FALSE)</f>
        <v>0.9</v>
      </c>
      <c r="AI18" s="266"/>
      <c r="AJ18" s="266"/>
      <c r="AK18" s="268" t="s">
        <v>1019</v>
      </c>
      <c r="AL18" s="423">
        <f>HLOOKUP(C11,Table_StateRates,5,FALSE)</f>
        <v>0.9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8.5999999999999993E-2</v>
      </c>
      <c r="AV18" s="247">
        <f>IF(AND(C27="Yes",C12="SP"),VLOOKUP(C33,Table_Special_PP,3,0),0)</f>
        <v>0</v>
      </c>
      <c r="AW18" s="2">
        <f>S28</f>
        <v>3.2000000000000001E-2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0</v>
      </c>
      <c r="X19" s="1306">
        <f>ROUND(PRODUCT(X16:X18),0)</f>
        <v>0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9.4E-2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0.128</v>
      </c>
      <c r="Q20" s="1312">
        <f>ROUND(PRODUCT(Q8:Q19),3)</f>
        <v>9.6000000000000002E-2</v>
      </c>
      <c r="R20" s="1312">
        <f>ROUND(PRODUCT(R8:R19),3)</f>
        <v>0</v>
      </c>
      <c r="S20" s="1312">
        <f>ROUND(PRODUCT(S8:S19),3)</f>
        <v>3.5999999999999997E-2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1.71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>
        <f>PRODUCT(AU18:AU19)</f>
        <v>8.5999999999999993E-2</v>
      </c>
      <c r="AV20" s="247">
        <f>PRODUCT(AV18:AV19)</f>
        <v>0</v>
      </c>
      <c r="AW20" s="247">
        <f>PRODUCT(AW18:AW19)</f>
        <v>3.2000000000000001E-2</v>
      </c>
      <c r="AZ20" s="168" t="s">
        <v>1335</v>
      </c>
      <c r="BA20" s="248">
        <f>F24</f>
        <v>0</v>
      </c>
      <c r="BD20" s="168" t="s">
        <v>1337</v>
      </c>
      <c r="BE20" s="248">
        <f ca="1">BE8</f>
        <v>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0.9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0.9</v>
      </c>
      <c r="Q21" s="423">
        <f>IF(C44&gt;=80,VLOOKUP(C44,Table_CoIns1,2,FALSE),1+ IF(P5&lt;B45,VLOOKUP(B58,Table_CIUnder80,5,FALSE),0.5))</f>
        <v>0.9</v>
      </c>
      <c r="R21" s="423">
        <f>IF(C44&gt;=80,VLOOKUP(C44,Table_CoIns1,2,FALSE),1+ IF(P5&lt;B45,VLOOKUP(B58,Table_CIUnder80,5,FALSE),0.5))</f>
        <v>0.9</v>
      </c>
      <c r="S21" s="423">
        <f>IF(C44&gt;=80,VLOOKUP(C44,Table_CoIns1,2,FALSE),1+ IF(P5&lt;B45,VLOOKUP(B58,Table_CIUnder80,5,FALSE),0.5))</f>
        <v>0.9</v>
      </c>
      <c r="T21" s="385"/>
      <c r="U21" s="1288"/>
      <c r="V21" s="1291" t="s">
        <v>2160</v>
      </c>
      <c r="W21" s="1301">
        <f ca="1">SUM(W19:W20)</f>
        <v>0</v>
      </c>
      <c r="X21" s="1301">
        <f>SUM(X19:X20)</f>
        <v>0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 ca="1">BE17</f>
        <v>0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0.17899999999999999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6.4000000000000001E-2</v>
      </c>
      <c r="AE22" s="247">
        <f>ROUND(PRODUCT(AE9:AE21),3)</f>
        <v>4.8000000000000001E-2</v>
      </c>
      <c r="AF22" s="247">
        <f>ROUND(PRODUCT(AF9:AF21),3)</f>
        <v>0</v>
      </c>
      <c r="AG22" s="247">
        <f>ROUND(PRODUCT(AG9:AG21),3)</f>
        <v>1.7999999999999999E-2</v>
      </c>
      <c r="AJ22" s="216"/>
      <c r="AK22" s="1226" t="s">
        <v>1017</v>
      </c>
      <c r="AL22" s="1428">
        <f>IF(C44&gt;=80,VLOOKUP(C44,Table_CoIns1,2,FALSE),1+ IF(P5&lt;B45,VLOOKUP(B58,Table_CIUnder80,5,FALSE),0.5))</f>
        <v>0.9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0.9</v>
      </c>
      <c r="AU22" s="207">
        <f>HLOOKUP(C11,Table_StateRates,5,FALSE)</f>
        <v>0.9</v>
      </c>
      <c r="AV22" s="207">
        <f>HLOOKUP(C11,Table_StateRates,5,FALSE)</f>
        <v>0.9</v>
      </c>
      <c r="AW22" s="207">
        <f>HLOOKUP(C11,Table_StateRates,5,FALSE)</f>
        <v>0.9</v>
      </c>
      <c r="AZ22" s="83" t="s">
        <v>1334</v>
      </c>
      <c r="BA22" s="2">
        <f>ROUND(BA20/BA21,3)</f>
        <v>0</v>
      </c>
      <c r="BD22" s="83" t="s">
        <v>1339</v>
      </c>
      <c r="BE22" s="248">
        <f ca="1">IF(BE20=0,0,BE20-BE21)</f>
        <v>0</v>
      </c>
      <c r="BG22" s="146"/>
      <c r="BH22" s="545" t="s">
        <v>1019</v>
      </c>
      <c r="BI22" s="299">
        <f>HLOOKUP(C11,Table_StateRates,5,FALSE)</f>
        <v>0.9</v>
      </c>
      <c r="BJ22" s="299">
        <f>HLOOKUP(C11,Table_StateRates,5,FALSE)</f>
        <v>0.9</v>
      </c>
      <c r="BK22" s="299">
        <f>HLOOKUP(C11,Table_StateRates,5,FALSE)</f>
        <v>0.9</v>
      </c>
      <c r="BL22" s="299">
        <f>HLOOKUP(C11,Table_StateRates,5,FALSE)</f>
        <v>0.9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0.9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0.9</v>
      </c>
      <c r="AU23" s="247">
        <f>IF(C44&gt;=80,VLOOKUP(C44,Table_CoIns1,2,FALSE),1+ IF(P5&lt;B45,VLOOKUP(B58,Table_CIUnder80,5,FALSE),0.5))</f>
        <v>0.9</v>
      </c>
      <c r="AV23" s="247">
        <f>IF(C44&gt;=80,VLOOKUP(C44,Table_CoIns1,2,FALSE),1+ IF(P5&lt;B45,VLOOKUP(B58,Table_CIUnder80,5,FALSE),0.5))</f>
        <v>0.9</v>
      </c>
      <c r="AW23" s="247">
        <f>IF(C44&gt;=80,VLOOKUP(C44,Table_CoIns1,2,FALSE),1+ IF(P5&lt;B45,VLOOKUP(B58,Table_CIUnder80,5,FALSE),0.5))</f>
        <v>0.9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0.9</v>
      </c>
      <c r="BJ23" s="299">
        <f>IF(C44&gt;=80,VLOOKUP(C44,Table_CoIns1,2,FALSE),1+ IF(P5&lt;B45,VLOOKUP(B58,Table_CIUnder80,5,FALSE),0.5))</f>
        <v>0.9</v>
      </c>
      <c r="BK23" s="299">
        <f>IF(C44&gt;=80,VLOOKUP(C44,Table_CoIns1,2,FALSE),1+ IF(P5&lt;B45,VLOOKUP(B58,Table_CIUnder80,5,FALSE),0.5))</f>
        <v>0.9</v>
      </c>
      <c r="BL23" s="299">
        <f>IF(C44&gt;=80,VLOOKUP(C44,Table_CoIns1,2,FALSE),1+ IF(P5&lt;B45,VLOOKUP(B58,Table_CIUnder80,5,FALSE),0.5))</f>
        <v>0.9</v>
      </c>
      <c r="BN23" s="266"/>
      <c r="BO23" s="568" t="s">
        <v>917</v>
      </c>
      <c r="BP23" s="426">
        <f ca="1">ROUND(PRODUCT(BP21:BP22),3)</f>
        <v>1.7999999999999999E-2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0</v>
      </c>
      <c r="X24" s="1301">
        <f>X19</f>
        <v>0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 ca="1">ROUND(PRODUCT(BE22:BE23),0)</f>
        <v>0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0.9</v>
      </c>
      <c r="Q25" s="1314">
        <f>ROUND(PRODUCT(Q21:Q24),3)</f>
        <v>0.9</v>
      </c>
      <c r="R25" s="1314">
        <f>ROUND(PRODUCT(R21:R24),3)</f>
        <v>0.9</v>
      </c>
      <c r="S25" s="1314">
        <f>ROUND(PRODUCT(S21:S24),3)</f>
        <v>0.9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IF(TC4_BLDG1!F20="Yes","Bldg","Available")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0.128</v>
      </c>
      <c r="Q27" s="757">
        <f>Q20</f>
        <v>9.6000000000000002E-2</v>
      </c>
      <c r="R27" s="757">
        <f>R20</f>
        <v>0</v>
      </c>
      <c r="S27" s="757">
        <f>S20</f>
        <v>3.5999999999999997E-2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1.7999999999999999E-2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0.115</v>
      </c>
      <c r="Q28" s="1315">
        <f>IF($C$30="Yes",C31,ROUND(PRODUCT(Q25:Q27),3))</f>
        <v>8.5999999999999993E-2</v>
      </c>
      <c r="R28" s="1484">
        <f>IF($C$30="Yes",B32,ROUND(PRODUCT(R25:R27),4))</f>
        <v>0</v>
      </c>
      <c r="S28" s="1315">
        <f>IF($C$30="Yes",C32,ROUND(PRODUCT(S25:S27),3))</f>
        <v>3.2000000000000001E-2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0.13200000000000001</v>
      </c>
      <c r="AV28" s="247">
        <f>ROUND(PRODUCT(AV20:AV27),3)</f>
        <v>0</v>
      </c>
      <c r="AW28" s="247">
        <f>ROUND(PRODUCT(AW20:AW27),3)</f>
        <v>4.9000000000000002E-2</v>
      </c>
      <c r="AY28" s="60" t="s">
        <v>1583</v>
      </c>
      <c r="BH28" s="301" t="s">
        <v>1389</v>
      </c>
      <c r="BI28" s="247">
        <f>ROUND(PRODUCT(BI19:BI27),3)</f>
        <v>1.2E-2</v>
      </c>
      <c r="BJ28" s="247">
        <f>ROUND(PRODUCT(BJ19:BJ27),3)</f>
        <v>8.9999999999999993E-3</v>
      </c>
      <c r="BK28" s="247">
        <f>ROUND(PRODUCT(BK19:BK27),3)</f>
        <v>3.2000000000000001E-2</v>
      </c>
      <c r="BL28" s="247">
        <f>ROUND(PRODUCT(BL19:BL27),3)</f>
        <v>8.9999999999999993E-3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0.115</v>
      </c>
      <c r="X30" s="1300">
        <f>$Q$28</f>
        <v>8.5999999999999993E-2</v>
      </c>
      <c r="Y30" s="1300">
        <f>$R$28</f>
        <v>0</v>
      </c>
      <c r="Z30" s="1300">
        <f>$S$28</f>
        <v>3.2000000000000001E-2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0.21299999999999999</v>
      </c>
      <c r="C31" s="1455">
        <v>0.09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0.505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0.33900000000000002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0.22500000000000001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0.22500000000000001</v>
      </c>
      <c r="T31" s="299"/>
      <c r="U31" s="1288"/>
      <c r="V31" s="1117" t="s">
        <v>2152</v>
      </c>
      <c r="W31" s="247">
        <f>P$31</f>
        <v>0.505</v>
      </c>
      <c r="X31" s="247">
        <f t="shared" ref="X31:Z31" si="2">Q$31</f>
        <v>0.33900000000000002</v>
      </c>
      <c r="Y31" s="247">
        <f t="shared" si="2"/>
        <v>0.22500000000000001</v>
      </c>
      <c r="Z31" s="247">
        <f t="shared" si="2"/>
        <v>0.22500000000000001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8.8999999999999996E-2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40000</v>
      </c>
      <c r="Q32" s="238">
        <f>IF(ISBLANK(C41),0,C41/100)</f>
        <v>40000</v>
      </c>
      <c r="R32" s="238">
        <f>IF(ISBLANK(C41),0,C41/100)</f>
        <v>40000</v>
      </c>
      <c r="S32" s="238">
        <f>IF(ISBLANK(C41),0,C41/100)</f>
        <v>40000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0.9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Apts/Condos</v>
      </c>
      <c r="C33" s="1201">
        <f>IF(ISTEXT(C35),VLOOKUP(C35,Table_G1_LC,3,0),"NA")</f>
        <v>1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2323</v>
      </c>
      <c r="Q33" s="1481">
        <f>IF($C$30="Yes",ROUND(PRODUCT(Q28,Q32),0),ROUND(PRODUCT(Q28,Q31:Q32),0))</f>
        <v>1166</v>
      </c>
      <c r="R33" s="1481">
        <f>IF($C$30="Yes",ROUND(PRODUCT(R28,R32),0),ROUND(PRODUCT(R28,R31:R32),0))</f>
        <v>0</v>
      </c>
      <c r="S33" s="1481">
        <f>IF($C$30="Yes",ROUND(PRODUCT(S28,S32),0),ROUND(PRODUCT(S28,S31:S32),0))</f>
        <v>288</v>
      </c>
      <c r="U33" s="1293"/>
      <c r="V33" s="1303" t="s">
        <v>2161</v>
      </c>
      <c r="W33" s="1306">
        <f ca="1"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0.9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49</v>
      </c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2323</v>
      </c>
      <c r="Q35" s="248">
        <f>SUM(Q33:Q34)</f>
        <v>1166</v>
      </c>
      <c r="R35" s="248">
        <f>SUM(R33:R34)</f>
        <v>0</v>
      </c>
      <c r="S35" s="248">
        <f>SUM(S33:S34)</f>
        <v>288</v>
      </c>
      <c r="T35" s="235"/>
      <c r="U35" s="1288"/>
      <c r="V35" s="1291" t="s">
        <v>2162</v>
      </c>
      <c r="W35" s="1301">
        <f ca="1"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0.9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2323</v>
      </c>
      <c r="Q39" s="248">
        <f>Q33</f>
        <v>1166</v>
      </c>
      <c r="R39" s="248">
        <f>R33</f>
        <v>0</v>
      </c>
      <c r="S39" s="248">
        <f>S33</f>
        <v>288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0.9</v>
      </c>
      <c r="BQ39" s="423"/>
      <c r="BR39" s="542"/>
      <c r="BS39" s="597" t="s">
        <v>1019</v>
      </c>
      <c r="BT39" s="279">
        <f>HLOOKUP(C11,Table_StateRates,5,FALSE)</f>
        <v>0.9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2.5999999999999999E-2</v>
      </c>
      <c r="BQ40" s="559"/>
      <c r="BR40" s="423"/>
      <c r="BS40" s="810" t="s">
        <v>1134</v>
      </c>
      <c r="BT40" s="426">
        <f>ROUND(PRODUCT(BT35:BT39),3)</f>
        <v>2.5999999999999999E-2</v>
      </c>
    </row>
    <row r="41" spans="1:72" ht="13.5" thickBot="1" x14ac:dyDescent="0.25">
      <c r="A41" s="203" t="s">
        <v>2112</v>
      </c>
      <c r="B41" s="104"/>
      <c r="C41" s="943">
        <v>4000000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0.88</v>
      </c>
      <c r="BQ41" s="426"/>
      <c r="BR41" s="423"/>
      <c r="BS41" s="906" t="s">
        <v>1178</v>
      </c>
      <c r="BT41" s="423">
        <f>IF(OR(C28="S",C28="T"),1,VLOOKUP(C14,Table_ProtClass,IF(C15&lt;=3,2,3),FALSE))</f>
        <v>0.88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0.9</v>
      </c>
      <c r="BQ43" s="266"/>
      <c r="BR43" s="423"/>
      <c r="BS43" s="810" t="s">
        <v>1150</v>
      </c>
      <c r="BT43" s="426">
        <f>ROUND(PRODUCT(BT40:BT42),3)</f>
        <v>1.0999999999999999E-2</v>
      </c>
    </row>
    <row r="44" spans="1:72" x14ac:dyDescent="0.2">
      <c r="A44" s="108" t="s">
        <v>1170</v>
      </c>
      <c r="B44" s="160"/>
      <c r="C44" s="1218">
        <v>100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0.115</v>
      </c>
      <c r="X44" s="1300">
        <f>$Q$28</f>
        <v>8.5999999999999993E-2</v>
      </c>
      <c r="Y44" s="1300">
        <f>$R$28</f>
        <v>0</v>
      </c>
      <c r="Z44" s="1300">
        <f>$S$28</f>
        <v>3.2000000000000001E-2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0.505</v>
      </c>
      <c r="X45" s="247">
        <f t="shared" ref="X45:Z45" si="3">Q$31</f>
        <v>0.33900000000000002</v>
      </c>
      <c r="Y45" s="247">
        <f t="shared" si="3"/>
        <v>0.22500000000000001</v>
      </c>
      <c r="Z45" s="247">
        <f t="shared" si="3"/>
        <v>0.22500000000000001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2.1000000000000001E-2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40000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840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840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840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 ca="1">SUM(I16:L16,I38,I46,I52)</f>
        <v>3489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 ca="1">SUM(I54,I49)</f>
        <v>4329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4000000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221" priority="15" stopIfTrue="1">
      <formula>IF($C$24="Yes",FALSE,TRUE)</formula>
    </cfRule>
  </conditionalFormatting>
  <conditionalFormatting sqref="C18">
    <cfRule type="expression" dxfId="220" priority="13">
      <formula>IF($C$12="SP",TRUE,FALSE)</formula>
    </cfRule>
    <cfRule type="expression" dxfId="219" priority="14">
      <formula>IF($C$12="SP",TRUE,FALSE)</formula>
    </cfRule>
  </conditionalFormatting>
  <conditionalFormatting sqref="A18">
    <cfRule type="expression" dxfId="218" priority="12">
      <formula>IF($C$12="SP",TRUE,FALSE)</formula>
    </cfRule>
  </conditionalFormatting>
  <conditionalFormatting sqref="B21">
    <cfRule type="expression" dxfId="217" priority="9">
      <formula>IF($C$21="Yes",TRUE,FALSE)</formula>
    </cfRule>
  </conditionalFormatting>
  <conditionalFormatting sqref="C32">
    <cfRule type="expression" dxfId="216" priority="2">
      <formula>IF(AND($C$30="Yes",$C$12="BR"),TRUE,FALSE)</formula>
    </cfRule>
  </conditionalFormatting>
  <conditionalFormatting sqref="B32">
    <cfRule type="expression" dxfId="215" priority="1">
      <formula>IF(AND($C$30="Yes",$C$12="SP"),TRUE,FALSE)</formula>
    </cfRule>
  </conditionalFormatting>
  <conditionalFormatting sqref="B31:C31">
    <cfRule type="expression" dxfId="214" priority="3">
      <formula>IF($C$30="Yes",TRUE,FALSE)</formula>
    </cfRule>
  </conditionalFormatting>
  <dataValidations count="111"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custom" allowBlank="1" showInputMessage="1" showErrorMessage="1" errorTitle="Do Not Touch" error="This is used to generate the Coinsurance rate." sqref="B58 E62">
      <formula1>FALSE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allowBlank="1" showInputMessage="1" showErrorMessage="1" promptTitle="Occupancy Type Description" prompt="Displays the description of the choice made in the cell to the left.  " sqref="B38 B33"/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custom" allowBlank="1" showInputMessage="1" showErrorMessage="1" prompt="Personal Property Lookup Value" sqref="F4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EQ Table Lookup Value" sqref="F54:F5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Spoilage Coverage" prompt="Please Select:_x000a_{ Yes or No }" sqref="F32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custom" allowBlank="1" showInputMessage="1" showErrorMessage="1" prompt="Lookup Value for Spoil Coverage Loss Cost Table" sqref="F33">
      <formula1>FALSE</formula1>
    </dataValidation>
    <dataValidation type="custom" allowBlank="1" showInputMessage="1" showErrorMessage="1" prompt="Spoilage Loss Cost Column Reference" sqref="F37">
      <formula1>FALSE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FF00"/>
  </sheetPr>
  <dimension ref="A1:G51"/>
  <sheetViews>
    <sheetView zoomScale="90" zoomScaleNormal="90" workbookViewId="0">
      <selection activeCell="C48" sqref="C48:E48"/>
    </sheetView>
  </sheetViews>
  <sheetFormatPr defaultRowHeight="12.75" x14ac:dyDescent="0.2"/>
  <cols>
    <col min="1" max="1" width="18" style="2" customWidth="1"/>
    <col min="2" max="2" width="16.85546875" style="2" customWidth="1"/>
    <col min="3" max="3" width="17" style="2" customWidth="1"/>
    <col min="4" max="4" width="5.42578125" style="2" customWidth="1"/>
    <col min="5" max="5" width="17.85546875" style="2" customWidth="1"/>
    <col min="6" max="6" width="13.7109375" style="2" customWidth="1"/>
    <col min="7" max="7" width="16.85546875" style="2" customWidth="1"/>
    <col min="8" max="16384" width="9.140625" style="2"/>
  </cols>
  <sheetData>
    <row r="1" spans="1:7" ht="15.75" x14ac:dyDescent="0.2">
      <c r="A1" s="1440" t="s">
        <v>2256</v>
      </c>
    </row>
    <row r="2" spans="1:7" x14ac:dyDescent="0.2">
      <c r="A2" s="1227"/>
    </row>
    <row r="3" spans="1:7" ht="14.25" customHeight="1" x14ac:dyDescent="0.2">
      <c r="A3" s="82" t="s">
        <v>1024</v>
      </c>
      <c r="B3" s="917" t="str">
        <f>DF_State</f>
        <v>CT</v>
      </c>
    </row>
    <row r="4" spans="1:7" ht="17.25" customHeight="1" x14ac:dyDescent="0.2">
      <c r="A4" s="82" t="s">
        <v>2104</v>
      </c>
      <c r="B4" s="1441" t="str">
        <f>UI_CustNumber</f>
        <v>0004514584</v>
      </c>
    </row>
    <row r="5" spans="1:7" ht="16.5" customHeight="1" x14ac:dyDescent="0.2">
      <c r="A5" s="82"/>
      <c r="B5" s="984"/>
    </row>
    <row r="6" spans="1:7" x14ac:dyDescent="0.2">
      <c r="A6" s="82" t="s">
        <v>2258</v>
      </c>
      <c r="B6" s="1442"/>
      <c r="F6" s="1443"/>
      <c r="G6" s="1444"/>
    </row>
    <row r="7" spans="1:7" ht="16.5" customHeight="1" x14ac:dyDescent="0.2">
      <c r="A7" s="82"/>
      <c r="B7" s="834"/>
      <c r="F7" s="1443"/>
      <c r="G7" s="1444"/>
    </row>
    <row r="8" spans="1:7" x14ac:dyDescent="0.2">
      <c r="A8" s="82" t="s">
        <v>2259</v>
      </c>
      <c r="B8" s="1442"/>
      <c r="F8" s="1443"/>
      <c r="G8" s="1444"/>
    </row>
    <row r="9" spans="1:7" ht="16.5" customHeight="1" x14ac:dyDescent="0.2">
      <c r="A9" s="82"/>
      <c r="B9" s="984"/>
      <c r="F9" s="1443"/>
      <c r="G9" s="1444"/>
    </row>
    <row r="10" spans="1:7" x14ac:dyDescent="0.2">
      <c r="A10" s="82" t="s">
        <v>2257</v>
      </c>
      <c r="B10" s="1593"/>
      <c r="C10" s="1593"/>
      <c r="D10" s="1593"/>
      <c r="G10" s="834"/>
    </row>
    <row r="13" spans="1:7" ht="13.5" thickBot="1" x14ac:dyDescent="0.25">
      <c r="A13" s="1464" t="s">
        <v>55</v>
      </c>
      <c r="B13" s="1465"/>
      <c r="C13" s="1465"/>
      <c r="D13" s="1465"/>
      <c r="E13" s="1465"/>
    </row>
    <row r="14" spans="1:7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</row>
    <row r="15" spans="1:7" x14ac:dyDescent="0.2">
      <c r="A15" s="1445">
        <v>1</v>
      </c>
      <c r="B15" s="1453"/>
      <c r="C15" s="1446" t="str">
        <f ca="1">IF(ISBLANK(B15),"",INDIRECT($B15&amp;"!"&amp;"$I$47"))</f>
        <v/>
      </c>
      <c r="E15" s="1446" t="str">
        <f ca="1">IF(ISBLANK(B15),"",INDIRECT($B15&amp;"!"&amp;"$I$44"))</f>
        <v/>
      </c>
    </row>
    <row r="16" spans="1:7" x14ac:dyDescent="0.2">
      <c r="A16" s="1453">
        <v>2</v>
      </c>
      <c r="B16" s="1453"/>
      <c r="C16" s="1446" t="str">
        <f t="shared" ref="C16:C19" ca="1" si="0">IF(ISBLANK(B16),"",INDIRECT($B16&amp;"!"&amp;"$I$47"))</f>
        <v/>
      </c>
      <c r="E16" s="1446" t="str">
        <f t="shared" ref="E16:E19" ca="1" si="1">IF(ISBLANK(B16),"",INDIRECT($B16&amp;"!"&amp;"$I$44"))</f>
        <v/>
      </c>
    </row>
    <row r="17" spans="1:5" ht="17.25" customHeight="1" x14ac:dyDescent="0.2">
      <c r="A17" s="1453">
        <v>3</v>
      </c>
      <c r="B17" s="1453"/>
      <c r="C17" s="1446" t="str">
        <f t="shared" ca="1" si="0"/>
        <v/>
      </c>
      <c r="E17" s="1446" t="str">
        <f t="shared" ca="1" si="1"/>
        <v/>
      </c>
    </row>
    <row r="18" spans="1:5" x14ac:dyDescent="0.2">
      <c r="A18" s="1453">
        <v>4</v>
      </c>
      <c r="B18" s="1453"/>
      <c r="C18" s="1446" t="str">
        <f t="shared" ca="1" si="0"/>
        <v/>
      </c>
      <c r="E18" s="1446" t="str">
        <f t="shared" ca="1" si="1"/>
        <v/>
      </c>
    </row>
    <row r="19" spans="1:5" ht="13.5" thickBot="1" x14ac:dyDescent="0.25">
      <c r="A19" s="1084">
        <v>5</v>
      </c>
      <c r="B19" s="1453"/>
      <c r="C19" s="1446" t="str">
        <f t="shared" ca="1" si="0"/>
        <v/>
      </c>
      <c r="E19" s="1446" t="str">
        <f t="shared" ca="1" si="1"/>
        <v/>
      </c>
    </row>
    <row r="20" spans="1:5" x14ac:dyDescent="0.2">
      <c r="A20" s="1450"/>
      <c r="B20" s="1451" t="s">
        <v>2271</v>
      </c>
      <c r="C20" s="1452">
        <f ca="1">SUM(C15:C19)</f>
        <v>0</v>
      </c>
      <c r="D20" s="1450"/>
      <c r="E20" s="1452">
        <f ca="1">SUM(E15:E19)</f>
        <v>0</v>
      </c>
    </row>
    <row r="21" spans="1:5" ht="19.5" customHeight="1" x14ac:dyDescent="0.2"/>
    <row r="22" spans="1:5" ht="19.5" customHeight="1" thickBot="1" x14ac:dyDescent="0.25">
      <c r="A22" s="1464" t="s">
        <v>2219</v>
      </c>
      <c r="B22" s="1465"/>
      <c r="C22" s="1465"/>
      <c r="D22" s="1465"/>
      <c r="E22" s="1465"/>
    </row>
    <row r="23" spans="1:5" ht="18.75" customHeight="1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</row>
    <row r="24" spans="1:5" x14ac:dyDescent="0.2">
      <c r="A24" s="1445">
        <v>1</v>
      </c>
      <c r="B24" s="1445"/>
      <c r="C24" s="1446" t="str">
        <f ca="1">IF(ISBLANK(B24),"",INDIRECT($B24&amp;"!"&amp;"$I$54"))</f>
        <v/>
      </c>
      <c r="E24" s="1446" t="str">
        <f ca="1">IF(ISBLANK(B24),"",INDIRECT($B24&amp;"!"&amp;"$I$49"))</f>
        <v/>
      </c>
    </row>
    <row r="25" spans="1:5" x14ac:dyDescent="0.2">
      <c r="A25" s="1453">
        <v>2</v>
      </c>
      <c r="B25" s="1453"/>
      <c r="C25" s="1446" t="str">
        <f t="shared" ref="C25:C28" ca="1" si="2">IF(ISBLANK(B25),"",INDIRECT($B25&amp;"!"&amp;"$I$54"))</f>
        <v/>
      </c>
      <c r="D25" s="146"/>
      <c r="E25" s="1446" t="str">
        <f t="shared" ref="E25:E28" ca="1" si="3">IF(ISBLANK(B25),"",INDIRECT($B25&amp;"!"&amp;"$I$49"))</f>
        <v/>
      </c>
    </row>
    <row r="26" spans="1:5" x14ac:dyDescent="0.2">
      <c r="A26" s="1445">
        <v>3</v>
      </c>
      <c r="B26" s="1453"/>
      <c r="C26" s="1446" t="str">
        <f t="shared" ca="1" si="2"/>
        <v/>
      </c>
      <c r="D26" s="146"/>
      <c r="E26" s="1446" t="str">
        <f t="shared" ca="1" si="3"/>
        <v/>
      </c>
    </row>
    <row r="27" spans="1:5" x14ac:dyDescent="0.2">
      <c r="A27" s="1453">
        <v>4</v>
      </c>
      <c r="B27" s="1453"/>
      <c r="C27" s="1446" t="str">
        <f t="shared" ca="1" si="2"/>
        <v/>
      </c>
      <c r="D27" s="146"/>
      <c r="E27" s="1446" t="str">
        <f t="shared" ca="1" si="3"/>
        <v/>
      </c>
    </row>
    <row r="28" spans="1:5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</row>
    <row r="29" spans="1:5" x14ac:dyDescent="0.2">
      <c r="A29" s="1450"/>
      <c r="B29" s="1451" t="s">
        <v>2271</v>
      </c>
      <c r="C29" s="1452">
        <f ca="1">SUM(C24:C28)</f>
        <v>0</v>
      </c>
      <c r="D29" s="1450"/>
      <c r="E29" s="1452">
        <f ca="1">SUM(E24:E28)</f>
        <v>0</v>
      </c>
    </row>
    <row r="31" spans="1:5" ht="13.5" thickBot="1" x14ac:dyDescent="0.25">
      <c r="A31" s="1464" t="s">
        <v>2220</v>
      </c>
      <c r="B31" s="1465"/>
      <c r="C31" s="1465"/>
      <c r="D31" s="1465"/>
      <c r="E31" s="1465"/>
    </row>
    <row r="32" spans="1:5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</row>
    <row r="33" spans="1:5" x14ac:dyDescent="0.2">
      <c r="A33" s="1445">
        <v>1</v>
      </c>
      <c r="B33" s="1445"/>
      <c r="C33" s="1446" t="str">
        <f ca="1">IF(ISBLANK(B33),"",INDIRECT($B33&amp;"!"&amp;"$I$29"))</f>
        <v/>
      </c>
      <c r="E33" s="1446" t="str">
        <f ca="1">IF(ISBLANK(B33),"",INDIRECT($B33&amp;"!"&amp;"$I$26"))</f>
        <v/>
      </c>
    </row>
    <row r="34" spans="1:5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E34" s="1446" t="str">
        <f t="shared" ref="E34:E37" ca="1" si="5">IF(ISBLANK(B34),"",INDIRECT($B34&amp;"!"&amp;"$I$26"))</f>
        <v/>
      </c>
    </row>
    <row r="35" spans="1:5" x14ac:dyDescent="0.2">
      <c r="A35" s="1445">
        <v>3</v>
      </c>
      <c r="B35" s="1453"/>
      <c r="C35" s="1446" t="str">
        <f t="shared" ca="1" si="4"/>
        <v/>
      </c>
      <c r="E35" s="1446" t="str">
        <f t="shared" ca="1" si="5"/>
        <v/>
      </c>
    </row>
    <row r="36" spans="1:5" x14ac:dyDescent="0.2">
      <c r="A36" s="1453">
        <v>4</v>
      </c>
      <c r="B36" s="1453"/>
      <c r="C36" s="1446" t="str">
        <f t="shared" ca="1" si="4"/>
        <v/>
      </c>
      <c r="E36" s="1446" t="str">
        <f t="shared" ca="1" si="5"/>
        <v/>
      </c>
    </row>
    <row r="37" spans="1:5" ht="13.5" thickBot="1" x14ac:dyDescent="0.25">
      <c r="A37" s="1084">
        <v>5</v>
      </c>
      <c r="B37" s="1453"/>
      <c r="C37" s="1446" t="str">
        <f t="shared" ca="1" si="4"/>
        <v/>
      </c>
      <c r="E37" s="1446" t="str">
        <f t="shared" ca="1" si="5"/>
        <v/>
      </c>
    </row>
    <row r="38" spans="1:5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</row>
    <row r="41" spans="1:5" ht="13.5" thickBot="1" x14ac:dyDescent="0.25">
      <c r="A41" s="1464" t="s">
        <v>2221</v>
      </c>
      <c r="B41" s="1465"/>
      <c r="C41" s="1465"/>
      <c r="D41" s="1465"/>
      <c r="E41" s="1465"/>
    </row>
    <row r="42" spans="1:5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</row>
    <row r="43" spans="1:5" x14ac:dyDescent="0.2">
      <c r="A43" s="1445">
        <v>1</v>
      </c>
      <c r="B43" s="1445"/>
      <c r="C43" s="1446" t="str">
        <f ca="1">IF(ISBLANK(B43),"",INDIRECT($B43&amp;"!"&amp;"$I$21"))</f>
        <v/>
      </c>
      <c r="E43" s="1446" t="str">
        <f ca="1">IF(ISBLANK(B43),"",INDIRECT($B43&amp;"!"&amp;"$I$18"))</f>
        <v/>
      </c>
    </row>
    <row r="44" spans="1:5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E44" s="1446" t="str">
        <f t="shared" ref="E44:E47" ca="1" si="7">IF(ISBLANK(B44),"",INDIRECT($B44&amp;"!"&amp;"$I$18"))</f>
        <v/>
      </c>
    </row>
    <row r="45" spans="1:5" x14ac:dyDescent="0.2">
      <c r="A45" s="1445">
        <v>3</v>
      </c>
      <c r="B45" s="1453"/>
      <c r="C45" s="1446" t="str">
        <f t="shared" ca="1" si="6"/>
        <v/>
      </c>
      <c r="E45" s="1446" t="str">
        <f t="shared" ca="1" si="7"/>
        <v/>
      </c>
    </row>
    <row r="46" spans="1:5" x14ac:dyDescent="0.2">
      <c r="A46" s="1453">
        <v>4</v>
      </c>
      <c r="B46" s="1453"/>
      <c r="C46" s="1446" t="str">
        <f t="shared" ca="1" si="6"/>
        <v/>
      </c>
      <c r="E46" s="1446" t="str">
        <f t="shared" ca="1" si="7"/>
        <v/>
      </c>
    </row>
    <row r="47" spans="1:5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</row>
    <row r="48" spans="1:5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</row>
    <row r="50" spans="4:5" ht="13.5" thickBot="1" x14ac:dyDescent="0.25"/>
    <row r="51" spans="4:5" ht="13.5" thickBot="1" x14ac:dyDescent="0.25">
      <c r="D51" s="788" t="s">
        <v>2272</v>
      </c>
      <c r="E51" s="1448">
        <f ca="1">SUM(C20:E20,C29:E29,C38:E38,C48:E48)</f>
        <v>0</v>
      </c>
    </row>
  </sheetData>
  <mergeCells count="1">
    <mergeCell ref="B10:D10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R76"/>
  <sheetViews>
    <sheetView topLeftCell="B1" zoomScale="90" zoomScaleNormal="90" zoomScaleSheetLayoutView="85" workbookViewId="0">
      <selection activeCell="R34" sqref="R34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V2" s="168" t="s">
        <v>1019</v>
      </c>
      <c r="W2" s="207">
        <f>HLOOKUP(C11,Table_StateRates,5,FALSE)</f>
        <v>1.38</v>
      </c>
      <c r="X2" s="207">
        <f>HLOOKUP(C11,Table_StateRates,5,FALSE)</f>
        <v>1.38</v>
      </c>
      <c r="Y2" s="207">
        <f>HLOOKUP(C11,Table_StateRates,5,FALSE)</f>
        <v>1.38</v>
      </c>
      <c r="Z2" s="207">
        <f>HLOOKUP(C11,Table_StateRates,5,FALSE)</f>
        <v>1.38</v>
      </c>
      <c r="AB2" s="546"/>
      <c r="AC2" s="545" t="s">
        <v>1019</v>
      </c>
      <c r="AD2" s="207">
        <f>HLOOKUP(C11,Table_StateRates,5,FALSE)</f>
        <v>1.38</v>
      </c>
      <c r="AE2" s="207">
        <f>HLOOKUP(C11,Table_StateRates,5,FALSE)</f>
        <v>1.38</v>
      </c>
      <c r="AF2" s="207">
        <f>HLOOKUP(C11,Table_StateRates,5,FALSE)</f>
        <v>1.38</v>
      </c>
      <c r="AG2" s="207">
        <f>HLOOKUP(C11,Table_StateRates,5,FALSE)</f>
        <v>1.38</v>
      </c>
      <c r="AJ2" s="1117" t="s">
        <v>916</v>
      </c>
      <c r="AK2" s="207">
        <f>HLOOKUP(C11,Table_StateRates,5,FALSE)</f>
        <v>1.38</v>
      </c>
      <c r="AL2" s="207">
        <f>HLOOKUP(C11,Table_StateRates,5,FALSE)</f>
        <v>1.38</v>
      </c>
      <c r="AM2" s="207">
        <f>HLOOKUP(C11,Table_StateRates,5,FALSE)</f>
        <v>1.38</v>
      </c>
      <c r="AN2" s="207">
        <f>HLOOKUP(C11,Table_StateRates,5,FALSE)</f>
        <v>1.38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>
        <f>Summary5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46"/>
      <c r="V4" s="83" t="s">
        <v>2166</v>
      </c>
      <c r="W4" s="1312">
        <f>PRODUCT(W2:W3)</f>
        <v>2.6219999999999999</v>
      </c>
      <c r="X4" s="1312">
        <f>PRODUCT(X2:X3)</f>
        <v>2.6219999999999999</v>
      </c>
      <c r="Y4" s="1312">
        <f>PRODUCT(Y2:Y3)</f>
        <v>2.6219999999999999</v>
      </c>
      <c r="Z4" s="1312">
        <f>PRODUCT(Z2:Z3)</f>
        <v>2.6219999999999999</v>
      </c>
      <c r="AB4" s="60"/>
      <c r="AC4" s="83" t="s">
        <v>2166</v>
      </c>
      <c r="AD4" s="1312">
        <f>PRODUCT(AD2:AD3)</f>
        <v>2.6219999999999999</v>
      </c>
      <c r="AE4" s="1312">
        <f>PRODUCT(AE2:AE3)</f>
        <v>2.6219999999999999</v>
      </c>
      <c r="AF4" s="1312">
        <f>PRODUCT(AF2:AF3)</f>
        <v>2.6219999999999999</v>
      </c>
      <c r="AG4" s="1312">
        <f>PRODUCT(AG2:AG3)</f>
        <v>2.6219999999999999</v>
      </c>
      <c r="AI4" s="60"/>
      <c r="AJ4" s="83" t="s">
        <v>2166</v>
      </c>
      <c r="AK4" s="1312">
        <f>PRODUCT(AK2:AK3)</f>
        <v>2.6219999999999999</v>
      </c>
      <c r="AL4" s="1312">
        <f>PRODUCT(AL2:AL3)</f>
        <v>2.6219999999999999</v>
      </c>
      <c r="AM4" s="1312">
        <f>PRODUCT(AM2:AM3)</f>
        <v>2.6219999999999999</v>
      </c>
      <c r="AN4" s="1312">
        <f>PRODUCT(AN2:AN3)</f>
        <v>2.6219999999999999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793</v>
      </c>
      <c r="J5" s="258">
        <f>IF(C27="Yes",Q36,0)</f>
        <v>275</v>
      </c>
      <c r="K5" s="259" t="e">
        <f>IF(AND(C27="Yes",C12="SP"),R36,0)</f>
        <v>#N/A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0.126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4.8000000000000001E-2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0.126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4.8000000000000001E-2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0.126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0.126</v>
      </c>
      <c r="AL5" s="247">
        <f>Q5</f>
        <v>4.2000000000000003E-2</v>
      </c>
      <c r="AM5" s="247">
        <f>R5</f>
        <v>4.8000000000000001E-2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980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0.96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0.96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1.38</v>
      </c>
      <c r="AS6" s="299">
        <f>HLOOKUP(C11,Table_StateRates,5,FALSE)</f>
        <v>1.38</v>
      </c>
      <c r="AT6" s="299">
        <f>HLOOKUP(C11,Table_StateRates,5,FALSE)</f>
        <v>1.38</v>
      </c>
      <c r="AU6" s="299">
        <f>HLOOKUP(C11,Table_StateRates,5,FALSE)</f>
        <v>1.38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1.38</v>
      </c>
      <c r="BE6" s="453"/>
      <c r="BF6" s="186" t="s">
        <v>1019</v>
      </c>
      <c r="BG6" s="208">
        <f>HLOOKUP(C11,Table_StateRates,5,FALSE)</f>
        <v>1.38</v>
      </c>
      <c r="BH6" s="146"/>
      <c r="BI6" s="453"/>
      <c r="BJ6" s="186" t="s">
        <v>1019</v>
      </c>
      <c r="BK6" s="208">
        <f>HLOOKUP(C11,Table_StateRates,5,FALSE)</f>
        <v>1.38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0.96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0.96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0.317</v>
      </c>
      <c r="AE7" s="1315">
        <f>ROUND(PRODUCT(AE4:AE6),3)</f>
        <v>0.11</v>
      </c>
      <c r="AF7" s="1315">
        <f>ROUND(PRODUCT(AF4:AF6),3)</f>
        <v>2.5999999999999999E-2</v>
      </c>
      <c r="AG7" s="1315">
        <f>ROUND(PRODUCT(AG4:AG6),3)</f>
        <v>2.5999999999999999E-2</v>
      </c>
      <c r="AH7" s="207"/>
      <c r="AI7" s="146"/>
      <c r="AJ7" s="301" t="s">
        <v>2243</v>
      </c>
      <c r="AK7" s="1315">
        <f>ROUND(PRODUCT(AK4:AK6),3)</f>
        <v>0.317</v>
      </c>
      <c r="AL7" s="1315">
        <f>ROUND(PRODUCT(AL4:AL6),3)</f>
        <v>0.11</v>
      </c>
      <c r="AM7" s="1315">
        <f>ROUND(PRODUCT(AM4:AM6),3)</f>
        <v>0.126</v>
      </c>
      <c r="AN7" s="1315">
        <f>ROUND(PRODUCT(AN4:AN6),3)</f>
        <v>3.9E-2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1</v>
      </c>
      <c r="AS7" s="299">
        <f>IF(F7="Yes",1,IF(C48&gt;=80,VLOOKUP(C48,Table_CoIns1,2,FALSE),1+ IF(P5&lt;B49,VLOOKUP(B62,Table_CIUnder80,5,FALSE),0.5)))</f>
        <v>1</v>
      </c>
      <c r="AT7" s="299">
        <f>IF(F7="Yes",1,IF(C48&gt;=80,VLOOKUP(C48,Table_CoIns1,2,FALSE),1+ IF(P5&lt;B49,VLOOKUP(B62,Table_CIUnder80,5,FALSE),0.5)))</f>
        <v>1</v>
      </c>
      <c r="AU7" s="299">
        <f>IF(F7="Yes",1,IF(C48&gt;=80,VLOOKUP(C48,Table_CoIns1,2,FALSE),1+ IF(P5&lt;B49,VLOOKUP(B62,Table_CIUnder80,5,FALSE),0.5)))</f>
        <v>1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0.317</v>
      </c>
      <c r="X8" s="1315">
        <f>ROUND(PRODUCT(X4:X7),3)</f>
        <v>0.11</v>
      </c>
      <c r="Y8" s="1315">
        <f>ROUND(PRODUCT(Y4:Y7),3)</f>
        <v>0.126</v>
      </c>
      <c r="Z8" s="1315">
        <f>ROUND(PRODUCT(Z4:Z7),3)</f>
        <v>3.9E-2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 t="e">
        <f>IF(C12="SP",VLOOKUP(C18,Table_TerrMult_SP,2,0),1)</f>
        <v>#N/A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1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 t="e">
        <f>IF(OR(AND(C27="No",F41="Yes",F10="Yes",C12="SP"),AND(C27="Yes",F10="Yes",C12="SP")),Y27,0)</f>
        <v>#N/A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0.317</v>
      </c>
      <c r="Q9" s="1313">
        <f>ROUND(PRODUCT(Q4:Q8),3)</f>
        <v>0.11</v>
      </c>
      <c r="R9" s="1313">
        <f>ROUND(PRODUCT(R4:R8),3)</f>
        <v>0.126</v>
      </c>
      <c r="S9" s="1313">
        <f>ROUND(PRODUCT(S4:S8),3)</f>
        <v>3.9E-2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1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833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1859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7.9000000000000001E-2</v>
      </c>
      <c r="X11" s="1315">
        <f>ROUND(PRODUCT(X8:X10),3)</f>
        <v>2.8000000000000001E-2</v>
      </c>
      <c r="Y11" s="1315">
        <f>ROUND(PRODUCT(Y8:Y10),3)</f>
        <v>3.2000000000000001E-2</v>
      </c>
      <c r="Z11" s="1315">
        <f>ROUND(PRODUCT(Z8:Z10),3)</f>
        <v>0.01</v>
      </c>
      <c r="AB11" s="146"/>
      <c r="AC11" s="83" t="s">
        <v>2167</v>
      </c>
      <c r="AD11" s="1313">
        <f>ROUND(PRODUCT(AD7:AD10),3)</f>
        <v>0.159</v>
      </c>
      <c r="AE11" s="1313">
        <f>ROUND(PRODUCT(AE7:AE10),3)</f>
        <v>5.5E-2</v>
      </c>
      <c r="AF11" s="1313" t="e">
        <f>ROUND(PRODUCT(AF7:AF10),3)</f>
        <v>#N/A</v>
      </c>
      <c r="AG11" s="1313">
        <f>ROUND(PRODUCT(AG7:AG10),3)</f>
        <v>2.5999999999999999E-2</v>
      </c>
      <c r="AH11" s="426"/>
      <c r="AI11" s="146"/>
      <c r="AJ11" s="1210" t="s">
        <v>2243</v>
      </c>
      <c r="AK11" s="1424">
        <f>AK7</f>
        <v>0.317</v>
      </c>
      <c r="AL11" s="1424">
        <f>AL7</f>
        <v>0.11</v>
      </c>
      <c r="AM11" s="1424">
        <f>AM7</f>
        <v>0.126</v>
      </c>
      <c r="AN11" s="1424">
        <f>AN7</f>
        <v>3.9E-2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894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2</v>
      </c>
      <c r="C13" s="1106">
        <v>1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 t="e">
        <f t="shared" si="0"/>
        <v>#N/A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4.8000000000000001E-2</v>
      </c>
      <c r="AL13" s="1423">
        <f>ROUND(PRODUCT(AL11:AL12),3)</f>
        <v>1.7000000000000001E-2</v>
      </c>
      <c r="AM13" s="1423">
        <f>ROUND(PRODUCT(AM11:AM12),3)</f>
        <v>1.9E-2</v>
      </c>
      <c r="AN13" s="1423">
        <f>ROUND(PRODUCT(AN11:AN12),3)</f>
        <v>6.0000000000000001E-3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3</v>
      </c>
      <c r="D14" s="577" t="s">
        <v>1850</v>
      </c>
      <c r="E14" s="271"/>
      <c r="F14" s="1068" t="s">
        <v>833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 t="e">
        <f>IF(C12="SP",VLOOKUP(C18,Table_TerrMult_SP,2,0),1)</f>
        <v>#N/A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1.38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1</v>
      </c>
      <c r="D15" s="585" t="s">
        <v>1164</v>
      </c>
      <c r="E15" s="950">
        <v>250000</v>
      </c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0.159</v>
      </c>
      <c r="AE16" s="757">
        <f>AE11</f>
        <v>5.5E-2</v>
      </c>
      <c r="AF16" s="757" t="e">
        <f>AF11</f>
        <v>#N/A</v>
      </c>
      <c r="AG16" s="757">
        <f>AG11</f>
        <v>2.5999999999999999E-2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1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1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1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1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1.38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>
        <v>50000</v>
      </c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0.159</v>
      </c>
      <c r="AE17" s="1315">
        <f>ROUND(PRODUCT(AE15:AE16),3)</f>
        <v>5.5E-2</v>
      </c>
      <c r="AF17" s="1315" t="e">
        <f>ROUND(PRODUCT(AF15:AF16),3)</f>
        <v>#N/A</v>
      </c>
      <c r="AG17" s="1315">
        <f>ROUND(PRODUCT(AG15:AG16),3)</f>
        <v>2.5999999999999999E-2</v>
      </c>
      <c r="AH17" s="266"/>
      <c r="AI17" s="216"/>
      <c r="AJ17" s="1226" t="s">
        <v>2117</v>
      </c>
      <c r="AK17" s="1427">
        <f>IF(F14="Yes",IF(C58="Yes",E15/100,E16/100),0)</f>
        <v>2500</v>
      </c>
      <c r="AL17" s="1427">
        <f>IF(F14="Yes",IF(C58="Yes",E15/100,E16/100),0)</f>
        <v>2500</v>
      </c>
      <c r="AM17" s="1427">
        <f>IF(F14="Yes",IF(C58="Yes",E15/100,E16/100),0)</f>
        <v>2500</v>
      </c>
      <c r="AN17" s="1427">
        <f>IF(F14="Yes",IF(C58="Yes",E15/100,E16/100),0)</f>
        <v>2500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/>
      <c r="D18" s="587" t="s">
        <v>1154</v>
      </c>
      <c r="E18" s="950">
        <v>50000</v>
      </c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120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120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 t="e">
        <f>ROUND(PRODUCT(AF17:AF18),0)</f>
        <v>#N/A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6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IF(TC5_PP1!F26="Yes","PP","Available")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361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1.38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361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0.317</v>
      </c>
      <c r="Q21" s="1312">
        <f>ROUND(PRODUCT(Q9:Q20),3)</f>
        <v>0.11</v>
      </c>
      <c r="R21" s="1312">
        <f>ROUND(PRODUCT(R9:R20),3)</f>
        <v>0.126</v>
      </c>
      <c r="S21" s="1315">
        <f>ROUND(PRODUCT(S9:S20),3)</f>
        <v>3.9E-2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11.4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842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1</v>
      </c>
      <c r="Q22" s="247">
        <f>IF(F7="Yes",1,IF(C48&gt;=80,VLOOKUP(C48,Table_CoIns2,2,FALSE),1+ IF(Q5&lt;B49,VLOOKUP(B62,Table_CIUnder80,5,FALSE),0.5)))</f>
        <v>1</v>
      </c>
      <c r="R22" s="247">
        <f>IF(F7="Yes",1,IF(C48&gt;=80,VLOOKUP(C48,Table_CoIns1,2,FALSE),1+ IF(P5&lt;B49,VLOOKUP(B62,Table_CIUnder80,5,FALSE),0.5)))</f>
        <v>1</v>
      </c>
      <c r="S22" s="247">
        <f>IF(F7="Yes",1,IF(C48&gt;=80,VLOOKUP(C48,Table_CoIns1,2,FALSE),1+ IF(P5&lt;B49,VLOOKUP(B62,Table_CIUnder80,5,FALSE),0.5)))</f>
        <v>1</v>
      </c>
      <c r="V22" s="83" t="s">
        <v>1150</v>
      </c>
      <c r="W22" s="1315">
        <f>ROUND(PRODUCT(W11:W14,IF(AND(C59="Yes",C61="Sprinkler",C62="Yes"),W15-W16,W15),W17:W21),3)</f>
        <v>7.9000000000000001E-2</v>
      </c>
      <c r="X22" s="1315">
        <f>ROUND(PRODUCT(X11:X21),3)</f>
        <v>2.8000000000000001E-2</v>
      </c>
      <c r="Y22" s="1315" t="e">
        <f>ROUND(PRODUCT(Y11:Y21),3)</f>
        <v>#N/A</v>
      </c>
      <c r="Z22" s="1315">
        <f>ROUND(PRODUCT(Z11:Z21),3)</f>
        <v>0.01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1</v>
      </c>
      <c r="BD22" s="423"/>
      <c r="BE22" s="453"/>
      <c r="BF22" s="186" t="s">
        <v>1019</v>
      </c>
      <c r="BG22" s="208">
        <f>HLOOKUP(C11,Table_StateRates,5,FALSE)</f>
        <v>1.38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0.317</v>
      </c>
      <c r="AL23" s="1424">
        <f>AL7</f>
        <v>0.11</v>
      </c>
      <c r="AM23" s="1424">
        <f>AM7</f>
        <v>0.126</v>
      </c>
      <c r="AN23" s="1424">
        <f>AN7</f>
        <v>3.9E-2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1.1399999999999999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4.8000000000000001E-2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1.38</v>
      </c>
      <c r="AS24" s="299">
        <f>HLOOKUP(C11,Table_StateRates,5,FALSE)</f>
        <v>1.38</v>
      </c>
      <c r="AT24" s="299">
        <f>HLOOKUP(C11,Table_StateRates,5,FALSE)</f>
        <v>1.38</v>
      </c>
      <c r="AU24" s="299">
        <f>HLOOKUP(C11,Table_StateRates,5,FALSE)</f>
        <v>1.38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4.8000000000000001E-2</v>
      </c>
      <c r="AL25" s="1423">
        <f>ROUND(PRODUCT(AL23:AL24),3)</f>
        <v>1.7000000000000001E-2</v>
      </c>
      <c r="AM25" s="1423">
        <f>ROUND(PRODUCT(AM23:AM24),3)</f>
        <v>1.9E-2</v>
      </c>
      <c r="AN25" s="1423">
        <f>ROUND(PRODUCT(AN23:AN24),3)</f>
        <v>6.0000000000000001E-3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1</v>
      </c>
      <c r="AS25" s="299">
        <f>IF(F7="Yes",1,IF(C48&gt;=80,VLOOKUP(C48,Table_CoIns1,2,FALSE),1+ IF(P5&lt;B49,VLOOKUP(B62,Table_CIUnder80,5,FALSE),0.5)))</f>
        <v>1</v>
      </c>
      <c r="AT25" s="299">
        <f>IF(F7="Yes",1,IF(C48&gt;=80,VLOOKUP(C48,Table_CoIns1,2,FALSE),1+ IF(P5&lt;B49,VLOOKUP(B62,Table_CIUnder80,5,FALSE),0.5)))</f>
        <v>1</v>
      </c>
      <c r="AU25" s="299">
        <f>IF(F7="Yes",1,IF(C48&gt;=80,VLOOKUP(C48,Table_CoIns1,2,FALSE),1+ IF(P5&lt;B49,VLOOKUP(B62,Table_CIUnder80,5,FALSE),0.5)))</f>
        <v>1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1</v>
      </c>
      <c r="Q26" s="1314">
        <f>ROUND(PRODUCT(Q22:Q25),3)</f>
        <v>1</v>
      </c>
      <c r="R26" s="1314">
        <f>ROUND(PRODUCT(R22:R25),3)</f>
        <v>1</v>
      </c>
      <c r="S26" s="1314">
        <f>ROUND(PRODUCT(S22:S25),3)</f>
        <v>1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4.8000000000000001E-2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1.38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0.317</v>
      </c>
      <c r="Q27" s="757">
        <f>Q21</f>
        <v>0.11</v>
      </c>
      <c r="R27" s="757">
        <f>R21</f>
        <v>0.126</v>
      </c>
      <c r="S27" s="757">
        <f>S21</f>
        <v>3.9E-2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 t="e">
        <f>ROUND(PRODUCT(Y22,Y25:Y26),0)</f>
        <v>#N/A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1.1399999999999999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0.317</v>
      </c>
      <c r="Q28" s="1315">
        <f>IF($C$30="Yes",C31,ROUND(PRODUCT(Q26:Q27),3))</f>
        <v>0.11</v>
      </c>
      <c r="R28" s="1315">
        <f>IF($C$30="Yes",B32,ROUND(PRODUCT(R26:R27),3))</f>
        <v>0.126</v>
      </c>
      <c r="S28" s="1315">
        <f>IF($C$30="Yes",C32,ROUND(PRODUCT(S26:S27),3))</f>
        <v>3.9E-2</v>
      </c>
      <c r="AC28" s="168" t="s">
        <v>1019</v>
      </c>
      <c r="AD28" s="207">
        <f>HLOOKUP(C11,Table_StateRates,5,FALSE)</f>
        <v>1.38</v>
      </c>
      <c r="AE28" s="207">
        <f>HLOOKUP(C11,Table_StateRates,5,FALSE)</f>
        <v>1.38</v>
      </c>
      <c r="AF28" s="207">
        <f>HLOOKUP(C11,Table_StateRates,5,FALSE)</f>
        <v>1.38</v>
      </c>
      <c r="AG28" s="207">
        <f>HLOOKUP(C11,Table_StateRates,5,FALSE)</f>
        <v>1.38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1</v>
      </c>
      <c r="AE29" s="247">
        <f>IF(F7="Yes",1,IF(C48&gt;=80,VLOOKUP(C48,Table_CoIns1,2,FALSE),1+ IF(P5&lt;B49,VLOOKUP(B62,Table_CIUnder80,5,FALSE),0.5)))</f>
        <v>1</v>
      </c>
      <c r="AF29" s="247">
        <f>IF(F7="Yes",1,IF(C48&gt;=80,VLOOKUP(C48,Table_CoIns1,2,FALSE),1+ IF(P5&lt;B49,VLOOKUP(B62,Table_CIUnder80,5,FALSE),0.5)))</f>
        <v>1</v>
      </c>
      <c r="AG29" s="247">
        <f>IF(F7="Yes",1,IF(C48&gt;=80,VLOOKUP(C48,Table_CoIns1,2,FALSE),1+ IF(P5&lt;B49,VLOOKUP(B62,Table_CIUnder80,5,FALSE),0.5)))</f>
        <v>1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857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1.38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 t="e">
        <f>SUM(I13:L13,I16,I22,I27,I29)</f>
        <v>#N/A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1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1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1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1</v>
      </c>
      <c r="V31" s="168" t="s">
        <v>407</v>
      </c>
      <c r="W31" s="247">
        <f>P28</f>
        <v>0.317</v>
      </c>
      <c r="X31" s="247">
        <f>Q28</f>
        <v>0.11</v>
      </c>
      <c r="Y31" s="247">
        <f>R28</f>
        <v>0.126</v>
      </c>
      <c r="Z31" s="247">
        <f>S28</f>
        <v>3.9E-2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2.1000000000000001E-2</v>
      </c>
      <c r="AS31" s="247">
        <f>ROUND(PRODUCT(AS21:AS30),3)</f>
        <v>1.6E-2</v>
      </c>
      <c r="AT31" s="247">
        <f>ROUND(PRODUCT(AT21:AT30),3)</f>
        <v>1.6E-2</v>
      </c>
      <c r="AU31" s="247">
        <f>ROUND(PRODUCT(AU21:AU30),3)</f>
        <v>1.6E-2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 t="e">
        <f>IF(C12="SP",VLOOKUP(C18,Table_TerrMult_SP,2,0),1)</f>
        <v>#N/A</v>
      </c>
      <c r="S32" s="247">
        <v>1</v>
      </c>
      <c r="U32" s="185"/>
      <c r="V32" s="187" t="s">
        <v>408</v>
      </c>
      <c r="W32" s="208">
        <f>IF(C48&gt;80,P22,1)</f>
        <v>1</v>
      </c>
      <c r="X32" s="208">
        <f>IF(C48&gt;80,Q22,1)</f>
        <v>1</v>
      </c>
      <c r="Y32" s="208">
        <f>IF(C48&gt;80,R22,1)</f>
        <v>1</v>
      </c>
      <c r="Z32" s="208">
        <f>IF(C48&gt;80,S22,1)</f>
        <v>1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2500</v>
      </c>
      <c r="Q33" s="238">
        <f>IF(ISNUMBER(C45),C45/100,0)</f>
        <v>2500</v>
      </c>
      <c r="R33" s="238">
        <f>IF(ISNUMBER(C45),C45/100,0)</f>
        <v>2500</v>
      </c>
      <c r="S33" s="238">
        <f>IF(ISNUMBER(C45),C45/100,0)</f>
        <v>2500</v>
      </c>
      <c r="U33" s="546"/>
      <c r="V33" s="301" t="s">
        <v>409</v>
      </c>
      <c r="W33" s="247">
        <f>ROUND(W31/W32,3)</f>
        <v>0.317</v>
      </c>
      <c r="X33" s="247">
        <f>ROUND(X31/X32,3)</f>
        <v>0.11</v>
      </c>
      <c r="Y33" s="247">
        <f>ROUND(Y31/Y32,3)</f>
        <v>0.126</v>
      </c>
      <c r="Z33" s="247">
        <f>ROUND(Z31/Z32,3)</f>
        <v>3.9E-2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793</v>
      </c>
      <c r="Q34" s="1481">
        <f>IF($C$30="Yes",ROUND(PRODUCT(Q28,Q33),0),ROUND(PRODUCT(Q28,Q31:Q33),0))</f>
        <v>275</v>
      </c>
      <c r="R34" s="1481" t="e">
        <f>IF($C$30="Yes",ROUND(PRODUCT(R28,R33),0),ROUND(PRODUCT(R28,R31:R33),0))</f>
        <v>#N/A</v>
      </c>
      <c r="S34" s="1481">
        <f>IF($C$30="Yes",ROUND(PRODUCT(S28,S33),0),ROUND(PRODUCT(S28,S31:S33),0))</f>
        <v>98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0.11</v>
      </c>
      <c r="AF34" s="247">
        <f>ROUND(PRODUCT(AF26:AF33),3)</f>
        <v>0.126</v>
      </c>
      <c r="AG34" s="247">
        <f>ROUND(PRODUCT(AG26:AG33),3)</f>
        <v>3.9E-2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48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 t="e">
        <f>R42</f>
        <v>#N/A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0.317</v>
      </c>
      <c r="AL35" s="247">
        <f>AL7</f>
        <v>0.11</v>
      </c>
      <c r="AM35" s="247">
        <f>AM7</f>
        <v>0.126</v>
      </c>
      <c r="AN35" s="247">
        <f>AN7</f>
        <v>3.9E-2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793</v>
      </c>
      <c r="Q36" s="248">
        <f>SUM(Q34:Q35)</f>
        <v>275</v>
      </c>
      <c r="R36" s="248" t="e">
        <f>SUM(R34:R35)</f>
        <v>#N/A</v>
      </c>
      <c r="S36" s="248">
        <f>SUM(S34:S35)</f>
        <v>98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1.38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1.1719999999999999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1.5129999999999999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1.4530000000000001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1.4530000000000001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1.38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9.5000000000000001E-2</v>
      </c>
      <c r="X39" s="247">
        <f>ROUND(PRODUCT(X33:X38),3)</f>
        <v>3.3000000000000002E-2</v>
      </c>
      <c r="Y39" s="247">
        <f>ROUND(PRODUCT(Y33:Y38),3)</f>
        <v>3.7999999999999999E-2</v>
      </c>
      <c r="Z39" s="247">
        <f>ROUND(PRODUCT(Z33:Z38),3)</f>
        <v>1.2E-2</v>
      </c>
      <c r="AH39" s="266"/>
      <c r="AI39" s="216"/>
      <c r="AJ39" s="1226" t="s">
        <v>2117</v>
      </c>
      <c r="AK39" s="1427">
        <f>IF(F14="Yes",E17/100,0)</f>
        <v>500</v>
      </c>
      <c r="AL39" s="1427">
        <f>IF(F14="Yes",E17/100,0)</f>
        <v>500</v>
      </c>
      <c r="AM39" s="542">
        <f>IF(F14="Yes",E17/100,0)</f>
        <v>500</v>
      </c>
      <c r="AN39" s="1211">
        <f>IF(F14="Yes",E17/100,0)</f>
        <v>500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0.126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1.38</v>
      </c>
      <c r="AZ39" s="423"/>
      <c r="BA39" s="542"/>
      <c r="BB39" s="597" t="s">
        <v>1019</v>
      </c>
      <c r="BC39" s="279">
        <f>HLOOKUP(C11,Table_StateRates,5,FALSE)</f>
        <v>1.38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793</v>
      </c>
      <c r="Q40" s="248">
        <f>Q34</f>
        <v>275</v>
      </c>
      <c r="R40" s="248" t="e">
        <f>R34</f>
        <v>#N/A</v>
      </c>
      <c r="S40" s="248">
        <f>S34</f>
        <v>98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186</v>
      </c>
      <c r="AL40" s="1228">
        <f>ROUND(PRODUCT(AL35,AL38:AL39),0)</f>
        <v>83</v>
      </c>
      <c r="AM40" s="1228">
        <f>ROUND(PRODUCT(AM35,AM38:AM39),0)</f>
        <v>92</v>
      </c>
      <c r="AN40" s="1228">
        <f>ROUND(PRODUCT(AN35,AN38:AN39),0)</f>
        <v>28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3.9E-2</v>
      </c>
      <c r="AZ40" s="559"/>
      <c r="BA40" s="423"/>
      <c r="BB40" s="810" t="s">
        <v>1134</v>
      </c>
      <c r="BC40" s="426">
        <f>ROUND(PRODUCT(BC35:BC39),3)</f>
        <v>3.9E-2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0.96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0.96</v>
      </c>
      <c r="AZ41" s="559"/>
      <c r="BA41" s="423"/>
      <c r="BB41" s="906" t="s">
        <v>1178</v>
      </c>
      <c r="BC41" s="423">
        <f>IF(OR(C28="S",C28="T",C28="SC"),1,VLOOKUP(C14,Table_ProtClass,IF(C15&lt;=3,2,3),FALSE))</f>
        <v>0.96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 t="e">
        <f>ROUND(PRODUCT(R40:R41),0)</f>
        <v>#N/A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 t="e">
        <f>IF(C12="SP",VLOOKUP(C18,Table_TerrMult_SP,2,0),1)</f>
        <v>#N/A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0.16600000000000001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1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93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0.317</v>
      </c>
      <c r="AL44" s="247">
        <f>AL7</f>
        <v>0.11</v>
      </c>
      <c r="AM44" s="247">
        <f>AM7</f>
        <v>0.126</v>
      </c>
      <c r="AN44" s="247">
        <f>AN7</f>
        <v>3.9E-2</v>
      </c>
      <c r="AO44" s="557"/>
      <c r="AP44" s="2"/>
      <c r="AQ44" s="168" t="s">
        <v>1019</v>
      </c>
      <c r="AR44" s="207">
        <f>HLOOKUP(C11,Table_StateRates,5,FALSE)</f>
        <v>1.38</v>
      </c>
      <c r="AS44" s="207">
        <f>HLOOKUP(C11,Table_StateRates,5,FALSE)</f>
        <v>1.38</v>
      </c>
      <c r="AT44" s="207">
        <f>HLOOKUP(C11,Table_StateRates,5,FALSE)</f>
        <v>1.38</v>
      </c>
      <c r="AU44" s="207">
        <f>HLOOKUP(C11,Table_StateRates,5,FALSE)</f>
        <v>1.38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8.9999999999999993E-3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250000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3.6999999999999998E-2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2500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1.38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 t="e">
        <f>SUM(I5:L5,I31,I38,I41)</f>
        <v>#N/A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1.1719999999999999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1.5129999999999999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1.4530000000000001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1.4530000000000001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93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80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500</v>
      </c>
      <c r="AL48" s="1427">
        <f>IF(F14="Yes",E18/100,0)</f>
        <v>500</v>
      </c>
      <c r="AM48" s="542">
        <f>IF(F14="Yes",E18/100,0)</f>
        <v>500</v>
      </c>
      <c r="AN48" s="1211">
        <f>IF(F14="Yes",E18/100,0)</f>
        <v>500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 t="e">
        <f>SUM(I44,I47)</f>
        <v>#N/A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0.126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4.8000000000000001E-2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186</v>
      </c>
      <c r="AL49" s="1228">
        <f>ROUND(PRODUCT(AL44,AL47:AL48),0)</f>
        <v>83</v>
      </c>
      <c r="AM49" s="1228">
        <f>ROUND(PRODUCT(AM44,AM47:AM48),0)</f>
        <v>92</v>
      </c>
      <c r="AN49" s="1228">
        <f>ROUND(PRODUCT(AN44,AN47:AN48),0)</f>
        <v>28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0.159</v>
      </c>
      <c r="AS50" s="247">
        <f>ROUND(PRODUCT(AS39:AS49),3)</f>
        <v>5.5E-2</v>
      </c>
      <c r="AT50" s="247" t="e">
        <f>ROUND(PRODUCT(AT39:AT49),3)</f>
        <v>#N/A</v>
      </c>
      <c r="AU50" s="247">
        <f>ROUND(PRODUCT(AU39:AU49),3)</f>
        <v>1.6E-2</v>
      </c>
      <c r="AW50" s="566"/>
      <c r="AX50" s="990" t="s">
        <v>395</v>
      </c>
      <c r="AY50" s="813">
        <f>SUM(AY47,BC46)</f>
        <v>93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1.38</v>
      </c>
      <c r="X51" s="207">
        <f>HLOOKUP(C11,Table_StateRates,5,FALSE)</f>
        <v>1.38</v>
      </c>
      <c r="Y51" s="207">
        <f>HLOOKUP(C11,Table_StateRates,5,FALSE)</f>
        <v>1.38</v>
      </c>
      <c r="Z51" s="207">
        <f>HLOOKUP(C11,Table_StateRates,5,FALSE)</f>
        <v>1.38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120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361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 t="e">
        <f>ROUND(PRODUCT(AT50:AT51),0)</f>
        <v>#N/A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361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4.2999999999999997E-2</v>
      </c>
      <c r="X56" s="247">
        <f>ROUND(PRODUCT(X49:X55),3)</f>
        <v>1.4E-2</v>
      </c>
      <c r="Y56" s="247">
        <f>ROUND(PRODUCT(Y49:Y55),3)</f>
        <v>0.126</v>
      </c>
      <c r="Z56" s="247">
        <f>ROUND(PRODUCT(Z49:Z55),3)</f>
        <v>3.9E-2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4.2999999999999997E-2</v>
      </c>
      <c r="X59" s="247">
        <f>MAX(X56:X57)</f>
        <v>1.4E-2</v>
      </c>
      <c r="Y59" s="247">
        <f>MAX(Y56:Y57)</f>
        <v>0.126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213" priority="21" stopIfTrue="1">
      <formula>IF($C$24="Yes",FALSE,TRUE)</formula>
    </cfRule>
  </conditionalFormatting>
  <conditionalFormatting sqref="E16">
    <cfRule type="expression" dxfId="212" priority="20" stopIfTrue="1">
      <formula>IF($C$58="Yes",TRUE,FALSE)</formula>
    </cfRule>
  </conditionalFormatting>
  <conditionalFormatting sqref="C18">
    <cfRule type="expression" dxfId="211" priority="18">
      <formula>IF($C$12="SP",TRUE,FALSE)</formula>
    </cfRule>
    <cfRule type="expression" dxfId="210" priority="19">
      <formula>IF($C$12="SP",TRUE,FALSE)</formula>
    </cfRule>
  </conditionalFormatting>
  <conditionalFormatting sqref="A18">
    <cfRule type="expression" dxfId="209" priority="17">
      <formula>IF($C$12="SP",TRUE,FALSE)</formula>
    </cfRule>
  </conditionalFormatting>
  <conditionalFormatting sqref="B21">
    <cfRule type="expression" dxfId="208" priority="14">
      <formula>IF($C$21="Yes",TRUE,FALSE)</formula>
    </cfRule>
  </conditionalFormatting>
  <conditionalFormatting sqref="C18">
    <cfRule type="expression" dxfId="207" priority="10">
      <formula>IF($C$12="SP",TRUE,FALSE)</formula>
    </cfRule>
    <cfRule type="expression" dxfId="206" priority="11">
      <formula>IF($C$12="SP",TRUE,FALSE)</formula>
    </cfRule>
  </conditionalFormatting>
  <conditionalFormatting sqref="C32">
    <cfRule type="expression" dxfId="205" priority="2">
      <formula>IF(AND($C$30="Yes",$C$12="BR"),TRUE,FALSE)</formula>
    </cfRule>
  </conditionalFormatting>
  <conditionalFormatting sqref="B32">
    <cfRule type="expression" dxfId="204" priority="1">
      <formula>IF(AND($C$30="Yes",$C$12="SP"),TRUE,FALSE)</formula>
    </cfRule>
  </conditionalFormatting>
  <conditionalFormatting sqref="B31:C31">
    <cfRule type="expression" dxfId="203" priority="3">
      <formula>IF($C$30="Yes",TRUE,FALSE)</formula>
    </cfRule>
  </conditionalFormatting>
  <dataValidations count="97"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allowBlank="1" showInputMessage="1" showErrorMessage="1" promptTitle="Special Class Pty: Grp II Symbol" prompt="Group II Symbol supplied for the Special Class Property selected." sqref="E24"/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custom" allowBlank="1" showInputMessage="1" showErrorMessage="1" prompt="EQ Table Lookup Value" sqref="F49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custom" allowBlank="1" showInputMessage="1" showErrorMessage="1" prompt="Bldg Lookup Value" sqref="F36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allowBlank="1" showInputMessage="1" showErrorMessage="1" promptTitle="Occupancy Type Description" prompt="Displays the description of the choice made in the cell to the left.  " sqref="B33 B40"/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custom" allowBlank="1" showInputMessage="1" showErrorMessage="1" sqref="C25 F46 D23 B10 D43:E43 F33:F35 F38:F39 A38 A43">
      <formula1>FALSE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A78"/>
  <sheetViews>
    <sheetView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1.38</v>
      </c>
      <c r="Q2" s="423">
        <f>HLOOKUP(C11,Table_StateRates,5,FALSE)</f>
        <v>1.38</v>
      </c>
      <c r="R2" s="423">
        <f>HLOOKUP(C11,Table_StateRates,5,FALSE)</f>
        <v>1.38</v>
      </c>
      <c r="S2" s="423">
        <f>HLOOKUP(C11,Table_StateRates,5,FALSE)</f>
        <v>1.38</v>
      </c>
      <c r="U2" s="1290"/>
      <c r="V2" s="1294" t="s">
        <v>2165</v>
      </c>
      <c r="W2" s="1300">
        <f ca="1">$P$28</f>
        <v>0.32700000000000001</v>
      </c>
      <c r="X2" s="1300">
        <f>$Q$28</f>
        <v>0.14699999999999999</v>
      </c>
      <c r="Y2" s="1300">
        <f>$R$28</f>
        <v>0</v>
      </c>
      <c r="Z2" s="1300">
        <f>$S$28</f>
        <v>5.5E-2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0.32700000000000001</v>
      </c>
      <c r="AU2" s="247">
        <f>Q28</f>
        <v>0.14699999999999999</v>
      </c>
      <c r="AV2" s="247">
        <f>IF(AND(C27="Yes",C12="SP"),VLOOKUP(C33,Table_Special_PP,3,0),0)</f>
        <v>0</v>
      </c>
      <c r="AW2" s="247">
        <f>S28</f>
        <v>5.5E-2</v>
      </c>
      <c r="AZ2" s="1117" t="s">
        <v>2154</v>
      </c>
      <c r="BA2" s="247">
        <f ca="1">P28</f>
        <v>0.32700000000000001</v>
      </c>
      <c r="BB2" s="2">
        <f>Q28</f>
        <v>0.14699999999999999</v>
      </c>
      <c r="BC2" s="558">
        <f>R28</f>
        <v>0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833</v>
      </c>
      <c r="H3" s="1273">
        <f>Summary5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0.77800000000000002</v>
      </c>
      <c r="X3" s="247">
        <f t="shared" ref="X3:Z3" si="0">Q$31</f>
        <v>0.67200000000000004</v>
      </c>
      <c r="Y3" s="247">
        <f t="shared" si="0"/>
        <v>0.57899999999999996</v>
      </c>
      <c r="Z3" s="247">
        <f t="shared" si="0"/>
        <v>0.57899999999999996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0.13</v>
      </c>
      <c r="AE3" s="2">
        <f>IF(OR(C28="S",C28="T"),C29,VLOOKUP(C16,Table_G2SymLC,3,FALSE)*IF(C60&lt;&gt;"Yes",B16,1))</f>
        <v>5.6000000000000001E-2</v>
      </c>
      <c r="AF3" s="247">
        <f>R5</f>
        <v>0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0.32700000000000001</v>
      </c>
      <c r="AM3" s="4">
        <f>Q28</f>
        <v>0.14699999999999999</v>
      </c>
      <c r="AN3" s="780">
        <f ca="1">IF(AND(C27="Yes",C12="SP"),IF(C13=1,R28,IF(C13=2,INDIRECT(VLOOKUP(C33,Table_Special_PP,6,FALSE)),"Select Type")),0)</f>
        <v>0</v>
      </c>
      <c r="AO3" s="4">
        <f>S28</f>
        <v>5.5E-2</v>
      </c>
      <c r="AP3" s="4" t="e">
        <f>IF(TC5_EQ1!C31="Yes",TC5_EQ1!O28,0)</f>
        <v>#N/A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>
        <f>IF(F3="Yes",C41,"")</f>
        <v>250000</v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0.32700000000000001</v>
      </c>
      <c r="AU4" s="247">
        <f>ROUND(AU2/AU3,3)</f>
        <v>0.14699999999999999</v>
      </c>
      <c r="AV4" s="247">
        <f>ROUND(AV2/AV3,3)</f>
        <v>0</v>
      </c>
      <c r="AW4" s="247">
        <f>ROUND(AW2/AW3,3)</f>
        <v>5.5E-2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>
        <v>500000</v>
      </c>
      <c r="F5" s="1065"/>
      <c r="H5" s="82" t="str">
        <f>LEFT(A41,LEN(A41)-7)&amp;" Coverage"</f>
        <v>PPI - Personal Pty of Insured Coverage</v>
      </c>
      <c r="I5" s="258">
        <f ca="1">IF(C27="Yes",P35,0)</f>
        <v>636</v>
      </c>
      <c r="J5" s="258">
        <f>IF(C27="Yes",Q35,0)</f>
        <v>247</v>
      </c>
      <c r="K5" s="258">
        <f>IF(AND(C27="Yes",C12="SP"),R35,0)</f>
        <v>0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0.13</v>
      </c>
      <c r="Q5" s="247">
        <f>IF(OR(C28="S",C28="T"),C29,VLOOKUP(C16,Table_G2SymLC,3,FALSE)*IF(C60&lt;&gt;"Yes",B16,1))</f>
        <v>5.6000000000000001E-2</v>
      </c>
      <c r="R5" s="247">
        <f>IF(AND(C27="Yes",C12="SP"),VLOOKUP(C33,Table_Special_PP,3,0),0)</f>
        <v>0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0</v>
      </c>
      <c r="X5" s="1306">
        <f>ROUND(PRODUCT(X2:X4),0)</f>
        <v>0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3.3000000000000002E-2</v>
      </c>
      <c r="AM5" s="4">
        <f>ROUND(PRODUCT(AM3:AM4),3)</f>
        <v>1.4999999999999999E-2</v>
      </c>
      <c r="AN5" s="780">
        <f ca="1">ROUND(PRODUCT(AN3:AN4),3)</f>
        <v>0</v>
      </c>
      <c r="AO5" s="4">
        <f>ROUND(PRODUCT(AO3:AO4),3)</f>
        <v>6.0000000000000001E-3</v>
      </c>
      <c r="AP5" s="4" t="e">
        <f>ROUND(PRODUCT(AP3:AP4),3)</f>
        <v>#N/A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0.627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0.47799999999999998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0.36099999999999999</v>
      </c>
      <c r="BD5" s="1229"/>
      <c r="BG5" s="146"/>
      <c r="BH5" s="545" t="s">
        <v>1019</v>
      </c>
      <c r="BI5" s="299">
        <f>HLOOKUP(C11,Table_StateRates,5,FALSE)</f>
        <v>1.38</v>
      </c>
      <c r="BJ5" s="299">
        <f>HLOOKUP(C11,Table_StateRates,5,FALSE)</f>
        <v>1.38</v>
      </c>
      <c r="BK5" s="299">
        <f>HLOOKUP(C11,Table_StateRates,5,FALSE)</f>
        <v>1.38</v>
      </c>
      <c r="BL5" s="299">
        <f>HLOOKUP(C11,Table_StateRates,5,FALSE)</f>
        <v>1.38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980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0.96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0.247</v>
      </c>
      <c r="AE6" s="247">
        <f>ROUND(PRODUCT(AE3:AE5),3)</f>
        <v>0.106</v>
      </c>
      <c r="AF6" s="247">
        <f>ROUND(PRODUCT(AF3:AF5),3)</f>
        <v>0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0.20499999999999999</v>
      </c>
      <c r="BB6" s="1315">
        <f>ROUND(PRODUCT(BB2,BB5),3)</f>
        <v>7.0000000000000007E-2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1.38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0</v>
      </c>
      <c r="X7" s="1301">
        <f>SUM(X5:X6)</f>
        <v>0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#N/A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10000</v>
      </c>
      <c r="BB7" s="238">
        <f>IF(F21="Yes",E22/100,0)</f>
        <v>10000</v>
      </c>
      <c r="BC7" s="238">
        <f>IF(F21="Yes",E22/100,0)</f>
        <v>10000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0.32700000000000001</v>
      </c>
      <c r="Q8" s="1315">
        <f>ROUND(PRODUCT(Q4:Q7),3)</f>
        <v>0.14699999999999999</v>
      </c>
      <c r="R8" s="1315">
        <f>ROUND(PRODUCT(R4:R7),3)</f>
        <v>0</v>
      </c>
      <c r="S8" s="1315">
        <f>ROUND(PRODUCT(S4:S7),3)</f>
        <v>5.5E-2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2050</v>
      </c>
      <c r="BB8" s="248">
        <f>ROUND(PRODUCT(BB6:BB7),0)</f>
        <v>700</v>
      </c>
      <c r="BC8" s="248">
        <f>ROUND(PRODUCT(BC6:BC7),0)</f>
        <v>0</v>
      </c>
      <c r="BD8" s="575"/>
      <c r="BE8" s="572">
        <f ca="1">SUM(BA8:BC8)</f>
        <v>2750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0.124</v>
      </c>
      <c r="AE9" s="247">
        <f>ROUND(PRODUCT(AE6:AE8),3)</f>
        <v>5.2999999999999999E-2</v>
      </c>
      <c r="AF9" s="247">
        <f>ROUND(PRODUCT(AF6:AF8),3)</f>
        <v>0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0.40899999999999997</v>
      </c>
      <c r="AU9" s="247">
        <f>ROUND(PRODUCT(AU4:AU7),3)</f>
        <v>0.184</v>
      </c>
      <c r="AV9" s="247">
        <f>ROUND(PRODUCT(AV4:AV7),3)</f>
        <v>0</v>
      </c>
      <c r="AW9" s="247">
        <f>ROUND(PRODUCT(AW4:AW7),3)</f>
        <v>6.9000000000000006E-2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0</v>
      </c>
      <c r="X10" s="1301">
        <f>X5</f>
        <v>0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2500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2500</v>
      </c>
      <c r="AU10" s="238">
        <f>IF(F13="Yes",E14/100,C41/100)</f>
        <v>2500</v>
      </c>
      <c r="AV10" s="238">
        <f>IF(F13="Yes",E14/100,C41/100)</f>
        <v>2500</v>
      </c>
      <c r="AW10" s="238">
        <f>IF(F13="Yes",E14/100,C41/100)</f>
        <v>2500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1859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#N/A</v>
      </c>
      <c r="AM11" s="146"/>
      <c r="AN11" s="146"/>
      <c r="AO11" s="301"/>
      <c r="AP11" s="976"/>
      <c r="AS11" s="301"/>
      <c r="AT11" s="248">
        <f ca="1">ROUND(PRODUCT(AT9:AT10),0)</f>
        <v>1023</v>
      </c>
      <c r="AU11" s="248">
        <f>ROUND(PRODUCT(AU9:AU10),0)</f>
        <v>460</v>
      </c>
      <c r="AV11" s="248">
        <f>ROUND(PRODUCT(AV9:AV10),0)</f>
        <v>0</v>
      </c>
      <c r="AW11" s="248">
        <f>ROUND(PRODUCT(AW9:AW10),0)</f>
        <v>173</v>
      </c>
      <c r="AZ11" s="1117" t="s">
        <v>2154</v>
      </c>
      <c r="BA11" s="247">
        <f ca="1">P28</f>
        <v>0.32700000000000001</v>
      </c>
      <c r="BB11" s="2">
        <f>Q28</f>
        <v>0.14699999999999999</v>
      </c>
      <c r="BC11" s="558">
        <f>R28</f>
        <v>0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1006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#N/A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106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0.96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1023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3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0.77800000000000002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0.67200000000000004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0.57899999999999996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1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0.254</v>
      </c>
      <c r="BB15" s="1315">
        <f>ROUND(PRODUCT(BB11,BB14),3)</f>
        <v>9.9000000000000005E-2</v>
      </c>
      <c r="BC15" s="1315">
        <f>ROUND(PRODUCT(BC11,BC14),3)</f>
        <v>0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18</v>
      </c>
      <c r="D16" s="195"/>
      <c r="E16" s="195"/>
      <c r="F16" s="1067"/>
      <c r="H16" s="788" t="s">
        <v>1289</v>
      </c>
      <c r="I16" s="248">
        <f ca="1">SUM(I5:I15)</f>
        <v>636</v>
      </c>
      <c r="J16" s="248">
        <f>SUM(J5:J15)</f>
        <v>247</v>
      </c>
      <c r="K16" s="248">
        <f>SUM(K5:K15)</f>
        <v>0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0.32700000000000001</v>
      </c>
      <c r="X16" s="1300">
        <f>$Q$28</f>
        <v>0.14699999999999999</v>
      </c>
      <c r="Y16" s="1300">
        <f>$R$28</f>
        <v>0</v>
      </c>
      <c r="Z16" s="1300">
        <f>$S$28</f>
        <v>5.5E-2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2500</v>
      </c>
      <c r="BB16" s="238">
        <f>IF(F21="Yes",C41/100,0)</f>
        <v>2500</v>
      </c>
      <c r="BC16" s="238">
        <f>IF(F21="Yes",C41/100,0)</f>
        <v>2500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0.77800000000000002</v>
      </c>
      <c r="X17" s="247">
        <f t="shared" ref="X17:Z17" si="1">Q$31</f>
        <v>0.67200000000000004</v>
      </c>
      <c r="Y17" s="247">
        <f t="shared" si="1"/>
        <v>0.57899999999999996</v>
      </c>
      <c r="Z17" s="247">
        <f t="shared" si="1"/>
        <v>0.57899999999999996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635</v>
      </c>
      <c r="BB17" s="248">
        <f>ROUND(PRODUCT(BB15:BB16),0)</f>
        <v>248</v>
      </c>
      <c r="BC17" s="248">
        <f>ROUND(PRODUCT(BC15:BC16),0)</f>
        <v>0</v>
      </c>
      <c r="BD17" s="575"/>
      <c r="BE17" s="572">
        <f ca="1">SUM(BA17:BC17)</f>
        <v>883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/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1.38</v>
      </c>
      <c r="AE18" s="423">
        <f>HLOOKUP(C11,Table_StateRates,5,FALSE)</f>
        <v>1.38</v>
      </c>
      <c r="AF18" s="423">
        <f>HLOOKUP(C11,Table_StateRates,5,FALSE)</f>
        <v>1.38</v>
      </c>
      <c r="AG18" s="423">
        <f>HLOOKUP(C11,Table_StateRates,5,FALSE)</f>
        <v>1.38</v>
      </c>
      <c r="AI18" s="266"/>
      <c r="AJ18" s="266"/>
      <c r="AK18" s="268" t="s">
        <v>1019</v>
      </c>
      <c r="AL18" s="423">
        <f>HLOOKUP(C11,Table_StateRates,5,FALSE)</f>
        <v>1.38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0.14699999999999999</v>
      </c>
      <c r="AV18" s="247">
        <f>IF(AND(C27="Yes",C12="SP"),VLOOKUP(C33,Table_Special_PP,3,0),0)</f>
        <v>0</v>
      </c>
      <c r="AW18" s="2">
        <f>S28</f>
        <v>5.5E-2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0</v>
      </c>
      <c r="X19" s="1306">
        <f>ROUND(PRODUCT(X16:X18),0)</f>
        <v>0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7.4999999999999997E-2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0.32700000000000001</v>
      </c>
      <c r="Q20" s="1312">
        <f>ROUND(PRODUCT(Q8:Q19),3)</f>
        <v>0.14699999999999999</v>
      </c>
      <c r="R20" s="1312">
        <f>ROUND(PRODUCT(R8:R19),3)</f>
        <v>0</v>
      </c>
      <c r="S20" s="1312">
        <f>ROUND(PRODUCT(S8:S19),3)</f>
        <v>5.5E-2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2.6219999999999999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0.57899999999999996</v>
      </c>
      <c r="AS20" s="83" t="s">
        <v>115</v>
      </c>
      <c r="AT20" s="247">
        <f>PRODUCT(AT18:AT19)</f>
        <v>0</v>
      </c>
      <c r="AU20" s="247">
        <f>PRODUCT(AU18:AU19)</f>
        <v>0.14699999999999999</v>
      </c>
      <c r="AV20" s="247">
        <f>PRODUCT(AV18:AV19)</f>
        <v>0</v>
      </c>
      <c r="AW20" s="247">
        <f>PRODUCT(AW18:AW19)</f>
        <v>5.5E-2</v>
      </c>
      <c r="AZ20" s="168" t="s">
        <v>1335</v>
      </c>
      <c r="BA20" s="248">
        <f>F24</f>
        <v>59</v>
      </c>
      <c r="BD20" s="168" t="s">
        <v>1337</v>
      </c>
      <c r="BE20" s="248">
        <f ca="1">BE8</f>
        <v>2750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1.38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833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>
        <f ca="1">SUM(W19:W20)</f>
        <v>0</v>
      </c>
      <c r="X21" s="1301">
        <f>SUM(X19:X20)</f>
        <v>0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</v>
      </c>
      <c r="AN21" s="1429"/>
      <c r="AO21" s="1226" t="s">
        <v>2253</v>
      </c>
      <c r="AP21" s="238">
        <f>IF(F3="Yes",E4/100,0)</f>
        <v>2500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>
        <f ca="1">BE17</f>
        <v>883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0.14299999999999999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>
        <v>1000000</v>
      </c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0.16400000000000001</v>
      </c>
      <c r="AE22" s="247">
        <f>ROUND(PRODUCT(AE9:AE21),3)</f>
        <v>7.2999999999999995E-2</v>
      </c>
      <c r="AF22" s="247">
        <f>ROUND(PRODUCT(AF9:AF21),3)</f>
        <v>0</v>
      </c>
      <c r="AG22" s="247">
        <f>ROUND(PRODUCT(AG9:AG21),3)</f>
        <v>2.8000000000000001E-2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1.38</v>
      </c>
      <c r="AU22" s="207">
        <f>HLOOKUP(C11,Table_StateRates,5,FALSE)</f>
        <v>1.38</v>
      </c>
      <c r="AV22" s="207">
        <f>HLOOKUP(C11,Table_StateRates,5,FALSE)</f>
        <v>1.38</v>
      </c>
      <c r="AW22" s="207">
        <f>HLOOKUP(C11,Table_StateRates,5,FALSE)</f>
        <v>1.38</v>
      </c>
      <c r="AZ22" s="83" t="s">
        <v>1334</v>
      </c>
      <c r="BA22" s="2">
        <f>ROUND(BA20/BA21,3)</f>
        <v>0.16200000000000001</v>
      </c>
      <c r="BD22" s="83" t="s">
        <v>1339</v>
      </c>
      <c r="BE22" s="248">
        <f ca="1">IF(BE20=0,0,BE20-BE21)</f>
        <v>1867</v>
      </c>
      <c r="BG22" s="146"/>
      <c r="BH22" s="545" t="s">
        <v>1019</v>
      </c>
      <c r="BI22" s="299">
        <f>HLOOKUP(C11,Table_StateRates,5,FALSE)</f>
        <v>1.38</v>
      </c>
      <c r="BJ22" s="299">
        <f>HLOOKUP(C11,Table_StateRates,5,FALSE)</f>
        <v>1.38</v>
      </c>
      <c r="BK22" s="299">
        <f>HLOOKUP(C11,Table_StateRates,5,FALSE)</f>
        <v>1.38</v>
      </c>
      <c r="BL22" s="299">
        <f>HLOOKUP(C11,Table_StateRates,5,FALSE)</f>
        <v>1.38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>
        <v>40562</v>
      </c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0.16200000000000001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>
        <f ca="1">ROUND(PRODUCT(BP21:BP22),3)</f>
        <v>1.4E-2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>
        <v>40621</v>
      </c>
      <c r="F24" s="875">
        <f>IF(OR(ISBLANK(E24),ISBLANK(E23)),0,E24-E23)</f>
        <v>59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0</v>
      </c>
      <c r="X24" s="1301">
        <f>X19</f>
        <v>0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>
        <f ca="1">ROUND(PRODUCT(BE22:BE23),0)</f>
        <v>302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1</v>
      </c>
      <c r="Q25" s="1314">
        <f>ROUND(PRODUCT(Q21:Q24),3)</f>
        <v>1</v>
      </c>
      <c r="R25" s="1314">
        <f>ROUND(PRODUCT(R21:R24),3)</f>
        <v>1</v>
      </c>
      <c r="S25" s="1314">
        <f>ROUND(PRODUCT(S21:S24),3)</f>
        <v>1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IF(TC5_BLDG1!F20="Yes","Bldg","Available")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0.32700000000000001</v>
      </c>
      <c r="Q27" s="757">
        <f>Q20</f>
        <v>0.14699999999999999</v>
      </c>
      <c r="R27" s="757">
        <f>R20</f>
        <v>0</v>
      </c>
      <c r="S27" s="757">
        <f>S20</f>
        <v>5.5E-2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1.4E-2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0.32700000000000001</v>
      </c>
      <c r="Q28" s="1315">
        <f>IF($C$30="Yes",C31,ROUND(PRODUCT(Q25:Q27),3))</f>
        <v>0.14699999999999999</v>
      </c>
      <c r="R28" s="1484">
        <f>IF($C$30="Yes",B32,ROUND(PRODUCT(R25:R27),4))</f>
        <v>0</v>
      </c>
      <c r="S28" s="1315">
        <f>IF($C$30="Yes",C32,ROUND(PRODUCT(S25:S27),3))</f>
        <v>5.5E-2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0.38500000000000001</v>
      </c>
      <c r="AV28" s="247">
        <f>ROUND(PRODUCT(AV20:AV27),3)</f>
        <v>0</v>
      </c>
      <c r="AW28" s="247">
        <f>ROUND(PRODUCT(AW20:AW27),3)</f>
        <v>0.14399999999999999</v>
      </c>
      <c r="AY28" s="60" t="s">
        <v>1583</v>
      </c>
      <c r="BH28" s="301" t="s">
        <v>1389</v>
      </c>
      <c r="BI28" s="247">
        <f>ROUND(PRODUCT(BI19:BI27),3)</f>
        <v>2.1000000000000001E-2</v>
      </c>
      <c r="BJ28" s="247">
        <f>ROUND(PRODUCT(BJ19:BJ27),3)</f>
        <v>1.6E-2</v>
      </c>
      <c r="BK28" s="247">
        <f>ROUND(PRODUCT(BK19:BK27),3)</f>
        <v>5.5E-2</v>
      </c>
      <c r="BL28" s="247">
        <f>ROUND(PRODUCT(BL19:BL27),3)</f>
        <v>1.6E-2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0.57899999999999996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 ca="1">IF(AND(C27="Yes",F21="Yes"),BE24,0)</f>
        <v>302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0.32700000000000001</v>
      </c>
      <c r="X30" s="1300">
        <f>$Q$28</f>
        <v>0.14699999999999999</v>
      </c>
      <c r="Y30" s="1300">
        <f>$R$28</f>
        <v>0</v>
      </c>
      <c r="Z30" s="1300">
        <f>$S$28</f>
        <v>5.5E-2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5000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0.21299999999999999</v>
      </c>
      <c r="C31" s="1455">
        <v>0.09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0.77800000000000002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0.67200000000000004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0.57899999999999996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0.57899999999999996</v>
      </c>
      <c r="T31" s="299"/>
      <c r="U31" s="1288"/>
      <c r="V31" s="1117" t="s">
        <v>2152</v>
      </c>
      <c r="W31" s="247">
        <f>P$31</f>
        <v>0.77800000000000002</v>
      </c>
      <c r="X31" s="247">
        <f t="shared" ref="X31:Z31" si="2">Q$31</f>
        <v>0.67200000000000004</v>
      </c>
      <c r="Y31" s="247">
        <f t="shared" si="2"/>
        <v>0.57899999999999996</v>
      </c>
      <c r="Z31" s="247">
        <f t="shared" si="2"/>
        <v>0.57899999999999996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8.8999999999999996E-2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2500</v>
      </c>
      <c r="Q32" s="238">
        <f>IF(ISBLANK(C41),0,C41/100)</f>
        <v>2500</v>
      </c>
      <c r="R32" s="238">
        <f>IF(ISBLANK(C41),0,C41/100)</f>
        <v>2500</v>
      </c>
      <c r="S32" s="238">
        <f>IF(ISBLANK(C41),0,C41/100)</f>
        <v>2500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1.38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0" t="s">
        <v>1242</v>
      </c>
      <c r="E33" s="950">
        <v>500000</v>
      </c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636</v>
      </c>
      <c r="Q33" s="1481">
        <f>IF($C$30="Yes",ROUND(PRODUCT(Q28,Q32),0),ROUND(PRODUCT(Q28,Q31:Q32),0))</f>
        <v>247</v>
      </c>
      <c r="R33" s="1481">
        <f>IF($C$30="Yes",ROUND(PRODUCT(R28,R32),0),ROUND(PRODUCT(R28,R31:R32),0))</f>
        <v>0</v>
      </c>
      <c r="S33" s="1481">
        <f>IF($C$30="Yes",ROUND(PRODUCT(S28,S32),0),ROUND(PRODUCT(S28,S31:S32),0))</f>
        <v>80</v>
      </c>
      <c r="U33" s="1293"/>
      <c r="V33" s="1303" t="s">
        <v>2161</v>
      </c>
      <c r="W33" s="1306">
        <f ca="1">ROUND(PRODUCT(W30:W32),0)</f>
        <v>0</v>
      </c>
      <c r="X33" s="1306">
        <f>ROUND(PRODUCT(X30:X32),0)</f>
        <v>0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1.38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 t="s">
        <v>742</v>
      </c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48</v>
      </c>
      <c r="D35" s="930" t="s">
        <v>910</v>
      </c>
      <c r="E35" s="958">
        <v>2</v>
      </c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636</v>
      </c>
      <c r="Q35" s="248">
        <f>SUM(Q33:Q34)</f>
        <v>247</v>
      </c>
      <c r="R35" s="248">
        <f>SUM(R33:R34)</f>
        <v>0</v>
      </c>
      <c r="S35" s="248">
        <f>SUM(S33:S34)</f>
        <v>80</v>
      </c>
      <c r="T35" s="235"/>
      <c r="U35" s="1288"/>
      <c r="V35" s="1291" t="s">
        <v>2162</v>
      </c>
      <c r="W35" s="1301">
        <f ca="1">SUM(W33:W34)</f>
        <v>0</v>
      </c>
      <c r="X35" s="1301">
        <f>SUM(X33:X34)</f>
        <v>0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1.38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>
        <f>IF(ISBLANK(E34),"",VLOOKUP(E34,Table_SpoilTypes,3,FALSE))</f>
        <v>1</v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5000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 ca="1">SUM(I25:I31,I36)</f>
        <v>302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0</v>
      </c>
      <c r="X38" s="1301">
        <f>X33</f>
        <v>0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636</v>
      </c>
      <c r="Q39" s="248">
        <f>Q33</f>
        <v>247</v>
      </c>
      <c r="R39" s="248">
        <f>R33</f>
        <v>0</v>
      </c>
      <c r="S39" s="248">
        <f>S33</f>
        <v>80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1.38</v>
      </c>
      <c r="BQ39" s="423"/>
      <c r="BR39" s="542"/>
      <c r="BS39" s="597" t="s">
        <v>1019</v>
      </c>
      <c r="BT39" s="279">
        <f>HLOOKUP(C11,Table_StateRates,5,FALSE)</f>
        <v>1.38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3.9E-2</v>
      </c>
      <c r="BQ40" s="559"/>
      <c r="BR40" s="423"/>
      <c r="BS40" s="810" t="s">
        <v>1134</v>
      </c>
      <c r="BT40" s="426">
        <f>ROUND(PRODUCT(BT35:BT39),3)</f>
        <v>3.9E-2</v>
      </c>
    </row>
    <row r="41" spans="1:72" ht="13.5" thickBot="1" x14ac:dyDescent="0.25">
      <c r="A41" s="203" t="s">
        <v>2112</v>
      </c>
      <c r="B41" s="104"/>
      <c r="C41" s="943">
        <v>250000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0.96</v>
      </c>
      <c r="BQ41" s="426"/>
      <c r="BR41" s="423"/>
      <c r="BS41" s="906" t="s">
        <v>1178</v>
      </c>
      <c r="BT41" s="423">
        <f>IF(OR(C28="S",C28="T"),1,VLOOKUP(C14,Table_ProtClass,IF(C15&lt;=3,2,3),FALSE))</f>
        <v>0.96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>
        <f>ROUND(PRODUCT(BT40:BT42),3)</f>
        <v>1.9E-2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0.32700000000000001</v>
      </c>
      <c r="X44" s="1300">
        <f>$Q$28</f>
        <v>0.14699999999999999</v>
      </c>
      <c r="Y44" s="1300">
        <f>$R$28</f>
        <v>0</v>
      </c>
      <c r="Z44" s="1300">
        <f>$S$28</f>
        <v>5.5E-2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0.77800000000000002</v>
      </c>
      <c r="X45" s="247">
        <f t="shared" ref="X45:Z45" si="3">Q$31</f>
        <v>0.67200000000000004</v>
      </c>
      <c r="Y45" s="247">
        <f t="shared" si="3"/>
        <v>0.57899999999999996</v>
      </c>
      <c r="Z45" s="247">
        <f t="shared" si="3"/>
        <v>0.57899999999999996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3.6999999999999998E-2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2500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93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93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93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>
        <f ca="1">SUM(I16:L16,I38,I46,I52)</f>
        <v>1185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>
        <f ca="1">SUM(I54,I49)</f>
        <v>1278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250000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202" priority="15" stopIfTrue="1">
      <formula>IF($C$24="Yes",FALSE,TRUE)</formula>
    </cfRule>
  </conditionalFormatting>
  <conditionalFormatting sqref="C18">
    <cfRule type="expression" dxfId="201" priority="13">
      <formula>IF($C$12="SP",TRUE,FALSE)</formula>
    </cfRule>
    <cfRule type="expression" dxfId="200" priority="14">
      <formula>IF($C$12="SP",TRUE,FALSE)</formula>
    </cfRule>
  </conditionalFormatting>
  <conditionalFormatting sqref="A18">
    <cfRule type="expression" dxfId="199" priority="12">
      <formula>IF($C$12="SP",TRUE,FALSE)</formula>
    </cfRule>
  </conditionalFormatting>
  <conditionalFormatting sqref="B21">
    <cfRule type="expression" dxfId="198" priority="9">
      <formula>IF($C$21="Yes",TRUE,FALSE)</formula>
    </cfRule>
  </conditionalFormatting>
  <conditionalFormatting sqref="C32">
    <cfRule type="expression" dxfId="197" priority="2">
      <formula>IF(AND($C$30="Yes",$C$12="BR"),TRUE,FALSE)</formula>
    </cfRule>
  </conditionalFormatting>
  <conditionalFormatting sqref="B32">
    <cfRule type="expression" dxfId="196" priority="1">
      <formula>IF(AND($C$30="Yes",$C$12="SP"),TRUE,FALSE)</formula>
    </cfRule>
  </conditionalFormatting>
  <conditionalFormatting sqref="B31:C31">
    <cfRule type="expression" dxfId="195" priority="3">
      <formula>IF($C$30="Yes",TRUE,FALSE)</formula>
    </cfRule>
  </conditionalFormatting>
  <dataValidations count="111"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type="custom" allowBlank="1" showInputMessage="1" showErrorMessage="1" prompt="Spoilage Loss Cost Column Reference" sqref="F37">
      <formula1>FALSE</formula1>
    </dataValidation>
    <dataValidation type="custom" allowBlank="1" showInputMessage="1" showErrorMessage="1" prompt="Lookup Value for Spoil Coverage Loss Cost Table" sqref="F33">
      <formula1>FALSE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Spoilage Coverage" prompt="Please Select:_x000a_{ Yes or No }" sqref="F32">
      <formula1>List_YN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custom" allowBlank="1" showInputMessage="1" showErrorMessage="1" prompt="EQ Table Lookup Value" sqref="F54:F5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Personal Property Lookup Value" sqref="F45">
      <formula1>FALSE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allowBlank="1" showInputMessage="1" showErrorMessage="1" promptTitle="Occupancy Type Description" prompt="Displays the description of the choice made in the cell to the left.  " sqref="B38 B33"/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custom" allowBlank="1" showInputMessage="1" showErrorMessage="1" errorTitle="Do Not Touch" error="This is used to generate the Coinsurance rate." sqref="B58 E62">
      <formula1>FALSE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V67"/>
  <sheetViews>
    <sheetView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4.140625" style="2" customWidth="1"/>
    <col min="3" max="3" width="13.5703125" style="2" customWidth="1"/>
    <col min="4" max="4" width="27.42578125" style="2" customWidth="1"/>
    <col min="5" max="5" width="11.85546875" style="2" customWidth="1"/>
    <col min="6" max="6" width="12.5703125" style="2" customWidth="1"/>
    <col min="7" max="7" width="9.140625" style="2"/>
    <col min="8" max="8" width="38.7109375" style="2" customWidth="1"/>
    <col min="9" max="12" width="12.85546875" style="2" customWidth="1"/>
    <col min="13" max="13" width="8.140625" style="2" customWidth="1"/>
    <col min="14" max="14" width="18.140625" style="2" customWidth="1"/>
    <col min="15" max="15" width="23" style="2" customWidth="1"/>
    <col min="16" max="19" width="11.42578125" style="2" customWidth="1"/>
    <col min="20" max="20" width="9.140625" style="2"/>
    <col min="21" max="21" width="18.140625" style="2" customWidth="1"/>
    <col min="22" max="22" width="23" style="2" customWidth="1"/>
    <col min="23" max="26" width="11.42578125" style="2" customWidth="1"/>
    <col min="27" max="27" width="9.140625" style="2"/>
    <col min="28" max="28" width="18.140625" style="2" customWidth="1"/>
    <col min="29" max="29" width="23" style="2" customWidth="1"/>
    <col min="30" max="30" width="11.42578125" style="2" customWidth="1"/>
    <col min="31" max="31" width="8.28515625" style="2" customWidth="1"/>
    <col min="32" max="32" width="17.42578125" style="2" customWidth="1"/>
    <col min="33" max="33" width="20.7109375" style="2" customWidth="1"/>
    <col min="34" max="34" width="12.140625" style="2" customWidth="1"/>
    <col min="35" max="35" width="4.7109375" style="2" customWidth="1"/>
    <col min="36" max="36" width="19.42578125" style="2" customWidth="1"/>
    <col min="37" max="37" width="26" style="2" customWidth="1"/>
    <col min="38" max="41" width="13.140625" style="2" customWidth="1"/>
    <col min="42" max="42" width="9.140625" style="2"/>
    <col min="43" max="43" width="34.28515625" style="2" customWidth="1"/>
    <col min="44" max="44" width="23.7109375" style="2" customWidth="1"/>
    <col min="45" max="45" width="14.28515625" style="2" customWidth="1"/>
    <col min="46" max="46" width="5.7109375" style="2" customWidth="1"/>
    <col min="47" max="16384" width="9.140625" style="2"/>
  </cols>
  <sheetData>
    <row r="1" spans="1:46" ht="19.5" customHeight="1" thickBot="1" x14ac:dyDescent="0.25">
      <c r="A1" s="99" t="s">
        <v>834</v>
      </c>
      <c r="B1" s="94"/>
      <c r="C1" s="94"/>
      <c r="D1" s="525"/>
      <c r="E1" s="525"/>
      <c r="F1" s="106" t="s">
        <v>840</v>
      </c>
      <c r="H1" s="1594" t="s">
        <v>1756</v>
      </c>
      <c r="I1" s="1595"/>
      <c r="J1" s="1595"/>
      <c r="K1" s="1595"/>
      <c r="L1" s="1596"/>
      <c r="N1" s="60" t="s">
        <v>977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1602" t="s">
        <v>675</v>
      </c>
      <c r="AC1" s="1603"/>
      <c r="AD1" s="1603"/>
      <c r="AE1" s="1603"/>
      <c r="AF1" s="1603"/>
      <c r="AG1" s="1603"/>
      <c r="AH1" s="1604"/>
      <c r="AI1" s="814"/>
      <c r="AJ1" s="60"/>
      <c r="AL1" s="235" t="s">
        <v>1012</v>
      </c>
      <c r="AM1" s="235" t="s">
        <v>1013</v>
      </c>
      <c r="AN1" s="235" t="s">
        <v>838</v>
      </c>
      <c r="AO1" s="235" t="s">
        <v>837</v>
      </c>
      <c r="AQ1" s="1617" t="s">
        <v>949</v>
      </c>
      <c r="AR1" s="1617"/>
      <c r="AS1" s="1617"/>
      <c r="AT1" s="385"/>
    </row>
    <row r="2" spans="1:46" ht="12.75" customHeight="1" thickBot="1" x14ac:dyDescent="0.25">
      <c r="A2" s="529" t="s">
        <v>1832</v>
      </c>
      <c r="B2" s="530"/>
      <c r="C2" s="5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1611</v>
      </c>
      <c r="AB2" s="814"/>
      <c r="AC2" s="814"/>
      <c r="AD2" s="814"/>
      <c r="AE2" s="814"/>
      <c r="AF2" s="814"/>
      <c r="AG2" s="814"/>
      <c r="AH2" s="814"/>
      <c r="AI2" s="814"/>
      <c r="AJ2" s="60" t="s">
        <v>550</v>
      </c>
      <c r="AL2" s="235"/>
      <c r="AM2" s="235"/>
      <c r="AN2" s="235"/>
      <c r="AO2" s="235"/>
      <c r="AT2" s="385"/>
    </row>
    <row r="3" spans="1:46" ht="13.5" thickBot="1" x14ac:dyDescent="0.25">
      <c r="A3" s="744" t="s">
        <v>195</v>
      </c>
      <c r="B3" s="745" t="str">
        <f>IF(C3="Building","B",IF(C3="Pers Pty","PP","None"))</f>
        <v>B</v>
      </c>
      <c r="C3" s="978" t="str">
        <f>IF(AND(TC5_BLDG1!C27="Yes",TC5_PP1!C27="Yes"),"Building",IF(AND(TC5_BLDG1!C27="No",TC5_PP1!C27="Yes"),"Pers Pty",IF(AND(TC5_BLDG1!C27="Yes",TC5_PP1!C27="No"),"Building","Neither")))</f>
        <v>Building</v>
      </c>
      <c r="D3" s="203" t="s">
        <v>1</v>
      </c>
      <c r="E3" s="820" t="str">
        <f>IF(TC5_EE1!F3="Yes","EE","Available")</f>
        <v>EE</v>
      </c>
      <c r="F3" s="1070" t="s">
        <v>857</v>
      </c>
      <c r="H3" s="1273">
        <f>Summary5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1546</v>
      </c>
      <c r="W3" s="247">
        <f>B29</f>
        <v>0.126</v>
      </c>
      <c r="X3" s="2">
        <f>C29</f>
        <v>4.2000000000000003E-2</v>
      </c>
      <c r="Y3" s="2">
        <f>IF(C12="SP",VLOOKUP(B13,Table_Time_Special,E4,FALSE),0)</f>
        <v>4.3999999999999997E-2</v>
      </c>
      <c r="Z3" s="2">
        <f>HLOOKUP(B12,Table_BroadTime,IF(F5="Yes",3,2),FALSE)</f>
        <v>1.0999999999999999E-2</v>
      </c>
      <c r="AB3" s="60" t="s">
        <v>682</v>
      </c>
      <c r="AD3" s="235"/>
      <c r="AE3" s="235"/>
      <c r="AF3" s="60" t="s">
        <v>683</v>
      </c>
      <c r="AH3" s="235"/>
      <c r="AI3" s="235"/>
      <c r="AJ3" s="146"/>
      <c r="AK3" s="545" t="s">
        <v>1049</v>
      </c>
      <c r="AL3" s="146">
        <f>VLOOKUP(1,Table_Time_Utility,2,FALSE)</f>
        <v>2.1999999999999999E-2</v>
      </c>
      <c r="AM3" s="146">
        <f>VLOOKUP(1,Table_Time_Utility,3,FALSE)</f>
        <v>1.0999999999999999E-2</v>
      </c>
      <c r="AN3" s="146">
        <f>VLOOKUP(1,Table_Time_Utility,5,FALSE)</f>
        <v>1.9E-2</v>
      </c>
      <c r="AO3" s="563">
        <f>VLOOKUP(1,Table_Time_Utility,4,FALSE)</f>
        <v>6.0000000000000001E-3</v>
      </c>
      <c r="AQ3" s="154" t="s">
        <v>950</v>
      </c>
      <c r="AR3" s="86"/>
      <c r="AS3" s="156" t="s">
        <v>951</v>
      </c>
      <c r="AT3" s="385"/>
    </row>
    <row r="4" spans="1:46" x14ac:dyDescent="0.2">
      <c r="A4" s="120" t="s">
        <v>1024</v>
      </c>
      <c r="B4" s="95"/>
      <c r="C4" s="818" t="str">
        <f>IF(B3="B",TC5_BLDG1!C3,IF(B3="PP",TC5_PP1!C3,""))</f>
        <v>CT</v>
      </c>
      <c r="D4" s="107" t="s">
        <v>961</v>
      </c>
      <c r="E4" s="887">
        <f>IF(C12&lt;&gt;"SP","N/A",IF(F5="Yes",3,2))</f>
        <v>2</v>
      </c>
      <c r="F4" s="962">
        <v>500000</v>
      </c>
      <c r="H4" s="82"/>
      <c r="I4" s="189"/>
      <c r="J4" s="4"/>
      <c r="K4" s="4"/>
      <c r="L4" s="4"/>
      <c r="N4" s="146"/>
      <c r="O4" s="83" t="s">
        <v>2166</v>
      </c>
      <c r="P4" s="1418">
        <f>PRODUCT(P2:P3)</f>
        <v>2.6219999999999999</v>
      </c>
      <c r="Q4" s="1418">
        <f>PRODUCT(Q2:Q3)</f>
        <v>2.6219999999999999</v>
      </c>
      <c r="R4" s="1418">
        <f>PRODUCT(R2:R3)</f>
        <v>2.6219999999999999</v>
      </c>
      <c r="S4" s="1418">
        <f>PRODUCT(S2:S3)</f>
        <v>2.6219999999999999</v>
      </c>
      <c r="V4" s="168" t="s">
        <v>970</v>
      </c>
      <c r="W4" s="207">
        <f>IF(B32="Yes",DF_Sprinkler50,1)</f>
        <v>1</v>
      </c>
      <c r="X4" s="207">
        <v>1</v>
      </c>
      <c r="Y4" s="207">
        <v>1</v>
      </c>
      <c r="Z4" s="207">
        <v>1</v>
      </c>
      <c r="AB4" s="266"/>
      <c r="AC4" s="268" t="s">
        <v>1749</v>
      </c>
      <c r="AD4" s="426" t="e">
        <f>IF(F56="Yes",VLOOKUP(F58,Table_EQ_LC,3,FALSE),0)</f>
        <v>#N/A</v>
      </c>
      <c r="AE4" s="266"/>
      <c r="AF4" s="266"/>
      <c r="AG4" s="268" t="s">
        <v>1752</v>
      </c>
      <c r="AH4" s="426">
        <f>IF(F60="Yes",VLOOKUP(E61,Table_Other_PierWharf,6,FALSE),0)</f>
        <v>0</v>
      </c>
      <c r="AI4" s="426"/>
      <c r="AJ4" s="185"/>
      <c r="AK4" s="186" t="s">
        <v>1050</v>
      </c>
      <c r="AL4" s="238">
        <f>F48</f>
        <v>0</v>
      </c>
      <c r="AM4" s="238">
        <f>F48</f>
        <v>0</v>
      </c>
      <c r="AN4" s="238">
        <f>F48</f>
        <v>0</v>
      </c>
      <c r="AO4" s="785">
        <f>F48</f>
        <v>0</v>
      </c>
      <c r="AQ4" s="686" t="s">
        <v>1715</v>
      </c>
      <c r="AS4" s="155">
        <f>IF(AS23&lt;-0.05,-0.05,IF(AS23&gt;0.05,0.05,AS23))</f>
        <v>0</v>
      </c>
      <c r="AT4" s="385"/>
    </row>
    <row r="5" spans="1:46" x14ac:dyDescent="0.2">
      <c r="A5" s="120" t="s">
        <v>1828</v>
      </c>
      <c r="B5" s="729">
        <f>IF(B3="B",TC5_BLDG1!B4,IF(B3="PP",TC5_PP1!B4,""))</f>
        <v>0</v>
      </c>
      <c r="C5" s="818">
        <f>IF(B3="B",TC5_BLDG1!C4,IF(B3="PP",TC5_PP1!C4,""))</f>
        <v>0</v>
      </c>
      <c r="D5" s="124" t="s">
        <v>1218</v>
      </c>
      <c r="E5" s="888">
        <f>IF(F5="Yes",2,3)</f>
        <v>3</v>
      </c>
      <c r="F5" s="962" t="s">
        <v>857</v>
      </c>
      <c r="H5" s="483" t="s">
        <v>977</v>
      </c>
      <c r="I5" s="484">
        <f>IF(F3="Yes",P38,0)</f>
        <v>0</v>
      </c>
      <c r="J5" s="484">
        <f>IF(F3="Yes",Q38,0)</f>
        <v>0</v>
      </c>
      <c r="K5" s="484">
        <f>IF(AND(C12="SP",F3="Yes"),R38,0)</f>
        <v>0</v>
      </c>
      <c r="L5" s="484">
        <f>IF(AND(C12="BR",F3="Yes"),S38,0)</f>
        <v>0</v>
      </c>
      <c r="O5" s="168" t="str">
        <f>C3&amp;" - Loss Cost"</f>
        <v>Building - Loss Cost</v>
      </c>
      <c r="P5" s="247">
        <f>B29</f>
        <v>0.126</v>
      </c>
      <c r="Q5" s="2">
        <f>C29</f>
        <v>4.2000000000000003E-2</v>
      </c>
      <c r="R5" s="247">
        <f>IF(C12="SP",VLOOKUP(B13,Table_Time_Special,E4,FALSE),0)</f>
        <v>4.3999999999999997E-2</v>
      </c>
      <c r="S5" s="2">
        <f>HLOOKUP(B12,Table_BroadTime,IF(F5="Yes",3,2),FALSE)</f>
        <v>1.0999999999999999E-2</v>
      </c>
      <c r="U5" s="185"/>
      <c r="V5" s="186" t="s">
        <v>971</v>
      </c>
      <c r="W5" s="208">
        <f>HLOOKUP(C11,Table_StateRates,6,FALSE)</f>
        <v>1.9</v>
      </c>
      <c r="X5" s="208">
        <f>HLOOKUP(C11,Table_StateRates,6,FALSE)</f>
        <v>1.9</v>
      </c>
      <c r="Y5" s="208">
        <f>HLOOKUP(C11,Table_StateRates,6,FALSE)</f>
        <v>1.9</v>
      </c>
      <c r="Z5" s="208">
        <f>HLOOKUP(C11,Table_StateRates,6,FALSE)</f>
        <v>1.9</v>
      </c>
      <c r="AB5" s="542"/>
      <c r="AC5" s="724" t="s">
        <v>1750</v>
      </c>
      <c r="AD5" s="757">
        <f>IF(F56="Yes",VLOOKUP(F57,Table_EQ_SprLkgExt,4,FALSE),0)</f>
        <v>0.21</v>
      </c>
      <c r="AE5" s="558"/>
      <c r="AF5" s="558"/>
      <c r="AG5" s="755" t="s">
        <v>971</v>
      </c>
      <c r="AH5" s="558">
        <f>HLOOKUP(C11,Table_StateRates,6,FALSE)</f>
        <v>1.9</v>
      </c>
      <c r="AI5" s="558"/>
      <c r="AJ5" s="146"/>
      <c r="AK5" s="301" t="s">
        <v>1051</v>
      </c>
      <c r="AL5" s="146">
        <f>ROUND(PRODUCT(AL3:AL4),3)</f>
        <v>0</v>
      </c>
      <c r="AM5" s="146">
        <f>ROUND(PRODUCT(AM3:AM4),3)</f>
        <v>0</v>
      </c>
      <c r="AN5" s="146">
        <f>ROUND(PRODUCT(AN3:AN4),3)</f>
        <v>0</v>
      </c>
      <c r="AO5" s="146">
        <f>ROUND(PRODUCT(AO3:AO4),3)</f>
        <v>0</v>
      </c>
      <c r="AQ5" s="151" t="s">
        <v>1714</v>
      </c>
      <c r="AS5" s="155">
        <f>IF(AS24&lt;-0.06,-0.06,IF(AS24&gt;0.06,0.06,AS24))</f>
        <v>0</v>
      </c>
      <c r="AT5" s="385"/>
    </row>
    <row r="6" spans="1:46" x14ac:dyDescent="0.2">
      <c r="A6" s="120"/>
      <c r="B6" s="95"/>
      <c r="C6" s="1047"/>
      <c r="D6" s="84" t="s">
        <v>1227</v>
      </c>
      <c r="E6" s="193"/>
      <c r="F6" s="962" t="s">
        <v>857</v>
      </c>
      <c r="H6" s="83"/>
      <c r="I6" s="248"/>
      <c r="J6" s="260"/>
      <c r="K6" s="260"/>
      <c r="L6" s="260"/>
      <c r="O6" s="168" t="s">
        <v>972</v>
      </c>
      <c r="P6" s="207" t="e">
        <f>IF(OR(C27="S",C27="T"),1,VLOOKUP(C14,Table_ProtClass,IF(C15&lt;=3,2,3),FALSE)) - IF(AND(C33=1,ISNUMBER(B31),P11=1),B31,0)</f>
        <v>#N/A</v>
      </c>
      <c r="Q6" s="207">
        <v>1</v>
      </c>
      <c r="R6" s="207">
        <v>1</v>
      </c>
      <c r="S6" s="207">
        <v>1</v>
      </c>
      <c r="V6" s="83" t="s">
        <v>1134</v>
      </c>
      <c r="W6" s="247">
        <f>ROUND(PRODUCT(W3:W5),3)</f>
        <v>0.23899999999999999</v>
      </c>
      <c r="X6" s="247">
        <f>ROUND(PRODUCT(X3:X5),3)</f>
        <v>0.08</v>
      </c>
      <c r="Y6" s="247">
        <f>ROUND(PRODUCT(Y3:Y5),3)</f>
        <v>8.4000000000000005E-2</v>
      </c>
      <c r="Z6" s="247">
        <f>ROUND(PRODUCT(Z3:Z5),3)</f>
        <v>2.1000000000000001E-2</v>
      </c>
      <c r="AB6" s="266"/>
      <c r="AC6" s="568" t="s">
        <v>1751</v>
      </c>
      <c r="AD6" s="426" t="e">
        <f>PRODUCT(AD4:AD5)</f>
        <v>#N/A</v>
      </c>
      <c r="AE6" s="266"/>
      <c r="AF6" s="266"/>
      <c r="AG6" s="268" t="s">
        <v>1019</v>
      </c>
      <c r="AH6" s="423">
        <f>HLOOKUP(C11,Table_StateRates,5,FALSE)</f>
        <v>1.38</v>
      </c>
      <c r="AI6" s="423"/>
      <c r="AK6" s="168" t="s">
        <v>971</v>
      </c>
      <c r="AL6" s="207">
        <f>HLOOKUP(C11,Table_StateRates,6,FALSE)</f>
        <v>1.9</v>
      </c>
      <c r="AM6" s="207">
        <f>HLOOKUP(C11,Table_StateRates,6,FALSE)</f>
        <v>1.9</v>
      </c>
      <c r="AN6" s="207">
        <f>HLOOKUP(C11,Table_StateRates,6,FALSE)</f>
        <v>1.9</v>
      </c>
      <c r="AO6" s="207">
        <f>HLOOKUP(C11,Table_StateRates,6,FALSE)</f>
        <v>1.9</v>
      </c>
      <c r="AQ6" s="8" t="s">
        <v>1716</v>
      </c>
      <c r="AS6" s="155">
        <f>IF(AS25&lt;-0.06,-0.06,IF(AS25&gt;0.06,0.06,AS25))</f>
        <v>0</v>
      </c>
      <c r="AT6" s="385"/>
    </row>
    <row r="7" spans="1:46" ht="13.5" thickBot="1" x14ac:dyDescent="0.25">
      <c r="A7" s="120" t="s">
        <v>969</v>
      </c>
      <c r="B7" s="95"/>
      <c r="C7" s="1079" t="str">
        <f>IF(B3="B",TC5_BLDG1!C6,IF(B3="PP",TC5_PP1!C6,""))</f>
        <v>CPP</v>
      </c>
      <c r="D7" s="84" t="s">
        <v>1222</v>
      </c>
      <c r="E7" s="103"/>
      <c r="F7" s="962">
        <v>100</v>
      </c>
      <c r="H7" s="83"/>
      <c r="I7" s="248"/>
      <c r="J7" s="260"/>
      <c r="K7" s="260"/>
      <c r="L7" s="260"/>
      <c r="N7" s="185"/>
      <c r="O7" s="186" t="s">
        <v>970</v>
      </c>
      <c r="P7" s="208">
        <f>IF(C32="Yes",DF_Sprinkler50,1)</f>
        <v>1</v>
      </c>
      <c r="Q7" s="208">
        <v>1</v>
      </c>
      <c r="R7" s="208">
        <f>IF(C32="Yes",DF_Sprinkler50,1)</f>
        <v>1</v>
      </c>
      <c r="S7" s="208">
        <v>1</v>
      </c>
      <c r="U7" s="185"/>
      <c r="V7" s="186" t="s">
        <v>1253</v>
      </c>
      <c r="W7" s="455">
        <f>IF(OR(ISBLANK(F7),F7="None"),1,IF(E8="Yes",F14,VLOOKUP(F7,IF(F5="Yes",Table_BI_CoIns_EE,Table_BI_CoIns),F8+1,FALSE)+P18))</f>
        <v>0.54</v>
      </c>
      <c r="X7" s="455">
        <f>IF(OR(ISBLANK(F7),F7="None"),1,IF(E8="Yes",F14,VLOOKUP(F7,IF(F5="Yes",Table_BI_CoIns_EE,Table_BI_CoIns),F8+1,FALSE)+X18))</f>
        <v>0.54</v>
      </c>
      <c r="Y7" s="208">
        <v>1</v>
      </c>
      <c r="Z7" s="208">
        <v>1</v>
      </c>
      <c r="AB7" s="558"/>
      <c r="AC7" s="755" t="s">
        <v>971</v>
      </c>
      <c r="AD7" s="558">
        <f>HLOOKUP(C11,Table_StateRates,6,FALSE)</f>
        <v>1.9</v>
      </c>
      <c r="AE7" s="266"/>
      <c r="AF7" s="266"/>
      <c r="AG7" s="268"/>
      <c r="AH7" s="423"/>
      <c r="AI7" s="423"/>
      <c r="AK7" s="168" t="s">
        <v>1019</v>
      </c>
      <c r="AL7" s="207">
        <f>HLOOKUP(C11,Table_StateRates,5,FALSE)</f>
        <v>1.38</v>
      </c>
      <c r="AM7" s="207">
        <f>HLOOKUP(C11,Table_StateRates,5,FALSE)</f>
        <v>1.38</v>
      </c>
      <c r="AN7" s="207">
        <f>HLOOKUP(C11,Table_StateRates,5,FALSE)</f>
        <v>1.38</v>
      </c>
      <c r="AO7" s="207">
        <f>HLOOKUP(C11,Table_StateRates,5,FALSE)</f>
        <v>1.38</v>
      </c>
      <c r="AQ7" s="8" t="s">
        <v>1717</v>
      </c>
      <c r="AS7" s="155">
        <f>IF(AS26&lt;-0.1,-0.1,IF(AS26&gt;0.1,0.1,AS26))</f>
        <v>0</v>
      </c>
      <c r="AT7" s="385"/>
    </row>
    <row r="8" spans="1:46" ht="13.5" thickBot="1" x14ac:dyDescent="0.25">
      <c r="A8" s="143" t="s">
        <v>923</v>
      </c>
      <c r="B8" s="1236" t="str">
        <f>IF(B3="B",TC5_BLDG1!B7,IF(B3="PP",TC5_PP1!B7,""))</f>
        <v>No</v>
      </c>
      <c r="C8" s="1047"/>
      <c r="D8" s="84" t="s">
        <v>1205</v>
      </c>
      <c r="E8" s="479" t="s">
        <v>857</v>
      </c>
      <c r="F8" s="1237">
        <v>1</v>
      </c>
      <c r="H8" s="82" t="s">
        <v>1661</v>
      </c>
      <c r="I8" s="248"/>
      <c r="J8" s="260"/>
      <c r="K8" s="260"/>
      <c r="L8" s="260"/>
      <c r="O8" s="83" t="str">
        <f>C3&amp; " Base Rate"</f>
        <v>Building Base Rate</v>
      </c>
      <c r="P8" s="1315" t="e">
        <f>ROUND(PRODUCT(P4:P7),3)</f>
        <v>#N/A</v>
      </c>
      <c r="Q8" s="1315">
        <f>ROUND(PRODUCT(Q4:Q7),3)</f>
        <v>0.11</v>
      </c>
      <c r="R8" s="1315">
        <f>ROUND(PRODUCT(R4:R7),3)</f>
        <v>0.115</v>
      </c>
      <c r="S8" s="1315">
        <f>ROUND(PRODUCT(S4:S7),3)</f>
        <v>2.9000000000000001E-2</v>
      </c>
      <c r="V8" s="83" t="s">
        <v>16</v>
      </c>
      <c r="W8" s="247">
        <f>ROUND(PRODUCT(W6:W7),3)</f>
        <v>0.129</v>
      </c>
      <c r="X8" s="247">
        <f>ROUND(PRODUCT(X6:X7),3)</f>
        <v>4.2999999999999997E-2</v>
      </c>
      <c r="Y8" s="247">
        <f>ROUND(PRODUCT(Y6:Y7),3)</f>
        <v>8.4000000000000005E-2</v>
      </c>
      <c r="Z8" s="247">
        <f>ROUND(PRODUCT(Z6:Z7),3)</f>
        <v>2.1000000000000001E-2</v>
      </c>
      <c r="AB8" s="266"/>
      <c r="AC8" s="268" t="s">
        <v>1253</v>
      </c>
      <c r="AD8" s="423">
        <f>IF(F17="Yes", P17, IF(F18="Yes",P19,P16))</f>
        <v>0.54</v>
      </c>
      <c r="AE8" s="266"/>
      <c r="AF8" s="266"/>
      <c r="AG8" s="268"/>
      <c r="AH8" s="423"/>
      <c r="AI8" s="423"/>
      <c r="AK8" s="168" t="s">
        <v>180</v>
      </c>
      <c r="AL8" s="207">
        <v>1</v>
      </c>
      <c r="AM8" s="207">
        <v>1</v>
      </c>
      <c r="AN8" s="207">
        <v>1</v>
      </c>
      <c r="AO8" s="207">
        <v>1</v>
      </c>
      <c r="AQ8" s="687" t="s">
        <v>1718</v>
      </c>
      <c r="AS8" s="155">
        <f>IF(AS27&lt;-0.06,-0.06,IF(AS27&gt;0.06,0.06,AS27))</f>
        <v>0</v>
      </c>
      <c r="AT8" s="385"/>
    </row>
    <row r="9" spans="1:46" x14ac:dyDescent="0.2">
      <c r="A9" s="120"/>
      <c r="B9" s="95"/>
      <c r="C9" s="1047"/>
      <c r="D9" s="488" t="str">
        <f>IF(F3="No","",IF(E8="Yes","Please Select the 2 Occ. Types below","Select 1 Occ. Type in Cell F8"))</f>
        <v/>
      </c>
      <c r="E9" s="487"/>
      <c r="F9" s="533"/>
      <c r="H9" s="189" t="s">
        <v>1826</v>
      </c>
      <c r="I9" s="258">
        <f>IF($F37="Yes",W34,0)</f>
        <v>0</v>
      </c>
      <c r="J9" s="258">
        <f>IF($F37="Yes",X34,0)</f>
        <v>0</v>
      </c>
      <c r="K9" s="258">
        <f>IF($F37="Yes",Y34,0)</f>
        <v>0</v>
      </c>
      <c r="L9" s="258">
        <f>IF(AND(F37="Yes",C12="BR"),Z34,0)</f>
        <v>0</v>
      </c>
      <c r="O9" s="168" t="s">
        <v>1100</v>
      </c>
      <c r="P9" s="207">
        <f>IF(C31="Yes",IF(B31&lt;&gt;"Sprinkler",1,VLOOKUP(C15,Table_SprLkg,IF(B3="B",2,3),FALSE)),1)</f>
        <v>1</v>
      </c>
      <c r="Q9" s="207">
        <v>1</v>
      </c>
      <c r="R9" s="207">
        <v>1</v>
      </c>
      <c r="S9" s="207">
        <v>1</v>
      </c>
      <c r="V9" s="189" t="s">
        <v>1496</v>
      </c>
      <c r="W9" s="207">
        <v>1</v>
      </c>
      <c r="X9" s="247">
        <f>IF(C34="Yes",VLOOKUP(C15,Table_Construction,3,FALSE),1)</f>
        <v>1</v>
      </c>
      <c r="Y9" s="207">
        <v>1</v>
      </c>
      <c r="Z9" s="207">
        <v>1</v>
      </c>
      <c r="AB9" s="266"/>
      <c r="AC9" s="268" t="s">
        <v>1573</v>
      </c>
      <c r="AD9" s="423">
        <f>IF(F28="Yes",VLOOKUP(E29,Table_CivilAuth,2,FALSE),1)</f>
        <v>1</v>
      </c>
      <c r="AE9" s="266"/>
      <c r="AF9" s="266"/>
      <c r="AG9" s="268" t="s">
        <v>180</v>
      </c>
      <c r="AH9" s="423">
        <f>1+$AU$25</f>
        <v>1</v>
      </c>
      <c r="AI9" s="423"/>
      <c r="AJ9" s="146"/>
      <c r="AK9" s="545" t="s">
        <v>1020</v>
      </c>
      <c r="AL9" s="299">
        <f>IF(C7="PAC",VLOOKUP(B8,Table_PakMods,MATCH(C11,List_Company,0)+1,FALSE),1)</f>
        <v>1</v>
      </c>
      <c r="AM9" s="299">
        <f>IF(C7="PAC",VLOOKUP(B8,Table_PakMods,MATCH(C11,List_Company,0)+1,FALSE),1)</f>
        <v>1</v>
      </c>
      <c r="AN9" s="299">
        <f>IF(C7="PAC",VLOOKUP(B8,Table_PakMods,MATCH(C11,List_Company,0)+1,FALSE),1)</f>
        <v>1</v>
      </c>
      <c r="AO9" s="299">
        <f>IF(C7="PAC",VLOOKUP(B8,Table_PakMods,MATCH(C11,List_Company,0)+1,FALSE),1)</f>
        <v>1</v>
      </c>
      <c r="AQ9" s="153" t="s">
        <v>1719</v>
      </c>
      <c r="AS9" s="155">
        <f>IF(AS28&lt;-0.025,-0.025,IF(AS28&gt;0.025,0.025,AS28))</f>
        <v>0</v>
      </c>
      <c r="AT9" s="385"/>
    </row>
    <row r="10" spans="1:46" x14ac:dyDescent="0.2">
      <c r="A10" s="120" t="s">
        <v>1829</v>
      </c>
      <c r="B10" s="95"/>
      <c r="C10" s="818">
        <f>IF(B3="B",TC5_BLDG1!C9,IF(B3="PP",TC5_PP1!C9,""))</f>
        <v>1</v>
      </c>
      <c r="D10" s="159" t="s">
        <v>1662</v>
      </c>
      <c r="E10" s="961" t="s">
        <v>857</v>
      </c>
      <c r="F10" s="962" t="s">
        <v>857</v>
      </c>
      <c r="H10" s="82"/>
      <c r="I10" s="248"/>
      <c r="J10" s="248"/>
      <c r="K10" s="248"/>
      <c r="L10" s="248"/>
      <c r="O10" s="236" t="s">
        <v>1099</v>
      </c>
      <c r="P10" s="281">
        <f>C33</f>
        <v>0</v>
      </c>
      <c r="Q10" s="211">
        <v>1</v>
      </c>
      <c r="R10" s="211">
        <v>1</v>
      </c>
      <c r="S10" s="211">
        <v>1</v>
      </c>
      <c r="V10" s="168" t="s">
        <v>972</v>
      </c>
      <c r="W10" s="207">
        <f>IF(OR(C27="S",C27="T"),1,VLOOKUP(C14,Table_ProtClass,IF(C15&lt;=3,2,3),FALSE)) - IF(AND(C33=1,ISNUMBER(B31),W11=1),B31,0)</f>
        <v>0.96</v>
      </c>
      <c r="X10" s="207">
        <v>1</v>
      </c>
      <c r="Y10" s="207">
        <v>1</v>
      </c>
      <c r="Z10" s="207">
        <v>1</v>
      </c>
      <c r="AB10" s="266"/>
      <c r="AC10" s="268" t="s">
        <v>180</v>
      </c>
      <c r="AD10" s="423">
        <f>1+$AU$25</f>
        <v>1</v>
      </c>
      <c r="AE10" s="266"/>
      <c r="AF10" s="266"/>
      <c r="AG10" s="545" t="s">
        <v>1020</v>
      </c>
      <c r="AH10" s="299">
        <f>IF(C7="PAC",VLOOKUP(B8,Table_PakMods,MATCH(C11,List_Company,0)+1,FALSE),1)</f>
        <v>1</v>
      </c>
      <c r="AI10" s="299"/>
      <c r="AJ10" s="542"/>
      <c r="AK10" s="724" t="s">
        <v>1022</v>
      </c>
      <c r="AL10" s="279">
        <v>1</v>
      </c>
      <c r="AM10" s="279">
        <v>1</v>
      </c>
      <c r="AN10" s="279">
        <v>1</v>
      </c>
      <c r="AO10" s="279">
        <v>1</v>
      </c>
      <c r="AQ10" s="687" t="s">
        <v>1720</v>
      </c>
      <c r="AS10" s="155">
        <f>IF(AS29&lt;-0.025,-0.025,IF(AS29&gt;0.025,0.025,AS29))</f>
        <v>0</v>
      </c>
      <c r="AT10" s="385"/>
    </row>
    <row r="11" spans="1:46" x14ac:dyDescent="0.2">
      <c r="A11" s="120" t="s">
        <v>835</v>
      </c>
      <c r="B11" s="95"/>
      <c r="C11" s="1079" t="str">
        <f>IF(B3="B",TC5_BLDG1!C11,IF(B3="PP",TC5_PP1!C11,""))</f>
        <v>GAIC</v>
      </c>
      <c r="D11" s="159" t="s">
        <v>1663</v>
      </c>
      <c r="E11" s="950"/>
      <c r="F11" s="962"/>
      <c r="L11" s="890" t="s">
        <v>1048</v>
      </c>
      <c r="O11" s="168" t="s">
        <v>1199</v>
      </c>
      <c r="P11" s="977" t="e">
        <f>IF(OR(C27="S",C27="T"),1,IF(C12="SP",VLOOKUP(C18,Table_TerrMult_SP,2,FALSE),VLOOKUP(C17,Table_TerrMult,2,FALSE))) - IF(AND((C31)="Yes",ISNUMBER(B31)),B31,0) -IF(AND(ISNUMBER(C33),Q48="TM"),C33,0)</f>
        <v>#N/A</v>
      </c>
      <c r="Q11" s="207">
        <v>1</v>
      </c>
      <c r="R11" s="207">
        <v>1</v>
      </c>
      <c r="S11" s="207">
        <v>1</v>
      </c>
      <c r="V11" s="168" t="s">
        <v>1199</v>
      </c>
      <c r="W11" s="977">
        <f>IF(OR(C27="S",C27="T"),1,VLOOKUP(C17,Table_TerrMult,2,FALSE)) - IF(AND((C31)="Yes",ISNUMBER(B31)),B31,0) -IF(AND(ISNUMBER(C33),Q48="TM"),C33,0)</f>
        <v>1</v>
      </c>
      <c r="X11" s="207">
        <v>1</v>
      </c>
      <c r="Y11" s="207">
        <v>1</v>
      </c>
      <c r="Z11" s="207">
        <v>1</v>
      </c>
      <c r="AB11" s="266"/>
      <c r="AC11" s="545" t="s">
        <v>1020</v>
      </c>
      <c r="AD11" s="299">
        <f>IF(C7="PAC",VLOOKUP(B8,Table_PakMods,MATCH(C11,List_Company,0)+1,FALSE),1)</f>
        <v>1</v>
      </c>
      <c r="AE11" s="266"/>
      <c r="AF11" s="542"/>
      <c r="AG11" s="724" t="s">
        <v>1022</v>
      </c>
      <c r="AH11" s="279">
        <f>1+$AS$14</f>
        <v>1</v>
      </c>
      <c r="AI11" s="559"/>
      <c r="AK11" s="83" t="s">
        <v>1150</v>
      </c>
      <c r="AL11" s="2">
        <f>ROUND(PRODUCT(AL5:AL10),3)</f>
        <v>0</v>
      </c>
      <c r="AM11" s="2">
        <f>ROUND(PRODUCT(AM5:AM10),3)</f>
        <v>0</v>
      </c>
      <c r="AN11" s="2">
        <f>ROUND(PRODUCT(AN5:AN10),3)</f>
        <v>0</v>
      </c>
      <c r="AO11" s="2">
        <f>ROUND(PRODUCT(AO5:AO10),3)</f>
        <v>0</v>
      </c>
      <c r="AQ11" s="687" t="s">
        <v>1721</v>
      </c>
      <c r="AS11" s="155">
        <f>IF(AS30&lt;-0.075,-0.075,IF(AS30&gt;0.075,0.075,AS30))</f>
        <v>0</v>
      </c>
      <c r="AT11" s="385"/>
    </row>
    <row r="12" spans="1:46" ht="13.5" thickBot="1" x14ac:dyDescent="0.25">
      <c r="A12" s="415" t="s">
        <v>910</v>
      </c>
      <c r="B12" s="493">
        <f>IF(OR(C15=5,C15=6),1,2)</f>
        <v>2</v>
      </c>
      <c r="C12" s="1051" t="s">
        <v>894</v>
      </c>
      <c r="D12" s="159" t="s">
        <v>1223</v>
      </c>
      <c r="E12" s="950"/>
      <c r="F12" s="962"/>
      <c r="H12" s="168" t="s">
        <v>1046</v>
      </c>
      <c r="I12" s="248">
        <f>IF(AND(F3="Yes",F44="Yes"),W60,0)</f>
        <v>0</v>
      </c>
      <c r="J12" s="248"/>
      <c r="K12" s="248"/>
      <c r="L12" s="248"/>
      <c r="O12" s="1117" t="s">
        <v>2140</v>
      </c>
      <c r="P12" s="247">
        <f>DF_BI_BRF1</f>
        <v>0.8</v>
      </c>
      <c r="Q12" s="247">
        <f>DF_BI_BRF2</f>
        <v>0.65</v>
      </c>
      <c r="R12" s="247">
        <v>1</v>
      </c>
      <c r="S12" s="247">
        <v>1</v>
      </c>
      <c r="V12" s="168" t="s">
        <v>1100</v>
      </c>
      <c r="W12" s="207">
        <f>IF(C31="Yes",IF(B31&lt;&gt;"Sprinkler",1,VLOOKUP(C15,Table_SprLkg,IF(B3="B",2,3),FALSE)),1)</f>
        <v>1</v>
      </c>
      <c r="X12" s="207">
        <v>1</v>
      </c>
      <c r="Y12" s="207">
        <v>1</v>
      </c>
      <c r="Z12" s="207">
        <v>1</v>
      </c>
      <c r="AB12" s="542"/>
      <c r="AC12" s="724" t="s">
        <v>1022</v>
      </c>
      <c r="AD12" s="279">
        <f>1+$AS$14</f>
        <v>1</v>
      </c>
      <c r="AE12" s="385"/>
      <c r="AF12" s="385"/>
      <c r="AG12" s="685" t="s">
        <v>396</v>
      </c>
      <c r="AH12" s="385">
        <f>ROUND(PRODUCT(AH4:AH11),3)</f>
        <v>0</v>
      </c>
      <c r="AI12" s="385"/>
      <c r="AJ12" s="185"/>
      <c r="AK12" s="186" t="s">
        <v>1025</v>
      </c>
      <c r="AL12" s="238">
        <f>IF(ISNUMBER(E47),E47/100,0)</f>
        <v>0</v>
      </c>
      <c r="AM12" s="238">
        <f>IF(ISNUMBER(E47),E47/100,0)</f>
        <v>0</v>
      </c>
      <c r="AN12" s="238">
        <f>IF(ISNUMBER(E47),E47/100,0)</f>
        <v>0</v>
      </c>
      <c r="AO12" s="238">
        <f>IF(ISNUMBER(E47),E47/100,0)</f>
        <v>0</v>
      </c>
      <c r="AQ12" s="8" t="s">
        <v>1722</v>
      </c>
      <c r="AS12" s="155">
        <f>IF(AS31&lt;-0.05,-0.05,IF(AS31&gt;0.05,0.05,AS31))</f>
        <v>0</v>
      </c>
      <c r="AT12" s="385"/>
    </row>
    <row r="13" spans="1:46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52">
        <v>2</v>
      </c>
      <c r="D13" s="480"/>
      <c r="E13" s="815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168" t="s">
        <v>1047</v>
      </c>
      <c r="I13" s="248">
        <f>IF(AND(F3="Yes",F46="Yes"),AL48,0)</f>
        <v>0</v>
      </c>
      <c r="J13" s="248"/>
      <c r="K13" s="248"/>
      <c r="L13" s="248"/>
      <c r="O13" s="189" t="s">
        <v>1496</v>
      </c>
      <c r="P13" s="207">
        <v>1</v>
      </c>
      <c r="Q13" s="207">
        <f>IF(C34="Yes",VLOOKUP(C15,Table_Construction,3,FALSE),1)</f>
        <v>1</v>
      </c>
      <c r="R13" s="207">
        <v>1</v>
      </c>
      <c r="S13" s="207">
        <v>1</v>
      </c>
      <c r="V13" s="236" t="s">
        <v>1099</v>
      </c>
      <c r="W13" s="281">
        <f>B33</f>
        <v>0</v>
      </c>
      <c r="X13" s="211">
        <v>1</v>
      </c>
      <c r="Y13" s="211">
        <v>1</v>
      </c>
      <c r="Z13" s="211">
        <v>1</v>
      </c>
      <c r="AB13" s="385"/>
      <c r="AC13" s="685" t="s">
        <v>679</v>
      </c>
      <c r="AD13" s="558" t="e">
        <f>ROUND(PRODUCT(AD6:AD12),3)</f>
        <v>#N/A</v>
      </c>
      <c r="AE13" s="266"/>
      <c r="AF13" s="542"/>
      <c r="AG13" s="724" t="s">
        <v>1572</v>
      </c>
      <c r="AH13" s="238">
        <f>IF(ISNUMBER(F4),F4/100,0)</f>
        <v>5000</v>
      </c>
      <c r="AI13" s="478"/>
      <c r="AK13" s="83" t="s">
        <v>1647</v>
      </c>
      <c r="AL13" s="248">
        <f>ROUND(PRODUCT(AL11:AL12),0)</f>
        <v>0</v>
      </c>
      <c r="AM13" s="248">
        <f>ROUND(PRODUCT(AM11:AM12),0)</f>
        <v>0</v>
      </c>
      <c r="AN13" s="248">
        <f>ROUND(PRODUCT(AN11:AN12),0)</f>
        <v>0</v>
      </c>
      <c r="AO13" s="248">
        <f>ROUND(PRODUCT(AO11:AO12),0)</f>
        <v>0</v>
      </c>
      <c r="AQ13" s="8"/>
      <c r="AS13" s="155"/>
      <c r="AT13" s="385"/>
    </row>
    <row r="14" spans="1:46" ht="13.5" thickBot="1" x14ac:dyDescent="0.25">
      <c r="A14" s="108" t="s">
        <v>898</v>
      </c>
      <c r="B14" s="95"/>
      <c r="C14" s="1079">
        <f>IF(B3="B",TC5_BLDG1!C14,IF(B3="PP",TC5_PP1!C14,""))</f>
        <v>3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491" t="str">
        <f>IF(AND(E8="Yes",E14="Area"),ROUND(SUM(E13:F13)/SUM(E11:F11),3),IF(AND(E8="Yes",E14="Value"),ROUND(SUM(E12:F12)/SUM(E13:F13),3),""))</f>
        <v/>
      </c>
      <c r="I14" s="248"/>
      <c r="J14" s="248"/>
      <c r="K14" s="248"/>
      <c r="L14" s="248"/>
      <c r="N14" s="209"/>
      <c r="O14" s="210" t="s">
        <v>1016</v>
      </c>
      <c r="P14" s="212">
        <v>1</v>
      </c>
      <c r="Q14" s="212">
        <v>1</v>
      </c>
      <c r="R14" s="212">
        <v>1</v>
      </c>
      <c r="S14" s="212">
        <v>1</v>
      </c>
      <c r="U14" s="209"/>
      <c r="V14" s="210" t="s">
        <v>1016</v>
      </c>
      <c r="W14" s="212">
        <v>1</v>
      </c>
      <c r="X14" s="212">
        <v>1</v>
      </c>
      <c r="Y14" s="212">
        <v>1</v>
      </c>
      <c r="Z14" s="212">
        <v>1</v>
      </c>
      <c r="AB14" s="542"/>
      <c r="AC14" s="724" t="s">
        <v>1572</v>
      </c>
      <c r="AD14" s="238">
        <f>IF(ISNUMBER(F4),F4/100,0)</f>
        <v>5000</v>
      </c>
      <c r="AE14" s="266"/>
      <c r="AF14" s="266"/>
      <c r="AG14" s="568" t="s">
        <v>680</v>
      </c>
      <c r="AH14" s="248">
        <f>ROUND(PRODUCT(AH12:AH13),0)</f>
        <v>0</v>
      </c>
      <c r="AI14" s="248"/>
      <c r="AR14" s="60" t="s">
        <v>952</v>
      </c>
      <c r="AS14" s="157">
        <f>IF(SUM(AS4:AS13)&lt;-0.4,-0.4,IF(SUM(AS4:AS13)&gt;0.4,0.4,SUM(AS4:AS13)))</f>
        <v>0</v>
      </c>
      <c r="AT14" s="385"/>
    </row>
    <row r="15" spans="1:46" ht="13.5" customHeight="1" x14ac:dyDescent="0.2">
      <c r="A15" s="108" t="s">
        <v>1073</v>
      </c>
      <c r="B15" s="319" t="str">
        <f>IF(C15&lt;=4,"B","A")</f>
        <v>B</v>
      </c>
      <c r="C15" s="1080">
        <f>IF(B3="B",TC5_BLDG1!C15,IF(B3="PP",TC5_PP1!C15,""))</f>
        <v>1</v>
      </c>
      <c r="D15" s="84" t="s">
        <v>1224</v>
      </c>
      <c r="E15" s="193"/>
      <c r="F15" s="964" t="s">
        <v>857</v>
      </c>
      <c r="H15" s="568" t="s">
        <v>244</v>
      </c>
      <c r="I15" s="797">
        <f>SUM(I12:I13,I9:L9)</f>
        <v>0</v>
      </c>
      <c r="O15" s="168" t="s">
        <v>1250</v>
      </c>
      <c r="P15" s="207">
        <f>IF(F6="Yes",DF_BI_AV,1)</f>
        <v>1</v>
      </c>
      <c r="Q15" s="207">
        <f>IF(F6="Yes",DF_BI_AV,1)</f>
        <v>1</v>
      </c>
      <c r="R15" s="207">
        <f>IF(F6="Yes",DF_BI_AV,1)</f>
        <v>1</v>
      </c>
      <c r="S15" s="207">
        <f>IF(F6="Yes",DF_BI_AV,1)</f>
        <v>1</v>
      </c>
      <c r="V15" s="168" t="s">
        <v>1250</v>
      </c>
      <c r="W15" s="207">
        <f>IF(F6="Yes",DF_BI_AV,1)</f>
        <v>1</v>
      </c>
      <c r="X15" s="207">
        <f>IF(F6="Yes",DF_BI_AV,1)</f>
        <v>1</v>
      </c>
      <c r="Y15" s="207">
        <v>1</v>
      </c>
      <c r="Z15" s="207">
        <v>1</v>
      </c>
      <c r="AB15" s="266"/>
      <c r="AC15" s="568" t="s">
        <v>680</v>
      </c>
      <c r="AD15" s="248" t="e">
        <f>ROUND(PRODUCT(AD13:AD14),0)</f>
        <v>#N/A</v>
      </c>
      <c r="AE15" s="266"/>
      <c r="AF15" s="266"/>
      <c r="AG15" s="266"/>
      <c r="AH15" s="266"/>
      <c r="AI15" s="266"/>
      <c r="AK15" s="685" t="s">
        <v>549</v>
      </c>
      <c r="AL15" s="907">
        <f>IF(E48="Yes",IF(C12="SP",SUM(AL13:AN13),IF(C12="BR",SUM(AL13:AM13,AO13),SUM(AL13:AM13))),0)</f>
        <v>0</v>
      </c>
      <c r="AQ15" s="686"/>
      <c r="AR15" s="385"/>
      <c r="AS15" s="738"/>
      <c r="AT15" s="385"/>
    </row>
    <row r="16" spans="1:46" x14ac:dyDescent="0.2">
      <c r="A16" s="84" t="s">
        <v>975</v>
      </c>
      <c r="B16" s="160"/>
      <c r="C16" s="1080" t="str">
        <f>IF(B3="B",TC5_BLDG1!C16,IF(B3="PP",TC5_PP1!C16,""))</f>
        <v>A</v>
      </c>
      <c r="D16" s="159" t="s">
        <v>1244</v>
      </c>
      <c r="E16" s="963"/>
      <c r="F16" s="277"/>
      <c r="N16" s="146"/>
      <c r="O16" s="545" t="s">
        <v>1253</v>
      </c>
      <c r="P16" s="563">
        <f>IF(OR(ISBLANK(F7),F7="None"),1,IF(E8="Yes",F14+P18,VLOOKUP(F7,IF(F5="Yes",Table_BI_CoIns_EE,Table_BI_CoIns),F8+1,FALSE)+P18))</f>
        <v>0.54</v>
      </c>
      <c r="Q16" s="563">
        <f>IF(OR(ISBLANK(F7),F7="None"),1,IF(E8="Yes",F14,VLOOKUP(F7,IF(F5="Yes",Table_BI_CoIns_EE,Table_BI_CoIns),F8+1,FALSE)+Q18))</f>
        <v>0.54</v>
      </c>
      <c r="R16" s="299">
        <v>1</v>
      </c>
      <c r="S16" s="299">
        <v>1</v>
      </c>
      <c r="V16" s="83" t="s">
        <v>1251</v>
      </c>
      <c r="W16" s="207">
        <f>IF(F17="Yes",VLOOKUP(F8,Table_BI_MaxInd,E5,FALSE)+W18,1)</f>
        <v>1</v>
      </c>
      <c r="X16" s="207">
        <f>IF(F17="Yes",VLOOKUP(F8,Table_BI_MaxInd,E5,FALSE)+X18,1)</f>
        <v>1</v>
      </c>
      <c r="Y16" s="207">
        <v>1</v>
      </c>
      <c r="Z16" s="207">
        <v>1</v>
      </c>
      <c r="AB16" s="266"/>
      <c r="AC16" s="266"/>
      <c r="AD16" s="266"/>
      <c r="AE16" s="557"/>
      <c r="AF16" s="557"/>
      <c r="AG16" s="557"/>
      <c r="AH16" s="557"/>
      <c r="AI16" s="557"/>
      <c r="AK16" s="685"/>
      <c r="AL16" s="701"/>
      <c r="AQ16" s="385"/>
      <c r="AR16" s="385"/>
      <c r="AS16" s="738"/>
      <c r="AT16" s="385"/>
    </row>
    <row r="17" spans="1:48" ht="15" customHeight="1" thickBot="1" x14ac:dyDescent="0.25">
      <c r="A17" s="122" t="s">
        <v>974</v>
      </c>
      <c r="B17" s="95"/>
      <c r="C17" s="1079">
        <f>IF(B3="B",TC5_BLDG1!C17,IF(B3="PP",TC5_PP1!C17,""))</f>
        <v>1</v>
      </c>
      <c r="D17" s="84" t="s">
        <v>1204</v>
      </c>
      <c r="E17" s="193"/>
      <c r="F17" s="960" t="s">
        <v>857</v>
      </c>
      <c r="O17" s="83" t="s">
        <v>2241</v>
      </c>
      <c r="P17" s="207">
        <f>IF(F17="Yes",VLOOKUP(F8,Table_BI_MaxInd,E5,FALSE)+P18,1)</f>
        <v>1</v>
      </c>
      <c r="Q17" s="207">
        <f>IF(F17="Yes",VLOOKUP(F8,Table_BI_MaxInd,E5,FALSE)+Q18,1)</f>
        <v>1</v>
      </c>
      <c r="R17" s="207">
        <v>1</v>
      </c>
      <c r="S17" s="207">
        <v>1</v>
      </c>
      <c r="V17" s="83" t="s">
        <v>1252</v>
      </c>
      <c r="W17" s="207">
        <f ca="1">IF(F18="Yes",VLOOKUP(E19,INDIRECT("Table_BI_Mos"&amp;F8),E5,FALSE)+W18,1)</f>
        <v>1</v>
      </c>
      <c r="X17" s="207">
        <f ca="1">IF(F18="Yes",VLOOKUP(E19,INDIRECT("Table_BI_Mos"&amp;F8),E5,FALSE)+X18,1)</f>
        <v>1</v>
      </c>
      <c r="Y17" s="207">
        <v>1</v>
      </c>
      <c r="Z17" s="207">
        <v>1</v>
      </c>
      <c r="AB17" s="557"/>
      <c r="AC17" s="557"/>
      <c r="AD17" s="557"/>
      <c r="AE17" s="266"/>
      <c r="AF17" s="60" t="s">
        <v>684</v>
      </c>
      <c r="AH17" s="235"/>
      <c r="AI17" s="235"/>
      <c r="AQ17" s="385"/>
      <c r="AR17" s="701"/>
      <c r="AS17" s="738"/>
      <c r="AT17" s="385"/>
    </row>
    <row r="18" spans="1:48" x14ac:dyDescent="0.2">
      <c r="A18" s="1195" t="s">
        <v>2097</v>
      </c>
      <c r="B18" s="95"/>
      <c r="C18" s="1194"/>
      <c r="D18" s="84" t="s">
        <v>1203</v>
      </c>
      <c r="E18" s="193"/>
      <c r="F18" s="960" t="s">
        <v>857</v>
      </c>
      <c r="H18" s="483" t="s">
        <v>662</v>
      </c>
      <c r="I18" s="485"/>
      <c r="N18" s="266"/>
      <c r="O18" s="1420" t="s">
        <v>2240</v>
      </c>
      <c r="P18" s="426">
        <f>IF(F30="Yes",VLOOKUP(E31,Table_BI_Mining,2,FALSE),0)</f>
        <v>0</v>
      </c>
      <c r="Q18" s="426">
        <f>IF(F30="Yes",VLOOKUP(E31,Table_BI_Mining,3,FALSE),0)</f>
        <v>0</v>
      </c>
      <c r="R18" s="423">
        <v>1</v>
      </c>
      <c r="S18" s="423">
        <v>1</v>
      </c>
      <c r="U18" s="266"/>
      <c r="V18" s="267" t="s">
        <v>1592</v>
      </c>
      <c r="W18" s="426">
        <f>IF(F30="Yes",VLOOKUP(E31,Table_BI_Mining,2,FALSE),0)</f>
        <v>0</v>
      </c>
      <c r="X18" s="426">
        <f>IF(F30="Yes",VLOOKUP(E31,Table_BI_Mining,3,FALSE),0)</f>
        <v>0</v>
      </c>
      <c r="Y18" s="423">
        <v>1</v>
      </c>
      <c r="Z18" s="423">
        <v>1</v>
      </c>
      <c r="AB18" s="60" t="s">
        <v>681</v>
      </c>
      <c r="AD18" s="235"/>
      <c r="AE18" s="266"/>
      <c r="AF18" s="266"/>
      <c r="AG18" s="268" t="s">
        <v>1753</v>
      </c>
      <c r="AH18" s="426">
        <f>IF(F63="Yes",VLOOKUP(E64,Table_Other_WaterBuyback,6,FALSE),0)</f>
        <v>0</v>
      </c>
      <c r="AI18" s="426"/>
      <c r="AJ18" s="60" t="s">
        <v>551</v>
      </c>
      <c r="AL18" s="235" t="s">
        <v>1012</v>
      </c>
      <c r="AM18" s="235" t="s">
        <v>1013</v>
      </c>
      <c r="AN18" s="235" t="s">
        <v>838</v>
      </c>
      <c r="AO18" s="235" t="s">
        <v>837</v>
      </c>
      <c r="AQ18" s="136" t="s">
        <v>947</v>
      </c>
      <c r="AR18" s="137"/>
      <c r="AS18" s="137"/>
      <c r="AT18" s="137"/>
      <c r="AU18" s="136" t="s">
        <v>938</v>
      </c>
      <c r="AV18" s="517"/>
    </row>
    <row r="19" spans="1:48" ht="13.5" thickBot="1" x14ac:dyDescent="0.25">
      <c r="A19" s="126"/>
      <c r="B19" s="96"/>
      <c r="C19" s="1081"/>
      <c r="D19" s="159" t="s">
        <v>1225</v>
      </c>
      <c r="E19" s="965" t="s">
        <v>857</v>
      </c>
      <c r="F19" s="169"/>
      <c r="H19" s="486" t="s">
        <v>682</v>
      </c>
      <c r="I19" s="485">
        <f>IF(AND(F54="Yes",F56="Yes"),AD15,0)</f>
        <v>0</v>
      </c>
      <c r="O19" s="83" t="s">
        <v>1252</v>
      </c>
      <c r="P19" s="207">
        <f ca="1">IF(F18="Yes",VLOOKUP(E19,INDIRECT("Table_BI_Mos"&amp;F8),E5,FALSE)+P18,1)</f>
        <v>1</v>
      </c>
      <c r="Q19" s="207">
        <f ca="1">IF(F18="Yes",VLOOKUP(E19,INDIRECT("Table_BI_Mos"&amp;F8),E5,FALSE)+Q18,1)</f>
        <v>1</v>
      </c>
      <c r="R19" s="207">
        <v>1</v>
      </c>
      <c r="S19" s="207">
        <v>1</v>
      </c>
      <c r="V19" s="189" t="s">
        <v>1547</v>
      </c>
      <c r="W19" s="207">
        <f>IF(AND(F20="Yes",OR(E21=1,E21=3)),VLOOKUP(F7,Table_BI_Educ,E5,FALSE),1)</f>
        <v>1</v>
      </c>
      <c r="X19" s="207">
        <f>IF(AND(F20="Yes",OR(E21=1,E21=3)),VLOOKUP(F7,Table_BI_Educ,E5,FALSE),1)</f>
        <v>1</v>
      </c>
      <c r="Y19" s="207">
        <v>1</v>
      </c>
      <c r="Z19" s="207">
        <v>1</v>
      </c>
      <c r="AB19" s="266"/>
      <c r="AC19" s="268" t="s">
        <v>1724</v>
      </c>
      <c r="AD19" s="426">
        <f>IF(F29="Yes",B29,0)</f>
        <v>0</v>
      </c>
      <c r="AE19" s="266"/>
      <c r="AF19" s="558"/>
      <c r="AG19" s="755" t="s">
        <v>971</v>
      </c>
      <c r="AH19" s="558">
        <f>HLOOKUP(C11,Table_StateRates,6,FALSE)</f>
        <v>1.9</v>
      </c>
      <c r="AI19" s="558"/>
      <c r="AJ19" s="146"/>
      <c r="AK19" s="545" t="s">
        <v>1049</v>
      </c>
      <c r="AL19" s="146">
        <f>VLOOKUP(2,Table_Time_Utility,2,FALSE)</f>
        <v>4.3999999999999997E-2</v>
      </c>
      <c r="AM19" s="146">
        <f>VLOOKUP(2,Table_Time_Utility,3,FALSE)</f>
        <v>4.3999999999999997E-2</v>
      </c>
      <c r="AN19" s="146">
        <f>VLOOKUP(2,Table_Time_Utility,5,FALSE)</f>
        <v>2.9000000000000001E-2</v>
      </c>
      <c r="AO19" s="563">
        <f>VLOOKUP(2,Table_Time_Utility,4,FALSE)</f>
        <v>0.01</v>
      </c>
      <c r="AQ19" s="138" t="s">
        <v>939</v>
      </c>
      <c r="AR19" s="8"/>
      <c r="AS19" s="8"/>
      <c r="AT19" s="8"/>
      <c r="AU19" s="445" t="s">
        <v>940</v>
      </c>
      <c r="AV19" s="481"/>
    </row>
    <row r="20" spans="1:48" x14ac:dyDescent="0.2">
      <c r="A20" s="88" t="s">
        <v>954</v>
      </c>
      <c r="B20" s="89"/>
      <c r="C20" s="1053"/>
      <c r="D20" s="534" t="s">
        <v>1233</v>
      </c>
      <c r="E20" s="273"/>
      <c r="F20" s="960" t="s">
        <v>857</v>
      </c>
      <c r="H20" s="486" t="s">
        <v>681</v>
      </c>
      <c r="I20" s="485">
        <f>IF(AND(F54="Yes",F59="Yes"),AD29,0)</f>
        <v>0</v>
      </c>
      <c r="N20" s="185"/>
      <c r="O20" s="477" t="s">
        <v>1547</v>
      </c>
      <c r="P20" s="208">
        <f>IF(AND(F20="Yes",OR(E21=1,E21=3)),VLOOKUP(F7,Table_BI_Educ,E5,FALSE),1)</f>
        <v>1</v>
      </c>
      <c r="Q20" s="208">
        <f>IF(AND(F20="Yes",OR(E21=1,E21=3)),VLOOKUP(F7,Table_BI_Educ,E5,FALSE),1)</f>
        <v>1</v>
      </c>
      <c r="R20" s="208">
        <v>1</v>
      </c>
      <c r="S20" s="208">
        <v>1</v>
      </c>
      <c r="V20" s="83" t="s">
        <v>1549</v>
      </c>
      <c r="W20" s="207">
        <f>IF(AND(F20="Yes",E21=2),VLOOKUP(F7,Table_BI_Educ,E5,FALSE)+IF(F21&gt;4,SUM(4*0.02,(F21-4)*0.04),F21*0.02),1)</f>
        <v>1</v>
      </c>
      <c r="X20" s="207">
        <f>IF(AND(F20="Yes",E21=2),VLOOKUP(F7,Table_BI_Educ,E5,FALSE)+IF(F21&gt;4,SUM(4*0.02,(F21-4)*0.04),F21*0.02),1)</f>
        <v>1</v>
      </c>
      <c r="Y20" s="207">
        <v>1</v>
      </c>
      <c r="Z20" s="207">
        <v>1</v>
      </c>
      <c r="AB20" s="757"/>
      <c r="AC20" s="758" t="s">
        <v>971</v>
      </c>
      <c r="AD20" s="279">
        <f>HLOOKUP(C11,Table_StateRates,6,FALSE)</f>
        <v>1.9</v>
      </c>
      <c r="AE20" s="266"/>
      <c r="AF20" s="266"/>
      <c r="AG20" s="268" t="s">
        <v>1019</v>
      </c>
      <c r="AH20" s="423">
        <f>HLOOKUP(C11,Table_StateRates,5,FALSE)</f>
        <v>1.38</v>
      </c>
      <c r="AI20" s="423"/>
      <c r="AK20" s="168" t="s">
        <v>971</v>
      </c>
      <c r="AL20" s="207">
        <f>HLOOKUP(C11,Table_StateRates,6,FALSE)</f>
        <v>1.9</v>
      </c>
      <c r="AM20" s="207">
        <f>HLOOKUP(C11,Table_StateRates,6,FALSE)</f>
        <v>1.9</v>
      </c>
      <c r="AN20" s="207">
        <f>HLOOKUP(C11,Table_StateRates,6,FALSE)</f>
        <v>1.9</v>
      </c>
      <c r="AO20" s="207">
        <f>HLOOKUP(C11,Table_StateRates,6,FALSE)</f>
        <v>1.9</v>
      </c>
      <c r="AQ20" s="138" t="s">
        <v>941</v>
      </c>
      <c r="AR20" s="8"/>
      <c r="AS20" s="8"/>
      <c r="AT20" s="8"/>
      <c r="AU20" s="26"/>
      <c r="AV20" s="481"/>
    </row>
    <row r="21" spans="1:48" x14ac:dyDescent="0.2">
      <c r="A21" s="122" t="s">
        <v>956</v>
      </c>
      <c r="B21" s="319">
        <f>IF(C17=1,1,2)</f>
        <v>1</v>
      </c>
      <c r="C21" s="1082" t="str">
        <f>IF(B3="B",TC5_BLDG1!C21,IF(B3="PP",TC5_PP1!C21,""))</f>
        <v>Yes</v>
      </c>
      <c r="D21" s="535" t="s">
        <v>1550</v>
      </c>
      <c r="E21" s="948"/>
      <c r="F21" s="966"/>
      <c r="H21" s="486" t="s">
        <v>1742</v>
      </c>
      <c r="I21" s="485">
        <f>IF(AND(F54="Yes",F60="Yes"),AH14,0)</f>
        <v>0</v>
      </c>
      <c r="O21" s="83" t="s">
        <v>1420</v>
      </c>
      <c r="P21" s="1315" t="e">
        <f>ROUND(PRODUCT(P8,IF(AND(C31="Yes",B31="Sprinkler",C33&lt;&gt;1),P9-P10,P9),P11:P17,P19:P20),3)</f>
        <v>#N/A</v>
      </c>
      <c r="Q21" s="1315">
        <f ca="1">ROUND(PRODUCT(Q8:Q17,Q19:Q20),3)</f>
        <v>3.9E-2</v>
      </c>
      <c r="R21" s="1315">
        <f>ROUND(PRODUCT(R8:R20),3)</f>
        <v>0.115</v>
      </c>
      <c r="S21" s="1315">
        <f>ROUND(PRODUCT(S8:S20),3)</f>
        <v>2.9000000000000001E-2</v>
      </c>
      <c r="V21" s="189" t="s">
        <v>1254</v>
      </c>
      <c r="W21" s="207">
        <f>IF(F27="Yes",VLOOKUP(E5,Table_BI_Seasonal,2,FALSE),1)</f>
        <v>1</v>
      </c>
      <c r="X21" s="207">
        <v>1</v>
      </c>
      <c r="Y21" s="207">
        <v>1</v>
      </c>
      <c r="Z21" s="207">
        <v>1</v>
      </c>
      <c r="AB21" s="266"/>
      <c r="AC21" s="568" t="s">
        <v>685</v>
      </c>
      <c r="AD21" s="266">
        <f>ROUND(PRODUCT(AD19:AD20),3)</f>
        <v>0</v>
      </c>
      <c r="AE21" s="266"/>
      <c r="AF21" s="266"/>
      <c r="AG21" s="268"/>
      <c r="AH21" s="423"/>
      <c r="AI21" s="423"/>
      <c r="AK21" s="168" t="s">
        <v>1019</v>
      </c>
      <c r="AL21" s="207">
        <f>HLOOKUP(C11,Table_StateRates,5,FALSE)</f>
        <v>1.38</v>
      </c>
      <c r="AM21" s="207">
        <f>HLOOKUP(C11,Table_StateRates,5,FALSE)</f>
        <v>1.38</v>
      </c>
      <c r="AN21" s="207">
        <f>HLOOKUP(C11,Table_StateRates,5,FALSE)</f>
        <v>1.38</v>
      </c>
      <c r="AO21" s="207">
        <f>HLOOKUP(C11,Table_StateRates,5,FALSE)</f>
        <v>1.38</v>
      </c>
      <c r="AQ21" s="26"/>
      <c r="AR21" s="8"/>
      <c r="AS21" s="8"/>
      <c r="AT21" s="8"/>
      <c r="AU21" s="727" t="s">
        <v>942</v>
      </c>
      <c r="AV21" s="481"/>
    </row>
    <row r="22" spans="1:48" x14ac:dyDescent="0.2">
      <c r="A22" s="911" t="s">
        <v>958</v>
      </c>
      <c r="B22" s="90"/>
      <c r="C22" s="570" t="str">
        <f>IF(B3="B",TC5_BLDG1!C22,IF(B3="PP",TC5_PP1!C22,""))</f>
        <v>No</v>
      </c>
      <c r="D22" s="536" t="s">
        <v>1228</v>
      </c>
      <c r="E22" s="294"/>
      <c r="F22" s="295"/>
      <c r="H22" s="597" t="s">
        <v>1743</v>
      </c>
      <c r="I22" s="487">
        <f>IF(AND(F54="Yes",F63="Yes"),AH28,0)</f>
        <v>0</v>
      </c>
      <c r="O22" s="83" t="s">
        <v>1549</v>
      </c>
      <c r="P22" s="207">
        <f>IF(AND(F20="Yes",E21=2),VLOOKUP(F7,Table_BI_Educ,E5,FALSE)+IF(F21&gt;4,SUM(4*0.02,(F21-4)*0.04),F21*0.02),1)</f>
        <v>1</v>
      </c>
      <c r="Q22" s="207">
        <f>IF(AND(F20="Yes",E21=2),VLOOKUP(F7,Table_BI_Educ,E5,FALSE)+IF(F21&gt;4,SUM(4*0.02,(F21-4)*0.04),F21*0.02),1)</f>
        <v>1</v>
      </c>
      <c r="R22" s="207">
        <v>1</v>
      </c>
      <c r="S22" s="207">
        <v>1</v>
      </c>
      <c r="V22" s="189" t="s">
        <v>1255</v>
      </c>
      <c r="W22" s="207">
        <f>IF(F15="Yes",VLOOKUP(E16,Table_BI_IndDays,2,FALSE),1)</f>
        <v>1</v>
      </c>
      <c r="X22" s="207">
        <f>IF(F15="Yes",VLOOKUP(E16,Table_BI_IndDays,2,FALSE),1)</f>
        <v>1</v>
      </c>
      <c r="Y22" s="207">
        <v>1</v>
      </c>
      <c r="Z22" s="207">
        <v>1</v>
      </c>
      <c r="AB22" s="542"/>
      <c r="AC22" s="724" t="s">
        <v>1740</v>
      </c>
      <c r="AD22" s="279">
        <f>DF_MoltenMaterial</f>
        <v>0.1</v>
      </c>
      <c r="AE22" s="385"/>
      <c r="AF22" s="266"/>
      <c r="AG22" s="268"/>
      <c r="AH22" s="423"/>
      <c r="AI22" s="423"/>
      <c r="AK22" s="168" t="s">
        <v>180</v>
      </c>
      <c r="AL22" s="207">
        <v>1</v>
      </c>
      <c r="AM22" s="207">
        <v>1</v>
      </c>
      <c r="AN22" s="207">
        <v>1</v>
      </c>
      <c r="AO22" s="207">
        <v>1</v>
      </c>
      <c r="AQ22" s="445" t="s">
        <v>943</v>
      </c>
      <c r="AR22" s="8"/>
      <c r="AS22" s="142" t="s">
        <v>944</v>
      </c>
      <c r="AT22" s="8"/>
      <c r="AU22" s="727" t="s">
        <v>945</v>
      </c>
      <c r="AV22" s="481"/>
    </row>
    <row r="23" spans="1:48" ht="13.5" thickBot="1" x14ac:dyDescent="0.25">
      <c r="A23" s="908" t="s">
        <v>955</v>
      </c>
      <c r="B23" s="910"/>
      <c r="C23" s="1055"/>
      <c r="D23" s="537" t="s">
        <v>1239</v>
      </c>
      <c r="E23" s="296"/>
      <c r="F23" s="295"/>
      <c r="H23" s="568" t="s">
        <v>1744</v>
      </c>
      <c r="I23" s="569">
        <f>SUM(I19:I22)</f>
        <v>0</v>
      </c>
      <c r="O23" s="189" t="s">
        <v>1254</v>
      </c>
      <c r="P23" s="207">
        <f>IF(F27="Yes",VLOOKUP(E5,Table_BI_Seasonal,2,FALSE),1)</f>
        <v>1</v>
      </c>
      <c r="Q23" s="207">
        <v>1</v>
      </c>
      <c r="R23" s="207">
        <v>1</v>
      </c>
      <c r="S23" s="207">
        <v>1</v>
      </c>
      <c r="V23" s="168" t="s">
        <v>1256</v>
      </c>
      <c r="W23" s="207">
        <f>IF(F24="Yes",VLOOKUP(E25,Table_BI_OrdPR,2,FALSE),1)</f>
        <v>1</v>
      </c>
      <c r="X23" s="207">
        <v>1</v>
      </c>
      <c r="Y23" s="207">
        <v>1</v>
      </c>
      <c r="Z23" s="207">
        <v>1</v>
      </c>
      <c r="AB23" s="266"/>
      <c r="AC23" s="568" t="s">
        <v>917</v>
      </c>
      <c r="AD23" s="426">
        <f>ROUND(PRODUCT(AD21:AD22),3)</f>
        <v>0</v>
      </c>
      <c r="AE23" s="423"/>
      <c r="AF23" s="266"/>
      <c r="AG23" s="268" t="s">
        <v>180</v>
      </c>
      <c r="AH23" s="423">
        <f>1+$AU$25</f>
        <v>1</v>
      </c>
      <c r="AI23" s="423"/>
      <c r="AJ23" s="146"/>
      <c r="AK23" s="545" t="s">
        <v>1020</v>
      </c>
      <c r="AL23" s="299">
        <f>IF(C7="PAC",VLOOKUP(B8,Table_PakMods,MATCH(C11,List_Company,0)+1,FALSE),1)</f>
        <v>1</v>
      </c>
      <c r="AM23" s="299">
        <f>IF(C7="PAC",VLOOKUP(B8,Table_PakMods,MATCH(C11,List_Company,0)+1,FALSE),1)</f>
        <v>1</v>
      </c>
      <c r="AN23" s="299">
        <f>IF(C7="PAC",VLOOKUP(B8,Table_PakMods,MATCH(C11,List_Company,0)+1,FALSE),1)</f>
        <v>1</v>
      </c>
      <c r="AO23" s="299">
        <f>IF(C7="PAC",VLOOKUP(B8,Table_PakMods,MATCH(C11,List_Company,0)+1,FALSE),1)</f>
        <v>1</v>
      </c>
      <c r="AQ23" s="140" t="s">
        <v>1715</v>
      </c>
      <c r="AR23" s="8"/>
      <c r="AS23" s="144"/>
      <c r="AT23" s="8"/>
      <c r="AU23" s="727" t="s">
        <v>946</v>
      </c>
      <c r="AV23" s="481"/>
    </row>
    <row r="24" spans="1:48" ht="13.5" thickBot="1" x14ac:dyDescent="0.25">
      <c r="A24" s="108" t="s">
        <v>957</v>
      </c>
      <c r="B24" s="896">
        <f>IF(B3="B",TC5_BLDG1!B24,IF(B3="PP",TC5_PP1!B24,""))</f>
        <v>0</v>
      </c>
      <c r="C24" s="885" t="str">
        <f>IF(B3="B",TC5_BLDG1!C24,IF(B3="PP",TC5_PP1!C24,""))</f>
        <v>Yes</v>
      </c>
      <c r="D24" s="444" t="s">
        <v>1229</v>
      </c>
      <c r="E24" s="103"/>
      <c r="F24" s="967" t="s">
        <v>857</v>
      </c>
      <c r="O24" s="189" t="s">
        <v>1255</v>
      </c>
      <c r="P24" s="207">
        <f>IF(F15="Yes",VLOOKUP(E16,Table_BI_IndDays,2,FALSE),1)</f>
        <v>1</v>
      </c>
      <c r="Q24" s="207">
        <f>IF(F15="Yes",VLOOKUP(E16,Table_BI_IndDays,2,FALSE),1)</f>
        <v>1</v>
      </c>
      <c r="R24" s="207">
        <v>1</v>
      </c>
      <c r="S24" s="207">
        <v>1</v>
      </c>
      <c r="V24" s="168" t="s">
        <v>1257</v>
      </c>
      <c r="W24" s="207">
        <f>IF(F26="Yes",DF_BI_Power,1)</f>
        <v>1</v>
      </c>
      <c r="X24" s="207">
        <v>1</v>
      </c>
      <c r="Y24" s="207">
        <v>1</v>
      </c>
      <c r="Z24" s="207">
        <v>1</v>
      </c>
      <c r="AB24" s="266"/>
      <c r="AC24" s="268" t="s">
        <v>180</v>
      </c>
      <c r="AD24" s="423">
        <f>1+$AU$25</f>
        <v>1</v>
      </c>
      <c r="AE24" s="559"/>
      <c r="AF24" s="266"/>
      <c r="AG24" s="545" t="s">
        <v>1020</v>
      </c>
      <c r="AH24" s="299">
        <f>IF(C7="PAC",VLOOKUP(B8,Table_PakMods,MATCH(C11,List_Company,0)+1,FALSE),1)</f>
        <v>1</v>
      </c>
      <c r="AI24" s="299"/>
      <c r="AJ24" s="542"/>
      <c r="AK24" s="724" t="s">
        <v>1022</v>
      </c>
      <c r="AL24" s="279">
        <v>1</v>
      </c>
      <c r="AM24" s="279">
        <v>1</v>
      </c>
      <c r="AN24" s="279">
        <v>1</v>
      </c>
      <c r="AO24" s="279">
        <v>1</v>
      </c>
      <c r="AQ24" s="141" t="s">
        <v>1714</v>
      </c>
      <c r="AR24" s="139"/>
      <c r="AS24" s="145"/>
      <c r="AT24" s="139"/>
      <c r="AU24" s="445"/>
      <c r="AV24" s="481"/>
    </row>
    <row r="25" spans="1:48" ht="13.5" thickBot="1" x14ac:dyDescent="0.25">
      <c r="A25" s="92"/>
      <c r="B25" s="93"/>
      <c r="C25" s="903"/>
      <c r="D25" s="819" t="s">
        <v>1243</v>
      </c>
      <c r="E25" s="965" t="s">
        <v>857</v>
      </c>
      <c r="F25" s="292"/>
      <c r="O25" s="168" t="s">
        <v>1256</v>
      </c>
      <c r="P25" s="207">
        <f>IF(F24="Yes",VLOOKUP(E25,Table_BI_OrdPR,2,FALSE),1)</f>
        <v>1</v>
      </c>
      <c r="Q25" s="207">
        <v>1</v>
      </c>
      <c r="R25" s="207">
        <f>IF(F24="Yes",VLOOKUP(E25,Table_BI_OrdPR,2,FALSE),1)</f>
        <v>1</v>
      </c>
      <c r="S25" s="207">
        <v>1</v>
      </c>
      <c r="U25" s="266"/>
      <c r="V25" s="268" t="s">
        <v>1259</v>
      </c>
      <c r="W25" s="423">
        <f>IF(F33="Yes",1,IF(F28="Yes",VLOOKUP(E29,Table_CivilAuth,2,FALSE),1))</f>
        <v>1</v>
      </c>
      <c r="X25" s="423">
        <f>IF(F33="Yes",1,IF(F28="Yes",VLOOKUP(E29,Table_CivilAuth,2,FALSE),1))</f>
        <v>1</v>
      </c>
      <c r="Y25" s="423">
        <v>1</v>
      </c>
      <c r="Z25" s="423">
        <v>1</v>
      </c>
      <c r="AB25" s="266"/>
      <c r="AC25" s="545" t="s">
        <v>1020</v>
      </c>
      <c r="AD25" s="299">
        <f>IF(C7="PAC",VLOOKUP(B8,Table_PakMods,MATCH(C11,List_Company,0)+1,FALSE),1)</f>
        <v>1</v>
      </c>
      <c r="AE25" s="426"/>
      <c r="AF25" s="542"/>
      <c r="AG25" s="724" t="s">
        <v>1022</v>
      </c>
      <c r="AH25" s="279">
        <f>1+$AS$14</f>
        <v>1</v>
      </c>
      <c r="AI25" s="559"/>
      <c r="AK25" s="83" t="s">
        <v>1150</v>
      </c>
      <c r="AL25" s="2">
        <f>ROUND(PRODUCT(AL19:AL24),3)</f>
        <v>0.115</v>
      </c>
      <c r="AM25" s="2">
        <f>ROUND(PRODUCT(AM19:AM24),3)</f>
        <v>0.115</v>
      </c>
      <c r="AN25" s="2">
        <f>ROUND(PRODUCT(AN19:AN24),3)</f>
        <v>7.5999999999999998E-2</v>
      </c>
      <c r="AO25" s="2">
        <f>ROUND(PRODUCT(AO19:AO24),3)</f>
        <v>2.5999999999999999E-2</v>
      </c>
      <c r="AQ25" s="141" t="s">
        <v>1716</v>
      </c>
      <c r="AR25" s="139"/>
      <c r="AS25" s="145"/>
      <c r="AT25" s="139"/>
      <c r="AU25" s="1597"/>
      <c r="AV25" s="1598"/>
    </row>
    <row r="26" spans="1:48" ht="13.5" thickBot="1" x14ac:dyDescent="0.25">
      <c r="A26" s="529" t="s">
        <v>1827</v>
      </c>
      <c r="B26" s="531"/>
      <c r="C26" s="904"/>
      <c r="D26" s="444" t="s">
        <v>1230</v>
      </c>
      <c r="E26" s="103"/>
      <c r="F26" s="967" t="s">
        <v>857</v>
      </c>
      <c r="H26" s="60" t="s">
        <v>663</v>
      </c>
      <c r="I26" s="2">
        <f>IF(F3="Yes",IF(AND(C21="Yes",C24="Yes"),AD47,IF(AND(C21="Yes",C24="No"),B24,0)),0)</f>
        <v>0</v>
      </c>
      <c r="O26" s="168" t="s">
        <v>1257</v>
      </c>
      <c r="P26" s="207">
        <f>IF(F26="Yes",DF_BI_Power,1)</f>
        <v>1</v>
      </c>
      <c r="Q26" s="207">
        <v>1</v>
      </c>
      <c r="R26" s="207">
        <v>1</v>
      </c>
      <c r="S26" s="207">
        <v>1</v>
      </c>
      <c r="U26" s="266"/>
      <c r="V26" s="268" t="s">
        <v>821</v>
      </c>
      <c r="W26" s="423">
        <f>IF(AND(F33="Yes",E34="24-HR"),VLOOKUP(E34,Table_BI_Wait,3,FALSE),1)</f>
        <v>1</v>
      </c>
      <c r="X26" s="423">
        <f>IF(AND(F33="Yes",E34="24-HR"),VLOOKUP(E34,Table_BI_Wait,3,FALSE),1)</f>
        <v>1</v>
      </c>
      <c r="Y26" s="423">
        <f>IF(AND(F33="Yes",E34="24-HR"),VLOOKUP(E34,Table_BI_Wait,3,FALSE),1)</f>
        <v>1</v>
      </c>
      <c r="Z26" s="423">
        <f>IF(AND(F33="Yes",E34="24-HR"),VLOOKUP(E34,Table_BI_Wait,3,FALSE),1)</f>
        <v>1</v>
      </c>
      <c r="AB26" s="542"/>
      <c r="AC26" s="724" t="s">
        <v>1022</v>
      </c>
      <c r="AD26" s="279">
        <f>1+$AS$14</f>
        <v>1</v>
      </c>
      <c r="AE26" s="385"/>
      <c r="AF26" s="385"/>
      <c r="AG26" s="685" t="s">
        <v>686</v>
      </c>
      <c r="AH26" s="385">
        <f>ROUND(PRODUCT(AH18:AH25),3)</f>
        <v>0</v>
      </c>
      <c r="AI26" s="385"/>
      <c r="AJ26" s="185"/>
      <c r="AK26" s="186" t="s">
        <v>1025</v>
      </c>
      <c r="AL26" s="238">
        <f>IF(ISNUMBER(E47),E47/100,0)</f>
        <v>0</v>
      </c>
      <c r="AM26" s="238">
        <f>IF(ISNUMBER(E47),E47/100,0)</f>
        <v>0</v>
      </c>
      <c r="AN26" s="238">
        <f>IF(ISNUMBER(E47),E47/100,0)</f>
        <v>0</v>
      </c>
      <c r="AO26" s="238">
        <f>IF(ISNUMBER(E47),E47/100,0)</f>
        <v>0</v>
      </c>
      <c r="AQ26" s="141" t="s">
        <v>1717</v>
      </c>
      <c r="AR26" s="139"/>
      <c r="AS26" s="145"/>
      <c r="AT26" s="139"/>
      <c r="AU26" s="445"/>
      <c r="AV26" s="481"/>
    </row>
    <row r="27" spans="1:48" x14ac:dyDescent="0.2">
      <c r="A27" s="521" t="s">
        <v>899</v>
      </c>
      <c r="B27" s="817" t="str">
        <f>IF(C27="C","Class",IF(C27="S","Specific",IF(C27="T","Tentative","")))</f>
        <v>Class</v>
      </c>
      <c r="C27" s="818" t="str">
        <f>IF(B3="B",IF(TC5_BLDG1!C28&lt;&gt;"SC",TC5_BLDG1!C28,"C"),IF(B3="PP",TC5_PP1!C28,""))</f>
        <v>C</v>
      </c>
      <c r="D27" s="444" t="s">
        <v>1232</v>
      </c>
      <c r="E27" s="103"/>
      <c r="F27" s="967" t="s">
        <v>857</v>
      </c>
      <c r="N27" s="266"/>
      <c r="O27" s="268" t="s">
        <v>1259</v>
      </c>
      <c r="P27" s="423">
        <f>IF(F28="Yes",VLOOKUP(E29,Table_CivilAuth,2,FALSE),1)</f>
        <v>1</v>
      </c>
      <c r="Q27" s="423">
        <f>IF(F28="Yes",VLOOKUP(E29,Table_CivilAuth,2,FALSE),1)</f>
        <v>1</v>
      </c>
      <c r="R27" s="423">
        <f>IF(F28="Yes",VLOOKUP(E29,Table_CivilAuth,2,FALSE),1)</f>
        <v>1</v>
      </c>
      <c r="S27" s="423">
        <f>IF(F28="Yes",VLOOKUP(E29,Table_CivilAuth,2,FALSE),1)</f>
        <v>1</v>
      </c>
      <c r="U27" s="266"/>
      <c r="V27" s="568" t="s">
        <v>822</v>
      </c>
      <c r="W27" s="423">
        <f>IF(AND(F33="Yes",E34="None"),VLOOKUP(E34,Table_BI_Wait,3,FALSE),1)</f>
        <v>1</v>
      </c>
      <c r="X27" s="423">
        <f>IF(AND(F33="Yes",E34="None"),VLOOKUP(E34,Table_BI_Wait,3,FALSE),1)</f>
        <v>1</v>
      </c>
      <c r="Y27" s="423">
        <f>IF(AND(F33="Yes",E34="None"),VLOOKUP(E34,Table_BI_Wait,3,FALSE),1)</f>
        <v>1</v>
      </c>
      <c r="Z27" s="423">
        <f>IF(AND(F33="Yes",E34="None"),VLOOKUP(E34,Table_BI_Wait,3,FALSE),1)</f>
        <v>1</v>
      </c>
      <c r="AB27" s="385"/>
      <c r="AC27" s="685" t="s">
        <v>1741</v>
      </c>
      <c r="AD27" s="558">
        <f>ROUND(PRODUCT(AD23:AD26),3)</f>
        <v>0</v>
      </c>
      <c r="AE27" s="266"/>
      <c r="AF27" s="542"/>
      <c r="AG27" s="724" t="s">
        <v>1572</v>
      </c>
      <c r="AH27" s="238">
        <f>IF(ISNUMBER(F4),F4/100,0)</f>
        <v>5000</v>
      </c>
      <c r="AI27" s="478"/>
      <c r="AK27" s="83" t="s">
        <v>1647</v>
      </c>
      <c r="AL27" s="248">
        <f>ROUND(PRODUCT(AL25:AL26),0)</f>
        <v>0</v>
      </c>
      <c r="AM27" s="248">
        <f>ROUND(PRODUCT(AM25:AM26),0)</f>
        <v>0</v>
      </c>
      <c r="AN27" s="248">
        <f>ROUND(PRODUCT(AN25:AN26),0)</f>
        <v>0</v>
      </c>
      <c r="AO27" s="248">
        <f>ROUND(PRODUCT(AO25:AO26),0)</f>
        <v>0</v>
      </c>
      <c r="AQ27" s="141" t="s">
        <v>1718</v>
      </c>
      <c r="AR27" s="8"/>
      <c r="AS27" s="145"/>
      <c r="AT27" s="8"/>
      <c r="AU27" s="26"/>
      <c r="AV27" s="481"/>
    </row>
    <row r="28" spans="1:48" x14ac:dyDescent="0.2">
      <c r="A28" s="108" t="s">
        <v>953</v>
      </c>
      <c r="B28" s="95"/>
      <c r="C28" s="570" t="str">
        <f>IF(B3="B",TC5_BLDG1!C30,IF(B3="PP",TC5_PP1!C30,0))</f>
        <v>No</v>
      </c>
      <c r="D28" s="538" t="s">
        <v>1545</v>
      </c>
      <c r="E28" s="103"/>
      <c r="F28" s="967" t="s">
        <v>857</v>
      </c>
      <c r="N28" s="266"/>
      <c r="O28" s="268" t="s">
        <v>821</v>
      </c>
      <c r="P28" s="423">
        <f>IF(AND(F33="Yes",E34="24-HR"),VLOOKUP(E34,Table_BI_Wait,3,FALSE),1)</f>
        <v>1</v>
      </c>
      <c r="Q28" s="423">
        <f>IF(AND(F33="Yes",E34="24-HR"),VLOOKUP(E34,Table_BI_Wait,3,FALSE),1)</f>
        <v>1</v>
      </c>
      <c r="R28" s="423">
        <f>IF(AND(F33="Yes",E34="24-HR"),VLOOKUP(E34,Table_BI_Wait,3,FALSE),1)</f>
        <v>1</v>
      </c>
      <c r="S28" s="423">
        <f>IF(AND(F33="Yes",E34="24-HR"),VLOOKUP(E34,Table_BI_Wait,3,FALSE),1)</f>
        <v>1</v>
      </c>
      <c r="V28" s="168" t="s">
        <v>1019</v>
      </c>
      <c r="W28" s="207">
        <f>HLOOKUP(C11,Table_StateRates,5,FALSE)</f>
        <v>1.38</v>
      </c>
      <c r="X28" s="207">
        <f>HLOOKUP(C11,Table_StateRates,5,FALSE)</f>
        <v>1.38</v>
      </c>
      <c r="Y28" s="207">
        <f>HLOOKUP(C11,Table_StateRates,5,FALSE)</f>
        <v>1.38</v>
      </c>
      <c r="Z28" s="207">
        <f>HLOOKUP(C11,Table_StateRates,5,FALSE)</f>
        <v>1.38</v>
      </c>
      <c r="AB28" s="542"/>
      <c r="AC28" s="724" t="s">
        <v>1572</v>
      </c>
      <c r="AD28" s="238">
        <f>IF(ISNUMBER(F4),F4/100,0)</f>
        <v>5000</v>
      </c>
      <c r="AE28" s="266"/>
      <c r="AF28" s="266"/>
      <c r="AG28" s="568" t="s">
        <v>687</v>
      </c>
      <c r="AH28" s="248">
        <f>ROUND(PRODUCT(AH26:AH27),0)</f>
        <v>0</v>
      </c>
      <c r="AI28" s="248"/>
      <c r="AQ28" s="141" t="s">
        <v>181</v>
      </c>
      <c r="AR28" s="8"/>
      <c r="AS28" s="145"/>
      <c r="AT28" s="8"/>
      <c r="AU28" s="26"/>
      <c r="AV28" s="481"/>
    </row>
    <row r="29" spans="1:48" ht="13.5" thickBot="1" x14ac:dyDescent="0.25">
      <c r="A29" s="743" t="str">
        <f>IF(B3="B","80% Bldg LC - Grp I / II",IF(B3="PP","80% Pers. Pty LC - Grp I / II","No Rating Available"))</f>
        <v>80% Bldg LC - Grp I / II</v>
      </c>
      <c r="B29" s="1421">
        <f>IF(B3="B",TC5_BLDG1!P5,IF(B3="PP",TC5_PP1!P5,0))</f>
        <v>0.126</v>
      </c>
      <c r="C29" s="749">
        <f>IF(B3="B",TC5_BLDG1!Q5,IF(B3="PP",TC5_PP1!Q5,0))</f>
        <v>4.2000000000000003E-2</v>
      </c>
      <c r="D29" s="518" t="s">
        <v>1555</v>
      </c>
      <c r="E29" s="948">
        <v>90</v>
      </c>
      <c r="F29" s="169"/>
      <c r="H29" s="60" t="s">
        <v>2288</v>
      </c>
      <c r="I29" s="1468">
        <f>SUM(I5:L5,I15,I23)</f>
        <v>0</v>
      </c>
      <c r="N29" s="542"/>
      <c r="O29" s="1419" t="s">
        <v>822</v>
      </c>
      <c r="P29" s="279">
        <f>IF(AND(F33="Yes",E34="None"),VLOOKUP(E34,Table_BI_Wait,3,FALSE),1)</f>
        <v>1</v>
      </c>
      <c r="Q29" s="279">
        <f>IF(AND(F33="Yes",E34="None"),VLOOKUP(E34,Table_BI_Wait,3,FALSE),1)</f>
        <v>1</v>
      </c>
      <c r="R29" s="279">
        <f>IF(AND(F33="Yes",E34="None"),VLOOKUP(E34,Table_BI_Wait,3,FALSE),1)</f>
        <v>1</v>
      </c>
      <c r="S29" s="279">
        <f>IF(AND(F33="Yes",E34="None"),VLOOKUP(E34,Table_BI_Wait,3,FALSE),1)</f>
        <v>1</v>
      </c>
      <c r="U29" s="266"/>
      <c r="V29" s="268" t="s">
        <v>180</v>
      </c>
      <c r="W29" s="423">
        <f>1+$AU$25</f>
        <v>1</v>
      </c>
      <c r="X29" s="423">
        <f>1+$AU$25</f>
        <v>1</v>
      </c>
      <c r="Y29" s="423">
        <f>1+$AU$25</f>
        <v>1</v>
      </c>
      <c r="Z29" s="423">
        <f>1+$AU$25</f>
        <v>1</v>
      </c>
      <c r="AB29" s="266"/>
      <c r="AC29" s="568" t="s">
        <v>681</v>
      </c>
      <c r="AD29" s="248">
        <f>ROUND(PRODUCT(AD27:AD28),0)</f>
        <v>0</v>
      </c>
      <c r="AE29" s="266"/>
      <c r="AF29" s="266"/>
      <c r="AG29" s="266"/>
      <c r="AH29" s="266"/>
      <c r="AI29" s="266"/>
      <c r="AK29" s="685" t="s">
        <v>549</v>
      </c>
      <c r="AL29" s="907">
        <f>IF(E50="Yes",IF(C12="SP",SUM(AL27:AN27),IF(C12="BR",SUM(AL27:AM27,AO27),SUM(AL27:AM27))),0)</f>
        <v>0</v>
      </c>
      <c r="AQ29" s="141" t="s">
        <v>1720</v>
      </c>
      <c r="AR29" s="8"/>
      <c r="AS29" s="145"/>
      <c r="AT29" s="8"/>
      <c r="AU29" s="26"/>
      <c r="AV29" s="481"/>
    </row>
    <row r="30" spans="1:48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IF(B3="B",TC5_BLDG1!C33,IF(B3="PP",TC5_PP1!C33,""))</f>
        <v>6</v>
      </c>
      <c r="D30" s="538" t="s">
        <v>1246</v>
      </c>
      <c r="E30" s="103"/>
      <c r="F30" s="967" t="s">
        <v>857</v>
      </c>
      <c r="O30" s="83" t="s">
        <v>2239</v>
      </c>
      <c r="P30" s="1315" t="e">
        <f>ROUND(PRODUCT(P21:P29),3)</f>
        <v>#N/A</v>
      </c>
      <c r="Q30" s="1315">
        <f ca="1">ROUND(PRODUCT(Q21:Q29),3)</f>
        <v>3.9E-2</v>
      </c>
      <c r="R30" s="1315">
        <f>ROUND(PRODUCT(R21:R29),3)</f>
        <v>0.115</v>
      </c>
      <c r="S30" s="1315">
        <f>ROUND(PRODUCT(S21:S29),3)</f>
        <v>2.9000000000000001E-2</v>
      </c>
      <c r="U30" s="146"/>
      <c r="V30" s="545" t="s">
        <v>1020</v>
      </c>
      <c r="W30" s="299">
        <f>IF(C7="PAC",VLOOKUP(B8,Table_PakMods,MATCH(C11,List_Company,0)+1,FALSE),1)</f>
        <v>1</v>
      </c>
      <c r="X30" s="299">
        <f>IF(C7="PAC",VLOOKUP(B8,Table_PakMods,MATCH(C11,List_Company,0)+1,FALSE),1)</f>
        <v>1</v>
      </c>
      <c r="Y30" s="299">
        <f>IF(C7="PAC",VLOOKUP(B8,Table_PakMods,MATCH(C11,List_Company,0)+1,FALSE),1)</f>
        <v>1</v>
      </c>
      <c r="Z30" s="299">
        <f>IF(C7="PAC",VLOOKUP(B8,Table_PakMods,MATCH(C11,List_Company,0)+1,FALSE),1)</f>
        <v>1</v>
      </c>
      <c r="AC30" s="83"/>
      <c r="AD30" s="248"/>
      <c r="AQ30" s="141" t="s">
        <v>182</v>
      </c>
      <c r="AR30" s="8"/>
      <c r="AS30" s="145"/>
      <c r="AT30" s="8"/>
      <c r="AU30" s="26"/>
      <c r="AV30" s="481"/>
    </row>
    <row r="31" spans="1:48" ht="13.5" thickBot="1" x14ac:dyDescent="0.25">
      <c r="A31" s="108" t="s">
        <v>1813</v>
      </c>
      <c r="B31" s="939" t="str">
        <f>IF(B3="B",TC5_BLDG1!C61,IF(B3="PP",TC5_PP1!C57,0))</f>
        <v>NA</v>
      </c>
      <c r="C31" s="570" t="str">
        <f>IF(B3="B",TC5_BLDG1!C59,IF(B3="PP",TC5_PP1!C55,0))</f>
        <v>No</v>
      </c>
      <c r="D31" s="507" t="s">
        <v>1589</v>
      </c>
      <c r="E31" s="948" t="s">
        <v>857</v>
      </c>
      <c r="F31" s="169"/>
      <c r="H31" s="60" t="s">
        <v>2291</v>
      </c>
      <c r="I31" s="1470">
        <f>SUM(I26,I29)</f>
        <v>0</v>
      </c>
      <c r="N31" s="266"/>
      <c r="O31" s="268" t="s">
        <v>180</v>
      </c>
      <c r="P31" s="423">
        <f>1+$AU$25</f>
        <v>1</v>
      </c>
      <c r="Q31" s="423">
        <f>1+$AU$25</f>
        <v>1</v>
      </c>
      <c r="R31" s="423">
        <f>1+$AU$25</f>
        <v>1</v>
      </c>
      <c r="S31" s="423">
        <f>1+$AU$25</f>
        <v>1</v>
      </c>
      <c r="U31" s="542"/>
      <c r="V31" s="724" t="s">
        <v>1022</v>
      </c>
      <c r="W31" s="279">
        <f>1+$AS$14</f>
        <v>1</v>
      </c>
      <c r="X31" s="279">
        <f>1+$AS$14</f>
        <v>1</v>
      </c>
      <c r="Y31" s="279">
        <f>1+$AS$14</f>
        <v>1</v>
      </c>
      <c r="Z31" s="279">
        <f>1+$AS$14</f>
        <v>1</v>
      </c>
      <c r="AJ31" s="266"/>
      <c r="AK31" s="266"/>
      <c r="AL31" s="266"/>
      <c r="AM31" s="558"/>
      <c r="AN31" s="558"/>
      <c r="AO31" s="558"/>
      <c r="AQ31" s="141" t="s">
        <v>1722</v>
      </c>
      <c r="AR31" s="8"/>
      <c r="AS31" s="145"/>
      <c r="AT31" s="8"/>
      <c r="AU31" s="26"/>
      <c r="AV31" s="481"/>
    </row>
    <row r="32" spans="1:48" ht="13.5" thickBot="1" x14ac:dyDescent="0.25">
      <c r="A32" s="108" t="s">
        <v>1825</v>
      </c>
      <c r="B32" s="747"/>
      <c r="C32" s="570" t="str">
        <f>IF(B3="B",TC5_BLDG1!B60,IF(B3="PP",TC5_PP1!B56,0))</f>
        <v>No</v>
      </c>
      <c r="D32" s="499"/>
      <c r="E32" s="146"/>
      <c r="F32" s="481"/>
      <c r="N32" s="146"/>
      <c r="O32" s="545" t="s">
        <v>1020</v>
      </c>
      <c r="P32" s="299">
        <f>IF(C7="PAC",VLOOKUP(B8,Table_PakMods,MATCH(C11,List_Company,0)+1,FALSE),1)</f>
        <v>1</v>
      </c>
      <c r="Q32" s="299">
        <f>IF(C7="PAC",VLOOKUP(B8,Table_PakMods,MATCH(C11,List_Company,0)+1,FALSE),1)</f>
        <v>1</v>
      </c>
      <c r="R32" s="299">
        <f>IF(C7="PAC",VLOOKUP(B8,Table_PakMods,MATCH(C11,List_Company,0)+1,FALSE),1)</f>
        <v>1</v>
      </c>
      <c r="S32" s="299">
        <f>IF(C7="PAC",VLOOKUP(B8,Table_PakMods,MATCH(C11,List_Company,0)+1,FALSE),1)</f>
        <v>1</v>
      </c>
      <c r="V32" s="83" t="s">
        <v>1150</v>
      </c>
      <c r="W32" s="247">
        <f ca="1">ROUND(PRODUCT(W8:W11,IF(AND(C31="Yes",B31="Sprinkler",C33&lt;&gt;1),W12-W13,W12),W14:W17,W19:W31),3)</f>
        <v>0.17100000000000001</v>
      </c>
      <c r="X32" s="247">
        <f ca="1">ROUND(PRODUCT(X8:X12,X14:X17,X19:X31),3)</f>
        <v>5.8999999999999997E-2</v>
      </c>
      <c r="Y32" s="247">
        <f>ROUND(PRODUCT(Y8:Y31),3)</f>
        <v>0.11600000000000001</v>
      </c>
      <c r="Z32" s="247">
        <f>ROUND(PRODUCT(Z8:Z31),3)</f>
        <v>2.9000000000000001E-2</v>
      </c>
      <c r="AJ32" s="60" t="s">
        <v>552</v>
      </c>
      <c r="AL32" s="235" t="s">
        <v>1012</v>
      </c>
      <c r="AM32" s="235" t="s">
        <v>1013</v>
      </c>
      <c r="AN32" s="235" t="s">
        <v>838</v>
      </c>
      <c r="AO32" s="235" t="s">
        <v>837</v>
      </c>
      <c r="AQ32" s="85"/>
      <c r="AR32" s="86"/>
      <c r="AS32" s="86"/>
      <c r="AT32" s="86"/>
      <c r="AU32" s="85"/>
      <c r="AV32" s="196"/>
    </row>
    <row r="33" spans="1:46" ht="13.5" thickBot="1" x14ac:dyDescent="0.25">
      <c r="A33" s="108" t="s">
        <v>1824</v>
      </c>
      <c r="B33" s="748"/>
      <c r="C33" s="570">
        <f>IF(AND(B3="B",TC5_BLDG1!C62="Yes"),TC5_BLDG1!P14,IF(AND(B3="PP",TC5_PP1!C58="Yes"),TC5_PP1!P14,0))</f>
        <v>0</v>
      </c>
      <c r="D33" s="527" t="s">
        <v>1608</v>
      </c>
      <c r="E33" s="422"/>
      <c r="F33" s="967" t="s">
        <v>857</v>
      </c>
      <c r="N33" s="542"/>
      <c r="O33" s="724" t="s">
        <v>1022</v>
      </c>
      <c r="P33" s="279">
        <f>1+$AS$14</f>
        <v>1</v>
      </c>
      <c r="Q33" s="279">
        <f>1+$AS$14</f>
        <v>1</v>
      </c>
      <c r="R33" s="279">
        <f>1+$AS$14</f>
        <v>1</v>
      </c>
      <c r="S33" s="279">
        <f>1+$AS$14</f>
        <v>1</v>
      </c>
      <c r="U33" s="185"/>
      <c r="V33" s="186" t="s">
        <v>1025</v>
      </c>
      <c r="W33" s="238">
        <f>IF(ISNUMBER(F38),F38/100,0)</f>
        <v>0</v>
      </c>
      <c r="X33" s="238">
        <f>IF(ISNUMBER(F38),F38/100,0)</f>
        <v>0</v>
      </c>
      <c r="Y33" s="238">
        <f>IF(ISNUMBER(F38),F38/100,0)</f>
        <v>0</v>
      </c>
      <c r="Z33" s="238">
        <f>IF(ISNUMBER(F38),F38/100,0)</f>
        <v>0</v>
      </c>
      <c r="AJ33" s="146"/>
      <c r="AK33" s="545" t="s">
        <v>1049</v>
      </c>
      <c r="AL33" s="146">
        <f>VLOOKUP(3,Table_Time_Utility,2,FALSE)</f>
        <v>1.0999999999999999E-2</v>
      </c>
      <c r="AM33" s="146">
        <f>VLOOKUP(3,Table_Time_Utility,3,FALSE)</f>
        <v>2.7E-2</v>
      </c>
      <c r="AN33" s="146">
        <f>VLOOKUP(3,Table_Time_Utility,5,FALSE)</f>
        <v>5.2999999999999999E-2</v>
      </c>
      <c r="AO33" s="563">
        <f>VLOOKUP(3,Table_Time_Utility,4,FALSE)</f>
        <v>0.01</v>
      </c>
      <c r="AQ33" s="742"/>
      <c r="AR33" s="686"/>
      <c r="AS33" s="737"/>
      <c r="AT33" s="737"/>
    </row>
    <row r="34" spans="1:46" ht="13.5" thickBot="1" x14ac:dyDescent="0.25">
      <c r="A34" s="122" t="s">
        <v>1469</v>
      </c>
      <c r="B34" s="747"/>
      <c r="C34" s="571" t="str">
        <f>IF(B3="B",TC5_BLDG1!C64,IF(B3="PP",TC5_PP1!C60,0))</f>
        <v>No</v>
      </c>
      <c r="D34" s="539" t="s">
        <v>1609</v>
      </c>
      <c r="E34" s="968" t="s">
        <v>857</v>
      </c>
      <c r="F34" s="169"/>
      <c r="N34" s="385"/>
      <c r="O34" s="685" t="s">
        <v>2236</v>
      </c>
      <c r="P34" s="1314">
        <f>ROUND(PRODUCT(P31:P33),3)</f>
        <v>1</v>
      </c>
      <c r="Q34" s="1314">
        <f>ROUND(PRODUCT(Q31:Q33),3)</f>
        <v>1</v>
      </c>
      <c r="R34" s="1314">
        <f>ROUND(PRODUCT(R31:R33),3)</f>
        <v>1</v>
      </c>
      <c r="S34" s="1314">
        <f>ROUND(PRODUCT(S31:S33),3)</f>
        <v>1</v>
      </c>
      <c r="V34" s="83" t="s">
        <v>977</v>
      </c>
      <c r="W34" s="248">
        <f ca="1">ROUND(PRODUCT(W32:W33),0)</f>
        <v>0</v>
      </c>
      <c r="X34" s="248">
        <f ca="1">ROUND(PRODUCT(X32:X33),0)</f>
        <v>0</v>
      </c>
      <c r="Y34" s="248">
        <f>ROUND(PRODUCT(Y32:Y33),0)</f>
        <v>0</v>
      </c>
      <c r="Z34" s="248">
        <f>ROUND(PRODUCT(Z32:Z33),0)</f>
        <v>0</v>
      </c>
      <c r="AB34" s="1602" t="s">
        <v>388</v>
      </c>
      <c r="AC34" s="1603"/>
      <c r="AD34" s="1603"/>
      <c r="AE34" s="1603"/>
      <c r="AF34" s="1603"/>
      <c r="AG34" s="1603"/>
      <c r="AH34" s="1604"/>
      <c r="AJ34" s="185"/>
      <c r="AK34" s="186" t="s">
        <v>1050</v>
      </c>
      <c r="AL34" s="238">
        <f>F51</f>
        <v>0</v>
      </c>
      <c r="AM34" s="238">
        <f>F51</f>
        <v>0</v>
      </c>
      <c r="AN34" s="238">
        <f>F51</f>
        <v>0</v>
      </c>
      <c r="AO34" s="785">
        <f>F51</f>
        <v>0</v>
      </c>
      <c r="AQ34" s="742"/>
      <c r="AR34" s="686"/>
      <c r="AS34" s="737"/>
      <c r="AT34" s="737"/>
    </row>
    <row r="35" spans="1:46" ht="13.5" thickBot="1" x14ac:dyDescent="0.25">
      <c r="A35" s="526"/>
      <c r="B35" s="96"/>
      <c r="C35" s="516"/>
      <c r="D35" s="91"/>
      <c r="E35" s="195"/>
      <c r="F35" s="101"/>
      <c r="N35" s="542"/>
      <c r="O35" s="1211" t="s">
        <v>2239</v>
      </c>
      <c r="P35" s="757" t="e">
        <f>P30</f>
        <v>#N/A</v>
      </c>
      <c r="Q35" s="757">
        <f ca="1">Q30</f>
        <v>3.9E-2</v>
      </c>
      <c r="R35" s="757">
        <f>R30</f>
        <v>0.115</v>
      </c>
      <c r="S35" s="757">
        <f>S30</f>
        <v>2.9000000000000001E-2</v>
      </c>
      <c r="V35" s="83"/>
      <c r="W35" s="248"/>
      <c r="X35" s="248"/>
      <c r="Y35" s="248"/>
      <c r="Z35" s="248"/>
      <c r="AB35" s="266"/>
      <c r="AC35" s="266"/>
      <c r="AD35" s="266"/>
      <c r="AE35" s="266"/>
      <c r="AF35" s="266"/>
      <c r="AG35" s="266"/>
      <c r="AJ35" s="146"/>
      <c r="AK35" s="301" t="s">
        <v>1051</v>
      </c>
      <c r="AL35" s="146">
        <f>ROUND(PRODUCT(AL33:AL34),3)</f>
        <v>0</v>
      </c>
      <c r="AM35" s="146">
        <f>ROUND(PRODUCT(AM33:AM34),3)</f>
        <v>0</v>
      </c>
      <c r="AN35" s="146">
        <f>ROUND(PRODUCT(AN33:AN34),3)</f>
        <v>0</v>
      </c>
      <c r="AO35" s="146">
        <f>ROUND(PRODUCT(AO33:AO34),3)</f>
        <v>0</v>
      </c>
      <c r="AQ35" s="742"/>
      <c r="AR35" s="686"/>
      <c r="AS35" s="737"/>
      <c r="AT35" s="737"/>
    </row>
    <row r="36" spans="1:46" ht="13.5" thickBot="1" x14ac:dyDescent="0.25">
      <c r="D36" s="529" t="s">
        <v>897</v>
      </c>
      <c r="E36" s="217"/>
      <c r="F36" s="218"/>
      <c r="O36" s="83" t="s">
        <v>1421</v>
      </c>
      <c r="P36" s="1315" t="e">
        <f>ROUND(PRODUCT(P34:P35),3)</f>
        <v>#N/A</v>
      </c>
      <c r="Q36" s="1315">
        <f ca="1">ROUND(PRODUCT(Q34:Q35),3)</f>
        <v>3.9E-2</v>
      </c>
      <c r="R36" s="1315">
        <f>ROUND(PRODUCT(R34:R35),3)</f>
        <v>0.115</v>
      </c>
      <c r="S36" s="1315">
        <f>ROUND(PRODUCT(S34:S35),3)</f>
        <v>2.9000000000000001E-2</v>
      </c>
      <c r="V36" s="83"/>
      <c r="W36" s="248"/>
      <c r="X36" s="248"/>
      <c r="Y36" s="248"/>
      <c r="Z36" s="248"/>
      <c r="AA36" s="793"/>
      <c r="AB36" s="566" t="s">
        <v>1172</v>
      </c>
      <c r="AC36" s="266"/>
      <c r="AD36" s="266"/>
      <c r="AE36" s="266"/>
      <c r="AF36" s="566"/>
      <c r="AG36" s="266"/>
      <c r="AK36" s="168" t="s">
        <v>971</v>
      </c>
      <c r="AL36" s="207">
        <f>HLOOKUP(C11,Table_StateRates,6,FALSE)</f>
        <v>1.9</v>
      </c>
      <c r="AM36" s="207">
        <f>HLOOKUP(C11,Table_StateRates,6,FALSE)</f>
        <v>1.9</v>
      </c>
      <c r="AN36" s="207">
        <f>HLOOKUP(C11,Table_StateRates,6,FALSE)</f>
        <v>1.9</v>
      </c>
      <c r="AO36" s="207">
        <f>HLOOKUP(C11,Table_StateRates,6,FALSE)</f>
        <v>1.9</v>
      </c>
      <c r="AQ36" s="742"/>
      <c r="AR36" s="686"/>
      <c r="AS36" s="737"/>
      <c r="AT36" s="737"/>
    </row>
    <row r="37" spans="1:46" x14ac:dyDescent="0.2">
      <c r="D37" s="123" t="s">
        <v>964</v>
      </c>
      <c r="E37" s="474"/>
      <c r="F37" s="956" t="s">
        <v>857</v>
      </c>
      <c r="N37" s="185"/>
      <c r="O37" s="186" t="s">
        <v>1025</v>
      </c>
      <c r="P37" s="238">
        <f>IF(ISNUMBER(F4),F4/100,0)</f>
        <v>5000</v>
      </c>
      <c r="Q37" s="238">
        <f>IF(ISNUMBER(F4),F4/100,0)</f>
        <v>5000</v>
      </c>
      <c r="R37" s="238">
        <f>IF(ISNUMBER(F4),F4/100,0)</f>
        <v>5000</v>
      </c>
      <c r="S37" s="238">
        <f>IF(ISNUMBER(F4),F4/100,0)</f>
        <v>5000</v>
      </c>
      <c r="AA37" s="266"/>
      <c r="AB37" s="266"/>
      <c r="AC37" s="486" t="s">
        <v>228</v>
      </c>
      <c r="AD37" s="426">
        <f>IF(C21="Yes",HLOOKUP(B21,Table_Terrorism,3,FALSE),0)</f>
        <v>1.4999999999999999E-2</v>
      </c>
      <c r="AE37" s="266"/>
      <c r="AF37" s="385"/>
      <c r="AG37" s="702"/>
      <c r="AK37" s="168" t="s">
        <v>1019</v>
      </c>
      <c r="AL37" s="207">
        <f>HLOOKUP(C11,Table_StateRates,5,FALSE)</f>
        <v>1.38</v>
      </c>
      <c r="AM37" s="207">
        <f>HLOOKUP(C11,Table_StateRates,5,FALSE)</f>
        <v>1.38</v>
      </c>
      <c r="AN37" s="207">
        <f>HLOOKUP(C11,Table_StateRates,5,FALSE)</f>
        <v>1.38</v>
      </c>
      <c r="AO37" s="207">
        <f>HLOOKUP(C11,Table_StateRates,5,FALSE)</f>
        <v>1.38</v>
      </c>
      <c r="AP37" s="814"/>
      <c r="AQ37" s="742"/>
      <c r="AR37" s="686"/>
      <c r="AS37" s="737"/>
      <c r="AT37" s="737"/>
    </row>
    <row r="38" spans="1:46" x14ac:dyDescent="0.2">
      <c r="D38" s="107" t="s">
        <v>1242</v>
      </c>
      <c r="E38" s="272"/>
      <c r="F38" s="959"/>
      <c r="O38" s="83" t="s">
        <v>977</v>
      </c>
      <c r="P38" s="248" t="e">
        <f>ROUND(PRODUCT(P36:P37),0)</f>
        <v>#N/A</v>
      </c>
      <c r="Q38" s="248">
        <f ca="1">ROUND(PRODUCT(Q36:Q37),0)</f>
        <v>195</v>
      </c>
      <c r="R38" s="248">
        <f>ROUND(PRODUCT(R36:R37),0)</f>
        <v>575</v>
      </c>
      <c r="S38" s="248">
        <f>ROUND(PRODUCT(S36:S37),0)</f>
        <v>145</v>
      </c>
      <c r="W38" s="235" t="s">
        <v>1012</v>
      </c>
      <c r="X38" s="235" t="s">
        <v>1013</v>
      </c>
      <c r="Y38" s="235" t="s">
        <v>838</v>
      </c>
      <c r="Z38" s="235" t="s">
        <v>837</v>
      </c>
      <c r="AA38" s="266"/>
      <c r="AB38" s="209"/>
      <c r="AC38" s="280" t="s">
        <v>1176</v>
      </c>
      <c r="AD38" s="212">
        <v>1</v>
      </c>
      <c r="AE38" s="385"/>
      <c r="AF38" s="385"/>
      <c r="AG38" s="702"/>
      <c r="AK38" s="168" t="s">
        <v>180</v>
      </c>
      <c r="AL38" s="207">
        <v>1</v>
      </c>
      <c r="AM38" s="207">
        <v>1</v>
      </c>
      <c r="AN38" s="207">
        <v>1</v>
      </c>
      <c r="AO38" s="207">
        <v>1</v>
      </c>
      <c r="AP38" s="266"/>
    </row>
    <row r="39" spans="1:46" x14ac:dyDescent="0.2">
      <c r="D39" s="108" t="s">
        <v>904</v>
      </c>
      <c r="E39" s="319" t="str">
        <f>IF(ISBLANK(F39),"",VLOOKUP(F39,Table_G1_LC,2,FALSE))</f>
        <v/>
      </c>
      <c r="F39" s="942"/>
      <c r="U39" s="60" t="s">
        <v>1053</v>
      </c>
      <c r="AA39" s="558"/>
      <c r="AB39" s="266"/>
      <c r="AC39" s="486" t="s">
        <v>1177</v>
      </c>
      <c r="AD39" s="423">
        <f>IF(C22="Yes",VLOOKUP(B21,Table_TerrorNBC,2,FALSE),1)</f>
        <v>1</v>
      </c>
      <c r="AE39" s="423"/>
      <c r="AF39" s="385"/>
      <c r="AG39" s="702"/>
      <c r="AJ39" s="146"/>
      <c r="AK39" s="545" t="s">
        <v>1020</v>
      </c>
      <c r="AL39" s="299">
        <f>IF(C7="PAC",VLOOKUP(B8,Table_PakMods,MATCH(C11,List_Company,0)+1,FALSE),1)</f>
        <v>1</v>
      </c>
      <c r="AM39" s="299">
        <f>IF(C7="PAC",VLOOKUP(B8,Table_PakMods,MATCH(C11,List_Company,0)+1,FALSE),1)</f>
        <v>1</v>
      </c>
      <c r="AN39" s="299">
        <f>IF(C7="PAC",VLOOKUP(B8,Table_PakMods,MATCH(C11,List_Company,0)+1,FALSE),1)</f>
        <v>1</v>
      </c>
      <c r="AO39" s="299">
        <f>IF(C7="PAC",VLOOKUP(B8,Table_PakMods,MATCH(C11,List_Company,0)+1,FALSE),1)</f>
        <v>1</v>
      </c>
      <c r="AP39" s="266"/>
    </row>
    <row r="40" spans="1:46" x14ac:dyDescent="0.2">
      <c r="D40" s="482" t="str">
        <f>IF(F39="1190","Special Form Class Only - Choose Again",IF(F39="1180","Enter Prior/Intended Occ. Class Code Below",""))</f>
        <v/>
      </c>
      <c r="E40" s="273"/>
      <c r="F40" s="274"/>
      <c r="V40" s="168" t="s">
        <v>1175</v>
      </c>
      <c r="W40" s="247" t="e">
        <f>P36</f>
        <v>#N/A</v>
      </c>
      <c r="X40" s="247">
        <f ca="1">Q36</f>
        <v>3.9E-2</v>
      </c>
      <c r="Y40" s="247">
        <f>R36</f>
        <v>0.115</v>
      </c>
      <c r="Z40" s="247">
        <f>S36</f>
        <v>2.9000000000000001E-2</v>
      </c>
      <c r="AA40" s="559"/>
      <c r="AB40" s="266"/>
      <c r="AC40" s="486" t="s">
        <v>971</v>
      </c>
      <c r="AD40" s="423">
        <f>HLOOKUP(C11,Table_StateRates,6,FALSE)</f>
        <v>1.9</v>
      </c>
      <c r="AE40" s="559"/>
      <c r="AF40" s="559"/>
      <c r="AG40" s="877"/>
      <c r="AJ40" s="542"/>
      <c r="AK40" s="724" t="s">
        <v>1022</v>
      </c>
      <c r="AL40" s="279">
        <v>1</v>
      </c>
      <c r="AM40" s="279">
        <v>1</v>
      </c>
      <c r="AN40" s="279">
        <v>1</v>
      </c>
      <c r="AO40" s="279">
        <v>1</v>
      </c>
      <c r="AP40" s="558"/>
    </row>
    <row r="41" spans="1:46" x14ac:dyDescent="0.2">
      <c r="D41" s="108" t="s">
        <v>960</v>
      </c>
      <c r="E41" s="160"/>
      <c r="F41" s="942"/>
      <c r="U41" s="185"/>
      <c r="V41" s="186" t="s">
        <v>108</v>
      </c>
      <c r="W41" s="208">
        <f>DF_Time_Law</f>
        <v>1.2</v>
      </c>
      <c r="X41" s="208">
        <f>DF_Time_Law</f>
        <v>1.2</v>
      </c>
      <c r="Y41" s="208">
        <f>DF_Time_Law</f>
        <v>1.2</v>
      </c>
      <c r="Z41" s="208">
        <f>DF_Time_Law</f>
        <v>1.2</v>
      </c>
      <c r="AA41" s="559"/>
      <c r="AB41" s="542"/>
      <c r="AC41" s="597" t="s">
        <v>1019</v>
      </c>
      <c r="AD41" s="279">
        <f>HLOOKUP(C11,Table_StateRates,5,FALSE)</f>
        <v>1.38</v>
      </c>
      <c r="AE41" s="426"/>
      <c r="AF41" s="559"/>
      <c r="AG41" s="899"/>
      <c r="AK41" s="83" t="s">
        <v>1150</v>
      </c>
      <c r="AL41" s="2">
        <f>ROUND(PRODUCT(AL35:AL40),3)</f>
        <v>0</v>
      </c>
      <c r="AM41" s="2">
        <f>ROUND(PRODUCT(AM35:AM40),3)</f>
        <v>0</v>
      </c>
      <c r="AN41" s="2">
        <f>ROUND(PRODUCT(AN35:AN40),3)</f>
        <v>0</v>
      </c>
      <c r="AO41" s="2">
        <f>ROUND(PRODUCT(AO35:AO40),3)</f>
        <v>0</v>
      </c>
      <c r="AP41" s="559"/>
    </row>
    <row r="42" spans="1:46" ht="13.5" customHeight="1" x14ac:dyDescent="0.2">
      <c r="D42" s="191" t="s">
        <v>1065</v>
      </c>
      <c r="E42" s="456">
        <f>IF(ISBLANK(F41),0,IF(ISERROR(VLOOKUP(F41,List_VacantClasses,1,FALSE)),VLOOKUP(F41,Table_G1_LC,MATCH(C15&amp;"B",List_ClassLC,0)+2),0))</f>
        <v>0</v>
      </c>
      <c r="F42" s="213"/>
      <c r="N42" s="60" t="s">
        <v>554</v>
      </c>
      <c r="Q42" s="60" t="s">
        <v>557</v>
      </c>
      <c r="V42" s="83" t="s">
        <v>109</v>
      </c>
      <c r="W42" s="247" t="e">
        <f>ROUND(PRODUCT(W40:W41),3)</f>
        <v>#N/A</v>
      </c>
      <c r="X42" s="247">
        <f ca="1">ROUND(PRODUCT(X40:X41),3)</f>
        <v>4.7E-2</v>
      </c>
      <c r="Y42" s="247">
        <f>ROUND(PRODUCT(Y40:Y41),3)</f>
        <v>0.13800000000000001</v>
      </c>
      <c r="Z42" s="247">
        <f>ROUND(PRODUCT(Z40:Z41),3)</f>
        <v>3.5000000000000003E-2</v>
      </c>
      <c r="AA42" s="558"/>
      <c r="AB42" s="385"/>
      <c r="AC42" s="685" t="s">
        <v>1134</v>
      </c>
      <c r="AD42" s="558">
        <f>ROUND(PRODUCT(AD37:AD41),3)</f>
        <v>3.9E-2</v>
      </c>
      <c r="AE42" s="385"/>
      <c r="AF42" s="559"/>
      <c r="AG42" s="877"/>
      <c r="AJ42" s="185"/>
      <c r="AK42" s="186" t="s">
        <v>1025</v>
      </c>
      <c r="AL42" s="238">
        <f>IF(ISNUMBER(E47),E47/100,0)</f>
        <v>0</v>
      </c>
      <c r="AM42" s="238">
        <f>IF(ISNUMBER(E47),E47/100,0)</f>
        <v>0</v>
      </c>
      <c r="AN42" s="238">
        <f>IF(ISNUMBER(E47),E47/100,0)</f>
        <v>0</v>
      </c>
      <c r="AO42" s="238">
        <f>IF(ISNUMBER(E47),E47/100,0)</f>
        <v>0</v>
      </c>
      <c r="AP42" s="559"/>
    </row>
    <row r="43" spans="1:46" ht="12.75" customHeight="1" thickBot="1" x14ac:dyDescent="0.25">
      <c r="D43" s="91"/>
      <c r="E43" s="195"/>
      <c r="F43" s="101"/>
      <c r="N43" s="2" t="s">
        <v>555</v>
      </c>
      <c r="Q43" s="834">
        <f>IF(OR(C31&lt;&gt;"Yes",AND(C31="Yes",B31&lt;&gt;"Sprinkler")),0,2)</f>
        <v>0</v>
      </c>
      <c r="R43" s="2" t="s">
        <v>558</v>
      </c>
      <c r="AA43" s="558"/>
      <c r="AB43" s="385"/>
      <c r="AC43" s="702" t="s">
        <v>1178</v>
      </c>
      <c r="AD43" s="559">
        <f>IF(OR(C27="S",C27="T"),1,VLOOKUP(C14,Table_ProtClass,IF(C15&lt;=3,2,3),FALSE))</f>
        <v>0.96</v>
      </c>
      <c r="AE43" s="266"/>
      <c r="AF43" s="266"/>
      <c r="AG43" s="266"/>
      <c r="AK43" s="83" t="s">
        <v>1647</v>
      </c>
      <c r="AL43" s="248">
        <f>ROUND(PRODUCT(AL41:AL42),0)</f>
        <v>0</v>
      </c>
      <c r="AM43" s="248">
        <f>ROUND(PRODUCT(AM41:AM42),0)</f>
        <v>0</v>
      </c>
      <c r="AN43" s="248">
        <f>ROUND(PRODUCT(AN41:AN42),0)</f>
        <v>0</v>
      </c>
      <c r="AO43" s="248">
        <f>ROUND(PRODUCT(AO41:AO42),0)</f>
        <v>0</v>
      </c>
      <c r="AP43" s="558"/>
    </row>
    <row r="44" spans="1:46" x14ac:dyDescent="0.2">
      <c r="D44" s="905" t="s">
        <v>1607</v>
      </c>
      <c r="E44" s="902"/>
      <c r="F44" s="969" t="s">
        <v>857</v>
      </c>
      <c r="N44" s="834">
        <f>IF(OR(C27="S",C27="T"),0,2)</f>
        <v>2</v>
      </c>
      <c r="O44" s="2" t="s">
        <v>556</v>
      </c>
      <c r="Q44" s="834">
        <f>IF(OR(C27="S",C27="T"),0,4)</f>
        <v>4</v>
      </c>
      <c r="R44" s="2" t="s">
        <v>556</v>
      </c>
      <c r="V44" s="568" t="s">
        <v>110</v>
      </c>
      <c r="W44" s="893" t="e">
        <f>IF(J12="SP",SUM(W42:Y42),IF(J12="BR",SUM(W42:X42,Z42),SUM(W42:X42)))</f>
        <v>#N/A</v>
      </c>
      <c r="AA44" s="558"/>
      <c r="AB44" s="542"/>
      <c r="AC44" s="597" t="s">
        <v>229</v>
      </c>
      <c r="AD44" s="279">
        <f>IF(OR(ISBLANK(F7),F7="None"),1,IF(E8="Yes",F14,VLOOKUP(F7,IF(F5="Yes",Table_BI_CoIns_EE,Table_BI_CoIns),F8+1,FALSE)+P18))</f>
        <v>0.54</v>
      </c>
      <c r="AE44" s="558"/>
      <c r="AF44" s="558"/>
      <c r="AG44" s="558"/>
      <c r="AP44" s="558"/>
    </row>
    <row r="45" spans="1:46" ht="13.5" thickBot="1" x14ac:dyDescent="0.25">
      <c r="D45" s="528"/>
      <c r="E45" s="750"/>
      <c r="F45" s="901"/>
      <c r="N45" s="917">
        <f>IF(OR(C27="S",C27="T"),0,4)</f>
        <v>4</v>
      </c>
      <c r="O45" s="185" t="s">
        <v>1161</v>
      </c>
      <c r="Q45" s="917">
        <f>IF(OR(C27="S",C27="T"),0,5)</f>
        <v>5</v>
      </c>
      <c r="R45" s="185" t="s">
        <v>1161</v>
      </c>
      <c r="AA45" s="575"/>
      <c r="AB45" s="423"/>
      <c r="AC45" s="810" t="s">
        <v>1150</v>
      </c>
      <c r="AD45" s="426">
        <f>ROUND(PRODUCT(AD42:AD44),3)</f>
        <v>0.02</v>
      </c>
      <c r="AE45" s="559"/>
      <c r="AF45" s="559"/>
      <c r="AG45" s="559"/>
      <c r="AK45" s="685" t="s">
        <v>549</v>
      </c>
      <c r="AL45" s="907">
        <f>IF(E52="Yes",IF(C12="SP",SUM(AL43:AN43),IF(C12="BR",SUM(AL43:AM43,AO43),SUM(AL43:AM43))),0)</f>
        <v>0</v>
      </c>
      <c r="AP45" s="558"/>
    </row>
    <row r="46" spans="1:46" x14ac:dyDescent="0.2">
      <c r="D46" s="123" t="s">
        <v>1470</v>
      </c>
      <c r="E46" s="474"/>
      <c r="F46" s="956" t="s">
        <v>857</v>
      </c>
      <c r="N46" s="834">
        <f>SUM(N44:N45)</f>
        <v>6</v>
      </c>
      <c r="O46" s="53" t="str">
        <f>"Subtract from the " &amp; IF(OR(N46=6,N46=2),"Terr Mult",IF(N46=4,"Prot Class","Loss Cost"))</f>
        <v>Subtract from the Terr Mult</v>
      </c>
      <c r="Q46" s="834">
        <f>SUM(Q43:Q45)</f>
        <v>9</v>
      </c>
      <c r="R46" s="53" t="str">
        <f>"Subtract from the " &amp; IF(OR(Q46=2,Q46=6,Q46=7,Q46=11),"Sprk Lkg",IF(OR(Q46=4,Q46=9),"Terr Mult",IF(Q46=5,"Prot Class","Loss Cost")))</f>
        <v>Subtract from the Terr Mult</v>
      </c>
      <c r="V46" s="545" t="s">
        <v>184</v>
      </c>
      <c r="W46" s="248">
        <f>F4/100</f>
        <v>5000</v>
      </c>
      <c r="AA46" s="575"/>
      <c r="AB46" s="279"/>
      <c r="AC46" s="809" t="s">
        <v>1174</v>
      </c>
      <c r="AD46" s="487">
        <f>IF(F3="Yes",F4/100,0)</f>
        <v>0</v>
      </c>
      <c r="AE46" s="559"/>
      <c r="AF46" s="559"/>
      <c r="AG46" s="559"/>
      <c r="AP46" s="575"/>
    </row>
    <row r="47" spans="1:46" ht="13.5" thickBot="1" x14ac:dyDescent="0.25">
      <c r="D47" s="677" t="s">
        <v>1646</v>
      </c>
      <c r="E47" s="950"/>
      <c r="F47" s="446"/>
      <c r="N47" s="146"/>
      <c r="U47" s="185"/>
      <c r="V47" s="186" t="s">
        <v>111</v>
      </c>
      <c r="W47" s="455">
        <f>IF(F44="Yes",W44,0)</f>
        <v>0</v>
      </c>
      <c r="AA47" s="266"/>
      <c r="AB47" s="426"/>
      <c r="AC47" s="811" t="s">
        <v>1173</v>
      </c>
      <c r="AD47" s="812">
        <f>ROUND(PRODUCT(AD45:AD46),0)</f>
        <v>0</v>
      </c>
      <c r="AE47" s="558"/>
      <c r="AF47" s="558"/>
      <c r="AG47" s="558"/>
      <c r="AP47" s="575"/>
    </row>
    <row r="48" spans="1:46" ht="13.5" thickBot="1" x14ac:dyDescent="0.25">
      <c r="D48" s="518" t="s">
        <v>317</v>
      </c>
      <c r="E48" s="948" t="s">
        <v>857</v>
      </c>
      <c r="F48" s="891">
        <f>COUNTIF(E48:E49,"Yes")</f>
        <v>0</v>
      </c>
      <c r="N48" s="479" t="str">
        <f>IF(OR(N46=6,N46=2),"TM",IF(N46=4,"PC","LC"))</f>
        <v>TM</v>
      </c>
      <c r="O48" s="919" t="s">
        <v>559</v>
      </c>
      <c r="Q48" s="479" t="str">
        <f>IF(AND(B31="Sprinkler",OR(Q46=2,Q46=6,Q46=7,Q46=11)),"SL",IF(AND(OR(B31="NA",ISNUMBER(B31)),OR(Q46=4,Q46=9)),"TM",IF(AND(OR(B31="NA",ISNUMBER(B31)),Q46=5),"PC","LC")))</f>
        <v>TM</v>
      </c>
      <c r="V48" s="83" t="s">
        <v>1514</v>
      </c>
      <c r="W48" s="248">
        <f>ROUND(PRODUCT(W46:W47),0)</f>
        <v>0</v>
      </c>
      <c r="AA48" s="266"/>
      <c r="AJ48" s="916" t="s">
        <v>553</v>
      </c>
      <c r="AL48" s="734">
        <f>SUM(AL15,AL29,AL45)</f>
        <v>0</v>
      </c>
      <c r="AP48" s="266"/>
    </row>
    <row r="49" spans="4:42" x14ac:dyDescent="0.2">
      <c r="D49" s="518" t="s">
        <v>315</v>
      </c>
      <c r="E49" s="948" t="s">
        <v>857</v>
      </c>
      <c r="F49" s="891"/>
      <c r="V49" s="83"/>
      <c r="W49" s="248"/>
      <c r="AP49" s="266"/>
    </row>
    <row r="50" spans="4:42" x14ac:dyDescent="0.2">
      <c r="D50" s="518" t="s">
        <v>316</v>
      </c>
      <c r="E50" s="948" t="s">
        <v>857</v>
      </c>
      <c r="F50" s="891"/>
      <c r="U50" s="60" t="s">
        <v>1518</v>
      </c>
      <c r="V50" s="83"/>
      <c r="W50" s="248"/>
    </row>
    <row r="51" spans="4:42" x14ac:dyDescent="0.2">
      <c r="D51" s="518" t="s">
        <v>1574</v>
      </c>
      <c r="E51" s="948" t="s">
        <v>857</v>
      </c>
      <c r="F51" s="891">
        <f>COUNTIF(E51:E52,"Yes")</f>
        <v>0</v>
      </c>
      <c r="G51" s="8"/>
      <c r="V51" s="189" t="s">
        <v>1519</v>
      </c>
      <c r="W51" s="248" t="e">
        <f>P38</f>
        <v>#N/A</v>
      </c>
    </row>
    <row r="52" spans="4:42" x14ac:dyDescent="0.2">
      <c r="D52" s="518" t="s">
        <v>1575</v>
      </c>
      <c r="E52" s="948" t="s">
        <v>857</v>
      </c>
      <c r="F52" s="891"/>
      <c r="G52" s="146"/>
      <c r="V52" s="189" t="s">
        <v>1520</v>
      </c>
      <c r="W52" s="248">
        <f ca="1">Q38</f>
        <v>195</v>
      </c>
    </row>
    <row r="53" spans="4:42" ht="13.5" thickBot="1" x14ac:dyDescent="0.25">
      <c r="D53" s="91"/>
      <c r="E53" s="195"/>
      <c r="F53" s="101"/>
      <c r="V53" s="189" t="s">
        <v>1521</v>
      </c>
      <c r="W53" s="248">
        <f>IF(C12="SP",R38,0)</f>
        <v>575</v>
      </c>
    </row>
    <row r="54" spans="4:42" x14ac:dyDescent="0.2">
      <c r="D54" s="980" t="s">
        <v>662</v>
      </c>
      <c r="E54" s="474"/>
      <c r="F54" s="956" t="s">
        <v>857</v>
      </c>
      <c r="U54" s="185"/>
      <c r="V54" s="477" t="s">
        <v>1522</v>
      </c>
      <c r="W54" s="238">
        <f>IF(C12="BR",S38,0)</f>
        <v>0</v>
      </c>
    </row>
    <row r="55" spans="4:42" x14ac:dyDescent="0.2">
      <c r="D55" s="473" t="s">
        <v>1766</v>
      </c>
      <c r="E55" s="216"/>
      <c r="F55" s="763">
        <f>IF(F54="No",0,F4)</f>
        <v>0</v>
      </c>
      <c r="V55" s="83" t="s">
        <v>1523</v>
      </c>
      <c r="W55" s="248" t="e">
        <f>SUM(W51:W54)</f>
        <v>#N/A</v>
      </c>
      <c r="AB55" s="793"/>
      <c r="AC55" s="793"/>
      <c r="AD55" s="793"/>
      <c r="AE55" s="793"/>
      <c r="AF55" s="793"/>
      <c r="AG55" s="793"/>
      <c r="AH55" s="793"/>
      <c r="AI55" s="793"/>
    </row>
    <row r="56" spans="4:42" x14ac:dyDescent="0.2">
      <c r="D56" s="669" t="s">
        <v>1833</v>
      </c>
      <c r="E56" s="216"/>
      <c r="F56" s="954" t="s">
        <v>833</v>
      </c>
      <c r="V56" s="83"/>
      <c r="W56" s="248"/>
      <c r="AB56" s="266"/>
      <c r="AC56" s="266"/>
      <c r="AD56" s="266"/>
      <c r="AE56" s="266"/>
      <c r="AF56" s="266"/>
      <c r="AG56" s="266"/>
      <c r="AH56" s="266"/>
      <c r="AI56" s="266"/>
    </row>
    <row r="57" spans="4:42" x14ac:dyDescent="0.2">
      <c r="D57" s="507" t="s">
        <v>677</v>
      </c>
      <c r="E57" s="947" t="s">
        <v>459</v>
      </c>
      <c r="F57" s="772" t="str">
        <f>IF(F56="Yes","B","")</f>
        <v>B</v>
      </c>
      <c r="U57" s="82" t="s">
        <v>1515</v>
      </c>
      <c r="V57" s="60"/>
      <c r="W57" s="83"/>
      <c r="AB57" s="266"/>
      <c r="AC57" s="266"/>
      <c r="AD57" s="266"/>
      <c r="AE57" s="266"/>
      <c r="AF57" s="266"/>
      <c r="AG57" s="266"/>
      <c r="AH57" s="266"/>
      <c r="AI57" s="266"/>
    </row>
    <row r="58" spans="4:42" x14ac:dyDescent="0.2">
      <c r="D58" s="507" t="s">
        <v>1748</v>
      </c>
      <c r="E58" s="947">
        <v>25</v>
      </c>
      <c r="F58" s="771" t="str">
        <f>IF(F56="Yes",E58&amp;"_"&amp;E57,"")</f>
        <v>25_5A</v>
      </c>
      <c r="V58" s="168" t="s">
        <v>1165</v>
      </c>
      <c r="W58" s="248">
        <f>W48</f>
        <v>0</v>
      </c>
      <c r="AB58" s="558"/>
      <c r="AC58" s="558"/>
      <c r="AD58" s="558"/>
      <c r="AE58" s="558"/>
      <c r="AF58" s="558"/>
      <c r="AG58" s="558"/>
      <c r="AH58" s="558"/>
      <c r="AI58" s="558"/>
    </row>
    <row r="59" spans="4:42" x14ac:dyDescent="0.2">
      <c r="D59" s="669" t="s">
        <v>1834</v>
      </c>
      <c r="E59" s="261"/>
      <c r="F59" s="954" t="s">
        <v>857</v>
      </c>
      <c r="U59" s="185"/>
      <c r="V59" s="187" t="s">
        <v>1524</v>
      </c>
      <c r="W59" s="238" t="e">
        <f>W55</f>
        <v>#N/A</v>
      </c>
      <c r="AB59" s="559"/>
      <c r="AC59" s="559"/>
      <c r="AD59" s="559"/>
      <c r="AE59" s="559"/>
      <c r="AF59" s="559"/>
      <c r="AG59" s="559"/>
      <c r="AH59" s="559"/>
      <c r="AI59" s="559"/>
    </row>
    <row r="60" spans="4:42" x14ac:dyDescent="0.2">
      <c r="D60" s="669" t="s">
        <v>1835</v>
      </c>
      <c r="E60" s="261"/>
      <c r="F60" s="954" t="s">
        <v>857</v>
      </c>
      <c r="V60" s="83" t="s">
        <v>1517</v>
      </c>
      <c r="W60" s="260" t="e">
        <f>W58-W59</f>
        <v>#N/A</v>
      </c>
      <c r="AB60" s="559"/>
      <c r="AC60" s="559"/>
      <c r="AD60" s="559"/>
      <c r="AE60" s="559"/>
      <c r="AF60" s="559"/>
      <c r="AG60" s="559"/>
      <c r="AH60" s="559"/>
      <c r="AI60" s="559"/>
    </row>
    <row r="61" spans="4:42" x14ac:dyDescent="0.2">
      <c r="D61" s="507" t="s">
        <v>1836</v>
      </c>
      <c r="E61" s="947"/>
      <c r="F61" s="293"/>
      <c r="AB61" s="558"/>
      <c r="AC61" s="558"/>
      <c r="AD61" s="558"/>
      <c r="AE61" s="558"/>
      <c r="AF61" s="558"/>
      <c r="AG61" s="558"/>
      <c r="AH61" s="558"/>
      <c r="AI61" s="558"/>
    </row>
    <row r="62" spans="4:42" x14ac:dyDescent="0.2">
      <c r="D62" s="762"/>
      <c r="E62" s="774"/>
      <c r="F62" s="773"/>
      <c r="AB62" s="558"/>
      <c r="AC62" s="558"/>
      <c r="AD62" s="558"/>
      <c r="AE62" s="558"/>
      <c r="AF62" s="558"/>
      <c r="AG62" s="558"/>
      <c r="AH62" s="558"/>
      <c r="AI62" s="558"/>
    </row>
    <row r="63" spans="4:42" x14ac:dyDescent="0.2">
      <c r="D63" s="669" t="s">
        <v>1234</v>
      </c>
      <c r="E63" s="261"/>
      <c r="F63" s="954" t="s">
        <v>857</v>
      </c>
      <c r="AB63" s="558"/>
      <c r="AC63" s="558"/>
      <c r="AD63" s="558"/>
      <c r="AE63" s="558"/>
      <c r="AF63" s="558"/>
      <c r="AG63" s="558"/>
      <c r="AH63" s="558"/>
      <c r="AI63" s="558"/>
    </row>
    <row r="64" spans="4:42" x14ac:dyDescent="0.2">
      <c r="D64" s="507" t="s">
        <v>1235</v>
      </c>
      <c r="E64" s="947"/>
      <c r="F64" s="293"/>
      <c r="AB64" s="575"/>
      <c r="AC64" s="575"/>
      <c r="AD64" s="575"/>
      <c r="AE64" s="575"/>
      <c r="AF64" s="575"/>
      <c r="AG64" s="575"/>
      <c r="AH64" s="575"/>
      <c r="AI64" s="575"/>
    </row>
    <row r="65" spans="4:35" ht="13.5" thickBot="1" x14ac:dyDescent="0.25">
      <c r="D65" s="514"/>
      <c r="E65" s="515"/>
      <c r="F65" s="516"/>
      <c r="AB65" s="575"/>
      <c r="AC65" s="575"/>
      <c r="AD65" s="575"/>
      <c r="AE65" s="575"/>
      <c r="AF65" s="575"/>
      <c r="AG65" s="575"/>
      <c r="AH65" s="575"/>
      <c r="AI65" s="575"/>
    </row>
    <row r="66" spans="4:35" x14ac:dyDescent="0.2">
      <c r="AB66" s="266"/>
      <c r="AC66" s="266"/>
      <c r="AD66" s="266"/>
      <c r="AE66" s="266"/>
      <c r="AF66" s="266"/>
      <c r="AG66" s="266"/>
      <c r="AH66" s="266"/>
      <c r="AI66" s="266"/>
    </row>
    <row r="67" spans="4:35" x14ac:dyDescent="0.2">
      <c r="AB67" s="266"/>
      <c r="AC67" s="266"/>
      <c r="AD67" s="266"/>
      <c r="AE67" s="266"/>
      <c r="AF67" s="266"/>
      <c r="AG67" s="266"/>
      <c r="AH67" s="266"/>
      <c r="AI67" s="266"/>
    </row>
  </sheetData>
  <mergeCells count="5">
    <mergeCell ref="H1:L1"/>
    <mergeCell ref="AB1:AH1"/>
    <mergeCell ref="AQ1:AS1"/>
    <mergeCell ref="AU25:AV25"/>
    <mergeCell ref="AB34:AH34"/>
  </mergeCells>
  <conditionalFormatting sqref="B24">
    <cfRule type="expression" dxfId="194" priority="6" stopIfTrue="1">
      <formula>IF($C$24="Yes",FALSE,TRUE)</formula>
    </cfRule>
  </conditionalFormatting>
  <conditionalFormatting sqref="A18">
    <cfRule type="expression" dxfId="193" priority="5">
      <formula>IF($C$12="SP",TRUE,FALSE)</formula>
    </cfRule>
  </conditionalFormatting>
  <conditionalFormatting sqref="C18">
    <cfRule type="expression" dxfId="192" priority="3">
      <formula>IF($C$12="SP",TRUE,FALSE)</formula>
    </cfRule>
    <cfRule type="expression" dxfId="191" priority="4">
      <formula>IF($C$12="SP",TRUE,FALSE)</formula>
    </cfRule>
  </conditionalFormatting>
  <conditionalFormatting sqref="C18">
    <cfRule type="expression" dxfId="190" priority="1">
      <formula>IF($C$12="SP",TRUE,FALSE)</formula>
    </cfRule>
    <cfRule type="expression" dxfId="189" priority="2">
      <formula>IF($C$12="SP",TRUE,FALSE)</formula>
    </cfRule>
  </conditionalFormatting>
  <dataValidations count="77"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58">
      <formula1>OFFSET(Table_EQ_Tiers,0,0,,1)</formula1>
    </dataValidation>
    <dataValidation type="custom" allowBlank="1" showInputMessage="1" showErrorMessage="1" prompt="EQ Table Lookup Value" sqref="F58">
      <formula1>FALSE</formula1>
    </dataValidation>
    <dataValidation type="custom" allowBlank="1" showInputMessage="1" showErrorMessage="1" prompt="EQ Sprinkler Leakage Extension Factor Lookup value." sqref="F57">
      <formula1>FALSE</formula1>
    </dataValidation>
    <dataValidation type="custom" allowBlank="1" showInputMessage="1" showErrorMessage="1" promptTitle="OH Lines Utility Svc Multiplier" prompt="Displays the multiplier for the Overhead Power Trans &amp; Comm Lines premium calculations." sqref="F51">
      <formula1>FALSE</formula1>
    </dataValidation>
    <dataValidation type="custom" allowBlank="1" showInputMessage="1" showErrorMessage="1" promptTitle="P&amp;W Utility Svc Multiplier" prompt="Displays the multiplier for Power &amp; Water Supply premium calculations." sqref="F48">
      <formula1>FALSE</formula1>
    </dataValidation>
    <dataValidation type="list" allowBlank="1" showInputMessage="1" showErrorMessage="1" promptTitle="OH Power Transmission Lines" prompt="Please Select:_x000a_{ Yes or No }" sqref="E51">
      <formula1>IF($F$46="Yes",List_YN, List_No)</formula1>
    </dataValidation>
    <dataValidation type="list" allowBlank="1" showInputMessage="1" showErrorMessage="1" promptTitle="Ovhd Communication Lines" prompt="Please Select:_x000a_{ Yes or No }" sqref="E52">
      <formula1>IF($F$46="Yes",List_YN, List_No)</formula1>
    </dataValidation>
    <dataValidation type="list" allowBlank="1" showInputMessage="1" showErrorMessage="1" promptTitle="Communications Supply" prompt="Please Select:_x000a_{ Yes or No }" sqref="E50">
      <formula1>IF($F$46="Yes",List_YN, List_No)</formula1>
    </dataValidation>
    <dataValidation type="list" allowBlank="1" showInputMessage="1" showErrorMessage="1" promptTitle="Power &amp; Water Supply" prompt="Please Select:_x000a_{ Yes or No }" sqref="E48:E49">
      <formula1>IF($F$46="Yes",List_YN, List_No)</formula1>
    </dataValidation>
    <dataValidation type="list" allowBlank="1" showInputMessage="1" showErrorMessage="1" errorTitle="Coverage Not Available" error="Extra Expense coverage has already been applied to this policy." promptTitle="Please Select:" prompt="Yes = Apply Coverage_x000a_No  = Do Not Apply_x000a__x000a_* Note: If you have EE has an optional coverage already applied to policy, you cannot include EE on BI." sqref="F3">
      <formula1>List_YN</formula1>
    </dataValidation>
    <dataValidation type="custom" allowBlank="1" showInputMessage="1" showErrorMessage="1" promptTitle="BI Availability Indicator:" prompt="EE - indicates that Extra Expense Coverage has already been applied to policy._x000a__x000a_Available - indicates that BI is still available to be added to the policy." sqref="E3">
      <formula1>FALSE</formula1>
    </dataValidation>
    <dataValidation type="custom" allowBlank="1" showInputMessage="1" showErrorMessage="1" promptTitle="BI &quot;Special&quot; Col. Reference" prompt="Checks to see if Extra Expense is included within the rating for Business Income.  If so it will give the column reference for &quot;All Other&quot;." sqref="E4">
      <formula1>FALSE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="Relates to Special Form Reference" sqref="B15">
      <formula1>FALSE</formula1>
    </dataValidation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custom" allowBlank="1" showInputMessage="1" showErrorMessage="1" promptTitle="Exclusion Options" prompt="KY does not have exclusion options." sqref="B23">
      <formula1>FALSE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IF($E$8="No",List_No,List_BI_OccType)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IF($E$8="Yes",List_No,List_BI_OccType)</formula1>
    </dataValidation>
    <dataValidation type="list" allowBlank="1" showInputMessage="1" showErrorMessage="1" promptTitle="Include Extra Expense Coverage" prompt="Please Select:_x000a_Yes or No" sqref="F5">
      <formula1>IF($E$3="Available",List_YN,List_No)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IF(OR($F$17="Yes"),List_No,List_YN)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IF($F$15="Yes",OFFSET(Table_BI_IndDays,0,0,,1),List_No)</formula1>
    </dataValidation>
    <dataValidation type="list" allowBlank="1" showInputMessage="1" showErrorMessage="1" promptTitle="Apply Monthly Limitation?" prompt="Please Select:_x000a_Yes or No" sqref="F18">
      <formula1>IF(ISNUMBER($F$7),List_No,List_YN)</formula1>
    </dataValidation>
    <dataValidation type="list" allowBlank="1" showInputMessage="1" showErrorMessage="1" promptTitle="Monthly Limitation Period:" prompt="Please Select:_x000a_3rd - 1/3_x000a_4th - 1/4_x000a_6th - 1/6" sqref="E19">
      <formula1>IF($F$18&lt;&gt;"Yes",List_No,List_MosLimit)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4">
      <formula1>IF($F$33="Yes", OFFSET(Table_BI_Wait,0,0,,1),List_No)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3">
      <formula1>List_YN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31">
      <formula1>IF($F$30="Yes",List_BI_Mining,List_No)</formula1>
    </dataValidation>
    <dataValidation type="list" allowBlank="1" showInputMessage="1" showErrorMessage="1" promptTitle="Extension Period" prompt="Please Select:_x000a_1 - 180 Days_x000a_2 - No Limit" sqref="E23">
      <formula1>IF($F$22="Yes",OFFSET(Table_BI_EMR,0,0,,1),List_No)</formula1>
    </dataValidation>
    <dataValidation type="list" allowBlank="1" showInputMessage="1" showErrorMessage="1" promptTitle="Apply Electronic Media &amp; Recs?" prompt="Please Select:_x000a_Yes or No" sqref="F22">
      <formula1>List_YN</formula1>
    </dataValidation>
    <dataValidation type="list" allowBlank="1" showInputMessage="1" showErrorMessage="1" promptTitle="Seasonal Leases:" prompt="Please Select:_x000a_Yes or No_x000a__x000a_* This coverage relates to rental property only." sqref="F27">
      <formula1>IF($F$8&lt;&gt;3,List_No,List_YN)</formula1>
    </dataValidation>
    <dataValidation type="list" allowBlank="1" showInputMessage="1" showErrorMessage="1" promptTitle="Apply Mining Property Coverage?" prompt="Please Select:_x000a_Yes or No" sqref="F30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5">
      <formula1>IF($F$24="Yes",OFFSET(Table_BI_OrdPR,0,0,,1),List_No)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6">
      <formula1>IF(ISNUMBER($F$7),List_YN,List_No)</formula1>
    </dataValidation>
    <dataValidation type="list" allowBlank="1" showInputMessage="1" showErrorMessage="1" promptTitle="Ordinary Payroll Exclusion" prompt="Please Select:_x000a_Yes or No" sqref="F24">
      <formula1>List_YN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Apply Educational Inst Coverage?" prompt="Please Select:_x000a_Yes or No" sqref="F20">
      <formula1>IF($F$7&gt;=50,List_No,List_YN)</formula1>
    </dataValidation>
    <dataValidation type="list" allowBlank="1" showInputMessage="1" showErrorMessage="1" promptTitle="Increased Coverage Period" prompt="Please Select # of Days:_x000a_{ 60, 90, 180 }" sqref="E29">
      <formula1>IF($F$28="Yes",OFFSET(Table_CivilAuth,0,0,,1),List_No)</formula1>
    </dataValidation>
    <dataValidation type="list" allowBlank="1" showInputMessage="1" showErrorMessage="1" promptTitle="Civil Authority Inc. Coverage" prompt="Please Select:_x000a_Yes or No" sqref="F28">
      <formula1>List_YN</formula1>
    </dataValidation>
    <dataValidation type="list" allowBlank="1" showInputMessage="1" showErrorMessage="1" promptTitle="Basic Group I - Class Codes" prompt="Please select your building class code" sqref="F39">
      <formula1>OFFSET(Table_G1_LC,0,0,,1)</formula1>
    </dataValidation>
    <dataValidation type="custom" allowBlank="1" showInputMessage="1" showErrorMessage="1" promptTitle="Class Rating Group" prompt="Displays Rating Group for Class Code selected." sqref="E39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42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F41">
      <formula1>OFFSET(Table_G1_LC,0,0,,1)</formula1>
    </dataValidation>
    <dataValidation type="list" allowBlank="1" showInputMessage="1" showErrorMessage="1" promptTitle="Please Select:" prompt="Yes = Apply Coverage_x000a_No  = Do Not Apply" sqref="F37 F46 F54">
      <formula1>List_YN</formula1>
    </dataValidation>
    <dataValidation type="list" allowBlank="1" showInputMessage="1" showErrorMessage="1" promptTitle="Increased Period of Restoration" prompt="Please Select:_x000a_Yes or No" sqref="F44">
      <formula1>List_YN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B5:C5 C7 B8 C4 C24 C10:C11 C14:C15 C21:C22 C17">
      <formula1>FALSE</formula1>
    </dataValidation>
    <dataValidation type="custom" allowBlank="1" showInputMessage="1" showErrorMessage="1" errorTitle="Do Not Touch" error="This is used to generate the Coinsurance rate." sqref="B34 E63">
      <formula1>FALSE</formula1>
    </dataValidation>
    <dataValidation type="custom" allowBlank="1" showInputMessage="1" showErrorMessage="1" sqref="O8 A29 E13:F13 F55 D14 B30:B31 C25 O5">
      <formula1>FALSE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9">
      <formula1>IF(C12="SP",List_No,IF(F54="Yes",List_YN,List_No))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60">
      <formula1>IF(C12="SP",List_No,IF(F54="Yes",List_YN,List_No))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3">
      <formula1>IF(OR(C12="BR",C12="BA"),List_No,IF(F54="Yes",List_YN,List_No))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6">
      <formula1>IF(AND(F54="Yes",C31&lt;&gt;"Yes"),List_YN,List_No)</formula1>
    </dataValidation>
    <dataValidation type="list" allowBlank="1" showInputMessage="1" showErrorMessage="1" promptTitle="EQ Building Class" prompt="Please Select a class from the drop down list." sqref="E57">
      <formula1>IF(F56="Yes",List_EQBldgClass,List_No)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1">
      <formula1>IF($F60="Yes",OFFSET(Table_Other_PierWharf,0,0,,1),List_No)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4">
      <formula1>IF(F63="Yes",OFFSET(Table_Other_WaterBuyback,0,0,,1),List_No)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sqref="E47">
      <formula1>IF(F46="Yes",TRUE,FALSE)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6" manualBreakCount="6">
    <brk id="6" max="1048575" man="1"/>
    <brk id="13" max="64" man="1"/>
    <brk id="20" max="64" man="1"/>
    <brk id="27" max="64" man="1"/>
    <brk id="35" max="64" man="1"/>
    <brk id="42" max="64" man="1"/>
  </col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76"/>
  <sheetViews>
    <sheetView zoomScale="90" zoomScaleNormal="90" workbookViewId="0">
      <selection activeCell="H4" sqref="H4"/>
    </sheetView>
  </sheetViews>
  <sheetFormatPr defaultRowHeight="12.75" x14ac:dyDescent="0.2"/>
  <cols>
    <col min="1" max="1" width="27.7109375" style="2" customWidth="1"/>
    <col min="2" max="2" width="13.42578125" style="2" customWidth="1"/>
    <col min="3" max="3" width="13.85546875" style="2" customWidth="1"/>
    <col min="4" max="4" width="32.140625" style="2" customWidth="1"/>
    <col min="5" max="5" width="13.140625" style="2" customWidth="1"/>
    <col min="6" max="6" width="12.42578125" style="2" customWidth="1"/>
    <col min="7" max="7" width="9.140625" style="2"/>
    <col min="8" max="8" width="39.140625" style="2" customWidth="1"/>
    <col min="9" max="12" width="12.85546875" style="2" customWidth="1"/>
    <col min="13" max="13" width="8.140625" style="2" customWidth="1"/>
    <col min="14" max="14" width="15.140625" style="2" customWidth="1"/>
    <col min="15" max="15" width="27" style="2" customWidth="1"/>
    <col min="16" max="16" width="12.28515625" style="2" customWidth="1"/>
    <col min="17" max="18" width="12.42578125" style="2" customWidth="1"/>
    <col min="19" max="19" width="11.85546875" style="2" customWidth="1"/>
    <col min="20" max="20" width="5.42578125" style="2" customWidth="1"/>
    <col min="21" max="21" width="19.85546875" style="2" customWidth="1"/>
    <col min="22" max="22" width="25.85546875" style="2" customWidth="1"/>
    <col min="23" max="23" width="12.7109375" style="2" customWidth="1"/>
    <col min="24" max="24" width="15.140625" style="2" customWidth="1"/>
    <col min="25" max="25" width="15.42578125" style="2" customWidth="1"/>
    <col min="26" max="26" width="13" style="2" customWidth="1"/>
    <col min="27" max="27" width="5.42578125" style="2" customWidth="1"/>
    <col min="28" max="28" width="25.85546875" style="2" customWidth="1"/>
    <col min="29" max="29" width="13.7109375" style="2" customWidth="1"/>
    <col min="30" max="30" width="11.7109375" style="2" customWidth="1"/>
    <col min="31" max="32" width="13.140625" style="2" customWidth="1"/>
    <col min="33" max="33" width="11.28515625" style="2" customWidth="1"/>
    <col min="34" max="34" width="9.140625" style="2"/>
    <col min="35" max="35" width="34.28515625" style="2" customWidth="1"/>
    <col min="36" max="36" width="23.7109375" style="2" customWidth="1"/>
    <col min="37" max="37" width="14.28515625" style="2" customWidth="1"/>
    <col min="38" max="16384" width="9.140625" style="2"/>
  </cols>
  <sheetData>
    <row r="1" spans="1:37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1757</v>
      </c>
      <c r="I1" s="1595"/>
      <c r="J1" s="1595"/>
      <c r="K1" s="1595"/>
      <c r="L1" s="1596"/>
      <c r="N1" s="60" t="s">
        <v>978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152" t="s">
        <v>949</v>
      </c>
    </row>
    <row r="2" spans="1:37" ht="12.75" customHeight="1" thickBot="1" x14ac:dyDescent="0.25">
      <c r="A2" s="529" t="s">
        <v>832</v>
      </c>
      <c r="B2" s="530"/>
      <c r="C2" s="7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1053</v>
      </c>
      <c r="AB2" s="60" t="s">
        <v>550</v>
      </c>
      <c r="AD2" s="235"/>
      <c r="AE2" s="235"/>
      <c r="AF2" s="235"/>
      <c r="AG2" s="235"/>
    </row>
    <row r="3" spans="1:37" ht="13.5" thickBot="1" x14ac:dyDescent="0.25">
      <c r="A3" s="744" t="s">
        <v>195</v>
      </c>
      <c r="B3" s="745" t="str">
        <f>IF(C3="Building","B",IF(C3="Pers Pty","PP","None"))</f>
        <v>B</v>
      </c>
      <c r="C3" s="746" t="str">
        <f>IF(AND(TC5_BLDG1!C27="Yes",TC5_PP1!C27="Yes"),"Building",IF(AND(TC5_BLDG1!C27="No",TC5_PP1!C27="Yes"),"Pers Pty",IF(AND(TC5_BLDG1!C27="Yes",TC5_PP1!C27="No"),"Building","Neither")))</f>
        <v>Building</v>
      </c>
      <c r="D3" s="521" t="s">
        <v>1419</v>
      </c>
      <c r="E3" s="820" t="str">
        <f>IF(TC5_BI1!F5="Yes","BI","Available")</f>
        <v>Available</v>
      </c>
      <c r="F3" s="1100" t="s">
        <v>833</v>
      </c>
      <c r="H3" s="1273">
        <f>Summary5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107</v>
      </c>
      <c r="W3" s="247">
        <f>P24</f>
        <v>1.014</v>
      </c>
      <c r="X3" s="247">
        <f>Q24</f>
        <v>0.28599999999999998</v>
      </c>
      <c r="Y3" s="247">
        <f>R24</f>
        <v>0.16300000000000001</v>
      </c>
      <c r="Z3" s="247">
        <f>S24</f>
        <v>0.06</v>
      </c>
      <c r="AB3" s="146"/>
      <c r="AC3" s="545" t="s">
        <v>1049</v>
      </c>
      <c r="AD3" s="146">
        <f>VLOOKUP(1,Table_Time_Utility,2,FALSE)</f>
        <v>2.1999999999999999E-2</v>
      </c>
      <c r="AE3" s="146">
        <f>VLOOKUP(1,Table_Time_Utility,3,FALSE)</f>
        <v>1.0999999999999999E-2</v>
      </c>
      <c r="AF3" s="146">
        <f>VLOOKUP(1,Table_Time_Utility,5,FALSE)</f>
        <v>1.9E-2</v>
      </c>
      <c r="AG3" s="563">
        <f>VLOOKUP(1,Table_Time_Utility,4,FALSE)</f>
        <v>6.0000000000000001E-3</v>
      </c>
      <c r="AI3" s="154" t="s">
        <v>950</v>
      </c>
      <c r="AJ3" s="86"/>
      <c r="AK3" s="156" t="s">
        <v>951</v>
      </c>
    </row>
    <row r="4" spans="1:37" x14ac:dyDescent="0.2">
      <c r="A4" s="120" t="s">
        <v>1024</v>
      </c>
      <c r="B4" s="95"/>
      <c r="C4" s="1086" t="str">
        <f>IF(B3="B",TC5_BLDG1!C3,IF(B3="PP",TC5_PP1!C3,""))</f>
        <v>CT</v>
      </c>
      <c r="D4" s="107" t="s">
        <v>1241</v>
      </c>
      <c r="E4" s="272"/>
      <c r="F4" s="704">
        <v>1000000</v>
      </c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85"/>
      <c r="V4" s="186" t="s">
        <v>108</v>
      </c>
      <c r="W4" s="208">
        <f>DF_Time_Law</f>
        <v>1.2</v>
      </c>
      <c r="X4" s="208">
        <f>DF_Time_Law</f>
        <v>1.2</v>
      </c>
      <c r="Y4" s="208">
        <f>DF_Time_Law</f>
        <v>1.2</v>
      </c>
      <c r="Z4" s="208">
        <f>DF_Time_Law</f>
        <v>1.2</v>
      </c>
      <c r="AB4" s="185"/>
      <c r="AC4" s="186" t="s">
        <v>1050</v>
      </c>
      <c r="AD4" s="238">
        <f>F22</f>
        <v>0</v>
      </c>
      <c r="AE4" s="238">
        <f>F22</f>
        <v>0</v>
      </c>
      <c r="AF4" s="238">
        <f>F22</f>
        <v>0</v>
      </c>
      <c r="AG4" s="785">
        <f>F22</f>
        <v>0</v>
      </c>
      <c r="AI4" s="686" t="s">
        <v>1715</v>
      </c>
      <c r="AK4" s="155">
        <f>IF(AK22&lt;-0.05,-0.05,IF(AK22&gt;0.05,0.05,AK22))</f>
        <v>0</v>
      </c>
    </row>
    <row r="5" spans="1:37" x14ac:dyDescent="0.2">
      <c r="A5" s="120" t="s">
        <v>1828</v>
      </c>
      <c r="B5" s="729">
        <f>IF(B3="B",TC5_BLDG1!B4,IF(B3="PP",TC5_PP1!B4,""))</f>
        <v>0</v>
      </c>
      <c r="C5" s="1086">
        <f>IF(B3="B",TC5_BLDG1!C4,IF(B3="PP",TC5_PP1!C4,""))</f>
        <v>0</v>
      </c>
      <c r="D5" s="84" t="s">
        <v>1610</v>
      </c>
      <c r="E5" s="193"/>
      <c r="F5" s="704">
        <v>100</v>
      </c>
      <c r="H5" s="483" t="s">
        <v>978</v>
      </c>
      <c r="I5" s="485">
        <f>IF(F3="Yes",P26,0)</f>
        <v>10140</v>
      </c>
      <c r="J5" s="485">
        <f>IF(F3="Yes",Q26,0)</f>
        <v>2860</v>
      </c>
      <c r="K5" s="485">
        <f>IF(AND(F3="Yes",C12="SP"),R26,0)</f>
        <v>1630</v>
      </c>
      <c r="L5" s="485">
        <f>IF(AND(F3="Yes",C12="BR"),S26,0)</f>
        <v>0</v>
      </c>
      <c r="O5" s="168" t="str">
        <f>C3&amp;" - Loss Cost"</f>
        <v>Building - Loss Cost</v>
      </c>
      <c r="P5" s="247">
        <f>B29</f>
        <v>0.126</v>
      </c>
      <c r="Q5" s="247">
        <f>C29</f>
        <v>4.2000000000000003E-2</v>
      </c>
      <c r="R5" s="247">
        <f>IF(C12="SP",VLOOKUP(B13,Table_Time_Special,3,FALSE),0)</f>
        <v>6.2E-2</v>
      </c>
      <c r="S5" s="247">
        <f>HLOOKUP(B12,Table_BroadTime,3,FALSE)</f>
        <v>2.3E-2</v>
      </c>
      <c r="V5" s="83" t="s">
        <v>109</v>
      </c>
      <c r="W5" s="247">
        <f>ROUND(PRODUCT(W3:W4),3)</f>
        <v>1.2170000000000001</v>
      </c>
      <c r="X5" s="247">
        <f>ROUND(PRODUCT(X3:X4),3)</f>
        <v>0.34300000000000003</v>
      </c>
      <c r="Y5" s="247">
        <f>ROUND(PRODUCT(Y3:Y4),3)</f>
        <v>0.19600000000000001</v>
      </c>
      <c r="Z5" s="247">
        <f>ROUND(PRODUCT(Z3:Z4),3)</f>
        <v>7.1999999999999995E-2</v>
      </c>
      <c r="AB5" s="146"/>
      <c r="AC5" s="301" t="s">
        <v>1051</v>
      </c>
      <c r="AD5" s="146">
        <f>ROUND(PRODUCT(AD3:AD4),3)</f>
        <v>0</v>
      </c>
      <c r="AE5" s="146">
        <f>ROUND(PRODUCT(AE3:AE4),3)</f>
        <v>0</v>
      </c>
      <c r="AF5" s="146">
        <f>ROUND(PRODUCT(AF3:AF4),3)</f>
        <v>0</v>
      </c>
      <c r="AG5" s="146">
        <f>ROUND(PRODUCT(AG3:AG4),3)</f>
        <v>0</v>
      </c>
      <c r="AI5" s="151" t="s">
        <v>1714</v>
      </c>
      <c r="AK5" s="155">
        <f>IF(AK23&lt;-0.06,-0.06,IF(AK23&gt;0.06,0.06,AK23))</f>
        <v>0</v>
      </c>
    </row>
    <row r="6" spans="1:37" x14ac:dyDescent="0.2">
      <c r="A6" s="120"/>
      <c r="B6" s="95"/>
      <c r="C6" s="1039"/>
      <c r="D6" s="499"/>
      <c r="E6" s="146"/>
      <c r="F6" s="1072"/>
      <c r="H6" s="483"/>
      <c r="I6" s="485"/>
      <c r="J6" s="485"/>
      <c r="K6" s="485"/>
      <c r="L6" s="485"/>
      <c r="O6" s="168" t="s">
        <v>972</v>
      </c>
      <c r="P6" s="207">
        <f>IF(OR(C27="S",C27="T"),1,VLOOKUP(C14,Table_ProtClass,IF(C15&lt;=3,2,3),FALSE)) - IF(AND(C33=1,ISNUMBER(B31),P13=1),B31,0)</f>
        <v>0.96</v>
      </c>
      <c r="Q6" s="207">
        <v>1</v>
      </c>
      <c r="R6" s="207">
        <v>1</v>
      </c>
      <c r="S6" s="207">
        <v>1</v>
      </c>
      <c r="AC6" s="168" t="s">
        <v>971</v>
      </c>
      <c r="AD6" s="207">
        <f>HLOOKUP(C11,Table_StateRates,6,FALSE)</f>
        <v>1.9</v>
      </c>
      <c r="AE6" s="207">
        <f>HLOOKUP(C11,Table_StateRates,6,FALSE)</f>
        <v>1.9</v>
      </c>
      <c r="AF6" s="207">
        <f>HLOOKUP(C11,Table_StateRates,6,FALSE)</f>
        <v>1.9</v>
      </c>
      <c r="AG6" s="207">
        <f>HLOOKUP(C11,Table_StateRates,6,FALSE)</f>
        <v>1.9</v>
      </c>
      <c r="AI6" s="8" t="s">
        <v>1716</v>
      </c>
      <c r="AK6" s="155">
        <f>IF(AK24&lt;-0.06,-0.06,IF(AK24&gt;0.06,0.06,AK24))</f>
        <v>0</v>
      </c>
    </row>
    <row r="7" spans="1:37" x14ac:dyDescent="0.2">
      <c r="A7" s="120" t="s">
        <v>969</v>
      </c>
      <c r="B7" s="95"/>
      <c r="C7" s="1087" t="str">
        <f>IF(B3="B",TC5_BLDG1!C6,IF(B3="PP",TC5_PP1!C6,""))</f>
        <v>CPP</v>
      </c>
      <c r="D7" s="538" t="s">
        <v>1545</v>
      </c>
      <c r="E7" s="103"/>
      <c r="F7" s="413" t="s">
        <v>857</v>
      </c>
      <c r="H7" s="168"/>
      <c r="I7" s="485"/>
      <c r="J7" s="485"/>
      <c r="K7" s="485"/>
      <c r="L7" s="485"/>
      <c r="N7" s="185"/>
      <c r="O7" s="186" t="s">
        <v>970</v>
      </c>
      <c r="P7" s="208">
        <f>IF(B30="Yes",DF_Sprinkler50,1)</f>
        <v>1</v>
      </c>
      <c r="Q7" s="208">
        <v>1</v>
      </c>
      <c r="R7" s="208">
        <v>1</v>
      </c>
      <c r="S7" s="208">
        <v>1</v>
      </c>
      <c r="V7" s="568" t="s">
        <v>110</v>
      </c>
      <c r="W7" s="893">
        <f>IF(C12="SP",SUM(W5:Y5),IF(C12="BR",SUM(W5:X5,Z5),SUM(W5:X5)))</f>
        <v>1.756</v>
      </c>
      <c r="AC7" s="168" t="s">
        <v>1019</v>
      </c>
      <c r="AD7" s="207">
        <f>HLOOKUP(C11,Table_StateRates,5,FALSE)</f>
        <v>1.38</v>
      </c>
      <c r="AE7" s="207">
        <f>HLOOKUP(C11,Table_StateRates,5,FALSE)</f>
        <v>1.38</v>
      </c>
      <c r="AF7" s="207">
        <f>HLOOKUP(C11,Table_StateRates,5,FALSE)</f>
        <v>1.38</v>
      </c>
      <c r="AG7" s="207">
        <f>HLOOKUP(C11,Table_StateRates,5,FALSE)</f>
        <v>1.38</v>
      </c>
      <c r="AI7" s="8" t="s">
        <v>1717</v>
      </c>
      <c r="AK7" s="155">
        <f>IF(AK25&lt;-0.1,-0.1,IF(AK25&gt;0.1,0.1,AK25))</f>
        <v>0</v>
      </c>
    </row>
    <row r="8" spans="1:37" x14ac:dyDescent="0.2">
      <c r="A8" s="143" t="s">
        <v>923</v>
      </c>
      <c r="B8" s="1236" t="str">
        <f>IF(B3="B",TC5_BLDG1!B7,IF(B3="PP",TC5_PP1!B7,""))</f>
        <v>No</v>
      </c>
      <c r="C8" s="1039"/>
      <c r="D8" s="518" t="s">
        <v>1555</v>
      </c>
      <c r="E8" s="414" t="s">
        <v>857</v>
      </c>
      <c r="F8" s="1065"/>
      <c r="H8" s="82" t="s">
        <v>1661</v>
      </c>
      <c r="I8" s="485"/>
      <c r="J8" s="485"/>
      <c r="K8" s="485"/>
      <c r="L8" s="485"/>
      <c r="O8" s="83" t="s">
        <v>1134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0.16300000000000001</v>
      </c>
      <c r="S8" s="1315">
        <f>ROUND(PRODUCT(S4:S7),3)</f>
        <v>0.06</v>
      </c>
      <c r="AC8" s="168" t="s">
        <v>180</v>
      </c>
      <c r="AD8" s="207">
        <v>1</v>
      </c>
      <c r="AE8" s="207">
        <v>1</v>
      </c>
      <c r="AF8" s="207">
        <v>1</v>
      </c>
      <c r="AG8" s="207">
        <v>1</v>
      </c>
      <c r="AI8" s="687" t="s">
        <v>1718</v>
      </c>
      <c r="AK8" s="155">
        <f>IF(AK26&lt;-0.06,-0.06,IF(AK26&gt;0.06,0.06,AK26))</f>
        <v>0</v>
      </c>
    </row>
    <row r="9" spans="1:37" ht="13.5" thickBot="1" x14ac:dyDescent="0.25">
      <c r="A9" s="120"/>
      <c r="B9" s="95"/>
      <c r="C9" s="1039"/>
      <c r="D9" s="91"/>
      <c r="E9" s="195"/>
      <c r="F9" s="101"/>
      <c r="H9" s="189" t="s">
        <v>1826</v>
      </c>
      <c r="I9" s="485">
        <f>IF(AND(F3="Yes",F11="Yes"),P49,0)</f>
        <v>0</v>
      </c>
      <c r="J9" s="485">
        <f>IF(AND(F3="Yes",F11="Yes"),Q49,0)</f>
        <v>0</v>
      </c>
      <c r="K9" s="485">
        <f>IF(AND(F11="Yes",C12="SP"),R49,0)</f>
        <v>0</v>
      </c>
      <c r="L9" s="485">
        <f>IF(AND(F11="Yes",C12="BR"),S49,0)</f>
        <v>0</v>
      </c>
      <c r="O9" s="1117" t="s">
        <v>2140</v>
      </c>
      <c r="P9" s="247">
        <f>DF_BI_BRF1</f>
        <v>0.8</v>
      </c>
      <c r="Q9" s="247">
        <f>DF_BI_BRF2</f>
        <v>0.65</v>
      </c>
      <c r="R9" s="247">
        <v>1</v>
      </c>
      <c r="S9" s="247">
        <v>1</v>
      </c>
      <c r="V9" s="545" t="s">
        <v>184</v>
      </c>
      <c r="W9" s="248">
        <f>F4/100</f>
        <v>10000</v>
      </c>
      <c r="AB9" s="146"/>
      <c r="AC9" s="545" t="s">
        <v>1020</v>
      </c>
      <c r="AD9" s="299">
        <f>IF(C7="PAC",VLOOKUP(B8,Table_PakMods,MATCH(C11,List_Company,0)+1,FALSE),1)</f>
        <v>1</v>
      </c>
      <c r="AE9" s="299">
        <f>IF(C7="PAC",VLOOKUP(B8,Table_PakMods,MATCH(C11,List_Company,0)+1,FALSE),1)</f>
        <v>1</v>
      </c>
      <c r="AF9" s="299">
        <f>IF(C7="PAC",VLOOKUP(B8,Table_PakMods,MATCH(C11,List_Company,0)+1,FALSE),1)</f>
        <v>1</v>
      </c>
      <c r="AG9" s="299">
        <f>IF(C7="PAC",VLOOKUP(B8,Table_PakMods,MATCH(C11,List_Company,0)+1,FALSE),1)</f>
        <v>1</v>
      </c>
      <c r="AI9" s="153" t="s">
        <v>1719</v>
      </c>
      <c r="AK9" s="155">
        <f>IF(AK27&lt;-0.025,-0.025,IF(AK27&gt;0.025,0.025,AK27))</f>
        <v>0</v>
      </c>
    </row>
    <row r="10" spans="1:37" ht="13.5" thickBot="1" x14ac:dyDescent="0.25">
      <c r="A10" s="120" t="s">
        <v>1829</v>
      </c>
      <c r="B10" s="95"/>
      <c r="C10" s="1086">
        <f>IF(B3="B",TC5_BLDG1!C9,IF(B3="PP",TC5_PP1!C9,""))</f>
        <v>1</v>
      </c>
      <c r="D10" s="529" t="s">
        <v>897</v>
      </c>
      <c r="E10" s="217"/>
      <c r="F10" s="218"/>
      <c r="H10" s="83"/>
      <c r="I10" s="248"/>
      <c r="J10" s="248"/>
      <c r="K10" s="248"/>
      <c r="L10" s="248"/>
      <c r="N10" s="185"/>
      <c r="O10" s="186" t="s">
        <v>1258</v>
      </c>
      <c r="P10" s="208">
        <f>VLOOKUP(F5,Table_EE_CoIns,3,FALSE)</f>
        <v>4</v>
      </c>
      <c r="Q10" s="208">
        <f>VLOOKUP(F5,Table_EE_CoIns,3,FALSE)</f>
        <v>4</v>
      </c>
      <c r="R10" s="208">
        <v>1</v>
      </c>
      <c r="S10" s="208">
        <v>1</v>
      </c>
      <c r="U10" s="185"/>
      <c r="V10" s="186" t="s">
        <v>111</v>
      </c>
      <c r="W10" s="455">
        <f>IF(F18="Yes",W7,0)</f>
        <v>0</v>
      </c>
      <c r="AB10" s="542"/>
      <c r="AC10" s="724" t="s">
        <v>1022</v>
      </c>
      <c r="AD10" s="279">
        <v>1</v>
      </c>
      <c r="AE10" s="279">
        <v>1</v>
      </c>
      <c r="AF10" s="279">
        <v>1</v>
      </c>
      <c r="AG10" s="279">
        <v>1</v>
      </c>
      <c r="AI10" s="687" t="s">
        <v>1720</v>
      </c>
      <c r="AK10" s="155">
        <f>IF(AK28&lt;-0.025,-0.025,IF(AK28&gt;0.025,0.025,AK28))</f>
        <v>0</v>
      </c>
    </row>
    <row r="11" spans="1:37" x14ac:dyDescent="0.2">
      <c r="A11" s="120" t="s">
        <v>835</v>
      </c>
      <c r="B11" s="95"/>
      <c r="C11" s="1087" t="str">
        <f>IF(B3="B",TC5_BLDG1!C11,IF(B3="PP",TC5_PP1!C11,""))</f>
        <v>GAIC</v>
      </c>
      <c r="D11" s="123" t="s">
        <v>964</v>
      </c>
      <c r="E11" s="474"/>
      <c r="F11" s="475" t="s">
        <v>857</v>
      </c>
      <c r="L11" s="890" t="s">
        <v>1048</v>
      </c>
      <c r="N11" s="266"/>
      <c r="O11" s="568" t="s">
        <v>917</v>
      </c>
      <c r="P11" s="1422">
        <f>ROUND(PRODUCT(P8:P10),3)</f>
        <v>1.014</v>
      </c>
      <c r="Q11" s="1422">
        <f>ROUND(PRODUCT(Q8:Q10),3)</f>
        <v>0.28599999999999998</v>
      </c>
      <c r="R11" s="1422">
        <f>ROUND(PRODUCT(R8:R10),3)</f>
        <v>0.16300000000000001</v>
      </c>
      <c r="S11" s="1422">
        <f>ROUND(PRODUCT(S8:S10),3)</f>
        <v>0.06</v>
      </c>
      <c r="V11" s="83" t="s">
        <v>1514</v>
      </c>
      <c r="W11" s="248">
        <f>ROUND(PRODUCT(W9:W10),0)</f>
        <v>0</v>
      </c>
      <c r="AC11" s="83" t="s">
        <v>1150</v>
      </c>
      <c r="AD11" s="2">
        <f>ROUND(PRODUCT(AD5:AD10),3)</f>
        <v>0</v>
      </c>
      <c r="AE11" s="2">
        <f>ROUND(PRODUCT(AE5:AE10),3)</f>
        <v>0</v>
      </c>
      <c r="AF11" s="2">
        <f>ROUND(PRODUCT(AF5:AF10),3)</f>
        <v>0</v>
      </c>
      <c r="AG11" s="2">
        <f>ROUND(PRODUCT(AG5:AG10),3)</f>
        <v>0</v>
      </c>
      <c r="AI11" s="687" t="s">
        <v>1721</v>
      </c>
      <c r="AK11" s="155">
        <f>IF(AK29&lt;-0.075,-0.075,IF(AK29&gt;0.075,0.075,AK29))</f>
        <v>0</v>
      </c>
    </row>
    <row r="12" spans="1:37" ht="13.5" thickBot="1" x14ac:dyDescent="0.25">
      <c r="A12" s="415" t="s">
        <v>910</v>
      </c>
      <c r="B12" s="493">
        <f>IF(OR(C15=5,C15=6),1,2)</f>
        <v>2</v>
      </c>
      <c r="C12" s="704" t="s">
        <v>894</v>
      </c>
      <c r="D12" s="107" t="s">
        <v>1242</v>
      </c>
      <c r="E12" s="272"/>
      <c r="F12" s="476"/>
      <c r="H12" s="168" t="s">
        <v>1507</v>
      </c>
      <c r="I12" s="248">
        <f>IF(AND(F3="Yes",F18="Yes"),W23,0)</f>
        <v>0</v>
      </c>
      <c r="J12" s="248"/>
      <c r="K12" s="248"/>
      <c r="L12" s="248"/>
      <c r="O12" s="189" t="s">
        <v>1496</v>
      </c>
      <c r="P12" s="207">
        <v>1</v>
      </c>
      <c r="Q12" s="207">
        <f>IF(C32="Yes",VLOOKUP(C15,Table_Construction,3,FALSE),1)</f>
        <v>1</v>
      </c>
      <c r="R12" s="207">
        <v>1</v>
      </c>
      <c r="S12" s="207">
        <v>1</v>
      </c>
      <c r="V12" s="83"/>
      <c r="W12" s="248"/>
      <c r="Y12" s="168"/>
      <c r="AB12" s="185"/>
      <c r="AC12" s="186" t="s">
        <v>1025</v>
      </c>
      <c r="AD12" s="238">
        <f>IF(ISNUMBER(E21),E21/100,0)</f>
        <v>0</v>
      </c>
      <c r="AE12" s="238">
        <f>IF(ISNUMBER(E21),E21/100,0)</f>
        <v>0</v>
      </c>
      <c r="AF12" s="238">
        <f>IF(ISNUMBER(E21),E21/100,0)</f>
        <v>0</v>
      </c>
      <c r="AG12" s="238">
        <f>IF(ISNUMBER(E21),E21/100,0)</f>
        <v>0</v>
      </c>
      <c r="AI12" s="8" t="s">
        <v>1722</v>
      </c>
      <c r="AK12" s="155">
        <f>IF(AK30&lt;-0.05,-0.05,IF(AK30&gt;0.05,0.05,AK30))</f>
        <v>0</v>
      </c>
    </row>
    <row r="13" spans="1:37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88">
        <v>2</v>
      </c>
      <c r="D13" s="108" t="s">
        <v>904</v>
      </c>
      <c r="E13" s="319" t="str">
        <f>IF(ISBLANK(F13),"",VLOOKUP(F13,Table_G1_LC,2,FALSE))</f>
        <v/>
      </c>
      <c r="F13" s="188"/>
      <c r="H13" s="168" t="s">
        <v>1047</v>
      </c>
      <c r="I13" s="248">
        <f>IF(AND(F3="Yes",F20="Yes"),AD48,0)</f>
        <v>0</v>
      </c>
      <c r="J13" s="248"/>
      <c r="K13" s="248"/>
      <c r="L13" s="248"/>
      <c r="O13" s="168" t="s">
        <v>1199</v>
      </c>
      <c r="P13" s="247">
        <f>IF(OR(C27="S",C27="T"),1,VLOOKUP(C17,Table_TerrMult,2,FALSE)) - IF(AND((C31)="Yes",ISNUMBER(B31)),B31,0)</f>
        <v>1</v>
      </c>
      <c r="Q13" s="207">
        <v>1</v>
      </c>
      <c r="R13" s="207">
        <v>1</v>
      </c>
      <c r="S13" s="207">
        <v>1</v>
      </c>
      <c r="U13" s="60" t="s">
        <v>1508</v>
      </c>
      <c r="V13" s="83"/>
      <c r="W13" s="248"/>
      <c r="AC13" s="83" t="s">
        <v>1647</v>
      </c>
      <c r="AD13" s="248">
        <f>ROUND(PRODUCT(AD11:AD12),0)</f>
        <v>0</v>
      </c>
      <c r="AE13" s="248">
        <f>ROUND(PRODUCT(AE11:AE12),0)</f>
        <v>0</v>
      </c>
      <c r="AF13" s="248">
        <f>ROUND(PRODUCT(AF11:AF12),0)</f>
        <v>0</v>
      </c>
      <c r="AG13" s="248">
        <f>ROUND(PRODUCT(AG11:AG12),0)</f>
        <v>0</v>
      </c>
      <c r="AI13" s="8"/>
      <c r="AK13" s="155"/>
    </row>
    <row r="14" spans="1:37" x14ac:dyDescent="0.2">
      <c r="A14" s="108" t="s">
        <v>898</v>
      </c>
      <c r="B14" s="95"/>
      <c r="C14" s="1087">
        <f>IF(B3="B",TC5_BLDG1!C14,IF(B3="PP",TC5_PP1!C14,""))</f>
        <v>3</v>
      </c>
      <c r="D14" s="482" t="str">
        <f>IF(F13="1190","Special Form Class Only - Choose Again",IF(F13="1180","Enter Prior/Intended Occ. Class Code Below",""))</f>
        <v/>
      </c>
      <c r="E14" s="273"/>
      <c r="F14" s="274"/>
      <c r="I14" s="248"/>
      <c r="J14" s="248"/>
      <c r="K14" s="248"/>
      <c r="L14" s="248"/>
      <c r="O14" s="168" t="s">
        <v>1100</v>
      </c>
      <c r="P14" s="207">
        <f>IF(C31="Yes",IF(ISNUMBER(B31),1,VLOOKUP(C15,Table_SprLkg,IF(B3="B",2,3),FALSE)),1)</f>
        <v>1</v>
      </c>
      <c r="Q14" s="207">
        <v>1</v>
      </c>
      <c r="R14" s="207">
        <v>1</v>
      </c>
      <c r="S14" s="207">
        <v>1</v>
      </c>
      <c r="V14" s="189" t="s">
        <v>1510</v>
      </c>
      <c r="W14" s="248">
        <f>P26</f>
        <v>10140</v>
      </c>
      <c r="AJ14" s="60" t="s">
        <v>952</v>
      </c>
      <c r="AK14" s="157">
        <f>IF(SUM(AK4:AK13)&lt;-0.4,-0.4,IF(SUM(AK4:AK13)&gt;0.4,0.4,SUM(AK4:AK13)))</f>
        <v>0</v>
      </c>
    </row>
    <row r="15" spans="1:37" ht="13.5" customHeight="1" x14ac:dyDescent="0.2">
      <c r="A15" s="108" t="s">
        <v>1073</v>
      </c>
      <c r="B15" s="319" t="str">
        <f>IF(C15&lt;=4,"B","A")</f>
        <v>B</v>
      </c>
      <c r="C15" s="1089">
        <f>IF(B3="B",TC5_BLDG1!C15,IF(B3="PP",TC5_PP1!C15,""))</f>
        <v>1</v>
      </c>
      <c r="D15" s="108" t="s">
        <v>960</v>
      </c>
      <c r="E15" s="160"/>
      <c r="F15" s="188"/>
      <c r="H15" s="990" t="s">
        <v>244</v>
      </c>
      <c r="I15" s="797">
        <f>SUM(I12:I13,I9:L9)</f>
        <v>0</v>
      </c>
      <c r="O15" s="236" t="s">
        <v>1099</v>
      </c>
      <c r="P15" s="281">
        <f>C33</f>
        <v>0</v>
      </c>
      <c r="Q15" s="211">
        <v>1</v>
      </c>
      <c r="R15" s="211">
        <v>1</v>
      </c>
      <c r="S15" s="211">
        <v>1</v>
      </c>
      <c r="V15" s="189" t="s">
        <v>1511</v>
      </c>
      <c r="W15" s="248">
        <f>Q26</f>
        <v>2860</v>
      </c>
      <c r="AC15" s="685" t="s">
        <v>549</v>
      </c>
      <c r="AD15" s="907">
        <f>IF(F20="Yes",IF(C12="SP",SUM(AD13:AF13),IF(C12="BR",SUM(AD13:AE13,AG13),SUM(AD13:AE13))),0)</f>
        <v>0</v>
      </c>
    </row>
    <row r="16" spans="1:37" ht="13.5" thickBot="1" x14ac:dyDescent="0.25">
      <c r="A16" s="84" t="s">
        <v>975</v>
      </c>
      <c r="B16" s="160"/>
      <c r="C16" s="1080" t="str">
        <f>IF(B3="B",TC5_BLDG1!C16,IF(B3="PP",TC5_PP1!C16,""))</f>
        <v>A</v>
      </c>
      <c r="D16" s="191" t="s">
        <v>1065</v>
      </c>
      <c r="E16" s="456">
        <f>IF(ISBLANK(F15),0,IF(ISERROR(VLOOKUP(F15,List_VacantClasses,1,FALSE)),VLOOKUP(F15,Table_G1_LC,MATCH(C15&amp;"B",List_ClassLC,0)+2),0))</f>
        <v>0</v>
      </c>
      <c r="F16" s="213"/>
      <c r="N16" s="209"/>
      <c r="O16" s="210" t="s">
        <v>1016</v>
      </c>
      <c r="P16" s="212">
        <v>1</v>
      </c>
      <c r="Q16" s="212">
        <v>1</v>
      </c>
      <c r="R16" s="212">
        <v>1</v>
      </c>
      <c r="S16" s="212">
        <v>1</v>
      </c>
      <c r="V16" s="189" t="s">
        <v>1509</v>
      </c>
      <c r="W16" s="248">
        <f>IF(C12="SP",R26,0)</f>
        <v>1630</v>
      </c>
      <c r="AC16" s="685"/>
      <c r="AD16" s="701"/>
    </row>
    <row r="17" spans="1:40" ht="15" customHeight="1" thickBot="1" x14ac:dyDescent="0.25">
      <c r="A17" s="122" t="s">
        <v>974</v>
      </c>
      <c r="B17" s="95"/>
      <c r="C17" s="1087">
        <f>IF(B3="B",TC5_BLDG1!C17,IF(B3="PP",TC5_PP1!C17,""))</f>
        <v>1</v>
      </c>
      <c r="D17" s="91"/>
      <c r="E17" s="195"/>
      <c r="F17" s="101"/>
      <c r="N17" s="185"/>
      <c r="O17" s="186" t="s">
        <v>1259</v>
      </c>
      <c r="P17" s="208">
        <f>IF(F7="Yes",VLOOKUP(E8,Table_CivilAuth,2,FALSE),1)</f>
        <v>1</v>
      </c>
      <c r="Q17" s="208">
        <f>IF(F7="Yes",VLOOKUP(E8,Table_CivilAuth,2,FALSE),1)</f>
        <v>1</v>
      </c>
      <c r="R17" s="208">
        <f>IF(F7="Yes",VLOOKUP(E8,Table_CivilAuth,2,FALSE),1)</f>
        <v>1</v>
      </c>
      <c r="S17" s="208">
        <f>IF(F7="Yes",VLOOKUP(E8,Table_CivilAuth,2,FALSE),1)</f>
        <v>1</v>
      </c>
      <c r="U17" s="185"/>
      <c r="V17" s="477" t="s">
        <v>1512</v>
      </c>
      <c r="W17" s="238">
        <f>IF(C12="BR",S26,0)</f>
        <v>0</v>
      </c>
      <c r="AI17" s="136" t="s">
        <v>947</v>
      </c>
      <c r="AJ17" s="137"/>
      <c r="AK17" s="137"/>
      <c r="AL17" s="137"/>
      <c r="AM17" s="136" t="s">
        <v>938</v>
      </c>
      <c r="AN17" s="517"/>
    </row>
    <row r="18" spans="1:40" x14ac:dyDescent="0.2">
      <c r="A18" s="1195" t="s">
        <v>2097</v>
      </c>
      <c r="B18" s="95"/>
      <c r="C18" s="1194"/>
      <c r="D18" s="872" t="s">
        <v>1052</v>
      </c>
      <c r="E18" s="422"/>
      <c r="F18" s="892" t="s">
        <v>857</v>
      </c>
      <c r="H18" s="566" t="s">
        <v>663</v>
      </c>
      <c r="I18" s="2">
        <f>IF(AND(C21="Yes",C24="Yes"),W51,IF(AND(C21="Yes",C24="No"),B24,0))</f>
        <v>1500</v>
      </c>
      <c r="O18" s="83" t="s">
        <v>2167</v>
      </c>
      <c r="P18" s="1312">
        <f>ROUND(PRODUCT(P11:P13,IF(AND(C31="Yes",B31="Sprinkler",C33&lt;&gt;1),P14-P15,P14),P16:P17),3)</f>
        <v>1.014</v>
      </c>
      <c r="Q18" s="1312">
        <f>ROUND(PRODUCT(Q11:Q17),3)</f>
        <v>0.28599999999999998</v>
      </c>
      <c r="R18" s="1312">
        <f>ROUND(PRODUCT(R11:R17),3)</f>
        <v>0.16300000000000001</v>
      </c>
      <c r="S18" s="1312">
        <f>ROUND(PRODUCT(S11:S17),3)</f>
        <v>0.06</v>
      </c>
      <c r="V18" s="83" t="s">
        <v>1513</v>
      </c>
      <c r="W18" s="248">
        <f>SUM(W14:W17)</f>
        <v>14630</v>
      </c>
      <c r="AB18" s="60" t="s">
        <v>551</v>
      </c>
      <c r="AD18" s="235" t="s">
        <v>1012</v>
      </c>
      <c r="AE18" s="235" t="s">
        <v>1013</v>
      </c>
      <c r="AF18" s="235" t="s">
        <v>838</v>
      </c>
      <c r="AG18" s="235" t="s">
        <v>837</v>
      </c>
      <c r="AI18" s="138" t="s">
        <v>939</v>
      </c>
      <c r="AJ18" s="8"/>
      <c r="AK18" s="8"/>
      <c r="AL18" s="8"/>
      <c r="AM18" s="445" t="s">
        <v>940</v>
      </c>
      <c r="AN18" s="481"/>
    </row>
    <row r="19" spans="1:40" ht="13.5" thickBot="1" x14ac:dyDescent="0.25">
      <c r="A19" s="126"/>
      <c r="B19" s="96"/>
      <c r="C19" s="192"/>
      <c r="D19" s="91"/>
      <c r="E19" s="195"/>
      <c r="F19" s="101"/>
      <c r="O19" s="168" t="s">
        <v>180</v>
      </c>
      <c r="P19" s="207">
        <v>1</v>
      </c>
      <c r="Q19" s="207">
        <v>1</v>
      </c>
      <c r="R19" s="207">
        <v>1</v>
      </c>
      <c r="S19" s="207">
        <v>1</v>
      </c>
      <c r="V19" s="83"/>
      <c r="W19" s="248"/>
      <c r="AB19" s="146"/>
      <c r="AC19" s="545" t="s">
        <v>1049</v>
      </c>
      <c r="AD19" s="146">
        <f>VLOOKUP(2,Table_Time_Utility,2,FALSE)</f>
        <v>4.3999999999999997E-2</v>
      </c>
      <c r="AE19" s="146">
        <f>VLOOKUP(2,Table_Time_Utility,3,FALSE)</f>
        <v>4.3999999999999997E-2</v>
      </c>
      <c r="AF19" s="146">
        <f>VLOOKUP(2,Table_Time_Utility,5,FALSE)</f>
        <v>2.9000000000000001E-2</v>
      </c>
      <c r="AG19" s="563">
        <f>VLOOKUP(2,Table_Time_Utility,4,FALSE)</f>
        <v>0.01</v>
      </c>
      <c r="AI19" s="138" t="s">
        <v>941</v>
      </c>
      <c r="AJ19" s="8"/>
      <c r="AK19" s="8"/>
      <c r="AL19" s="8"/>
      <c r="AM19" s="26"/>
      <c r="AN19" s="481"/>
    </row>
    <row r="20" spans="1:40" x14ac:dyDescent="0.2">
      <c r="A20" s="88" t="s">
        <v>954</v>
      </c>
      <c r="B20" s="89"/>
      <c r="C20" s="118"/>
      <c r="D20" s="897" t="s">
        <v>1668</v>
      </c>
      <c r="E20" s="447"/>
      <c r="F20" s="873" t="s">
        <v>857</v>
      </c>
      <c r="N20" s="146"/>
      <c r="O20" s="545" t="s">
        <v>1020</v>
      </c>
      <c r="P20" s="299">
        <f>IF(C7="PAC",VLOOKUP(B8,Table_PakMods,MATCH(C11,List_Company,0)+1,FALSE),1)</f>
        <v>1</v>
      </c>
      <c r="Q20" s="299">
        <f>IF(C7="PAC",VLOOKUP(B8,Table_PakMods,MATCH(C11,List_Company,0)+1,FALSE),1)</f>
        <v>1</v>
      </c>
      <c r="R20" s="299">
        <f>IF(C7="PAC",VLOOKUP(B8,Table_PakMods,MATCH(C11,List_Company,0)+1,FALSE),1)</f>
        <v>1</v>
      </c>
      <c r="S20" s="299">
        <f>IF(C7="PAC",VLOOKUP(B8,Table_PakMods,MATCH(C11,List_Company,0)+1,FALSE),1)</f>
        <v>1</v>
      </c>
      <c r="U20" s="82" t="s">
        <v>1515</v>
      </c>
      <c r="V20" s="60"/>
      <c r="W20" s="83"/>
      <c r="AC20" s="168" t="s">
        <v>971</v>
      </c>
      <c r="AD20" s="207">
        <f>HLOOKUP(C11,Table_StateRates,6,FALSE)</f>
        <v>1.9</v>
      </c>
      <c r="AE20" s="207">
        <f>HLOOKUP(C11,Table_StateRates,6,FALSE)</f>
        <v>1.9</v>
      </c>
      <c r="AF20" s="207">
        <f>HLOOKUP(C11,Table_StateRates,6,FALSE)</f>
        <v>1.9</v>
      </c>
      <c r="AG20" s="207">
        <f>HLOOKUP(C11,Table_StateRates,6,FALSE)</f>
        <v>1.9</v>
      </c>
      <c r="AI20" s="26"/>
      <c r="AJ20" s="8"/>
      <c r="AK20" s="8"/>
      <c r="AL20" s="8"/>
      <c r="AM20" s="140" t="s">
        <v>942</v>
      </c>
      <c r="AN20" s="481"/>
    </row>
    <row r="21" spans="1:40" x14ac:dyDescent="0.2">
      <c r="A21" s="122" t="s">
        <v>956</v>
      </c>
      <c r="B21" s="319">
        <f>IF(C17=1,1,2)</f>
        <v>1</v>
      </c>
      <c r="C21" s="1090" t="str">
        <f>IF(B3="B",TC5_BLDG1!C21,IF(B3="PP",TC5_PP1!C21,""))</f>
        <v>Yes</v>
      </c>
      <c r="D21" s="898" t="s">
        <v>1646</v>
      </c>
      <c r="E21" s="519"/>
      <c r="F21" s="446"/>
      <c r="H21" s="60" t="s">
        <v>2288</v>
      </c>
      <c r="I21" s="1468">
        <f>SUM(I5:L5,I15)</f>
        <v>14630</v>
      </c>
      <c r="N21" s="542"/>
      <c r="O21" s="724" t="s">
        <v>1022</v>
      </c>
      <c r="P21" s="279">
        <v>1</v>
      </c>
      <c r="Q21" s="279">
        <v>1</v>
      </c>
      <c r="R21" s="279">
        <v>1</v>
      </c>
      <c r="S21" s="279">
        <v>1</v>
      </c>
      <c r="V21" s="168" t="s">
        <v>1165</v>
      </c>
      <c r="W21" s="248">
        <f>W11</f>
        <v>0</v>
      </c>
      <c r="AC21" s="168" t="s">
        <v>1019</v>
      </c>
      <c r="AD21" s="207">
        <f>HLOOKUP(C11,Table_StateRates,5,FALSE)</f>
        <v>1.38</v>
      </c>
      <c r="AE21" s="207">
        <f>HLOOKUP(C11,Table_StateRates,5,FALSE)</f>
        <v>1.38</v>
      </c>
      <c r="AF21" s="207">
        <f>HLOOKUP(C11,Table_StateRates,5,FALSE)</f>
        <v>1.38</v>
      </c>
      <c r="AG21" s="207">
        <f>HLOOKUP(C11,Table_StateRates,5,FALSE)</f>
        <v>1.38</v>
      </c>
      <c r="AI21" s="445" t="s">
        <v>943</v>
      </c>
      <c r="AJ21" s="8"/>
      <c r="AK21" s="142" t="s">
        <v>944</v>
      </c>
      <c r="AM21" s="140" t="s">
        <v>945</v>
      </c>
      <c r="AN21" s="481"/>
    </row>
    <row r="22" spans="1:40" x14ac:dyDescent="0.2">
      <c r="A22" s="911" t="s">
        <v>958</v>
      </c>
      <c r="B22" s="90"/>
      <c r="C22" s="571" t="str">
        <f>IF(B3="B",TC5_BLDG1!C22,IF(B3="PP",TC5_PP1!C22,""))</f>
        <v>No</v>
      </c>
      <c r="D22" s="518" t="s">
        <v>317</v>
      </c>
      <c r="E22" s="414"/>
      <c r="F22" s="891">
        <f>COUNTIF(E22:E23,"Yes")</f>
        <v>0</v>
      </c>
      <c r="N22" s="385"/>
      <c r="O22" s="685" t="s">
        <v>2236</v>
      </c>
      <c r="P22" s="1314">
        <f>ROUND(PRODUCT(P19:P21),3)</f>
        <v>1</v>
      </c>
      <c r="Q22" s="1314">
        <f>ROUND(PRODUCT(Q19:Q21),3)</f>
        <v>1</v>
      </c>
      <c r="R22" s="1314">
        <f>ROUND(PRODUCT(R19:R21),3)</f>
        <v>1</v>
      </c>
      <c r="S22" s="1314">
        <f>ROUND(PRODUCT(S19:S21),3)</f>
        <v>1</v>
      </c>
      <c r="U22" s="185"/>
      <c r="V22" s="187" t="s">
        <v>1516</v>
      </c>
      <c r="W22" s="238">
        <f>W18</f>
        <v>14630</v>
      </c>
      <c r="AC22" s="168" t="s">
        <v>180</v>
      </c>
      <c r="AD22" s="207">
        <v>1</v>
      </c>
      <c r="AE22" s="207">
        <v>1</v>
      </c>
      <c r="AF22" s="207">
        <v>1</v>
      </c>
      <c r="AG22" s="207">
        <v>1</v>
      </c>
      <c r="AI22" s="140" t="s">
        <v>1715</v>
      </c>
      <c r="AJ22" s="8"/>
      <c r="AK22" s="144"/>
      <c r="AM22" s="140" t="s">
        <v>946</v>
      </c>
      <c r="AN22" s="481"/>
    </row>
    <row r="23" spans="1:40" ht="13.5" thickBot="1" x14ac:dyDescent="0.25">
      <c r="A23" s="908" t="s">
        <v>955</v>
      </c>
      <c r="B23" s="910"/>
      <c r="C23" s="1091"/>
      <c r="D23" s="518" t="s">
        <v>315</v>
      </c>
      <c r="E23" s="414"/>
      <c r="F23" s="891"/>
      <c r="H23" s="60" t="s">
        <v>2291</v>
      </c>
      <c r="I23" s="1469">
        <f>SUM(I21,I18)</f>
        <v>16130</v>
      </c>
      <c r="N23" s="542"/>
      <c r="O23" s="1211" t="s">
        <v>2167</v>
      </c>
      <c r="P23" s="757">
        <f>P18</f>
        <v>1.014</v>
      </c>
      <c r="Q23" s="757">
        <f>Q18</f>
        <v>0.28599999999999998</v>
      </c>
      <c r="R23" s="757">
        <f>R18</f>
        <v>0.16300000000000001</v>
      </c>
      <c r="S23" s="757">
        <f>S18</f>
        <v>0.06</v>
      </c>
      <c r="V23" s="83" t="s">
        <v>1517</v>
      </c>
      <c r="W23" s="260">
        <f>W21-W22</f>
        <v>-14630</v>
      </c>
      <c r="AB23" s="146"/>
      <c r="AC23" s="545" t="s">
        <v>1020</v>
      </c>
      <c r="AD23" s="299">
        <f>IF(C7="PAC",VLOOKUP(B8,Table_PakMods,MATCH(C11,List_Company,0)+1,FALSE),1)</f>
        <v>1</v>
      </c>
      <c r="AE23" s="299">
        <f>IF(C7="PAC",VLOOKUP(B8,Table_PakMods,MATCH(C11,List_Company,0)+1,FALSE),1)</f>
        <v>1</v>
      </c>
      <c r="AF23" s="299">
        <f>IF(C7="PAC",VLOOKUP(B8,Table_PakMods,MATCH(C11,List_Company,0)+1,FALSE),1)</f>
        <v>1</v>
      </c>
      <c r="AG23" s="299">
        <f>IF(C7="PAC",VLOOKUP(B8,Table_PakMods,MATCH(C11,List_Company,0)+1,FALSE),1)</f>
        <v>1</v>
      </c>
      <c r="AI23" s="141" t="s">
        <v>1714</v>
      </c>
      <c r="AJ23" s="139"/>
      <c r="AK23" s="145"/>
      <c r="AM23" s="445"/>
      <c r="AN23" s="481"/>
    </row>
    <row r="24" spans="1:40" ht="13.5" thickBot="1" x14ac:dyDescent="0.25">
      <c r="A24" s="108" t="s">
        <v>957</v>
      </c>
      <c r="B24" s="896"/>
      <c r="C24" s="889" t="str">
        <f>IF(B3="B",TC5_BLDG1!C24,IF(B3="PP",TC5_PP1!C24,""))</f>
        <v>Yes</v>
      </c>
      <c r="D24" s="518" t="s">
        <v>316</v>
      </c>
      <c r="E24" s="414"/>
      <c r="F24" s="891"/>
      <c r="O24" s="83" t="s">
        <v>2242</v>
      </c>
      <c r="P24" s="1315">
        <f>ROUND(PRODUCT(P22:P23),3)</f>
        <v>1.014</v>
      </c>
      <c r="Q24" s="1315">
        <f>ROUND(PRODUCT(Q22:Q23),3)</f>
        <v>0.28599999999999998</v>
      </c>
      <c r="R24" s="1315">
        <f>ROUND(PRODUCT(R22:R23),3)</f>
        <v>0.16300000000000001</v>
      </c>
      <c r="S24" s="1315">
        <f>ROUND(PRODUCT(S22:S23),3)</f>
        <v>0.06</v>
      </c>
      <c r="V24" s="83"/>
      <c r="AB24" s="542"/>
      <c r="AC24" s="724" t="s">
        <v>1022</v>
      </c>
      <c r="AD24" s="279">
        <v>1</v>
      </c>
      <c r="AE24" s="279">
        <v>1</v>
      </c>
      <c r="AF24" s="279">
        <v>1</v>
      </c>
      <c r="AG24" s="279">
        <v>1</v>
      </c>
      <c r="AI24" s="141" t="s">
        <v>1716</v>
      </c>
      <c r="AJ24" s="139"/>
      <c r="AK24" s="145"/>
      <c r="AM24" s="1618"/>
      <c r="AN24" s="1619"/>
    </row>
    <row r="25" spans="1:40" ht="13.5" thickBot="1" x14ac:dyDescent="0.25">
      <c r="A25" s="92"/>
      <c r="B25" s="93"/>
      <c r="C25" s="119"/>
      <c r="D25" s="518" t="s">
        <v>1574</v>
      </c>
      <c r="E25" s="414"/>
      <c r="F25" s="891">
        <f>COUNTIF(E25:E26,"Yes")</f>
        <v>0</v>
      </c>
      <c r="N25" s="185"/>
      <c r="O25" s="186" t="s">
        <v>1025</v>
      </c>
      <c r="P25" s="238">
        <f>IF(ISNUMBER(F4),F4/100,0)</f>
        <v>10000</v>
      </c>
      <c r="Q25" s="238">
        <f>IF(ISNUMBER(F4),F4/100,0)</f>
        <v>10000</v>
      </c>
      <c r="R25" s="238">
        <f>IF(ISNUMBER(F4),F4/100,0)</f>
        <v>10000</v>
      </c>
      <c r="S25" s="238">
        <f>IF(ISNUMBER(F4),F4/100,0)</f>
        <v>10000</v>
      </c>
      <c r="V25" s="83"/>
      <c r="AC25" s="83" t="s">
        <v>1150</v>
      </c>
      <c r="AD25" s="2">
        <f>ROUND(PRODUCT(AD19:AD24),3)</f>
        <v>0.115</v>
      </c>
      <c r="AE25" s="2">
        <f>ROUND(PRODUCT(AE19:AE24),3)</f>
        <v>0.115</v>
      </c>
      <c r="AF25" s="2">
        <f>ROUND(PRODUCT(AF19:AF24),3)</f>
        <v>7.5999999999999998E-2</v>
      </c>
      <c r="AG25" s="2">
        <f>ROUND(PRODUCT(AG19:AG24),3)</f>
        <v>2.5999999999999999E-2</v>
      </c>
      <c r="AI25" s="141" t="s">
        <v>1717</v>
      </c>
      <c r="AJ25" s="139"/>
      <c r="AK25" s="145"/>
      <c r="AM25" s="445"/>
      <c r="AN25" s="481"/>
    </row>
    <row r="26" spans="1:40" x14ac:dyDescent="0.2">
      <c r="A26" s="161" t="s">
        <v>1827</v>
      </c>
      <c r="B26" s="217"/>
      <c r="C26" s="986"/>
      <c r="D26" s="518" t="s">
        <v>1575</v>
      </c>
      <c r="E26" s="414"/>
      <c r="F26" s="891"/>
      <c r="O26" s="83" t="s">
        <v>978</v>
      </c>
      <c r="P26" s="248">
        <f>ROUND(PRODUCT(P24:P25),0)</f>
        <v>10140</v>
      </c>
      <c r="Q26" s="248">
        <f>ROUND(PRODUCT(Q24:Q25),0)</f>
        <v>2860</v>
      </c>
      <c r="R26" s="248">
        <f>ROUND(PRODUCT(R24:R25),0)</f>
        <v>1630</v>
      </c>
      <c r="S26" s="248">
        <f>ROUND(PRODUCT(S24:S25),0)</f>
        <v>600</v>
      </c>
      <c r="AB26" s="185"/>
      <c r="AC26" s="186" t="s">
        <v>1025</v>
      </c>
      <c r="AD26" s="238">
        <f>IF(ISNUMBER(E21),E21/100,0)</f>
        <v>0</v>
      </c>
      <c r="AE26" s="238">
        <f>IF(ISNUMBER(E21),E21/100,0)</f>
        <v>0</v>
      </c>
      <c r="AF26" s="238">
        <f>IF(ISNUMBER(E21),E21/100,0)</f>
        <v>0</v>
      </c>
      <c r="AG26" s="238">
        <f>IF(ISNUMBER(E21),E21/100,0)</f>
        <v>0</v>
      </c>
      <c r="AI26" s="141" t="s">
        <v>1718</v>
      </c>
      <c r="AJ26" s="8"/>
      <c r="AK26" s="145"/>
      <c r="AM26" s="26"/>
      <c r="AN26" s="481"/>
    </row>
    <row r="27" spans="1:40" ht="13.5" thickBot="1" x14ac:dyDescent="0.25">
      <c r="A27" s="521" t="s">
        <v>899</v>
      </c>
      <c r="B27" s="817" t="str">
        <f>IF(C27="C","Class",IF(C27="S","Specific",IF(C27="T","Tentative","")))</f>
        <v>Class</v>
      </c>
      <c r="C27" s="818" t="str">
        <f>IF(B3="B",IF(TC5_BLDG1!C28&lt;&gt;"SC",TC5_BLDG1!C28,"C"),IF(B3="PP",TC5_PP1!C28,""))</f>
        <v>C</v>
      </c>
      <c r="D27" s="91"/>
      <c r="E27" s="195"/>
      <c r="F27" s="101"/>
      <c r="N27" s="146"/>
      <c r="O27" s="300"/>
      <c r="P27" s="299"/>
      <c r="Q27" s="146"/>
      <c r="R27" s="146"/>
      <c r="S27" s="146"/>
      <c r="U27" s="60" t="s">
        <v>554</v>
      </c>
      <c r="X27" s="60" t="s">
        <v>557</v>
      </c>
      <c r="AC27" s="83" t="s">
        <v>1647</v>
      </c>
      <c r="AD27" s="248">
        <f>ROUND(PRODUCT(AD25:AD26),0)</f>
        <v>0</v>
      </c>
      <c r="AE27" s="248">
        <f>ROUND(PRODUCT(AE25:AE26),0)</f>
        <v>0</v>
      </c>
      <c r="AF27" s="248">
        <f>ROUND(PRODUCT(AF25:AF26),0)</f>
        <v>0</v>
      </c>
      <c r="AG27" s="248">
        <f>ROUND(PRODUCT(AG25:AG26),0)</f>
        <v>0</v>
      </c>
      <c r="AI27" s="141" t="s">
        <v>1719</v>
      </c>
      <c r="AJ27" s="8"/>
      <c r="AK27" s="145"/>
      <c r="AM27" s="26"/>
      <c r="AN27" s="481"/>
    </row>
    <row r="28" spans="1:40" x14ac:dyDescent="0.2">
      <c r="A28" s="108" t="s">
        <v>953</v>
      </c>
      <c r="B28" s="95"/>
      <c r="C28" s="570" t="str">
        <f>IF(B3="B",TC5_BLDG1!C30,IF(B3="PP",TC5_PP1!C30,0))</f>
        <v>No</v>
      </c>
      <c r="D28" s="980" t="s">
        <v>662</v>
      </c>
      <c r="E28" s="474"/>
      <c r="F28" s="956" t="s">
        <v>857</v>
      </c>
      <c r="N28" s="146"/>
      <c r="O28" s="301"/>
      <c r="P28" s="299"/>
      <c r="Q28" s="146"/>
      <c r="R28" s="146"/>
      <c r="S28" s="146"/>
      <c r="U28" s="2" t="s">
        <v>555</v>
      </c>
      <c r="X28" s="834">
        <f>IF(P14=1,0,2)</f>
        <v>0</v>
      </c>
      <c r="Y28" s="2" t="s">
        <v>558</v>
      </c>
      <c r="AI28" s="141" t="s">
        <v>1720</v>
      </c>
      <c r="AJ28" s="8"/>
      <c r="AK28" s="145"/>
      <c r="AM28" s="26"/>
      <c r="AN28" s="481"/>
    </row>
    <row r="29" spans="1:40" ht="13.5" thickBot="1" x14ac:dyDescent="0.25">
      <c r="A29" s="743" t="str">
        <f>IF(B3="B","80% Bldg LC - Grp I / II",IF(B3="PP","80% Pers. Pty LC - Grp I / II","No Rating Available"))</f>
        <v>80% Bldg LC - Grp I / II</v>
      </c>
      <c r="B29" s="749">
        <f>IF(B3="B",TC5_BLDG1!P5,IF(B3="PP",TC5_PP1!P5,0))</f>
        <v>0.126</v>
      </c>
      <c r="C29" s="749">
        <f>IF(B3="B",TC5_BLDG1!Q5,IF(B3="PP",TC5_PP1!Q5,0))</f>
        <v>4.2000000000000003E-2</v>
      </c>
      <c r="D29" s="473" t="s">
        <v>1766</v>
      </c>
      <c r="E29" s="216"/>
      <c r="F29" s="763">
        <f>IF(F28="No",0,F4)</f>
        <v>0</v>
      </c>
      <c r="N29" s="60" t="s">
        <v>1612</v>
      </c>
      <c r="P29" s="235" t="s">
        <v>1012</v>
      </c>
      <c r="Q29" s="235" t="s">
        <v>1013</v>
      </c>
      <c r="R29" s="235" t="s">
        <v>838</v>
      </c>
      <c r="S29" s="235" t="s">
        <v>837</v>
      </c>
      <c r="U29" s="834">
        <f>IF(P13=1,0,2)</f>
        <v>0</v>
      </c>
      <c r="V29" s="2" t="s">
        <v>556</v>
      </c>
      <c r="X29" s="834">
        <f>IF(P13=1,0,4)</f>
        <v>0</v>
      </c>
      <c r="Y29" s="2" t="s">
        <v>556</v>
      </c>
      <c r="AC29" s="685" t="s">
        <v>1433</v>
      </c>
      <c r="AD29" s="907">
        <f>IF(F20="Yes",IF(C12="SP",SUM(AD27:AF27),IF(C12="BR",SUM(AD27:AE27,AG27),SUM(AD27:AE27))),0)</f>
        <v>0</v>
      </c>
      <c r="AI29" s="141" t="s">
        <v>1721</v>
      </c>
      <c r="AJ29" s="8"/>
      <c r="AK29" s="145"/>
      <c r="AM29" s="26"/>
      <c r="AN29" s="481"/>
    </row>
    <row r="30" spans="1:40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IF(B3="B",TC5_BLDG1!C33,IF(B3="PP",TC5_PP1!C33,""))</f>
        <v>6</v>
      </c>
      <c r="D30" s="669" t="s">
        <v>1833</v>
      </c>
      <c r="E30" s="216"/>
      <c r="F30" s="954" t="s">
        <v>857</v>
      </c>
      <c r="O30" s="168" t="str">
        <f>C3&amp;" - Loss Cost"</f>
        <v>Building - Loss Cost</v>
      </c>
      <c r="P30" s="247">
        <f>B29</f>
        <v>0.126</v>
      </c>
      <c r="Q30" s="247">
        <f>C29</f>
        <v>4.2000000000000003E-2</v>
      </c>
      <c r="R30" s="247">
        <f>IF(C12="SP",VLOOKUP(B13,Table_Time_Special,3,FALSE),0)</f>
        <v>6.2E-2</v>
      </c>
      <c r="S30" s="247">
        <f>HLOOKUP(B12,Table_BroadTime,3,FALSE)</f>
        <v>2.3E-2</v>
      </c>
      <c r="U30" s="917">
        <f>IF(P6=1,0,4)</f>
        <v>4</v>
      </c>
      <c r="V30" s="185" t="s">
        <v>1161</v>
      </c>
      <c r="X30" s="917">
        <f>IF(P6=1,0,5)</f>
        <v>5</v>
      </c>
      <c r="Y30" s="185" t="s">
        <v>1161</v>
      </c>
      <c r="AI30" s="141" t="s">
        <v>1722</v>
      </c>
      <c r="AJ30" s="8"/>
      <c r="AK30" s="145"/>
      <c r="AM30" s="26"/>
      <c r="AN30" s="481"/>
    </row>
    <row r="31" spans="1:40" ht="13.5" thickBot="1" x14ac:dyDescent="0.25">
      <c r="A31" s="108" t="s">
        <v>1813</v>
      </c>
      <c r="B31" s="939" t="str">
        <f>IF(B3="B",TC5_BLDG1!C61,IF(B3="PP",TC5_PP1!C57,0))</f>
        <v>NA</v>
      </c>
      <c r="C31" s="570" t="str">
        <f>IF(B3="B",TC5_BLDG1!C59,IF(B3="PP",TC5_PP1!C55,0))</f>
        <v>No</v>
      </c>
      <c r="D31" s="507" t="s">
        <v>677</v>
      </c>
      <c r="E31" s="947" t="s">
        <v>459</v>
      </c>
      <c r="F31" s="772" t="str">
        <f>IF(F30="Yes","B","")</f>
        <v/>
      </c>
      <c r="O31" s="168" t="s">
        <v>970</v>
      </c>
      <c r="P31" s="207">
        <f>IF(C30="Yes",DF_Sprinkler50,1)</f>
        <v>1</v>
      </c>
      <c r="Q31" s="207">
        <v>1</v>
      </c>
      <c r="R31" s="207">
        <v>1</v>
      </c>
      <c r="S31" s="299">
        <v>1</v>
      </c>
      <c r="U31" s="834">
        <f>SUM(U29:U30)</f>
        <v>4</v>
      </c>
      <c r="V31" s="53" t="str">
        <f>"Subtract from the " &amp; IF(OR(U31=6,U31=2),"Terr Mult",IF(U31=4,"Prot Class","Loss Cost"))</f>
        <v>Subtract from the Prot Class</v>
      </c>
      <c r="X31" s="834">
        <f>SUM(X28:X30)</f>
        <v>5</v>
      </c>
      <c r="Y31" s="53" t="str">
        <f>"Subtract from the " &amp; IF(OR(X31=2,X31=6,X31=7,X31=11),"Sprk Lkg",IF(OR(X31=4,X31=9),"Terr Mult",IF(X31=5,"Prot Class","Loss Cost")))</f>
        <v>Subtract from the Prot Class</v>
      </c>
      <c r="AB31" s="266"/>
      <c r="AC31" s="266"/>
      <c r="AD31" s="266"/>
      <c r="AE31" s="558"/>
      <c r="AF31" s="558"/>
      <c r="AG31" s="558"/>
      <c r="AI31" s="85"/>
      <c r="AJ31" s="86"/>
      <c r="AK31" s="86"/>
      <c r="AL31" s="86"/>
      <c r="AM31" s="85"/>
      <c r="AN31" s="196"/>
    </row>
    <row r="32" spans="1:40" ht="13.5" thickBot="1" x14ac:dyDescent="0.25">
      <c r="A32" s="108" t="s">
        <v>1825</v>
      </c>
      <c r="B32" s="747"/>
      <c r="C32" s="570" t="str">
        <f>IF(B3="B",TC5_BLDG1!B60,IF(B3="PP",TC5_PP1!B56,0))</f>
        <v>No</v>
      </c>
      <c r="D32" s="507" t="s">
        <v>1748</v>
      </c>
      <c r="E32" s="947">
        <v>25</v>
      </c>
      <c r="F32" s="771" t="str">
        <f>IF(F30="Yes",E32&amp;"_"&amp;E31,"")</f>
        <v/>
      </c>
      <c r="N32" s="185"/>
      <c r="O32" s="186" t="s">
        <v>971</v>
      </c>
      <c r="P32" s="208">
        <f>HLOOKUP(C11,Table_StateRates,6,FALSE)</f>
        <v>1.9</v>
      </c>
      <c r="Q32" s="208">
        <f>HLOOKUP(C11,Table_StateRates,6,FALSE)</f>
        <v>1.9</v>
      </c>
      <c r="R32" s="208">
        <f>HLOOKUP(C11,Table_StateRates,6,FALSE)</f>
        <v>1.9</v>
      </c>
      <c r="S32" s="208">
        <f>HLOOKUP(C11,Table_StateRates,6,FALSE)</f>
        <v>1.9</v>
      </c>
      <c r="U32" s="146"/>
      <c r="AB32" s="60" t="s">
        <v>552</v>
      </c>
      <c r="AD32" s="235" t="s">
        <v>1012</v>
      </c>
      <c r="AE32" s="235" t="s">
        <v>1013</v>
      </c>
      <c r="AF32" s="235" t="s">
        <v>838</v>
      </c>
      <c r="AG32" s="235" t="s">
        <v>837</v>
      </c>
    </row>
    <row r="33" spans="1:33" ht="13.5" thickBot="1" x14ac:dyDescent="0.25">
      <c r="A33" s="108" t="s">
        <v>1824</v>
      </c>
      <c r="B33" s="748"/>
      <c r="C33" s="570">
        <f>IF(AND(B3="B",TC5_BLDG1!C62="Yes"),TC5_BLDG1!P14,IF(AND(B3="PP",TC5_PP1!C58="Yes"),TC5_PP1!P14,0))</f>
        <v>0</v>
      </c>
      <c r="D33" s="669" t="s">
        <v>1834</v>
      </c>
      <c r="E33" s="261"/>
      <c r="F33" s="954" t="s">
        <v>857</v>
      </c>
      <c r="O33" s="83" t="s">
        <v>1134</v>
      </c>
      <c r="P33" s="247">
        <f>ROUND(PRODUCT(P30:P32),3)</f>
        <v>0.23899999999999999</v>
      </c>
      <c r="Q33" s="247">
        <f>ROUND(PRODUCT(Q30:Q32),3)</f>
        <v>0.08</v>
      </c>
      <c r="R33" s="247">
        <f>ROUND(PRODUCT(R30:R32),3)</f>
        <v>0.11799999999999999</v>
      </c>
      <c r="S33" s="247">
        <f>ROUND(PRODUCT(S30:S32),3)</f>
        <v>4.3999999999999997E-2</v>
      </c>
      <c r="U33" s="479" t="str">
        <f>IF(OR(U31=6,U31=2),"TM",IF(U31=4,"PC","LC"))</f>
        <v>PC</v>
      </c>
      <c r="V33" s="919" t="s">
        <v>559</v>
      </c>
      <c r="X33" s="479" t="str">
        <f>IF(AND(B31="Sprinkler",OR(X31=2,X31=6,X31=7,X31=11)),"SL",IF(AND(OR(B31="NA",ISNUMBER(B31)),OR(X31=4,X31=9)),"TM",IF(AND(OR(B31="NA",ISNUMBER(B31)),X31=5),"PC","LC")))</f>
        <v>PC</v>
      </c>
      <c r="AB33" s="146"/>
      <c r="AC33" s="545" t="s">
        <v>1049</v>
      </c>
      <c r="AD33" s="146">
        <f>VLOOKUP(3,Table_Time_Utility,2,FALSE)</f>
        <v>1.0999999999999999E-2</v>
      </c>
      <c r="AE33" s="146">
        <f>VLOOKUP(3,Table_Time_Utility,3,FALSE)</f>
        <v>2.7E-2</v>
      </c>
      <c r="AF33" s="146">
        <f>VLOOKUP(3,Table_Time_Utility,5,FALSE)</f>
        <v>5.2999999999999999E-2</v>
      </c>
      <c r="AG33" s="563">
        <f>VLOOKUP(3,Table_Time_Utility,4,FALSE)</f>
        <v>0.01</v>
      </c>
    </row>
    <row r="34" spans="1:33" x14ac:dyDescent="0.2">
      <c r="A34" s="122" t="s">
        <v>1469</v>
      </c>
      <c r="B34" s="747"/>
      <c r="C34" s="570" t="str">
        <f>IF(B3="B",TC5_BLDG1!C64,IF(B3="PP",TC5_PP1!C60,0))</f>
        <v>No</v>
      </c>
      <c r="D34" s="669" t="s">
        <v>1835</v>
      </c>
      <c r="E34" s="261"/>
      <c r="F34" s="954" t="s">
        <v>857</v>
      </c>
      <c r="N34" s="185"/>
      <c r="O34" s="186" t="s">
        <v>1258</v>
      </c>
      <c r="P34" s="208">
        <f>VLOOKUP(F5,Table_EE_CoIns,3,FALSE)</f>
        <v>4</v>
      </c>
      <c r="Q34" s="208">
        <f>VLOOKUP(F5,Table_EE_CoIns,3,FALSE)</f>
        <v>4</v>
      </c>
      <c r="R34" s="208">
        <v>1</v>
      </c>
      <c r="S34" s="208">
        <v>1</v>
      </c>
      <c r="AB34" s="185"/>
      <c r="AC34" s="186" t="s">
        <v>1050</v>
      </c>
      <c r="AD34" s="238">
        <f>F25</f>
        <v>0</v>
      </c>
      <c r="AE34" s="238">
        <f>F25</f>
        <v>0</v>
      </c>
      <c r="AF34" s="238">
        <f>F25</f>
        <v>0</v>
      </c>
      <c r="AG34" s="785">
        <f>F25</f>
        <v>0</v>
      </c>
    </row>
    <row r="35" spans="1:33" ht="13.5" thickBot="1" x14ac:dyDescent="0.25">
      <c r="A35" s="526"/>
      <c r="B35" s="96"/>
      <c r="C35" s="987"/>
      <c r="D35" s="507" t="s">
        <v>1836</v>
      </c>
      <c r="E35" s="947"/>
      <c r="F35" s="293"/>
      <c r="O35" s="83" t="s">
        <v>917</v>
      </c>
      <c r="P35" s="247">
        <f>ROUND(PRODUCT(P33:P34),3)</f>
        <v>0.95599999999999996</v>
      </c>
      <c r="Q35" s="247">
        <f>ROUND(PRODUCT(Q33:Q34),3)</f>
        <v>0.32</v>
      </c>
      <c r="R35" s="247">
        <f>ROUND(PRODUCT(R33:R34),3)</f>
        <v>0.11799999999999999</v>
      </c>
      <c r="S35" s="247">
        <f>ROUND(PRODUCT(S33:S34),3)</f>
        <v>4.3999999999999997E-2</v>
      </c>
      <c r="AB35" s="146"/>
      <c r="AC35" s="301" t="s">
        <v>1051</v>
      </c>
      <c r="AD35" s="146">
        <f>ROUND(PRODUCT(AD33:AD34),3)</f>
        <v>0</v>
      </c>
      <c r="AE35" s="146">
        <f>ROUND(PRODUCT(AE33:AE34),3)</f>
        <v>0</v>
      </c>
      <c r="AF35" s="146">
        <f>ROUND(PRODUCT(AF33:AF34),3)</f>
        <v>0</v>
      </c>
      <c r="AG35" s="146">
        <f>ROUND(PRODUCT(AG33:AG34),3)</f>
        <v>0</v>
      </c>
    </row>
    <row r="36" spans="1:33" x14ac:dyDescent="0.2">
      <c r="D36" s="762"/>
      <c r="E36" s="774"/>
      <c r="F36" s="773"/>
      <c r="O36" s="189" t="s">
        <v>1496</v>
      </c>
      <c r="P36" s="247">
        <v>1</v>
      </c>
      <c r="Q36" s="207">
        <f>IF(C32="Yes",VLOOKUP(C15,Table_Construction,3,FALSE),1)</f>
        <v>1</v>
      </c>
      <c r="R36" s="207">
        <v>1</v>
      </c>
      <c r="S36" s="207">
        <v>1</v>
      </c>
      <c r="AC36" s="168" t="s">
        <v>971</v>
      </c>
      <c r="AD36" s="207">
        <f>HLOOKUP(C11,Table_StateRates,6,FALSE)</f>
        <v>1.9</v>
      </c>
      <c r="AE36" s="207">
        <f>HLOOKUP(C11,Table_StateRates,6,FALSE)</f>
        <v>1.9</v>
      </c>
      <c r="AF36" s="207">
        <f>HLOOKUP(C11,Table_StateRates,6,FALSE)</f>
        <v>1.9</v>
      </c>
      <c r="AG36" s="207">
        <f>HLOOKUP(C11,Table_StateRates,6,FALSE)</f>
        <v>1.9</v>
      </c>
    </row>
    <row r="37" spans="1:33" ht="13.5" thickBot="1" x14ac:dyDescent="0.25">
      <c r="A37" s="739"/>
      <c r="B37" s="686"/>
      <c r="C37" s="686"/>
      <c r="D37" s="669" t="s">
        <v>1234</v>
      </c>
      <c r="E37" s="261"/>
      <c r="F37" s="954" t="s">
        <v>857</v>
      </c>
      <c r="O37" s="168" t="s">
        <v>972</v>
      </c>
      <c r="P37" s="207">
        <f>IF(OR(C27="S",C27="T"),1,VLOOKUP(C14,Table_ProtClass,IF(C15&lt;=3,2,3),FALSE)) - IF(AND(C33=1,ISNUMBER(B31),P13=1),B31,0)</f>
        <v>0.96</v>
      </c>
      <c r="Q37" s="207">
        <v>1</v>
      </c>
      <c r="R37" s="207">
        <v>1</v>
      </c>
      <c r="S37" s="207">
        <v>1</v>
      </c>
      <c r="AC37" s="168" t="s">
        <v>1019</v>
      </c>
      <c r="AD37" s="207">
        <f>HLOOKUP(C11,Table_StateRates,5,FALSE)</f>
        <v>1.38</v>
      </c>
      <c r="AE37" s="207">
        <f>HLOOKUP(C11,Table_StateRates,5,FALSE)</f>
        <v>1.38</v>
      </c>
      <c r="AF37" s="207">
        <f>HLOOKUP(C11,Table_StateRates,5,FALSE)</f>
        <v>1.38</v>
      </c>
      <c r="AG37" s="207">
        <f>HLOOKUP(C11,Table_StateRates,5,FALSE)</f>
        <v>1.38</v>
      </c>
    </row>
    <row r="38" spans="1:33" ht="13.5" thickBot="1" x14ac:dyDescent="0.25">
      <c r="A38" s="740"/>
      <c r="B38" s="686"/>
      <c r="C38" s="686"/>
      <c r="D38" s="507" t="s">
        <v>1235</v>
      </c>
      <c r="E38" s="947"/>
      <c r="F38" s="293"/>
      <c r="G38" s="385"/>
      <c r="O38" s="168" t="s">
        <v>1199</v>
      </c>
      <c r="P38" s="247">
        <f>IF(OR(C27="S",C27="T"),1,VLOOKUP(C17,Table_TerrMult,2,FALSE)) - IF(AND((C31)="Yes",ISNUMBER(B31)),B31,0)</f>
        <v>1</v>
      </c>
      <c r="Q38" s="207">
        <v>1</v>
      </c>
      <c r="R38" s="207">
        <v>1</v>
      </c>
      <c r="S38" s="207">
        <v>1</v>
      </c>
      <c r="U38" s="1602" t="s">
        <v>388</v>
      </c>
      <c r="V38" s="1603"/>
      <c r="W38" s="1603"/>
      <c r="X38" s="1603"/>
      <c r="Y38" s="1603"/>
      <c r="Z38" s="1604"/>
      <c r="AC38" s="168" t="s">
        <v>180</v>
      </c>
      <c r="AD38" s="207">
        <v>1</v>
      </c>
      <c r="AE38" s="207">
        <v>1</v>
      </c>
      <c r="AF38" s="207">
        <v>1</v>
      </c>
      <c r="AG38" s="207">
        <v>1</v>
      </c>
    </row>
    <row r="39" spans="1:33" ht="13.5" thickBot="1" x14ac:dyDescent="0.25">
      <c r="A39" s="740"/>
      <c r="B39" s="686"/>
      <c r="C39" s="686"/>
      <c r="D39" s="514"/>
      <c r="E39" s="515"/>
      <c r="F39" s="516"/>
      <c r="G39" s="385"/>
      <c r="O39" s="168" t="s">
        <v>1100</v>
      </c>
      <c r="P39" s="207">
        <f>IF(C31="Yes",IF(ISNUMBER(B31),1,VLOOKUP(C15,Table_SprLkg,IF(B3="B",2,3),FALSE)),1)</f>
        <v>1</v>
      </c>
      <c r="Q39" s="207">
        <v>1</v>
      </c>
      <c r="R39" s="207">
        <v>1</v>
      </c>
      <c r="S39" s="207">
        <v>1</v>
      </c>
      <c r="U39" s="266"/>
      <c r="V39" s="266"/>
      <c r="W39" s="266"/>
      <c r="X39" s="266"/>
      <c r="Y39" s="266"/>
      <c r="Z39" s="266"/>
      <c r="AB39" s="146"/>
      <c r="AC39" s="545" t="s">
        <v>1020</v>
      </c>
      <c r="AD39" s="299">
        <f>IF(C7="PAC",VLOOKUP(B8,Table_PakMods,MATCH(C11,List_Company,0)+1,FALSE),1)</f>
        <v>1</v>
      </c>
      <c r="AE39" s="299">
        <f>IF(C7="PAC",VLOOKUP(B8,Table_PakMods,MATCH(C11,List_Company,0)+1,FALSE),1)</f>
        <v>1</v>
      </c>
      <c r="AF39" s="299">
        <f>IF(C7="PAC",VLOOKUP(B8,Table_PakMods,MATCH(C11,List_Company,0)+1,FALSE),1)</f>
        <v>1</v>
      </c>
      <c r="AG39" s="299">
        <f>IF(C7="PAC",VLOOKUP(B8,Table_PakMods,MATCH(C11,List_Company,0)+1,FALSE),1)</f>
        <v>1</v>
      </c>
    </row>
    <row r="40" spans="1:33" x14ac:dyDescent="0.2">
      <c r="A40" s="686"/>
      <c r="B40" s="686"/>
      <c r="C40" s="686"/>
      <c r="D40" s="737"/>
      <c r="E40" s="686"/>
      <c r="F40" s="385"/>
      <c r="G40" s="385"/>
      <c r="O40" s="236" t="s">
        <v>1099</v>
      </c>
      <c r="P40" s="281">
        <f>C33</f>
        <v>0</v>
      </c>
      <c r="Q40" s="211">
        <v>1</v>
      </c>
      <c r="R40" s="211">
        <v>1</v>
      </c>
      <c r="S40" s="211">
        <v>1</v>
      </c>
      <c r="U40" s="566" t="s">
        <v>1172</v>
      </c>
      <c r="V40" s="266"/>
      <c r="W40" s="266"/>
      <c r="X40" s="266"/>
      <c r="Y40" s="566"/>
      <c r="Z40" s="266"/>
      <c r="AB40" s="542"/>
      <c r="AC40" s="724" t="s">
        <v>1022</v>
      </c>
      <c r="AD40" s="279">
        <v>1</v>
      </c>
      <c r="AE40" s="279">
        <v>1</v>
      </c>
      <c r="AF40" s="279">
        <v>1</v>
      </c>
      <c r="AG40" s="279">
        <v>1</v>
      </c>
    </row>
    <row r="41" spans="1:33" x14ac:dyDescent="0.2">
      <c r="A41" s="739"/>
      <c r="B41" s="686"/>
      <c r="C41" s="686"/>
      <c r="D41" s="737"/>
      <c r="E41" s="686"/>
      <c r="F41" s="385"/>
      <c r="G41" s="385"/>
      <c r="N41" s="209"/>
      <c r="O41" s="210" t="s">
        <v>1016</v>
      </c>
      <c r="P41" s="212">
        <v>1</v>
      </c>
      <c r="Q41" s="212">
        <v>1</v>
      </c>
      <c r="R41" s="212">
        <v>1</v>
      </c>
      <c r="S41" s="212">
        <v>1</v>
      </c>
      <c r="U41" s="266"/>
      <c r="V41" s="486" t="s">
        <v>228</v>
      </c>
      <c r="W41" s="426">
        <f>IF(C21="Yes",HLOOKUP(B21,Table_Terrorism,3,FALSE),0)</f>
        <v>1.4999999999999999E-2</v>
      </c>
      <c r="X41" s="266"/>
      <c r="Y41" s="385"/>
      <c r="Z41" s="702"/>
      <c r="AC41" s="83" t="s">
        <v>1150</v>
      </c>
      <c r="AD41" s="2">
        <f>ROUND(PRODUCT(AD35:AD40),3)</f>
        <v>0</v>
      </c>
      <c r="AE41" s="2">
        <f>ROUND(PRODUCT(AE35:AE40),3)</f>
        <v>0</v>
      </c>
      <c r="AF41" s="2">
        <f>ROUND(PRODUCT(AF35:AF40),3)</f>
        <v>0</v>
      </c>
      <c r="AG41" s="2">
        <f>ROUND(PRODUCT(AG35:AG40),3)</f>
        <v>0</v>
      </c>
    </row>
    <row r="42" spans="1:33" ht="13.5" customHeight="1" x14ac:dyDescent="0.2">
      <c r="A42" s="741"/>
      <c r="B42" s="686"/>
      <c r="C42" s="686"/>
      <c r="D42" s="737"/>
      <c r="E42" s="686"/>
      <c r="F42" s="385"/>
      <c r="G42" s="385"/>
      <c r="O42" s="168" t="s">
        <v>1259</v>
      </c>
      <c r="P42" s="207">
        <f>IF(F7="Yes",VLOOKUP(E8,Table_CivilAuth,2,FALSE),1)</f>
        <v>1</v>
      </c>
      <c r="Q42" s="207">
        <f>IF(F7="Yes",VLOOKUP(E8,Table_CivilAuth,2,FALSE),1)</f>
        <v>1</v>
      </c>
      <c r="R42" s="207">
        <f>IF(F7="Yes",VLOOKUP(E8,Table_CivilAuth,2,FALSE),1)</f>
        <v>1</v>
      </c>
      <c r="S42" s="207">
        <f>IF(F7="Yes",VLOOKUP(E8,Table_CivilAuth,2,FALSE),1)</f>
        <v>1</v>
      </c>
      <c r="U42" s="209"/>
      <c r="V42" s="280" t="s">
        <v>1176</v>
      </c>
      <c r="W42" s="212">
        <v>1</v>
      </c>
      <c r="X42" s="385"/>
      <c r="Y42" s="385"/>
      <c r="Z42" s="702"/>
      <c r="AB42" s="185"/>
      <c r="AC42" s="186" t="s">
        <v>1025</v>
      </c>
      <c r="AD42" s="238">
        <f>IF(ISNUMBER(E21),E21/100,0)</f>
        <v>0</v>
      </c>
      <c r="AE42" s="238">
        <f>IF(ISNUMBER(E21),E21/100,0)</f>
        <v>0</v>
      </c>
      <c r="AF42" s="238">
        <f>IF(ISNUMBER(E21),E21/100,0)</f>
        <v>0</v>
      </c>
      <c r="AG42" s="238">
        <f>IF(ISNUMBER(E21),E21/100,0)</f>
        <v>0</v>
      </c>
    </row>
    <row r="43" spans="1:33" ht="12.75" customHeight="1" x14ac:dyDescent="0.2">
      <c r="A43" s="742"/>
      <c r="B43" s="739"/>
      <c r="C43" s="739"/>
      <c r="D43" s="737"/>
      <c r="E43" s="686"/>
      <c r="F43" s="385"/>
      <c r="G43" s="385"/>
      <c r="O43" s="168" t="s">
        <v>1019</v>
      </c>
      <c r="P43" s="207">
        <f>HLOOKUP(C11,Table_StateRates,5,FALSE)</f>
        <v>1.38</v>
      </c>
      <c r="Q43" s="207">
        <f>HLOOKUP(C11,Table_StateRates,5,FALSE)</f>
        <v>1.38</v>
      </c>
      <c r="R43" s="207">
        <f>HLOOKUP(C11,Table_StateRates,5,FALSE)</f>
        <v>1.38</v>
      </c>
      <c r="S43" s="207">
        <f>HLOOKUP(C11,Table_StateRates,5,FALSE)</f>
        <v>1.38</v>
      </c>
      <c r="U43" s="266"/>
      <c r="V43" s="486" t="s">
        <v>1177</v>
      </c>
      <c r="W43" s="423">
        <f>IF(C22="Yes",VLOOKUP(B21,Table_TerrorNBC,2,FALSE),1)</f>
        <v>1</v>
      </c>
      <c r="X43" s="423"/>
      <c r="Y43" s="385"/>
      <c r="Z43" s="702"/>
      <c r="AC43" s="83" t="s">
        <v>1647</v>
      </c>
      <c r="AD43" s="248">
        <f>ROUND(PRODUCT(AD41:AD42),0)</f>
        <v>0</v>
      </c>
      <c r="AE43" s="248">
        <f>ROUND(PRODUCT(AE41:AE42),0)</f>
        <v>0</v>
      </c>
      <c r="AF43" s="248">
        <f>ROUND(PRODUCT(AF41:AF42),0)</f>
        <v>0</v>
      </c>
      <c r="AG43" s="248">
        <f>ROUND(PRODUCT(AG41:AG42),0)</f>
        <v>0</v>
      </c>
    </row>
    <row r="44" spans="1:33" x14ac:dyDescent="0.2">
      <c r="A44" s="742"/>
      <c r="B44" s="739"/>
      <c r="C44" s="739"/>
      <c r="D44" s="737"/>
      <c r="E44" s="686"/>
      <c r="F44" s="385"/>
      <c r="G44" s="385"/>
      <c r="O44" s="168" t="s">
        <v>180</v>
      </c>
      <c r="P44" s="207">
        <v>1</v>
      </c>
      <c r="Q44" s="207">
        <v>1</v>
      </c>
      <c r="R44" s="207">
        <v>1</v>
      </c>
      <c r="S44" s="207">
        <v>1</v>
      </c>
      <c r="U44" s="266"/>
      <c r="V44" s="486" t="s">
        <v>971</v>
      </c>
      <c r="W44" s="423">
        <f>HLOOKUP(C11,Table_StateRates,6,FALSE)</f>
        <v>1.9</v>
      </c>
      <c r="X44" s="559"/>
      <c r="Y44" s="559"/>
      <c r="Z44" s="877"/>
    </row>
    <row r="45" spans="1:33" x14ac:dyDescent="0.2">
      <c r="A45" s="742"/>
      <c r="B45" s="739"/>
      <c r="C45" s="739"/>
      <c r="D45" s="737"/>
      <c r="E45" s="686"/>
      <c r="F45" s="385"/>
      <c r="G45" s="385"/>
      <c r="N45" s="146"/>
      <c r="O45" s="545" t="s">
        <v>1020</v>
      </c>
      <c r="P45" s="299">
        <f>IF(C7="PAC",VLOOKUP(B8,Table_PakMods,MATCH(C11,List_Company,0)+1,FALSE),1)</f>
        <v>1</v>
      </c>
      <c r="Q45" s="299">
        <f>IF(C7="PAC",VLOOKUP(B8,Table_PakMods,MATCH(C11,List_Company,0)+1,FALSE),1)</f>
        <v>1</v>
      </c>
      <c r="R45" s="299">
        <f>IF(C7="PAC",VLOOKUP(B8,Table_PakMods,MATCH(C11,List_Company,0)+1,FALSE),1)</f>
        <v>1</v>
      </c>
      <c r="S45" s="299">
        <f>IF(C7="PAC",VLOOKUP(B8,Table_PakMods,MATCH(C11,List_Company,0)+1,FALSE),1)</f>
        <v>1</v>
      </c>
      <c r="U45" s="542"/>
      <c r="V45" s="597" t="s">
        <v>1019</v>
      </c>
      <c r="W45" s="279">
        <f>HLOOKUP(C11,Table_StateRates,5,FALSE)</f>
        <v>1.38</v>
      </c>
      <c r="X45" s="426"/>
      <c r="Y45" s="559"/>
      <c r="Z45" s="899"/>
      <c r="AC45" s="685" t="s">
        <v>1434</v>
      </c>
      <c r="AD45" s="907">
        <f>IF(F20="Yes",IF(C12="SP",SUM(AD43:AF43),IF(C12="BR",SUM(AD43:AE43,AG43),SUM(AD43:AE43))),0)</f>
        <v>0</v>
      </c>
    </row>
    <row r="46" spans="1:33" x14ac:dyDescent="0.2">
      <c r="A46" s="742"/>
      <c r="B46" s="686"/>
      <c r="C46" s="686"/>
      <c r="D46" s="737"/>
      <c r="E46" s="686"/>
      <c r="F46" s="385"/>
      <c r="G46" s="385"/>
      <c r="N46" s="542"/>
      <c r="O46" s="724" t="s">
        <v>1022</v>
      </c>
      <c r="P46" s="279">
        <v>1</v>
      </c>
      <c r="Q46" s="279">
        <v>1</v>
      </c>
      <c r="R46" s="279">
        <v>1</v>
      </c>
      <c r="S46" s="279">
        <v>1</v>
      </c>
      <c r="U46" s="385"/>
      <c r="V46" s="685" t="s">
        <v>1134</v>
      </c>
      <c r="W46" s="558">
        <f>ROUND(PRODUCT(W41:W45),3)</f>
        <v>3.9E-2</v>
      </c>
      <c r="X46" s="385"/>
      <c r="Y46" s="559"/>
      <c r="Z46" s="877"/>
    </row>
    <row r="47" spans="1:33" ht="13.5" thickBot="1" x14ac:dyDescent="0.25">
      <c r="A47" s="742"/>
      <c r="B47" s="686"/>
      <c r="C47" s="686"/>
      <c r="D47" s="385"/>
      <c r="E47" s="385"/>
      <c r="F47" s="385"/>
      <c r="G47" s="385"/>
      <c r="O47" s="83" t="s">
        <v>1150</v>
      </c>
      <c r="P47" s="247">
        <f>ROUND(PRODUCT(P35:P38,IF(AND(C31="Yes",B31="Sprinkler",C33&lt;&gt;1),P39-P40,P39),P41:P46),3)</f>
        <v>1.2669999999999999</v>
      </c>
      <c r="Q47" s="247">
        <f>ROUND(PRODUCT(Q35:Q46),3)</f>
        <v>0.442</v>
      </c>
      <c r="R47" s="247">
        <f>ROUND(PRODUCT(R35:R46),3)</f>
        <v>0.16300000000000001</v>
      </c>
      <c r="S47" s="247">
        <f>ROUND(PRODUCT(S35:S46),3)</f>
        <v>6.0999999999999999E-2</v>
      </c>
      <c r="U47" s="385"/>
      <c r="V47" s="702" t="s">
        <v>1178</v>
      </c>
      <c r="W47" s="559">
        <f>VLOOKUP(C14,Table_ProtClass,IF(C15&lt;=3,2,3),FALSE)</f>
        <v>0.96</v>
      </c>
      <c r="X47" s="266"/>
      <c r="Y47" s="266"/>
      <c r="Z47" s="266"/>
    </row>
    <row r="48" spans="1:33" ht="13.5" thickBot="1" x14ac:dyDescent="0.25">
      <c r="A48" s="742"/>
      <c r="B48" s="686"/>
      <c r="C48" s="686"/>
      <c r="D48" s="385"/>
      <c r="E48" s="385"/>
      <c r="F48" s="385"/>
      <c r="G48" s="385"/>
      <c r="N48" s="185"/>
      <c r="O48" s="186" t="s">
        <v>1025</v>
      </c>
      <c r="P48" s="238">
        <f>IF(ISNUMBER(F12),F12/100,0)</f>
        <v>0</v>
      </c>
      <c r="Q48" s="238">
        <f>IF(ISNUMBER(F12),F12/100,0)</f>
        <v>0</v>
      </c>
      <c r="R48" s="238">
        <f>IF(ISNUMBER(F12),F12/100,0)</f>
        <v>0</v>
      </c>
      <c r="S48" s="238">
        <f>IF(ISNUMBER(F12),F12/100,0)</f>
        <v>0</v>
      </c>
      <c r="U48" s="542"/>
      <c r="V48" s="597" t="s">
        <v>1475</v>
      </c>
      <c r="W48" s="279">
        <f>VLOOKUP(F5,Table_EE_CoIns,3,FALSE)</f>
        <v>4</v>
      </c>
      <c r="X48" s="558"/>
      <c r="Y48" s="558"/>
      <c r="Z48" s="558"/>
      <c r="AB48" s="916" t="s">
        <v>553</v>
      </c>
      <c r="AD48" s="734">
        <f>SUM(AD15,AD29,AD45)</f>
        <v>0</v>
      </c>
    </row>
    <row r="49" spans="1:26" x14ac:dyDescent="0.2">
      <c r="A49" s="742"/>
      <c r="B49" s="686"/>
      <c r="C49" s="686"/>
      <c r="D49" s="385"/>
      <c r="E49" s="385"/>
      <c r="F49" s="385"/>
      <c r="G49" s="385"/>
      <c r="O49" s="83" t="s">
        <v>978</v>
      </c>
      <c r="P49" s="248">
        <f>ROUND(PRODUCT(P47:P48),0)</f>
        <v>0</v>
      </c>
      <c r="Q49" s="248">
        <f>ROUND(PRODUCT(Q47:Q48),0)</f>
        <v>0</v>
      </c>
      <c r="R49" s="248">
        <f>ROUND(PRODUCT(R47:R48),0)</f>
        <v>0</v>
      </c>
      <c r="S49" s="248">
        <f>ROUND(PRODUCT(S47:S48),0)</f>
        <v>0</v>
      </c>
      <c r="U49" s="423"/>
      <c r="V49" s="810" t="s">
        <v>1150</v>
      </c>
      <c r="W49" s="426">
        <f>ROUND(PRODUCT(W46:W48),3)</f>
        <v>0.15</v>
      </c>
      <c r="X49" s="559"/>
      <c r="Y49" s="559"/>
      <c r="Z49" s="559"/>
    </row>
    <row r="50" spans="1:26" x14ac:dyDescent="0.2">
      <c r="A50" s="742"/>
      <c r="B50" s="686"/>
      <c r="C50" s="686"/>
      <c r="G50" s="385"/>
      <c r="U50" s="279"/>
      <c r="V50" s="809" t="s">
        <v>1473</v>
      </c>
      <c r="W50" s="487">
        <f>IF(ISNUMBER(F4),F4/100,0)</f>
        <v>10000</v>
      </c>
      <c r="X50" s="559"/>
      <c r="Y50" s="559"/>
      <c r="Z50" s="559"/>
    </row>
    <row r="51" spans="1:26" x14ac:dyDescent="0.2">
      <c r="A51" s="742"/>
      <c r="B51" s="686"/>
      <c r="C51" s="686"/>
      <c r="G51" s="385"/>
      <c r="U51" s="426"/>
      <c r="V51" s="811" t="s">
        <v>1474</v>
      </c>
      <c r="W51" s="812">
        <f>ROUND(PRODUCT(W49:W50),0)</f>
        <v>1500</v>
      </c>
      <c r="X51" s="558"/>
      <c r="Y51" s="558"/>
      <c r="Z51" s="558"/>
    </row>
    <row r="52" spans="1:26" x14ac:dyDescent="0.2">
      <c r="A52" s="742"/>
      <c r="B52" s="686"/>
      <c r="C52" s="686"/>
      <c r="G52" s="385"/>
    </row>
    <row r="53" spans="1:26" x14ac:dyDescent="0.2">
      <c r="A53" s="742"/>
      <c r="B53" s="686"/>
      <c r="C53" s="686"/>
      <c r="G53" s="385"/>
    </row>
    <row r="54" spans="1:26" x14ac:dyDescent="0.2">
      <c r="A54" s="385"/>
      <c r="B54" s="385"/>
      <c r="C54" s="385"/>
      <c r="G54" s="385"/>
      <c r="U54" s="566" t="s">
        <v>1732</v>
      </c>
      <c r="V54" s="266"/>
      <c r="W54" s="266"/>
    </row>
    <row r="55" spans="1:26" x14ac:dyDescent="0.2">
      <c r="A55" s="385"/>
      <c r="B55" s="385"/>
      <c r="C55" s="385"/>
      <c r="F55" s="8"/>
      <c r="G55" s="385"/>
      <c r="U55" s="266"/>
      <c r="V55" s="268" t="s">
        <v>1693</v>
      </c>
      <c r="W55" s="426">
        <f>B29</f>
        <v>0.126</v>
      </c>
    </row>
    <row r="56" spans="1:26" x14ac:dyDescent="0.2">
      <c r="A56" s="385"/>
      <c r="B56" s="385"/>
      <c r="C56" s="385"/>
      <c r="F56" s="139"/>
      <c r="G56" s="385"/>
      <c r="U56" s="266"/>
      <c r="V56" s="268" t="s">
        <v>1695</v>
      </c>
      <c r="W56" s="423" t="e">
        <f>IF(#REF!="Yes",DF_TerrorDT,1)</f>
        <v>#REF!</v>
      </c>
    </row>
    <row r="57" spans="1:26" x14ac:dyDescent="0.2">
      <c r="F57" s="139"/>
      <c r="G57" s="385"/>
      <c r="U57" s="542"/>
      <c r="V57" s="724" t="s">
        <v>1696</v>
      </c>
      <c r="W57" s="757" t="e">
        <f>IF(#REF!="Yes",DF_TerrorDTnbc,1)</f>
        <v>#REF!</v>
      </c>
    </row>
    <row r="58" spans="1:26" x14ac:dyDescent="0.2">
      <c r="F58" s="139"/>
      <c r="U58" s="266"/>
      <c r="V58" s="568" t="s">
        <v>1694</v>
      </c>
      <c r="W58" s="426" t="e">
        <f>ROUND(PRODUCT(W55:W57),3)</f>
        <v>#REF!</v>
      </c>
    </row>
    <row r="59" spans="1:26" x14ac:dyDescent="0.2">
      <c r="G59" s="8"/>
      <c r="U59" s="542"/>
      <c r="V59" s="809" t="s">
        <v>1473</v>
      </c>
      <c r="W59" s="988">
        <f>IF(ISBLANK(F4),0,F4/100)</f>
        <v>10000</v>
      </c>
    </row>
    <row r="60" spans="1:26" x14ac:dyDescent="0.2">
      <c r="G60" s="8"/>
      <c r="U60" s="385"/>
      <c r="V60" s="568" t="s">
        <v>1733</v>
      </c>
      <c r="W60" s="989" t="e">
        <f>ROUND(PRODUCT(W55:W59),0)</f>
        <v>#REF!</v>
      </c>
    </row>
    <row r="61" spans="1:26" x14ac:dyDescent="0.2">
      <c r="G61" s="8"/>
      <c r="U61" s="385"/>
      <c r="V61" s="702"/>
      <c r="W61" s="559"/>
    </row>
    <row r="62" spans="1:26" x14ac:dyDescent="0.2">
      <c r="G62" s="8"/>
      <c r="U62" s="385"/>
      <c r="V62" s="702"/>
      <c r="W62" s="559"/>
    </row>
    <row r="63" spans="1:26" x14ac:dyDescent="0.2">
      <c r="G63" s="8"/>
      <c r="U63" s="559"/>
      <c r="V63" s="877"/>
      <c r="W63" s="558"/>
    </row>
    <row r="64" spans="1:26" x14ac:dyDescent="0.2">
      <c r="U64" s="559"/>
      <c r="V64" s="899"/>
      <c r="W64" s="575"/>
    </row>
    <row r="65" spans="7:23" x14ac:dyDescent="0.2">
      <c r="U65" s="558"/>
      <c r="V65" s="900"/>
      <c r="W65" s="575"/>
    </row>
    <row r="66" spans="7:23" x14ac:dyDescent="0.2">
      <c r="O66" s="168"/>
    </row>
    <row r="67" spans="7:23" x14ac:dyDescent="0.2">
      <c r="O67" s="168"/>
    </row>
    <row r="68" spans="7:23" x14ac:dyDescent="0.2">
      <c r="G68" s="8"/>
    </row>
    <row r="69" spans="7:23" x14ac:dyDescent="0.2">
      <c r="G69" s="8"/>
    </row>
    <row r="70" spans="7:23" x14ac:dyDescent="0.2">
      <c r="G70" s="8"/>
    </row>
    <row r="71" spans="7:23" x14ac:dyDescent="0.2">
      <c r="G71" s="8"/>
    </row>
    <row r="72" spans="7:23" x14ac:dyDescent="0.2">
      <c r="G72" s="8"/>
    </row>
    <row r="73" spans="7:23" x14ac:dyDescent="0.2">
      <c r="G73" s="8"/>
    </row>
    <row r="74" spans="7:23" x14ac:dyDescent="0.2">
      <c r="G74" s="8"/>
    </row>
    <row r="75" spans="7:23" x14ac:dyDescent="0.2">
      <c r="G75" s="8"/>
    </row>
    <row r="76" spans="7:23" x14ac:dyDescent="0.2">
      <c r="G76" s="146"/>
    </row>
  </sheetData>
  <mergeCells count="3">
    <mergeCell ref="H1:L1"/>
    <mergeCell ref="AM24:AN24"/>
    <mergeCell ref="U38:Z38"/>
  </mergeCells>
  <conditionalFormatting sqref="B24">
    <cfRule type="expression" dxfId="188" priority="6" stopIfTrue="1">
      <formula>IF($C$24="Yes",FALSE,TRUE)</formula>
    </cfRule>
  </conditionalFormatting>
  <conditionalFormatting sqref="A18">
    <cfRule type="expression" dxfId="187" priority="5">
      <formula>IF($C$12="SP",TRUE,FALSE)</formula>
    </cfRule>
  </conditionalFormatting>
  <conditionalFormatting sqref="C18">
    <cfRule type="expression" dxfId="186" priority="3">
      <formula>IF($C$12="SP",TRUE,FALSE)</formula>
    </cfRule>
    <cfRule type="expression" dxfId="185" priority="4">
      <formula>IF($C$12="SP",TRUE,FALSE)</formula>
    </cfRule>
  </conditionalFormatting>
  <conditionalFormatting sqref="C18">
    <cfRule type="expression" dxfId="184" priority="1">
      <formula>IF($C$12="SP",TRUE,FALSE)</formula>
    </cfRule>
    <cfRule type="expression" dxfId="183" priority="2">
      <formula>IF($C$12="SP",TRUE,FALSE)</formula>
    </cfRule>
  </conditionalFormatting>
  <dataValidations count="47"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EQ Building Class" prompt="Please Select a class from the drop down list." sqref="E31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5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8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32">
      <formula1>OFFSET(Table_EQ_Tiers,0,0,,1)</formula1>
    </dataValidation>
    <dataValidation type="custom" allowBlank="1" showInputMessage="1" showErrorMessage="1" prompt="EQ Table Lookup Value" sqref="F32">
      <formula1>FALSE</formula1>
    </dataValidation>
    <dataValidation type="custom" allowBlank="1" showInputMessage="1" showErrorMessage="1" prompt="EQ Sprinkler Leakage Extension Factor Lookup value." sqref="F31">
      <formula1>FALSE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33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34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37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30">
      <formula1>IF(AND($F$45="Yes",$C$56&lt;&gt;"Yes"),List_YN,List_No)</formula1>
    </dataValidation>
    <dataValidation type="custom" allowBlank="1" showInputMessage="1" showErrorMessage="1" prompt="Relates to Special Form Reference" sqref="B15">
      <formula1>FALSE</formula1>
    </dataValidation>
    <dataValidation type="list" allowBlank="1" showInputMessage="1" showErrorMessage="1" promptTitle="Power &amp; Water Supply" prompt="Please Select:_x000a_{ Yes or No }" sqref="E22:E23">
      <formula1>IF($F$20="Yes",List_YN, List_No)</formula1>
    </dataValidation>
    <dataValidation type="list" allowBlank="1" showInputMessage="1" showErrorMessage="1" promptTitle="Communications Supply" prompt="Please Select:_x000a_{ Yes or No }" sqref="E24">
      <formula1>IF($F$20="Yes",List_YN, List_No)</formula1>
    </dataValidation>
    <dataValidation type="list" allowBlank="1" showInputMessage="1" showErrorMessage="1" promptTitle="Ovhd Communication Lines" prompt="Please Select:_x000a_{ Yes or No }" sqref="E26">
      <formula1>IF($F$20="Yes",List_YN, List_No)</formula1>
    </dataValidation>
    <dataValidation type="list" allowBlank="1" showInputMessage="1" showErrorMessage="1" promptTitle="OH Power Transmission Lines" prompt="Please Select:_x000a_{ Yes or No }" sqref="E25">
      <formula1>IF($F$20="Yes",List_YN, List_No)</formula1>
    </dataValidation>
    <dataValidation type="custom" allowBlank="1" showInputMessage="1" showErrorMessage="1" promptTitle="P&amp;W Utility Svc Multiplier" prompt="Displays the multiplier for Power &amp; Water Supply premium calculations." sqref="F22">
      <formula1>FALSE</formula1>
    </dataValidation>
    <dataValidation type="custom" allowBlank="1" showInputMessage="1" showErrorMessage="1" promptTitle="OH Lines Utility Svc Multiplier" prompt="Displays the multiplier for the Overhead Power Trans &amp; Comm Lines premium calculations." sqref="F25">
      <formula1>FALSE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custom" allowBlank="1" showInputMessage="1" showErrorMessage="1" promptTitle="EE Availability Indicator:" prompt="BI - indicates that Business Income Coverage has already been applied to the policy._x000a__x000a_Available - indicates EE is still available to be added to the policy." sqref="E3">
      <formula1>FALSE</formula1>
    </dataValidation>
    <dataValidation type="list" allowBlank="1" showInputMessage="1" showErrorMessage="1" errorTitle="Coverage Not Allowed" error="Business Income Coverage has already been applied to this policy." promptTitle="Please Select:" prompt="Yes = Apply Coverage_x000a_No  = Do Not Apply_x000a__x000a_* Coverage not available if Business Income Coverage has already been applied to policy." sqref="F3">
      <formula1>IF($E$3="BI",List_No,List_YN)</formula1>
    </dataValidation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Limits on Loss Payment" prompt="Please Select:_x000a_  35 = 35%-70%-100%_x000a_  40 = 40%-80%-100%_x000a_100 = 100%-100%-100%" sqref="F5">
      <formula1>OFFSET(Table_EE_CoIns,0,0,,1)</formula1>
    </dataValidation>
    <dataValidation type="list" allowBlank="1" showInputMessage="1" showErrorMessage="1" promptTitle="Civil Authority Inc. Coverage" prompt="Please Select:_x000a_Yes or No" sqref="F7">
      <formula1>List_YN</formula1>
    </dataValidation>
    <dataValidation type="list" allowBlank="1" showInputMessage="1" showErrorMessage="1" promptTitle="Basic Group I - Class Codes" prompt="Please select your building class code" sqref="F13">
      <formula1>OFFSET(Table_G1_LC,0,0,,1)</formula1>
    </dataValidation>
    <dataValidation type="custom" allowBlank="1" showInputMessage="1" showErrorMessage="1" promptTitle="Class Rating Group" prompt="Displays Rating Group for Class Code selected." sqref="E13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16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F15">
      <formula1>OFFSET(Table_G1_LC,0,0,,1)</formula1>
    </dataValidation>
    <dataValidation type="list" allowBlank="1" showInputMessage="1" showErrorMessage="1" promptTitle="Please Select:" prompt="Yes = Apply Coverage_x000a_No  = Do Not Apply" sqref="F11 F28">
      <formula1>List_YN</formula1>
    </dataValidation>
    <dataValidation type="list" allowBlank="1" showInputMessage="1" showErrorMessage="1" promptTitle="Increased Period of Restoration" prompt="Please Select:_x000a_Yes or No" sqref="F18">
      <formula1>List_YN</formula1>
    </dataValidation>
    <dataValidation type="list" allowBlank="1" showInputMessage="1" showErrorMessage="1" promptTitle="Utility Services Coverage" prompt="Please Select:_x000a_Yes or No" sqref="F20">
      <formula1>List_YN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C10:C11 C7 B8 C14:C15 B5:C5 C4 C21:C22 C24 C17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errorTitle="Do Not Touch" error="This is used to generate the Coinsurance rate." sqref="B34 E37">
      <formula1>FALSE</formula1>
    </dataValidation>
    <dataValidation type="custom" allowBlank="1" showInputMessage="1" showErrorMessage="1" sqref="O30 A29 F29 B30 C25 O5">
      <formula1>FALSE</formula1>
    </dataValidation>
    <dataValidation type="list" allowBlank="1" showInputMessage="1" showErrorMessage="1" promptTitle="Increased Coverage Period" prompt="Please Select # of Days:_x000a_{ 60, 90, 180 }" sqref="E8">
      <formula1>IF(F7="Yes",OFFSET(Table_CivilAuth,0,0,,1),List_No)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sqref="E21">
      <formula1>IF(F20="Yes",TRUE,FALSE)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5" manualBreakCount="5">
    <brk id="6" max="1048575" man="1"/>
    <brk id="13" max="52" man="1"/>
    <brk id="20" max="52" man="1"/>
    <brk id="27" max="52" man="1"/>
    <brk id="34" max="52" man="1"/>
  </col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Z57"/>
  <sheetViews>
    <sheetView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2.5703125" style="2" customWidth="1"/>
    <col min="3" max="3" width="12.85546875" style="2" customWidth="1"/>
    <col min="4" max="4" width="26.85546875" style="2" customWidth="1"/>
    <col min="5" max="5" width="12.5703125" style="2" customWidth="1"/>
    <col min="6" max="6" width="11.85546875" style="2" customWidth="1"/>
    <col min="7" max="7" width="9.140625" style="2"/>
    <col min="8" max="8" width="20.85546875" style="2" customWidth="1"/>
    <col min="9" max="9" width="17.85546875" style="2" customWidth="1"/>
    <col min="10" max="10" width="12.85546875" style="2" customWidth="1"/>
    <col min="11" max="11" width="19.5703125" style="2" customWidth="1"/>
    <col min="12" max="12" width="9.140625" style="2"/>
    <col min="13" max="13" width="14.7109375" style="2" customWidth="1"/>
    <col min="14" max="14" width="25.85546875" style="2" customWidth="1"/>
    <col min="15" max="15" width="14.140625" style="2" customWidth="1"/>
    <col min="16" max="16" width="9.140625" style="2"/>
    <col min="17" max="17" width="14.7109375" style="2" customWidth="1"/>
    <col min="18" max="18" width="23.85546875" style="2" customWidth="1"/>
    <col min="19" max="19" width="14.140625" style="2" customWidth="1"/>
    <col min="20" max="20" width="9.140625" style="2"/>
    <col min="21" max="21" width="34.28515625" style="2" customWidth="1"/>
    <col min="22" max="22" width="23.7109375" style="2" customWidth="1"/>
    <col min="23" max="23" width="14.28515625" style="2" customWidth="1"/>
    <col min="24" max="16384" width="9.140625" style="2"/>
  </cols>
  <sheetData>
    <row r="1" spans="1:23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1723</v>
      </c>
      <c r="I1" s="1595"/>
      <c r="J1" s="1595"/>
      <c r="K1" s="1596"/>
      <c r="U1" s="1617" t="s">
        <v>949</v>
      </c>
      <c r="V1" s="1617"/>
      <c r="W1" s="1617"/>
    </row>
    <row r="2" spans="1:23" ht="12.75" customHeight="1" thickBot="1" x14ac:dyDescent="0.25">
      <c r="A2" s="161" t="s">
        <v>832</v>
      </c>
      <c r="B2" s="162"/>
      <c r="C2" s="163"/>
      <c r="D2" s="529" t="s">
        <v>897</v>
      </c>
      <c r="E2" s="531"/>
      <c r="F2" s="532"/>
      <c r="M2" s="60" t="s">
        <v>1767</v>
      </c>
      <c r="Q2" s="60" t="s">
        <v>1769</v>
      </c>
    </row>
    <row r="3" spans="1:23" ht="13.5" thickBot="1" x14ac:dyDescent="0.25">
      <c r="A3" s="120" t="s">
        <v>1024</v>
      </c>
      <c r="B3" s="95"/>
      <c r="C3" s="1085" t="str">
        <f>DF_State</f>
        <v>CT</v>
      </c>
      <c r="D3" s="203" t="s">
        <v>306</v>
      </c>
      <c r="E3" s="216"/>
      <c r="F3" s="204" t="s">
        <v>857</v>
      </c>
      <c r="H3" s="1273">
        <f>Summary5</f>
        <v>0</v>
      </c>
      <c r="I3" s="557"/>
      <c r="J3" s="557"/>
      <c r="N3" s="168" t="s">
        <v>1761</v>
      </c>
      <c r="O3" s="247">
        <f>IF(C31="Yes",VLOOKUP(B32,Table_EQ_LC,3,FALSE),0)</f>
        <v>5.0000000000000001E-3</v>
      </c>
      <c r="R3" s="168" t="s">
        <v>1761</v>
      </c>
      <c r="S3" s="247">
        <f>IF(C31="Yes",VLOOKUP(B32,Table_EQ_LC,3,FALSE),VLOOKUP(B42,Table_EQ_LC,MATCH(C47,List_PPGrade,0)+3,FALSE))</f>
        <v>5.0000000000000001E-3</v>
      </c>
      <c r="U3" s="154" t="s">
        <v>950</v>
      </c>
      <c r="V3" s="86"/>
      <c r="W3" s="156" t="s">
        <v>951</v>
      </c>
    </row>
    <row r="4" spans="1:23" x14ac:dyDescent="0.2">
      <c r="A4" s="1036" t="s">
        <v>1828</v>
      </c>
      <c r="B4" s="1041"/>
      <c r="C4" s="1098"/>
      <c r="D4" s="107" t="s">
        <v>961</v>
      </c>
      <c r="E4" s="272"/>
      <c r="F4" s="704"/>
      <c r="H4" s="82"/>
      <c r="I4" s="189"/>
      <c r="J4" s="4"/>
      <c r="M4" s="146"/>
      <c r="N4" s="545" t="s">
        <v>971</v>
      </c>
      <c r="O4" s="299" t="e">
        <f>HLOOKUP(C10,Table_StateRates,6,FALSE)</f>
        <v>#N/A</v>
      </c>
      <c r="Q4" s="146"/>
      <c r="R4" s="545" t="s">
        <v>971</v>
      </c>
      <c r="S4" s="299" t="e">
        <f>HLOOKUP(C10,Table_StateRates,6,FALSE)</f>
        <v>#N/A</v>
      </c>
      <c r="U4" s="686" t="s">
        <v>1715</v>
      </c>
      <c r="W4" s="155">
        <f>IF(W22&lt;-0.05,-0.05,IF(W22&gt;0.05,0.05,W22))</f>
        <v>0</v>
      </c>
    </row>
    <row r="5" spans="1:23" x14ac:dyDescent="0.2">
      <c r="A5" s="120"/>
      <c r="B5" s="95"/>
      <c r="C5" s="1039"/>
      <c r="D5" s="124" t="s">
        <v>1218</v>
      </c>
      <c r="E5" s="417">
        <f>IF(F5="Yes",2,3)</f>
        <v>3</v>
      </c>
      <c r="F5" s="704" t="s">
        <v>857</v>
      </c>
      <c r="H5" s="82" t="s">
        <v>1759</v>
      </c>
      <c r="I5" s="258"/>
      <c r="J5" s="259" t="e">
        <f>IF(C31="Yes",O15,0)</f>
        <v>#N/A</v>
      </c>
      <c r="N5" s="189" t="s">
        <v>1497</v>
      </c>
      <c r="O5" s="207">
        <v>1</v>
      </c>
      <c r="R5" s="189" t="s">
        <v>1253</v>
      </c>
      <c r="S5" s="247">
        <f>IF(OR(ISBLANK(F7),F7="None"),1,IF(E8="Yes",F14,VLOOKUP(F7,IF(F5="Yes",Table_BI_CoIns_EE,Table_BI_CoIns),F8+1,FALSE)))</f>
        <v>1</v>
      </c>
      <c r="U5" s="151" t="s">
        <v>1714</v>
      </c>
      <c r="W5" s="155">
        <f>IF(W23&lt;-0.06,-0.06,IF(W23&gt;0.06,0.06,W23))</f>
        <v>0</v>
      </c>
    </row>
    <row r="6" spans="1:23" x14ac:dyDescent="0.2">
      <c r="A6" s="120" t="s">
        <v>969</v>
      </c>
      <c r="B6" s="95"/>
      <c r="C6" s="1093" t="s">
        <v>980</v>
      </c>
      <c r="D6" s="84" t="s">
        <v>1227</v>
      </c>
      <c r="E6" s="193"/>
      <c r="F6" s="704" t="s">
        <v>857</v>
      </c>
      <c r="H6" s="189"/>
      <c r="I6" s="258"/>
      <c r="J6" s="259"/>
      <c r="N6" s="168" t="s">
        <v>1017</v>
      </c>
      <c r="O6" s="247">
        <f>VLOOKUP(C27,Table_EQ_CoIns,2,FALSE)</f>
        <v>1</v>
      </c>
      <c r="R6" s="168" t="s">
        <v>1086</v>
      </c>
      <c r="S6" s="207">
        <f>IF(F6="Yes",DF_BI_AV,1)</f>
        <v>1</v>
      </c>
      <c r="U6" s="8" t="s">
        <v>1716</v>
      </c>
      <c r="W6" s="155">
        <f>IF(W24&lt;-0.06,-0.06,IF(W24&gt;0.06,0.06,W24))</f>
        <v>0</v>
      </c>
    </row>
    <row r="7" spans="1:23" ht="13.5" thickBot="1" x14ac:dyDescent="0.25">
      <c r="A7" s="143" t="s">
        <v>923</v>
      </c>
      <c r="B7" s="940" t="s">
        <v>857</v>
      </c>
      <c r="C7" s="1039"/>
      <c r="D7" s="84" t="s">
        <v>1085</v>
      </c>
      <c r="E7" s="103"/>
      <c r="F7" s="704" t="s">
        <v>1883</v>
      </c>
      <c r="H7" s="82" t="s">
        <v>1758</v>
      </c>
      <c r="I7" s="248"/>
      <c r="N7" s="168" t="s">
        <v>1018</v>
      </c>
      <c r="O7" s="1417" t="str">
        <f>IF(C31="Yes",VLOOKUP(B38,Table_EQ_Deductible,MATCH(IF(B37&gt;C37,B37,C37),List_EQDeductibles,0)+1,FALSE),0)</f>
        <v>NA</v>
      </c>
      <c r="R7" s="168" t="s">
        <v>1088</v>
      </c>
      <c r="S7" s="207">
        <f>IF(OR(C20="S",C20="T"),VLOOKUP(IF(C31="Yes",C39,C51),Table_EQ_OptStory,3,FALSE),1)</f>
        <v>1</v>
      </c>
      <c r="U7" s="8" t="s">
        <v>1717</v>
      </c>
      <c r="W7" s="155">
        <f>IF(W25&lt;-0.1,-0.1,IF(W25&gt;0.1,0.1,W25))</f>
        <v>0</v>
      </c>
    </row>
    <row r="8" spans="1:23" ht="13.5" thickBot="1" x14ac:dyDescent="0.25">
      <c r="A8" s="120"/>
      <c r="B8" s="95"/>
      <c r="C8" s="1039"/>
      <c r="D8" s="84" t="s">
        <v>1205</v>
      </c>
      <c r="E8" s="479" t="s">
        <v>857</v>
      </c>
      <c r="F8" s="706"/>
      <c r="H8" s="82"/>
      <c r="I8" s="972" t="s">
        <v>1797</v>
      </c>
      <c r="J8" s="259">
        <f>IF(C41="Yes",O30,0)</f>
        <v>0</v>
      </c>
      <c r="N8" s="168" t="s">
        <v>1086</v>
      </c>
      <c r="O8" s="207">
        <f>IF(C28="Yes",DF_AgreedFctr,1)</f>
        <v>1.05</v>
      </c>
      <c r="R8" s="83" t="s">
        <v>1251</v>
      </c>
      <c r="S8" s="207">
        <f>IF(F17="Yes",VLOOKUP(F8,Table_BI_MaxInd,E5,FALSE)+S17,1)</f>
        <v>1</v>
      </c>
      <c r="U8" s="687" t="s">
        <v>1718</v>
      </c>
      <c r="W8" s="155">
        <f>IF(W26&lt;-0.06,-0.06,IF(W26&gt;0.06,0.06,W26))</f>
        <v>0</v>
      </c>
    </row>
    <row r="9" spans="1:23" x14ac:dyDescent="0.2">
      <c r="A9" s="120" t="s">
        <v>1829</v>
      </c>
      <c r="B9" s="95"/>
      <c r="C9" s="1094">
        <v>1</v>
      </c>
      <c r="D9" s="695" t="str">
        <f>IF(F3="No","",IF(E8="Yes","Please Select the 2 Occ. Types below","Select 1 Occ. Type in the shaded cell above"))</f>
        <v/>
      </c>
      <c r="E9" s="487"/>
      <c r="F9" s="533"/>
      <c r="H9" s="82"/>
      <c r="I9" s="972" t="s">
        <v>1798</v>
      </c>
      <c r="J9" s="259">
        <f>IF(B54="Yes",O39,0)</f>
        <v>0</v>
      </c>
      <c r="N9" s="168" t="s">
        <v>1768</v>
      </c>
      <c r="O9" s="207">
        <f>IF(OR(C33="1C",C33="1D"),VLOOKUP(B36,Table_EQ_Masonry,3,FALSE),1)</f>
        <v>1</v>
      </c>
      <c r="R9" s="83" t="s">
        <v>1252</v>
      </c>
      <c r="S9" s="207">
        <f ca="1">IF(F18="Yes",VLOOKUP(E19,INDIRECT("Table_BI_Mos"&amp;F8),E5,FALSE)+S17,1)</f>
        <v>1</v>
      </c>
      <c r="U9" s="153" t="s">
        <v>1719</v>
      </c>
      <c r="W9" s="155">
        <f>IF(W27&lt;-0.025,-0.025,IF(W27&gt;0.025,0.025,W27))</f>
        <v>0</v>
      </c>
    </row>
    <row r="10" spans="1:23" x14ac:dyDescent="0.2">
      <c r="A10" s="120" t="s">
        <v>835</v>
      </c>
      <c r="B10" s="95"/>
      <c r="C10" s="1093" t="s">
        <v>1862</v>
      </c>
      <c r="D10" s="159" t="s">
        <v>1662</v>
      </c>
      <c r="E10" s="443"/>
      <c r="F10" s="704"/>
      <c r="H10" s="82"/>
      <c r="I10" s="972" t="s">
        <v>1799</v>
      </c>
      <c r="J10" s="259">
        <f>IF(B55="Yes",O44,0)</f>
        <v>0</v>
      </c>
      <c r="N10" s="168" t="s">
        <v>180</v>
      </c>
      <c r="O10" s="207">
        <f>1+ $Y$24</f>
        <v>1</v>
      </c>
      <c r="R10" s="882" t="s">
        <v>1547</v>
      </c>
      <c r="S10" s="299">
        <f>IF(AND(F20="Yes",OR(E21=1,E21=3)),VLOOKUP(F7,Table_BI_Educ,E5,FALSE),1)</f>
        <v>1</v>
      </c>
      <c r="U10" s="687" t="s">
        <v>1720</v>
      </c>
      <c r="W10" s="155">
        <f>IF(W28&lt;-0.025,-0.025,IF(W28&gt;0.025,0.025,W28))</f>
        <v>0</v>
      </c>
    </row>
    <row r="11" spans="1:23" ht="13.5" thickBot="1" x14ac:dyDescent="0.25">
      <c r="A11" s="415" t="s">
        <v>910</v>
      </c>
      <c r="B11" s="493">
        <f>IF(OR(C14=5,C14=6),1,2)</f>
        <v>2</v>
      </c>
      <c r="C11" s="704" t="s">
        <v>1678</v>
      </c>
      <c r="D11" s="159" t="s">
        <v>1663</v>
      </c>
      <c r="E11" s="442"/>
      <c r="F11" s="704"/>
      <c r="H11" s="82"/>
      <c r="I11" s="972" t="s">
        <v>1795</v>
      </c>
      <c r="J11" s="259">
        <f>IF(B56="Yes",O49,0)</f>
        <v>0</v>
      </c>
      <c r="M11" s="146"/>
      <c r="N11" s="545" t="s">
        <v>1020</v>
      </c>
      <c r="O11" s="299">
        <f>IF(C6="PAC",VLOOKUP(B7,Table_PakMods,MATCH(C11,List_Company,0)+1,FALSE),1)</f>
        <v>1</v>
      </c>
      <c r="R11" s="83" t="s">
        <v>1549</v>
      </c>
      <c r="S11" s="207">
        <f>IF(AND(F20="Yes",E21=2),VLOOKUP(F7,Table_BI_Educ,E5,FALSE)+IF(F21&gt;4,SUM(4*0.02,(F21-4)*0.04),F21*0.02),1)</f>
        <v>1</v>
      </c>
      <c r="U11" s="687" t="s">
        <v>1721</v>
      </c>
      <c r="W11" s="155">
        <f>IF(W29&lt;-0.075,-0.075,IF(W29&gt;0.075,0.075,W29))</f>
        <v>0</v>
      </c>
    </row>
    <row r="12" spans="1:23" ht="13.5" thickBot="1" x14ac:dyDescent="0.25">
      <c r="A12" s="507" t="s">
        <v>1069</v>
      </c>
      <c r="B12" s="498">
        <f>IF(C12=1,2,IF(C14&lt;4,3,4))</f>
        <v>3</v>
      </c>
      <c r="C12" s="1088" t="s">
        <v>857</v>
      </c>
      <c r="D12" s="159" t="s">
        <v>1223</v>
      </c>
      <c r="E12" s="442"/>
      <c r="F12" s="704"/>
      <c r="H12" s="975"/>
      <c r="I12" s="795" t="s">
        <v>1796</v>
      </c>
      <c r="J12" s="884">
        <f>IF(B57="Yes",O54,0)</f>
        <v>0</v>
      </c>
      <c r="M12" s="542"/>
      <c r="N12" s="724" t="s">
        <v>1022</v>
      </c>
      <c r="O12" s="279">
        <f>1+$W$14</f>
        <v>1</v>
      </c>
      <c r="R12" s="189" t="s">
        <v>1254</v>
      </c>
      <c r="S12" s="207">
        <f>IF(F25="Yes",VLOOKUP(E5,Table_BI_Seasonal,2,FALSE),1)</f>
        <v>1</v>
      </c>
      <c r="U12" s="8" t="s">
        <v>1722</v>
      </c>
      <c r="W12" s="155">
        <f>IF(W30&lt;-0.05,-0.05,IF(W30&gt;0.05,0.05,W30))</f>
        <v>0</v>
      </c>
    </row>
    <row r="13" spans="1:23" ht="13.5" thickBot="1" x14ac:dyDescent="0.25">
      <c r="A13" s="108" t="s">
        <v>898</v>
      </c>
      <c r="B13" s="95"/>
      <c r="C13" s="1093">
        <v>3</v>
      </c>
      <c r="D13" s="480"/>
      <c r="E13" s="489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82"/>
      <c r="I13" s="890" t="s">
        <v>1802</v>
      </c>
      <c r="J13" s="259">
        <f>SUM(J8:J12)</f>
        <v>0</v>
      </c>
      <c r="N13" s="83" t="s">
        <v>1150</v>
      </c>
      <c r="O13" s="247" t="e">
        <f>ROUND(PRODUCT(O3:O12),3)</f>
        <v>#N/A</v>
      </c>
      <c r="R13" s="189" t="s">
        <v>1255</v>
      </c>
      <c r="S13" s="207">
        <f>IF(F15="Yes",VLOOKUP(E16,Table_BI_IndDays,2,FALSE),1)</f>
        <v>1</v>
      </c>
      <c r="U13" s="8"/>
      <c r="W13" s="155"/>
    </row>
    <row r="14" spans="1:23" ht="13.5" thickBot="1" x14ac:dyDescent="0.25">
      <c r="A14" s="108" t="s">
        <v>1073</v>
      </c>
      <c r="B14" s="494"/>
      <c r="C14" s="704">
        <v>1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696" t="str">
        <f>IF(AND(E8="Yes",E14="Area"),ROUND(SUM(E13:F13)/SUM(E11:F11),3),IF(AND(E8="Yes",E14="Value"),ROUND(SUM(E12:F12)/SUM(E13:F13),3),""))</f>
        <v/>
      </c>
      <c r="H14" s="82"/>
      <c r="I14" s="248"/>
      <c r="J14" s="259"/>
      <c r="M14" s="185"/>
      <c r="N14" s="186" t="s">
        <v>1025</v>
      </c>
      <c r="O14" s="238">
        <f>IF(ISNUMBER(C32),C32/100,0)</f>
        <v>2500</v>
      </c>
      <c r="R14" s="168" t="s">
        <v>1256</v>
      </c>
      <c r="S14" s="207">
        <f>IF(F22="Yes",VLOOKUP(E23,Table_BI_OrdPR,2,FALSE),1)</f>
        <v>1</v>
      </c>
      <c r="V14" s="60" t="s">
        <v>952</v>
      </c>
      <c r="W14" s="157">
        <f>IF(SUM(W4:W13)&lt;-0.4,-0.4,IF(SUM(W4:W13)&gt;0.4,0.4,SUM(W4:W13)))</f>
        <v>0</v>
      </c>
    </row>
    <row r="15" spans="1:23" ht="13.5" customHeight="1" x14ac:dyDescent="0.2">
      <c r="A15" s="84" t="s">
        <v>975</v>
      </c>
      <c r="B15" s="160"/>
      <c r="C15" s="1116" t="s">
        <v>18</v>
      </c>
      <c r="D15" s="84" t="s">
        <v>1224</v>
      </c>
      <c r="E15" s="193"/>
      <c r="F15" s="1101" t="s">
        <v>857</v>
      </c>
      <c r="H15" s="82"/>
      <c r="I15" s="248"/>
      <c r="J15" s="259"/>
      <c r="N15" s="83" t="s">
        <v>1767</v>
      </c>
      <c r="O15" s="248" t="e">
        <f>ROUND(PRODUCT(O13:O14),0)</f>
        <v>#N/A</v>
      </c>
      <c r="R15" s="168" t="s">
        <v>1257</v>
      </c>
      <c r="S15" s="207">
        <f>IF(F24="Yes",DF_BI_Power,1)</f>
        <v>1</v>
      </c>
    </row>
    <row r="16" spans="1:23" ht="13.5" thickBot="1" x14ac:dyDescent="0.25">
      <c r="A16" s="122" t="s">
        <v>974</v>
      </c>
      <c r="B16" s="95"/>
      <c r="C16" s="1048">
        <v>1</v>
      </c>
      <c r="D16" s="159" t="s">
        <v>1244</v>
      </c>
      <c r="E16" s="963"/>
      <c r="F16" s="277"/>
      <c r="H16" s="576"/>
      <c r="I16" s="248"/>
      <c r="J16" s="248"/>
      <c r="R16" s="268" t="s">
        <v>1259</v>
      </c>
      <c r="S16" s="423">
        <f>IF(F26="Yes",VLOOKUP(E27,Table_CivilAuth,2,FALSE),1)</f>
        <v>1</v>
      </c>
    </row>
    <row r="17" spans="1:26" ht="15" customHeight="1" x14ac:dyDescent="0.2">
      <c r="A17" s="1195" t="s">
        <v>2097</v>
      </c>
      <c r="B17" s="95"/>
      <c r="C17" s="1194"/>
      <c r="D17" s="84" t="s">
        <v>1204</v>
      </c>
      <c r="E17" s="193"/>
      <c r="F17" s="962" t="s">
        <v>857</v>
      </c>
      <c r="H17" s="483" t="s">
        <v>1661</v>
      </c>
      <c r="I17" s="248"/>
      <c r="J17" s="248"/>
      <c r="R17" s="267" t="s">
        <v>1592</v>
      </c>
      <c r="S17" s="426">
        <f>IF(F28="Yes",VLOOKUP(E29,Table_BI_Mining,2,FALSE),0)</f>
        <v>0</v>
      </c>
      <c r="U17" s="136" t="s">
        <v>947</v>
      </c>
      <c r="V17" s="137"/>
      <c r="W17" s="137"/>
      <c r="X17" s="137"/>
      <c r="Y17" s="136" t="s">
        <v>938</v>
      </c>
      <c r="Z17" s="517"/>
    </row>
    <row r="18" spans="1:26" ht="13.5" thickBot="1" x14ac:dyDescent="0.25">
      <c r="A18" s="526"/>
      <c r="B18" s="96"/>
      <c r="C18" s="1099"/>
      <c r="D18" s="84" t="s">
        <v>1203</v>
      </c>
      <c r="E18" s="193"/>
      <c r="F18" s="962" t="s">
        <v>857</v>
      </c>
      <c r="H18" s="486"/>
      <c r="I18" s="486" t="s">
        <v>977</v>
      </c>
      <c r="J18" s="259">
        <f>IF(AND(C31="Yes",F3="Yes"),S25,0)</f>
        <v>0</v>
      </c>
      <c r="M18" s="60" t="s">
        <v>1797</v>
      </c>
      <c r="R18" s="268" t="s">
        <v>821</v>
      </c>
      <c r="S18" s="423">
        <f>IF(AND(F31="Yes",E32="24-HR"),VLOOKUP(E32,Table_BI_Wait,3,FALSE),1)</f>
        <v>1</v>
      </c>
      <c r="U18" s="138" t="s">
        <v>939</v>
      </c>
      <c r="V18" s="8"/>
      <c r="W18" s="8"/>
      <c r="X18" s="8"/>
      <c r="Y18" s="445" t="s">
        <v>940</v>
      </c>
      <c r="Z18" s="481"/>
    </row>
    <row r="19" spans="1:26" ht="15" customHeight="1" thickBot="1" x14ac:dyDescent="0.25">
      <c r="A19" s="529" t="s">
        <v>300</v>
      </c>
      <c r="B19" s="531"/>
      <c r="C19" s="532"/>
      <c r="D19" s="159" t="s">
        <v>1225</v>
      </c>
      <c r="E19" s="965" t="s">
        <v>857</v>
      </c>
      <c r="F19" s="1065"/>
      <c r="H19" s="486"/>
      <c r="I19" s="486" t="s">
        <v>978</v>
      </c>
      <c r="J19" s="259">
        <f>IF(AND(C31="Yes",F34="Yes"),S38,0)</f>
        <v>0</v>
      </c>
      <c r="N19" s="168" t="s">
        <v>1083</v>
      </c>
      <c r="O19" s="247">
        <f>IF(C41="Yes",VLOOKUP(B42,Table_EQ_LC,MATCH(C47,List_PPGrade,0)+3,FALSE),0)</f>
        <v>0</v>
      </c>
      <c r="R19" s="568" t="s">
        <v>822</v>
      </c>
      <c r="S19" s="423">
        <f>IF(AND(F31="Yes",E32="None"),VLOOKUP(E32,Table_BI_Wait,3,FALSE),1)</f>
        <v>1</v>
      </c>
      <c r="U19" s="138" t="s">
        <v>941</v>
      </c>
      <c r="V19" s="8"/>
      <c r="W19" s="8"/>
      <c r="X19" s="8"/>
      <c r="Y19" s="26"/>
      <c r="Z19" s="481"/>
    </row>
    <row r="20" spans="1:26" x14ac:dyDescent="0.2">
      <c r="A20" s="521" t="s">
        <v>899</v>
      </c>
      <c r="B20" s="95"/>
      <c r="C20" s="1094" t="s">
        <v>83</v>
      </c>
      <c r="D20" s="534" t="s">
        <v>1233</v>
      </c>
      <c r="E20" s="273"/>
      <c r="F20" s="962" t="s">
        <v>857</v>
      </c>
      <c r="H20" s="486"/>
      <c r="I20" s="705"/>
      <c r="J20" s="485"/>
      <c r="M20" s="146"/>
      <c r="N20" s="545" t="s">
        <v>971</v>
      </c>
      <c r="O20" s="299" t="e">
        <f>HLOOKUP(C10,Table_StateRates,6,FALSE)</f>
        <v>#N/A</v>
      </c>
      <c r="R20" s="168" t="s">
        <v>180</v>
      </c>
      <c r="S20" s="207">
        <f>1+ $Y$24</f>
        <v>1</v>
      </c>
      <c r="U20" s="26"/>
      <c r="V20" s="8"/>
      <c r="W20" s="8"/>
      <c r="X20" s="8"/>
      <c r="Y20" s="727" t="s">
        <v>942</v>
      </c>
      <c r="Z20" s="481"/>
    </row>
    <row r="21" spans="1:26" x14ac:dyDescent="0.2">
      <c r="A21" s="124" t="s">
        <v>959</v>
      </c>
      <c r="B21" s="496"/>
      <c r="C21" s="1064"/>
      <c r="D21" s="535" t="s">
        <v>1550</v>
      </c>
      <c r="E21" s="948"/>
      <c r="F21" s="966"/>
      <c r="H21" s="189"/>
      <c r="I21" s="705" t="s">
        <v>1084</v>
      </c>
      <c r="J21" s="260">
        <f>SUM(J18:J19)</f>
        <v>0</v>
      </c>
      <c r="N21" s="189" t="s">
        <v>1497</v>
      </c>
      <c r="O21" s="207">
        <v>1</v>
      </c>
      <c r="Q21" s="146"/>
      <c r="R21" s="545" t="s">
        <v>1020</v>
      </c>
      <c r="S21" s="299">
        <f>IF(C6="PAC",VLOOKUP(B7,Table_PakMods,MATCH(C11,List_Company,0)+1,FALSE),1)</f>
        <v>1</v>
      </c>
      <c r="U21" s="445" t="s">
        <v>943</v>
      </c>
      <c r="V21" s="8"/>
      <c r="W21" s="142" t="s">
        <v>944</v>
      </c>
      <c r="X21" s="8"/>
      <c r="Y21" s="727" t="s">
        <v>945</v>
      </c>
      <c r="Z21" s="481"/>
    </row>
    <row r="22" spans="1:26" x14ac:dyDescent="0.2">
      <c r="A22" s="108" t="s">
        <v>953</v>
      </c>
      <c r="B22" s="95"/>
      <c r="C22" s="735" t="s">
        <v>857</v>
      </c>
      <c r="D22" s="444" t="s">
        <v>1229</v>
      </c>
      <c r="E22" s="103"/>
      <c r="F22" s="966" t="s">
        <v>857</v>
      </c>
      <c r="H22" s="486"/>
      <c r="I22" s="485"/>
      <c r="J22" s="485"/>
      <c r="N22" s="168" t="s">
        <v>1017</v>
      </c>
      <c r="O22" s="247">
        <f>VLOOKUP(C27,Table_EQ_CoIns,2,FALSE)</f>
        <v>1</v>
      </c>
      <c r="Q22" s="542"/>
      <c r="R22" s="724" t="s">
        <v>1022</v>
      </c>
      <c r="S22" s="279">
        <f>1+$W$14</f>
        <v>1</v>
      </c>
      <c r="U22" s="140" t="s">
        <v>1715</v>
      </c>
      <c r="V22" s="8"/>
      <c r="W22" s="144"/>
      <c r="X22" s="8"/>
      <c r="Y22" s="727" t="s">
        <v>946</v>
      </c>
      <c r="Z22" s="481"/>
    </row>
    <row r="23" spans="1:26" ht="13.5" thickBot="1" x14ac:dyDescent="0.25">
      <c r="A23" s="120"/>
      <c r="B23" s="95"/>
      <c r="C23" s="1039"/>
      <c r="D23" s="819" t="s">
        <v>1243</v>
      </c>
      <c r="E23" s="965" t="s">
        <v>857</v>
      </c>
      <c r="F23" s="1102"/>
      <c r="H23" s="486"/>
      <c r="I23" s="485"/>
      <c r="J23" s="485"/>
      <c r="N23" s="168" t="s">
        <v>1018</v>
      </c>
      <c r="O23" s="207">
        <f>IF(C41="Yes",VLOOKUP(B50,Table_EQ_Deductible,MATCH(IF(B49&gt;C49,B49,C49),List_EQDeductibles,0)+1,FALSE),0)</f>
        <v>0</v>
      </c>
      <c r="R23" s="83" t="s">
        <v>1150</v>
      </c>
      <c r="S23" s="247" t="e">
        <f>ROUND(PRODUCT(S3:S16,S18:S22),3)</f>
        <v>#N/A</v>
      </c>
      <c r="U23" s="141" t="s">
        <v>1714</v>
      </c>
      <c r="V23" s="139"/>
      <c r="W23" s="145"/>
      <c r="X23" s="139"/>
      <c r="Y23" s="445"/>
      <c r="Z23" s="481"/>
    </row>
    <row r="24" spans="1:26" ht="13.5" thickBot="1" x14ac:dyDescent="0.25">
      <c r="A24" s="670" t="s">
        <v>307</v>
      </c>
      <c r="B24" s="683">
        <v>40502</v>
      </c>
      <c r="C24" s="736">
        <v>1</v>
      </c>
      <c r="D24" s="444" t="s">
        <v>1230</v>
      </c>
      <c r="E24" s="103"/>
      <c r="F24" s="966" t="s">
        <v>857</v>
      </c>
      <c r="H24" s="483" t="s">
        <v>1760</v>
      </c>
      <c r="I24" s="485"/>
      <c r="J24" s="569" t="e">
        <f>SUM(J5,J8,J21)</f>
        <v>#N/A</v>
      </c>
      <c r="N24" s="168" t="s">
        <v>1768</v>
      </c>
      <c r="O24" s="207">
        <f>IF(OR(C43="1C",C43="1D"),VLOOKUP(B46,Table_EQ_Masonry,3,FALSE),1)</f>
        <v>1</v>
      </c>
      <c r="Q24" s="185"/>
      <c r="R24" s="186" t="s">
        <v>1025</v>
      </c>
      <c r="S24" s="238">
        <f>IF(ISNUMBER(F4),F4/100,0)</f>
        <v>0</v>
      </c>
      <c r="U24" s="141" t="s">
        <v>1716</v>
      </c>
      <c r="V24" s="139"/>
      <c r="W24" s="145"/>
      <c r="X24" s="139"/>
      <c r="Y24" s="1597"/>
      <c r="Z24" s="1598"/>
    </row>
    <row r="25" spans="1:26" ht="13.5" thickBot="1" x14ac:dyDescent="0.25">
      <c r="A25" s="671" t="s">
        <v>308</v>
      </c>
      <c r="B25" s="678">
        <f>IF(ISBLANK(C24),"N/A",VLOOKUP(C24,Table_EQ_Tiers,2,FALSE))</f>
        <v>1</v>
      </c>
      <c r="C25" s="1039"/>
      <c r="D25" s="444" t="s">
        <v>1232</v>
      </c>
      <c r="E25" s="103"/>
      <c r="F25" s="966" t="s">
        <v>857</v>
      </c>
      <c r="H25" s="486"/>
      <c r="I25" s="485"/>
      <c r="J25" s="485"/>
      <c r="N25" s="168" t="s">
        <v>180</v>
      </c>
      <c r="O25" s="207">
        <f>1+ $Y$24</f>
        <v>1</v>
      </c>
      <c r="R25" s="83" t="s">
        <v>1769</v>
      </c>
      <c r="S25" s="248" t="e">
        <f>ROUND(PRODUCT(S23:S24),0)</f>
        <v>#N/A</v>
      </c>
      <c r="U25" s="141" t="s">
        <v>1717</v>
      </c>
      <c r="V25" s="139"/>
      <c r="W25" s="145"/>
      <c r="X25" s="139"/>
      <c r="Y25" s="445"/>
      <c r="Z25" s="481"/>
    </row>
    <row r="26" spans="1:26" x14ac:dyDescent="0.2">
      <c r="A26" s="84" t="s">
        <v>310</v>
      </c>
      <c r="B26" s="675"/>
      <c r="C26" s="1093">
        <v>99</v>
      </c>
      <c r="D26" s="538" t="s">
        <v>1545</v>
      </c>
      <c r="E26" s="103"/>
      <c r="F26" s="966" t="s">
        <v>857</v>
      </c>
      <c r="M26" s="146"/>
      <c r="N26" s="545" t="s">
        <v>1020</v>
      </c>
      <c r="O26" s="299">
        <f>IF(C6="PAC",VLOOKUP(B7,Table_PakMods,MATCH(C11,List_Company,0)+1,FALSE),1)</f>
        <v>1</v>
      </c>
      <c r="U26" s="141" t="s">
        <v>1718</v>
      </c>
      <c r="V26" s="8"/>
      <c r="W26" s="145"/>
      <c r="X26" s="8"/>
      <c r="Y26" s="26"/>
      <c r="Z26" s="481"/>
    </row>
    <row r="27" spans="1:26" x14ac:dyDescent="0.2">
      <c r="A27" s="108" t="s">
        <v>309</v>
      </c>
      <c r="B27" s="95"/>
      <c r="C27" s="1093">
        <v>80</v>
      </c>
      <c r="D27" s="518" t="s">
        <v>1555</v>
      </c>
      <c r="E27" s="948">
        <v>180</v>
      </c>
      <c r="F27" s="1065"/>
      <c r="M27" s="542"/>
      <c r="N27" s="724" t="s">
        <v>1022</v>
      </c>
      <c r="O27" s="279">
        <f>1+$W$14</f>
        <v>1</v>
      </c>
      <c r="U27" s="141" t="s">
        <v>181</v>
      </c>
      <c r="V27" s="8"/>
      <c r="W27" s="145"/>
      <c r="X27" s="8"/>
      <c r="Y27" s="26"/>
      <c r="Z27" s="481"/>
    </row>
    <row r="28" spans="1:26" x14ac:dyDescent="0.2">
      <c r="A28" s="108" t="s">
        <v>908</v>
      </c>
      <c r="B28" s="912" t="str">
        <f>IF(OR(TC5_BLDG1!C59="Yes",TC5_PP1!C53="Yes"),"Repl Cost","Available")</f>
        <v>Available</v>
      </c>
      <c r="C28" s="962" t="s">
        <v>833</v>
      </c>
      <c r="D28" s="538" t="s">
        <v>1246</v>
      </c>
      <c r="E28" s="103"/>
      <c r="F28" s="966" t="s">
        <v>857</v>
      </c>
      <c r="N28" s="83" t="s">
        <v>1150</v>
      </c>
      <c r="O28" s="247" t="e">
        <f>ROUND(PRODUCT(O19:O27),3)</f>
        <v>#N/A</v>
      </c>
      <c r="Q28" s="60" t="s">
        <v>1770</v>
      </c>
      <c r="U28" s="141" t="s">
        <v>1720</v>
      </c>
      <c r="V28" s="8"/>
      <c r="W28" s="145"/>
      <c r="X28" s="8"/>
      <c r="Y28" s="26"/>
      <c r="Z28" s="481"/>
    </row>
    <row r="29" spans="1:26" ht="13.5" thickBot="1" x14ac:dyDescent="0.25">
      <c r="A29" s="526"/>
      <c r="B29" s="515"/>
      <c r="C29" s="540"/>
      <c r="D29" s="507" t="s">
        <v>1589</v>
      </c>
      <c r="E29" s="948"/>
      <c r="F29" s="1065"/>
      <c r="M29" s="185"/>
      <c r="N29" s="186" t="s">
        <v>1025</v>
      </c>
      <c r="O29" s="238">
        <f>IF(ISNUMBER(C42),C42/100,0)</f>
        <v>0</v>
      </c>
      <c r="R29" s="168" t="s">
        <v>1761</v>
      </c>
      <c r="S29" s="247">
        <f>IF(C31="Yes",VLOOKUP(B32,Table_EQ_LC,3,FALSE),VLOOKUP(B42,Table_EQ_LC,MATCH(C47,List_PPGrade,0)+3,FALSE))</f>
        <v>5.0000000000000001E-3</v>
      </c>
      <c r="U29" s="141" t="s">
        <v>182</v>
      </c>
      <c r="V29" s="8"/>
      <c r="W29" s="145"/>
      <c r="X29" s="8"/>
      <c r="Y29" s="26"/>
      <c r="Z29" s="481"/>
    </row>
    <row r="30" spans="1:26" ht="13.5" thickBot="1" x14ac:dyDescent="0.25">
      <c r="A30" s="529" t="s">
        <v>1831</v>
      </c>
      <c r="B30" s="531"/>
      <c r="C30" s="532"/>
      <c r="D30" s="499"/>
      <c r="E30" s="146"/>
      <c r="F30" s="1072"/>
      <c r="N30" s="83" t="s">
        <v>1797</v>
      </c>
      <c r="O30" s="248" t="e">
        <f>ROUND(PRODUCT(O28:O29),0)</f>
        <v>#N/A</v>
      </c>
      <c r="Q30" s="146"/>
      <c r="R30" s="545" t="s">
        <v>971</v>
      </c>
      <c r="S30" s="299" t="e">
        <f>HLOOKUP(C10,Table_StateRates,6,FALSE)</f>
        <v>#N/A</v>
      </c>
      <c r="U30" s="141" t="s">
        <v>1722</v>
      </c>
      <c r="V30" s="8"/>
      <c r="W30" s="145"/>
      <c r="X30" s="8"/>
      <c r="Y30" s="26"/>
      <c r="Z30" s="481"/>
    </row>
    <row r="31" spans="1:26" ht="13.5" thickBot="1" x14ac:dyDescent="0.25">
      <c r="A31" s="203" t="s">
        <v>301</v>
      </c>
      <c r="B31" s="216"/>
      <c r="C31" s="1100" t="s">
        <v>833</v>
      </c>
      <c r="D31" s="527" t="s">
        <v>1608</v>
      </c>
      <c r="E31" s="422"/>
      <c r="F31" s="966" t="s">
        <v>857</v>
      </c>
      <c r="R31" s="168" t="s">
        <v>1258</v>
      </c>
      <c r="S31" s="207">
        <f>IF(F34="Yes",VLOOKUP(F36,Table_EE_CoIns,3,FALSE),1)</f>
        <v>1</v>
      </c>
      <c r="U31" s="85"/>
      <c r="V31" s="86"/>
      <c r="W31" s="86"/>
      <c r="X31" s="86"/>
      <c r="Y31" s="85"/>
      <c r="Z31" s="196"/>
    </row>
    <row r="32" spans="1:26" x14ac:dyDescent="0.2">
      <c r="A32" s="107" t="s">
        <v>1242</v>
      </c>
      <c r="B32" s="690" t="str">
        <f>IF(ISBLANK(C33),"",IF(C33=6,"Invalid",C24&amp;"_"&amp;IF(C33=7,B33,C33)))</f>
        <v>1_5C</v>
      </c>
      <c r="C32" s="704">
        <v>250000</v>
      </c>
      <c r="D32" s="539" t="s">
        <v>1609</v>
      </c>
      <c r="E32" s="968" t="s">
        <v>1599</v>
      </c>
      <c r="F32" s="1065"/>
      <c r="R32" s="168" t="s">
        <v>1088</v>
      </c>
      <c r="S32" s="207">
        <f>IF(OR(C20="S",C20="T"),VLOOKUP(IF(C31="Yes",C39,C51),Table_EQ_OptStory,3,FALSE),1)</f>
        <v>1</v>
      </c>
    </row>
    <row r="33" spans="1:19" ht="13.5" thickBot="1" x14ac:dyDescent="0.25">
      <c r="A33" s="81" t="s">
        <v>302</v>
      </c>
      <c r="B33" s="697" t="str">
        <f>IF(C33=7,VLOOKUP(C34,Table_EQ_Class7,2,FALSE),"N/A")</f>
        <v>N/A</v>
      </c>
      <c r="C33" s="735" t="s">
        <v>27</v>
      </c>
      <c r="D33" s="87"/>
      <c r="E33" s="194"/>
      <c r="F33" s="1103"/>
      <c r="N33" s="974" t="s">
        <v>1800</v>
      </c>
      <c r="O33" s="883" t="e">
        <f>O28</f>
        <v>#N/A</v>
      </c>
      <c r="R33" s="168" t="s">
        <v>180</v>
      </c>
      <c r="S33" s="207">
        <f>1+ $Y$24</f>
        <v>1</v>
      </c>
    </row>
    <row r="34" spans="1:19" x14ac:dyDescent="0.2">
      <c r="A34" s="693" t="str">
        <f>IF(C33=6,"Invalid Bldg Class, Choose Again",IF(C33=7, "Select Special Structure Item #","Lookup Value is:"&amp;"  "&amp;B32))</f>
        <v>Lookup Value is:  1_5C</v>
      </c>
      <c r="B34" s="272"/>
      <c r="C34" s="692" t="s">
        <v>857</v>
      </c>
      <c r="D34" s="123" t="s">
        <v>962</v>
      </c>
      <c r="E34" s="474"/>
      <c r="F34" s="1104" t="s">
        <v>857</v>
      </c>
      <c r="Q34" s="146"/>
      <c r="R34" s="545" t="s">
        <v>1020</v>
      </c>
      <c r="S34" s="299">
        <f>IF(C6="PAC",VLOOKUP(B7,Table_PakMods,MATCH(C11,List_Company,0)+1,FALSE),1)</f>
        <v>1</v>
      </c>
    </row>
    <row r="35" spans="1:19" x14ac:dyDescent="0.2">
      <c r="A35" s="694" t="str">
        <f>IF(AND(C33=7,ISBLANK(C34)=FALSE),VLOOKUP(C34,Table_EQ_Class7,4,FALSE),VLOOKUP(C33,Table_EQ_BldgClass,2,FALSE))</f>
        <v>Hollow Load Bearing Walls &amp; Other</v>
      </c>
      <c r="B35" s="193"/>
      <c r="C35" s="691"/>
      <c r="D35" s="107" t="s">
        <v>1241</v>
      </c>
      <c r="E35" s="272"/>
      <c r="F35" s="704"/>
      <c r="Q35" s="542"/>
      <c r="R35" s="724" t="s">
        <v>1022</v>
      </c>
      <c r="S35" s="279">
        <f>1+$W$14</f>
        <v>1</v>
      </c>
    </row>
    <row r="36" spans="1:19" x14ac:dyDescent="0.2">
      <c r="A36" s="81" t="s">
        <v>1377</v>
      </c>
      <c r="B36" s="414" t="s">
        <v>857</v>
      </c>
      <c r="C36" s="169"/>
      <c r="D36" s="81" t="s">
        <v>1610</v>
      </c>
      <c r="E36" s="193"/>
      <c r="F36" s="704"/>
      <c r="M36" s="60" t="s">
        <v>1798</v>
      </c>
      <c r="R36" s="83" t="s">
        <v>1150</v>
      </c>
      <c r="S36" s="247" t="e">
        <f>ROUND(PRODUCT(S29:S35),3)</f>
        <v>#N/A</v>
      </c>
    </row>
    <row r="37" spans="1:19" ht="13.5" thickBot="1" x14ac:dyDescent="0.25">
      <c r="A37" s="669" t="s">
        <v>303</v>
      </c>
      <c r="B37" s="414">
        <v>10</v>
      </c>
      <c r="C37" s="699">
        <f>IF(C31="Yes",VLOOKUP(B32,Table_EQ_LC,2,FALSE),"")</f>
        <v>0.1</v>
      </c>
      <c r="D37" s="87"/>
      <c r="E37" s="194"/>
      <c r="F37" s="100"/>
      <c r="N37" s="168" t="s">
        <v>1801</v>
      </c>
      <c r="O37" s="247" t="e">
        <f>$O$33</f>
        <v>#N/A</v>
      </c>
      <c r="Q37" s="185"/>
      <c r="R37" s="186" t="s">
        <v>1025</v>
      </c>
      <c r="S37" s="238">
        <f>IF(ISNUMBER(F35),F35/100,0)</f>
        <v>0</v>
      </c>
    </row>
    <row r="38" spans="1:19" x14ac:dyDescent="0.2">
      <c r="A38" s="676" t="s">
        <v>1764</v>
      </c>
      <c r="B38" s="355" t="str">
        <f>IF(C31="Yes",B25&amp;"_"&amp;IF(C33=7,B33,C33),"N/A")</f>
        <v>1_5C</v>
      </c>
      <c r="C38" s="698"/>
      <c r="M38" s="185"/>
      <c r="N38" s="186" t="s">
        <v>1025</v>
      </c>
      <c r="O38" s="238">
        <f>IF(B54="Yes",C54/100,0)</f>
        <v>0</v>
      </c>
      <c r="R38" s="83" t="s">
        <v>1770</v>
      </c>
      <c r="S38" s="248" t="e">
        <f>ROUND(PRODUCT(S36:S37),0)</f>
        <v>#N/A</v>
      </c>
    </row>
    <row r="39" spans="1:19" x14ac:dyDescent="0.2">
      <c r="A39" s="676" t="s">
        <v>126</v>
      </c>
      <c r="B39" s="414">
        <v>2</v>
      </c>
      <c r="C39" s="684">
        <f>IF(ISBLANK(B39),"",IF(B39&lt;9,1,IF(B39&lt;21,2,3)))</f>
        <v>1</v>
      </c>
      <c r="N39" s="83" t="s">
        <v>1794</v>
      </c>
      <c r="O39" s="248" t="e">
        <f>ROUND(PRODUCT(O37:O38),0)</f>
        <v>#N/A</v>
      </c>
    </row>
    <row r="40" spans="1:19" ht="13.5" thickBot="1" x14ac:dyDescent="0.25">
      <c r="A40" s="87"/>
      <c r="B40" s="194"/>
      <c r="C40" s="100"/>
    </row>
    <row r="41" spans="1:19" x14ac:dyDescent="0.2">
      <c r="A41" s="203" t="s">
        <v>304</v>
      </c>
      <c r="B41" s="216"/>
      <c r="C41" s="1100" t="s">
        <v>857</v>
      </c>
      <c r="M41" s="60" t="s">
        <v>1799</v>
      </c>
    </row>
    <row r="42" spans="1:19" ht="13.5" customHeight="1" x14ac:dyDescent="0.2">
      <c r="A42" s="107" t="s">
        <v>1242</v>
      </c>
      <c r="B42" s="690" t="str">
        <f>IF(ISBLANK(C43),"",IF(C43=6,"Invalid",C24&amp;"_"&amp;IF(C43=7,B43,C43)))</f>
        <v/>
      </c>
      <c r="C42" s="413"/>
      <c r="N42" s="168" t="s">
        <v>1801</v>
      </c>
      <c r="O42" s="247" t="e">
        <f>$O$33</f>
        <v>#N/A</v>
      </c>
    </row>
    <row r="43" spans="1:19" ht="12.75" customHeight="1" x14ac:dyDescent="0.2">
      <c r="A43" s="81" t="s">
        <v>302</v>
      </c>
      <c r="B43" s="697" t="str">
        <f>IF(C43=7,VLOOKUP(C44,Table_EQ_Class7,2,FALSE),"N/A")</f>
        <v>N/A</v>
      </c>
      <c r="C43" s="735"/>
      <c r="M43" s="185"/>
      <c r="N43" s="186" t="s">
        <v>1025</v>
      </c>
      <c r="O43" s="238">
        <f>IF(B55="Yes",C55/100,0)</f>
        <v>0</v>
      </c>
    </row>
    <row r="44" spans="1:19" x14ac:dyDescent="0.2">
      <c r="A44" s="693" t="str">
        <f>IF(C43=6,"Invalid Bldg Class, Choose Again",IF(C43=7, "Select Special Structure Item #","Lookup Value is:"&amp;"  "&amp;B42))</f>
        <v xml:space="preserve">Lookup Value is:  </v>
      </c>
      <c r="B44" s="272"/>
      <c r="C44" s="692" t="s">
        <v>857</v>
      </c>
      <c r="N44" s="83" t="s">
        <v>1793</v>
      </c>
      <c r="O44" s="248" t="e">
        <f>ROUND(PRODUCT(O42:O43),0)</f>
        <v>#N/A</v>
      </c>
    </row>
    <row r="45" spans="1:19" x14ac:dyDescent="0.2">
      <c r="A45" s="694" t="e">
        <f>IF(AND(C43=7,ISBLANK(C44)=FALSE),VLOOKUP(C44,Table_EQ_Class7,4,FALSE),VLOOKUP(C43,Table_EQ_BldgClass,2,FALSE))</f>
        <v>#N/A</v>
      </c>
      <c r="B45" s="193"/>
      <c r="C45" s="691"/>
    </row>
    <row r="46" spans="1:19" ht="13.5" thickBot="1" x14ac:dyDescent="0.25">
      <c r="A46" s="81" t="s">
        <v>1377</v>
      </c>
      <c r="B46" s="414" t="s">
        <v>857</v>
      </c>
      <c r="C46" s="169"/>
      <c r="M46" s="60" t="s">
        <v>1795</v>
      </c>
    </row>
    <row r="47" spans="1:19" ht="13.5" thickBot="1" x14ac:dyDescent="0.25">
      <c r="A47" s="669" t="s">
        <v>305</v>
      </c>
      <c r="B47" s="273"/>
      <c r="C47" s="703" t="str">
        <f>IF(C41="Yes",VLOOKUP(A48,Table_EQ_PPGrade,2,FALSE),"N/A")</f>
        <v>N/A</v>
      </c>
      <c r="N47" s="168" t="s">
        <v>1801</v>
      </c>
      <c r="O47" s="247" t="e">
        <f>$O$33</f>
        <v>#N/A</v>
      </c>
    </row>
    <row r="48" spans="1:19" x14ac:dyDescent="0.2">
      <c r="A48" s="1620" t="s">
        <v>708</v>
      </c>
      <c r="B48" s="1621"/>
      <c r="C48" s="1622"/>
      <c r="M48" s="185"/>
      <c r="N48" s="186" t="s">
        <v>1025</v>
      </c>
      <c r="O48" s="238">
        <f>IF(B56="Yes",C56/100,0)</f>
        <v>0</v>
      </c>
    </row>
    <row r="49" spans="1:15" x14ac:dyDescent="0.2">
      <c r="A49" s="669" t="s">
        <v>303</v>
      </c>
      <c r="B49" s="414"/>
      <c r="C49" s="699" t="str">
        <f>IF(C41="Yes",VLOOKUP(B42,Table_EQ_LC,2,FALSE),"")</f>
        <v/>
      </c>
      <c r="N49" s="83" t="s">
        <v>1792</v>
      </c>
      <c r="O49" s="248" t="e">
        <f>ROUND(PRODUCT(O47:O48),0)</f>
        <v>#N/A</v>
      </c>
    </row>
    <row r="50" spans="1:15" x14ac:dyDescent="0.2">
      <c r="A50" s="676" t="s">
        <v>1764</v>
      </c>
      <c r="B50" s="355" t="str">
        <f>IF(C41="Yes",B25&amp;"_"&amp;IF(C43=7,B43,C43),"N/A")</f>
        <v>N/A</v>
      </c>
      <c r="C50" s="698"/>
    </row>
    <row r="51" spans="1:15" x14ac:dyDescent="0.2">
      <c r="A51" s="676" t="s">
        <v>126</v>
      </c>
      <c r="B51" s="414"/>
      <c r="C51" s="684" t="str">
        <f>IF(ISBLANK(B51),"",IF(B51&lt;9,1,IF(B51&lt;21,2,3)))</f>
        <v/>
      </c>
      <c r="M51" s="60" t="s">
        <v>1796</v>
      </c>
    </row>
    <row r="52" spans="1:15" ht="13.5" thickBot="1" x14ac:dyDescent="0.25">
      <c r="A52" s="87"/>
      <c r="B52" s="194"/>
      <c r="C52" s="100"/>
      <c r="N52" s="168" t="s">
        <v>1801</v>
      </c>
      <c r="O52" s="247" t="e">
        <f>$O$33</f>
        <v>#N/A</v>
      </c>
    </row>
    <row r="53" spans="1:15" ht="13.5" thickBot="1" x14ac:dyDescent="0.25">
      <c r="A53" s="529" t="s">
        <v>1141</v>
      </c>
      <c r="B53" s="531"/>
      <c r="C53" s="532"/>
      <c r="M53" s="185"/>
      <c r="N53" s="186" t="s">
        <v>1025</v>
      </c>
      <c r="O53" s="238">
        <f>IF(B57="Yes",C57/100,0)</f>
        <v>0</v>
      </c>
    </row>
    <row r="54" spans="1:15" x14ac:dyDescent="0.2">
      <c r="A54" s="783" t="s">
        <v>1142</v>
      </c>
      <c r="B54" s="948" t="s">
        <v>857</v>
      </c>
      <c r="C54" s="1101"/>
      <c r="N54" s="83" t="s">
        <v>1791</v>
      </c>
      <c r="O54" s="248" t="e">
        <f>ROUND(PRODUCT(O52:O53),0)</f>
        <v>#N/A</v>
      </c>
    </row>
    <row r="55" spans="1:15" x14ac:dyDescent="0.2">
      <c r="A55" s="783" t="s">
        <v>1143</v>
      </c>
      <c r="B55" s="948" t="s">
        <v>857</v>
      </c>
      <c r="C55" s="1101"/>
      <c r="M55" s="60"/>
    </row>
    <row r="56" spans="1:15" x14ac:dyDescent="0.2">
      <c r="A56" s="783" t="s">
        <v>1144</v>
      </c>
      <c r="B56" s="948" t="s">
        <v>857</v>
      </c>
      <c r="C56" s="1101"/>
    </row>
    <row r="57" spans="1:15" x14ac:dyDescent="0.2">
      <c r="A57" s="784" t="s">
        <v>1145</v>
      </c>
      <c r="B57" s="948" t="s">
        <v>857</v>
      </c>
      <c r="C57" s="962"/>
    </row>
  </sheetData>
  <mergeCells count="4">
    <mergeCell ref="H1:K1"/>
    <mergeCell ref="U1:W1"/>
    <mergeCell ref="Y24:Z24"/>
    <mergeCell ref="A48:C48"/>
  </mergeCells>
  <conditionalFormatting sqref="C17">
    <cfRule type="expression" dxfId="182" priority="6">
      <formula>IF($C$12="SP",TRUE,FALSE)</formula>
    </cfRule>
    <cfRule type="expression" dxfId="181" priority="7">
      <formula>IF($C$12="SP",TRUE,FALSE)</formula>
    </cfRule>
  </conditionalFormatting>
  <conditionalFormatting sqref="A17">
    <cfRule type="expression" dxfId="180" priority="5">
      <formula>IF($C$12="SP",TRUE,FALSE)</formula>
    </cfRule>
  </conditionalFormatting>
  <conditionalFormatting sqref="C17">
    <cfRule type="expression" dxfId="179" priority="3">
      <formula>IF($C$12="SP",TRUE,FALSE)</formula>
    </cfRule>
    <cfRule type="expression" dxfId="178" priority="4">
      <formula>IF($C$12="SP",TRUE,FALSE)</formula>
    </cfRule>
  </conditionalFormatting>
  <conditionalFormatting sqref="C17">
    <cfRule type="expression" dxfId="177" priority="1">
      <formula>IF($C$12="SP",TRUE,FALSE)</formula>
    </cfRule>
    <cfRule type="expression" dxfId="176" priority="2">
      <formula>IF($C$12="SP",TRUE,FALSE)</formula>
    </cfRule>
  </conditionalFormatting>
  <dataValidations count="73"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5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54">
      <formula1>IF($C$29="No",List_No,List_YN)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55">
      <formula1>IF($C$29="No",List_No,List_YN)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56">
      <formula1>IF($C$29="No",List_No,List_YN)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57">
      <formula1>IF($C$29="No",List_No,List_YN)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1">
      <formula1>List_YN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2">
      <formula1>IF(#REF!="Yes", OFFSET(Table_BI_Wait,0,0,,1),List_No)</formula1>
    </dataValidation>
    <dataValidation type="list" allowBlank="1" showInputMessage="1" showErrorMessage="1" promptTitle="Civil Authority Inc. Coverage" prompt="Please Select:_x000a_Yes or No" sqref="F26">
      <formula1>List_YN</formula1>
    </dataValidation>
    <dataValidation type="list" allowBlank="1" showInputMessage="1" showErrorMessage="1" promptTitle="Increased Coverage Period" prompt="Please Select # of Days:_x000a_{ 60, 90, 180 }" sqref="E27">
      <formula1>IF($F$28="Yes",OFFSET(Table_CivilAuth,0,0,,1),List_No)</formula1>
    </dataValidation>
    <dataValidation type="list" allowBlank="1" showInputMessage="1" showErrorMessage="1" promptTitle="Ordinary Payroll Exclusion" prompt="Please Select:_x000a_Yes or No" sqref="F22">
      <formula1>List_YN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4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3">
      <formula1>IF($F$24="Yes",OFFSET(Table_BI_OrdPR,0,0,,1),List_No)</formula1>
    </dataValidation>
    <dataValidation type="list" allowBlank="1" showInputMessage="1" showErrorMessage="1" promptTitle="Apply Mining Property Coverage?" prompt="Please Select:_x000a_Yes or No" sqref="F28">
      <formula1>IF(ISNUMBER($F$7),List_YN,List_No)</formula1>
    </dataValidation>
    <dataValidation type="list" allowBlank="1" showInputMessage="1" showErrorMessage="1" promptTitle="Seasonal Leases:" prompt="Please Select:_x000a_Yes or No_x000a__x000a_* This coverage relates to rental property only." sqref="F25">
      <formula1>IF($F$8&lt;&gt;3,List_No,List_YN)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29">
      <formula1>IF($F$33="Yes",List_BI_Mining,List_No)</formula1>
    </dataValidation>
    <dataValidation type="custom" allowBlank="1" showInputMessage="1" showErrorMessage="1" promptTitle="Replacement Cost on Policy" prompt="If replacement cost is present on the policy, then Agreed Value cannot be applied." sqref="B28">
      <formula1>FALSE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28">
      <formula1>IF($B$28="Available",List_YN,List_No)</formula1>
    </dataValidation>
    <dataValidation type="list" allowBlank="1" showInputMessage="1" showErrorMessage="1" sqref="C27">
      <formula1>OFFSET(Table_EQ_CoIns,0,0,,1)</formula1>
    </dataValidation>
    <dataValidation type="custom" allowBlank="1" showInputMessage="1" showErrorMessage="1" promptTitle="Earthquake Tier:" prompt="Determined by the Territory supplied." sqref="B2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C24">
      <formula1>OFFSET(Table_EQ_Tiers,0,0,,1)</formula1>
    </dataValidation>
    <dataValidation allowBlank="1" showInputMessage="1" showErrorMessage="1" promptTitle="Enter EQ Zipcode:" prompt="Please supply the Zipcode for the EQ Building Property." sqref="B24"/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26">
      <formula1>IF(OR($C$20="S",$C$20="T"),OFFSET(Table_BCEG,0,0,,1),List_BCEG99)</formula1>
    </dataValidation>
    <dataValidation type="list" allowBlank="1" showInputMessage="1" showErrorMessage="1" promptTitle="Please Select Cause of Loss:" prompt="BA  = Basic_x000a_BR  = Broad_x000a_SP  = Special_x000a_EQ = Earthquake" sqref="C11">
      <formula1>List_CauseBldg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4">
      <formula1>List_ConstrNum</formula1>
    </dataValidation>
    <dataValidation type="list" allowBlank="1" showInputMessage="1" showErrorMessage="1" promptTitle="Protection Class:" prompt="Please select a number (1 - 10)" sqref="C13">
      <formula1>OFFSET(Table_ProtClass,0,0,,1)</formula1>
    </dataValidation>
    <dataValidation type="list" allowBlank="1" showInputMessage="1" showErrorMessage="1" promptTitle="Special - Cause of Loss" prompt="Please select:_x000a_1 - Excluding Theft (Special)_x000a_2 - Including Theft  (Special)" sqref="C12">
      <formula1>IF($C$11="SP",List_SPTheft,List_No)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custom" allowBlank="1" showInputMessage="1" showErrorMessage="1" promptTitle="SPECIAL Form - Column Ref." prompt="This factor is used to determine the which column to use in the SPECIAL Form - Loss Cost table." sqref="B12">
      <formula1>FALSE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allowBlank="1" showInputMessage="1" showErrorMessage="1" promptTitle="Policy Term" prompt="Please Select:_x000a_1 - 1-Yr Policy_x000a_3 - 3-Yr Policy" sqref="C9"/>
    <dataValidation type="list" allowBlank="1" showInputMessage="1" showErrorMessage="1" promptTitle="Please Select:" prompt="C   = Class_x000a_S   = Specific_x000a_T   = Tentative" sqref="C20">
      <formula1>OFFSET(List_RatingType,0,0,3,1)</formula1>
    </dataValidation>
    <dataValidation type="list" allowBlank="1" showInputMessage="1" showErrorMessage="1" promptTitle="Masonry Veneer Limitation:" prompt="Please select the % of the Exterior Wall Faced with Masonry Veneer:_x000a_1:  Less Than 10%_x000a_2:  10 - 25%_x000a_3:  25 - 50%_x000a_4:  Over 50%_x000a__x000a_* Applies only to Building Classes 1C or 1D" sqref="B36 B46">
      <formula1>IF(OR($C$33="1C",$C$33="1D"),OFFSET(Table_EQ_Masonry,0,0,,1),List_No)</formula1>
    </dataValidation>
    <dataValidation type="custom" allowBlank="1" showInputMessage="1" showErrorMessage="1" promptTitle="Personal Pty Grade:" prompt="Displays the Grade of the Personal Property type you select below." sqref="C47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A48:C48">
      <formula1>IF($C$41="Yes",OFFSET(Table_EQ_PPGrade,0,0,,1),List_No)</formula1>
    </dataValidation>
    <dataValidation type="custom" allowBlank="1" showInputMessage="1" showErrorMessage="1" promptTitle="Building Class 7" prompt="Displays equivalent Building Class for the Special Structure selected." sqref="B33 B43">
      <formula1>FALSE</formula1>
    </dataValidation>
    <dataValidation type="custom" allowBlank="1" showInputMessage="1" showErrorMessage="1" prompt="Bldg Loss Cost lookup value" sqref="B32 B42">
      <formula1>FALSE</formula1>
    </dataValidation>
    <dataValidation type="custom" allowBlank="1" showInputMessage="1" showErrorMessage="1" promptTitle="Building Class Description" prompt="Displays a description of the Building Class selected whether it be one of the standard building class types or a Class 7 Special Structure type." sqref="A35 A45">
      <formula1>FALSE</formula1>
    </dataValidation>
    <dataValidation type="list" allowBlank="1" showInputMessage="1" showErrorMessage="1" errorTitle="Selection Not Available" error="Unless the building class specified is Class 7; No entry is allowed." promptTitle="Bldg Class 7: Special Structures" prompt="Please select an Item # from the drop down list, the description of the special structure will be displayed below." sqref="C34 C44">
      <formula1>IF($C$33=7,OFFSET(Table_EQ_Class7,0,0,,1),List_No)</formula1>
    </dataValidation>
    <dataValidation type="list" allowBlank="1" showInputMessage="1" showErrorMessage="1" sqref="C33 C43">
      <formula1>OFFSET(Table_EQ_BldgClass,0,0,,1)</formula1>
    </dataValidation>
    <dataValidation type="custom" allowBlank="1" showInputMessage="1" showErrorMessage="1" prompt="Mandatory Deductible Minimum" sqref="C49 C37">
      <formula1>FALSE</formula1>
    </dataValidation>
    <dataValidation type="custom" allowBlank="1" showInputMessage="1" showErrorMessage="1" promptTitle="Tier / Bldg Class:" prompt="Lookup value for the EQ Deductible Table.  Will generate automatically based upon your selections." sqref="B38 B50">
      <formula1>FALSE</formula1>
    </dataValidation>
    <dataValidation type="list" allowBlank="1" showInputMessage="1" showErrorMessage="1" sqref="B49 B37">
      <formula1>List_EQDeductibles</formula1>
    </dataValidation>
    <dataValidation type="list" allowBlank="1" showInputMessage="1" showErrorMessage="1" promptTitle="Apply Educational Inst Coverage?" prompt="Please Select:_x000a_Yes or No" sqref="F20">
      <formula1>IF($C$35&gt;=50,List_No,List_YN)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Monthly Limitation Period:" prompt="Please Select:_x000a_3rd - 1/3_x000a_4th - 1/4_x000a_6th - 1/6" sqref="E19">
      <formula1>IF($C$46&lt;&gt;"Yes",List_No,List_MosLimit)</formula1>
    </dataValidation>
    <dataValidation type="list" allowBlank="1" showInputMessage="1" showErrorMessage="1" promptTitle="Apply Monthly Limitation?" prompt="Please Select:_x000a_Yes or No" sqref="F18">
      <formula1>IF(ISNUMBER($C$35),List_No,List_YN)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IF($C$43="Yes",OFFSET(Table_BI_IndDays,0,0,,1),List_No)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IF(OR($C$45="Yes"),List_No,List_YN)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custom" allowBlank="1" showInputMessage="1" showErrorMessage="1" sqref="E13:F13 D14">
      <formula1>FALSE</formula1>
    </dataValidation>
    <dataValidation type="list" allowBlank="1" showInputMessage="1" showErrorMessage="1" promptTitle="Include Extra Expense Coverage" prompt="Please Select:_x000a_Yes or No" sqref="F5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IF($B$52="Yes",List_No,List_BI_OccType)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IF($B$52="No",List_No,List_BI_OccType)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list" allowBlank="1" showInputMessage="1" showErrorMessage="1" promptTitle="Limits on Loss Payment" prompt="Please Select:_x000a_  35 = 35%-70%-100%_x000a_  40 = 40%-80%-100%_x000a_100 = 100%-100%-100%" sqref="F36">
      <formula1>OFFSET(Table_EE_CoIns,0,0,,1)</formula1>
    </dataValidation>
    <dataValidation type="list" allowBlank="1" showInputMessage="1" showErrorMessage="1" promptTitle="Please Select:" prompt="Yes = Apply Coverage_x000a_No  = Do Not Apply" sqref="F34 F3 C22 C41 C31">
      <formula1>List_YN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54:C57">
      <formula1>IF(B54="Yes",TRUE,FALSE)</formula1>
    </dataValidation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errorTitle="Rating Type Incompatible" error="You have not selected Specific or Tentative Rating Type for this policy." promptTitle="Specific or Tentative Rate Type:" prompt="If you have selected Specific or Tentative Rate type you will need to supply the Loss Cost." sqref="B21">
      <formula1>IF(OR(C20="S",C20="T"),TRUE,FALSE)</formula1>
    </dataValidation>
    <dataValidation type="list" allowBlank="1" showInputMessage="1" showErrorMessage="1" promptTitle="Please Select a Territory:" prompt="1 - Entire State - CT" sqref="C16">
      <formula1>OFFSET(Table_TerrMult,0,0,,1)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7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2" manualBreakCount="2">
    <brk id="6" max="1048575" man="1"/>
    <brk id="12" max="1048575" man="1"/>
  </col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U80"/>
  <sheetViews>
    <sheetView zoomScale="90" zoomScaleNormal="90" workbookViewId="0"/>
  </sheetViews>
  <sheetFormatPr defaultRowHeight="12.75" x14ac:dyDescent="0.2"/>
  <cols>
    <col min="1" max="1" width="24.7109375" style="2" customWidth="1"/>
    <col min="2" max="2" width="12.28515625" style="2" customWidth="1"/>
    <col min="3" max="3" width="13.7109375" style="2" customWidth="1"/>
    <col min="4" max="4" width="7.5703125" style="2" customWidth="1"/>
    <col min="5" max="5" width="12.7109375" style="2" customWidth="1"/>
    <col min="6" max="6" width="9.85546875" style="2" customWidth="1"/>
    <col min="7" max="7" width="10.28515625" style="2" customWidth="1"/>
    <col min="8" max="8" width="11.42578125" style="2" customWidth="1"/>
    <col min="9" max="9" width="15.7109375" style="2" customWidth="1"/>
    <col min="10" max="10" width="6.7109375" style="2" customWidth="1"/>
    <col min="11" max="11" width="23.5703125" style="2" customWidth="1"/>
    <col min="12" max="15" width="12.85546875" style="2" customWidth="1"/>
    <col min="16" max="16" width="4.85546875" style="2" customWidth="1"/>
    <col min="17" max="17" width="27.28515625" style="2" bestFit="1" customWidth="1"/>
    <col min="18" max="18" width="11.85546875" style="2" customWidth="1"/>
    <col min="19" max="19" width="13.28515625" style="2" customWidth="1"/>
    <col min="20" max="21" width="12" style="2" bestFit="1" customWidth="1"/>
    <col min="22" max="23" width="10.85546875" style="2" bestFit="1" customWidth="1"/>
    <col min="24" max="24" width="3.42578125" style="2" customWidth="1"/>
    <col min="25" max="25" width="15.85546875" style="2" customWidth="1"/>
    <col min="26" max="26" width="24.42578125" style="2" customWidth="1"/>
    <col min="27" max="29" width="11.5703125" style="2" customWidth="1"/>
    <col min="30" max="30" width="10.42578125" style="2" customWidth="1"/>
    <col min="31" max="31" width="9.7109375" style="2" customWidth="1"/>
    <col min="32" max="32" width="4.85546875" style="2" customWidth="1"/>
    <col min="33" max="33" width="27.28515625" style="2" bestFit="1" customWidth="1"/>
    <col min="34" max="34" width="11.85546875" style="2" customWidth="1"/>
    <col min="35" max="35" width="13.28515625" style="2" customWidth="1"/>
    <col min="36" max="37" width="10.85546875" style="2" bestFit="1" customWidth="1"/>
    <col min="38" max="39" width="10.42578125" style="2" bestFit="1" customWidth="1"/>
    <col min="40" max="40" width="3.42578125" style="2" customWidth="1"/>
    <col min="41" max="41" width="15.85546875" style="2" customWidth="1"/>
    <col min="42" max="42" width="24.42578125" style="2" customWidth="1"/>
    <col min="43" max="45" width="11.5703125" style="2" customWidth="1"/>
    <col min="46" max="46" width="10.42578125" style="2" customWidth="1"/>
    <col min="47" max="47" width="9.7109375" style="2" customWidth="1"/>
    <col min="48" max="16384" width="9.140625" style="2"/>
  </cols>
  <sheetData>
    <row r="1" spans="1:47" ht="19.5" customHeight="1" thickBot="1" x14ac:dyDescent="0.25">
      <c r="A1" s="99" t="s">
        <v>834</v>
      </c>
      <c r="B1" s="94"/>
      <c r="C1" s="94"/>
      <c r="D1" s="105"/>
      <c r="E1" s="105"/>
      <c r="F1" s="105"/>
      <c r="G1" s="105"/>
      <c r="H1" s="105"/>
      <c r="I1" s="106" t="s">
        <v>840</v>
      </c>
      <c r="K1" s="1594" t="s">
        <v>2175</v>
      </c>
      <c r="L1" s="1595"/>
      <c r="M1" s="1595"/>
      <c r="N1" s="1595"/>
      <c r="O1" s="1596"/>
      <c r="Q1" s="1612" t="s">
        <v>2224</v>
      </c>
      <c r="R1" s="1613"/>
      <c r="S1" s="1613"/>
      <c r="T1" s="1613"/>
      <c r="U1" s="1613"/>
      <c r="V1" s="1613"/>
      <c r="W1" s="1614"/>
      <c r="Y1" s="1612" t="s">
        <v>2225</v>
      </c>
      <c r="Z1" s="1613"/>
      <c r="AA1" s="1613"/>
      <c r="AB1" s="1613"/>
      <c r="AC1" s="1613"/>
      <c r="AD1" s="1613"/>
      <c r="AE1" s="1614"/>
      <c r="AG1" s="1609" t="s">
        <v>2284</v>
      </c>
      <c r="AH1" s="1610"/>
      <c r="AI1" s="1610"/>
      <c r="AJ1" s="1610"/>
      <c r="AK1" s="1610"/>
      <c r="AL1" s="1610"/>
      <c r="AM1" s="1611"/>
      <c r="AO1" s="1609" t="s">
        <v>2285</v>
      </c>
      <c r="AP1" s="1610"/>
      <c r="AQ1" s="1610"/>
      <c r="AR1" s="1610"/>
      <c r="AS1" s="1610"/>
      <c r="AT1" s="1610"/>
      <c r="AU1" s="1611"/>
    </row>
    <row r="2" spans="1:47" ht="13.5" thickBot="1" x14ac:dyDescent="0.25">
      <c r="A2" s="500" t="s">
        <v>1832</v>
      </c>
      <c r="B2" s="501"/>
      <c r="C2" s="502"/>
      <c r="D2" s="500" t="s">
        <v>2213</v>
      </c>
      <c r="E2" s="508"/>
      <c r="F2" s="508"/>
      <c r="G2" s="508"/>
      <c r="H2" s="508"/>
      <c r="I2" s="509"/>
      <c r="K2" s="1479">
        <f>Summary5</f>
        <v>0</v>
      </c>
      <c r="Q2" s="60" t="s">
        <v>2182</v>
      </c>
      <c r="S2" s="235" t="s">
        <v>2176</v>
      </c>
      <c r="T2" s="235" t="s">
        <v>2177</v>
      </c>
      <c r="U2" s="235" t="s">
        <v>2178</v>
      </c>
      <c r="V2" s="235" t="s">
        <v>2179</v>
      </c>
      <c r="W2" s="235" t="s">
        <v>2180</v>
      </c>
      <c r="Y2" s="60" t="s">
        <v>2182</v>
      </c>
      <c r="AA2" s="235" t="s">
        <v>2176</v>
      </c>
      <c r="AB2" s="235" t="s">
        <v>2177</v>
      </c>
      <c r="AC2" s="235" t="s">
        <v>2178</v>
      </c>
      <c r="AD2" s="235" t="s">
        <v>2179</v>
      </c>
      <c r="AE2" s="235" t="s">
        <v>2180</v>
      </c>
      <c r="AG2" s="60" t="s">
        <v>2182</v>
      </c>
      <c r="AI2" s="235" t="s">
        <v>2176</v>
      </c>
      <c r="AJ2" s="235" t="s">
        <v>2177</v>
      </c>
      <c r="AK2" s="235" t="s">
        <v>2178</v>
      </c>
      <c r="AL2" s="235" t="s">
        <v>2179</v>
      </c>
      <c r="AM2" s="235" t="s">
        <v>2180</v>
      </c>
      <c r="AO2" s="60" t="s">
        <v>2182</v>
      </c>
      <c r="AQ2" s="235" t="s">
        <v>2176</v>
      </c>
      <c r="AR2" s="235" t="s">
        <v>2177</v>
      </c>
      <c r="AS2" s="235" t="s">
        <v>2178</v>
      </c>
      <c r="AT2" s="235" t="s">
        <v>2179</v>
      </c>
      <c r="AU2" s="235" t="s">
        <v>2180</v>
      </c>
    </row>
    <row r="3" spans="1:47" ht="13.5" thickBot="1" x14ac:dyDescent="0.25">
      <c r="A3" s="505" t="s">
        <v>1024</v>
      </c>
      <c r="B3" s="506"/>
      <c r="C3" s="1268" t="str">
        <f>DF_State</f>
        <v>CT</v>
      </c>
      <c r="D3" s="1320" t="s">
        <v>2173</v>
      </c>
      <c r="E3" s="1323" t="s">
        <v>57</v>
      </c>
      <c r="F3" s="1323" t="s">
        <v>2170</v>
      </c>
      <c r="G3" s="1323" t="s">
        <v>2228</v>
      </c>
      <c r="H3" s="1323" t="s">
        <v>2171</v>
      </c>
      <c r="I3" s="1324" t="s">
        <v>2172</v>
      </c>
      <c r="K3" s="1105"/>
      <c r="L3" s="235" t="s">
        <v>1012</v>
      </c>
      <c r="M3" s="235" t="s">
        <v>1013</v>
      </c>
      <c r="N3" s="557" t="s">
        <v>838</v>
      </c>
      <c r="O3" s="557" t="s">
        <v>837</v>
      </c>
      <c r="Q3" s="60"/>
      <c r="R3" s="1117" t="s">
        <v>1197</v>
      </c>
      <c r="S3" s="2">
        <f>IF(ISTEXT($E4),VLOOKUP($E4,Table_G1_LC,MATCH($G4&amp;"B",List_ClassLC,0)+3,FALSE),0)</f>
        <v>0</v>
      </c>
      <c r="T3" s="2">
        <f>IF(ISTEXT($E5),VLOOKUP($E5,Table_G1_LC,MATCH($G5&amp;"B",List_ClassLC,0)+3,FALSE),0)</f>
        <v>0</v>
      </c>
      <c r="U3" s="2">
        <f>IF(ISTEXT($E6),VLOOKUP($E6,Table_G1_LC,MATCH($G6&amp;"B",List_ClassLC,0)+3,FALSE),0)</f>
        <v>0</v>
      </c>
      <c r="V3" s="2">
        <f>IF(ISTEXT($E7),VLOOKUP($E7,Table_G1_LC,MATCH($G7&amp;"B",List_ClassLC,0)+3,FALSE),0)</f>
        <v>0</v>
      </c>
      <c r="W3" s="2">
        <f>IF(ISTEXT($E8),VLOOKUP($E8,Table_G1_LC,MATCH($G8&amp;"B",List_ClassLC,0)+3,FALSE),0)</f>
        <v>0</v>
      </c>
      <c r="Y3" s="60"/>
      <c r="Z3" s="1117" t="s">
        <v>1197</v>
      </c>
      <c r="AA3" s="2">
        <f>IF(ISTEXT($E4),VLOOKUP($H4,Table_G2SymLC,2,FALSE),0)</f>
        <v>0</v>
      </c>
      <c r="AB3" s="2">
        <f>IF(ISTEXT($E5),VLOOKUP($H5,Table_G2SymLC,2,FALSE),0)</f>
        <v>0</v>
      </c>
      <c r="AC3" s="2">
        <f>IF(ISTEXT($E6),VLOOKUP($H6,Table_G2SymLC,2,FALSE),0)</f>
        <v>0</v>
      </c>
      <c r="AD3" s="2">
        <f>IF(ISTEXT($E7),VLOOKUP($H7,Table_G2SymLC,2,FALSE),0)</f>
        <v>0</v>
      </c>
      <c r="AE3" s="2">
        <f>IF(ISTEXT($E8),VLOOKUP($H8,Table_G2SymLC,2,FALSE),0)</f>
        <v>0</v>
      </c>
      <c r="AG3" s="60"/>
      <c r="AH3" s="1117" t="s">
        <v>1198</v>
      </c>
      <c r="AI3" s="2">
        <f>IF(ISTEXT($E13),VLOOKUP($E13,Table_G1_LC,MATCH($G13&amp;"C",List_ClassLC,0)+3,FALSE),0)</f>
        <v>0</v>
      </c>
      <c r="AJ3" s="2">
        <f>IF(ISTEXT($E14),VLOOKUP($E14,Table_G1_LC,MATCH($G14&amp;"C",List_ClassLC,0)+3,FALSE),0)</f>
        <v>0</v>
      </c>
      <c r="AK3" s="2">
        <f>IF(ISTEXT($E15),VLOOKUP($E15,Table_G1_LC,MATCH($G15&amp;"C",List_ClassLC,0)+3,FALSE),0)</f>
        <v>0</v>
      </c>
      <c r="AL3" s="2">
        <f>IF(ISTEXT($E16),VLOOKUP($E16,Table_G1_LC,MATCH($G16&amp;"C",List_ClassLC,0)+3,FALSE),0)</f>
        <v>0</v>
      </c>
      <c r="AM3" s="2">
        <f>IF(ISTEXT($E17),VLOOKUP($E17,Table_G1_LC,MATCH($G17&amp;"C",List_ClassLC,0)+3,FALSE),0)</f>
        <v>0</v>
      </c>
      <c r="AO3" s="60"/>
      <c r="AP3" s="1117" t="s">
        <v>1198</v>
      </c>
      <c r="AQ3" s="2">
        <f>IF(ISTEXT($E13),VLOOKUP($H13,Table_G2SymLC,3,FALSE),0)</f>
        <v>0</v>
      </c>
      <c r="AR3" s="2">
        <f>IF(ISTEXT($E14),VLOOKUP($H14,Table_G2SymLC,3,FALSE),0)</f>
        <v>0</v>
      </c>
      <c r="AS3" s="2">
        <f>IF(ISTEXT($E15),VLOOKUP($H15,Table_G2SymLC,3,FALSE),0)</f>
        <v>0</v>
      </c>
      <c r="AT3" s="2">
        <f>IF(ISTEXT($E16),VLOOKUP($H16,Table_G2SymLC,3,FALSE),0)</f>
        <v>0</v>
      </c>
      <c r="AU3" s="2">
        <f>IF(ISTEXT($E17),VLOOKUP($H17,Table_G2SymLC,3,FALSE),0)</f>
        <v>0</v>
      </c>
    </row>
    <row r="4" spans="1:47" x14ac:dyDescent="0.2">
      <c r="A4" s="1036" t="s">
        <v>1828</v>
      </c>
      <c r="B4" s="1041"/>
      <c r="C4" s="1092"/>
      <c r="D4" s="1321">
        <v>1</v>
      </c>
      <c r="E4" s="1349"/>
      <c r="F4" s="1359"/>
      <c r="G4" s="1351"/>
      <c r="H4" s="1352"/>
      <c r="I4" s="1353"/>
      <c r="K4" s="1340" t="s">
        <v>55</v>
      </c>
      <c r="L4" s="1341"/>
      <c r="M4" s="1342"/>
      <c r="N4" s="1342"/>
      <c r="O4" s="1342"/>
      <c r="Q4" s="60"/>
      <c r="R4" s="1117" t="s">
        <v>1178</v>
      </c>
      <c r="S4" s="207">
        <f>IF(ISNUMBER($F4),VLOOKUP($F4,Table_ProtClass,IF($G4&lt;=3,2,3),FALSE),0)</f>
        <v>0</v>
      </c>
      <c r="T4" s="207">
        <f>IF(ISNUMBER($F5),VLOOKUP($F5,Table_ProtClass,IF($G5&lt;=3,2,3),FALSE),0)</f>
        <v>0</v>
      </c>
      <c r="U4" s="207">
        <f>IF(ISNUMBER($F6),VLOOKUP($F6,Table_ProtClass,IF($G6&lt;=3,2,3),FALSE),0)</f>
        <v>0</v>
      </c>
      <c r="V4" s="207">
        <f>IF(ISNUMBER($F7),VLOOKUP($F7,Table_ProtClass,IF($G7&lt;=3,2,3),FALSE),0)</f>
        <v>0</v>
      </c>
      <c r="W4" s="207">
        <f>IF(ISNUMBER($F8),VLOOKUP($F8,Table_ProtClass,IF($G8&lt;=3,2,3),FALSE),0)</f>
        <v>0</v>
      </c>
      <c r="Y4" s="60"/>
      <c r="Z4" s="1117" t="s">
        <v>1178</v>
      </c>
      <c r="AA4" s="207">
        <v>1</v>
      </c>
      <c r="AB4" s="207">
        <v>1</v>
      </c>
      <c r="AC4" s="207">
        <v>1</v>
      </c>
      <c r="AD4" s="207">
        <v>1</v>
      </c>
      <c r="AE4" s="207">
        <v>1</v>
      </c>
      <c r="AG4" s="60"/>
      <c r="AH4" s="1117" t="s">
        <v>1178</v>
      </c>
      <c r="AI4" s="207">
        <f>IF(ISNUMBER($F13),VLOOKUP($F13,Table_ProtClass,IF($G13&lt;=3,2,3),FALSE),0)</f>
        <v>0</v>
      </c>
      <c r="AJ4" s="207">
        <f>IF(ISNUMBER($F14),VLOOKUP($F14,Table_ProtClass,IF($G14&lt;=3,2,3),FALSE),0)</f>
        <v>0</v>
      </c>
      <c r="AK4" s="207">
        <f>IF(ISNUMBER($F15),VLOOKUP($F15,Table_ProtClass,IF($G15&lt;=3,2,3),FALSE),0)</f>
        <v>0</v>
      </c>
      <c r="AL4" s="207">
        <f>IF(ISNUMBER($F16),VLOOKUP($F16,Table_ProtClass,IF($G16&lt;=3,2,3),FALSE),0)</f>
        <v>0</v>
      </c>
      <c r="AM4" s="207">
        <f>IF(ISNUMBER($F17),VLOOKUP($F17,Table_ProtClass,IF($G17&lt;=3,2,3),FALSE),0)</f>
        <v>0</v>
      </c>
      <c r="AO4" s="60"/>
      <c r="AP4" s="1117" t="s">
        <v>1178</v>
      </c>
      <c r="AQ4" s="207">
        <v>1</v>
      </c>
      <c r="AR4" s="207">
        <v>1</v>
      </c>
      <c r="AS4" s="207">
        <v>1</v>
      </c>
      <c r="AT4" s="207">
        <v>1</v>
      </c>
      <c r="AU4" s="207">
        <v>1</v>
      </c>
    </row>
    <row r="5" spans="1:47" x14ac:dyDescent="0.2">
      <c r="A5" s="120"/>
      <c r="B5" s="95"/>
      <c r="C5" s="125"/>
      <c r="D5" s="1322">
        <v>2</v>
      </c>
      <c r="E5" s="1354"/>
      <c r="F5" s="1360"/>
      <c r="G5" s="1352"/>
      <c r="H5" s="1352"/>
      <c r="I5" s="1353"/>
      <c r="K5" s="1458" t="s">
        <v>2278</v>
      </c>
      <c r="L5" s="1463" t="str">
        <f>IF($C$21="Yes",$S$30, "NA")</f>
        <v>NA</v>
      </c>
      <c r="M5" s="1463" t="str">
        <f>IF($C$21="Yes",$AA$30, "NA")</f>
        <v>NA</v>
      </c>
      <c r="N5" s="1463" t="str">
        <f>IF($C$21="Yes",$S$75, "NA")</f>
        <v>NA</v>
      </c>
      <c r="O5" s="1463" t="str">
        <f>IF($C$21="Yes",$AA$75, "NA")</f>
        <v>NA</v>
      </c>
      <c r="Q5" s="60"/>
      <c r="R5" s="545" t="s">
        <v>971</v>
      </c>
      <c r="S5" s="207">
        <f>HLOOKUP($C$10,Table_StateRates,6,FALSE)</f>
        <v>1.9</v>
      </c>
      <c r="T5" s="207">
        <f>HLOOKUP($C$10,Table_StateRates,6,FALSE)</f>
        <v>1.9</v>
      </c>
      <c r="U5" s="207">
        <f>HLOOKUP($C$10,Table_StateRates,6,FALSE)</f>
        <v>1.9</v>
      </c>
      <c r="V5" s="207">
        <f>HLOOKUP($C$10,Table_StateRates,6,FALSE)</f>
        <v>1.9</v>
      </c>
      <c r="W5" s="207">
        <f>HLOOKUP($C$10,Table_StateRates,6,FALSE)</f>
        <v>1.9</v>
      </c>
      <c r="Y5" s="60"/>
      <c r="Z5" s="545" t="s">
        <v>971</v>
      </c>
      <c r="AA5" s="207">
        <f>HLOOKUP($C$10,Table_StateRates,6,FALSE)</f>
        <v>1.9</v>
      </c>
      <c r="AB5" s="207">
        <f>HLOOKUP($C$10,Table_StateRates,6,FALSE)</f>
        <v>1.9</v>
      </c>
      <c r="AC5" s="207">
        <f>HLOOKUP($C$10,Table_StateRates,6,FALSE)</f>
        <v>1.9</v>
      </c>
      <c r="AD5" s="207">
        <f>HLOOKUP($C$10,Table_StateRates,6,FALSE)</f>
        <v>1.9</v>
      </c>
      <c r="AE5" s="207">
        <f>HLOOKUP($C$10,Table_StateRates,6,FALSE)</f>
        <v>1.9</v>
      </c>
      <c r="AG5" s="60"/>
      <c r="AH5" s="545" t="s">
        <v>971</v>
      </c>
      <c r="AI5" s="207">
        <f>HLOOKUP($C$10,Table_StateRates,6,FALSE)</f>
        <v>1.9</v>
      </c>
      <c r="AJ5" s="207">
        <f>HLOOKUP($C$10,Table_StateRates,6,FALSE)</f>
        <v>1.9</v>
      </c>
      <c r="AK5" s="207">
        <f>HLOOKUP($C$10,Table_StateRates,6,FALSE)</f>
        <v>1.9</v>
      </c>
      <c r="AL5" s="207">
        <f>HLOOKUP($C$10,Table_StateRates,6,FALSE)</f>
        <v>1.9</v>
      </c>
      <c r="AM5" s="207">
        <f>HLOOKUP($C$10,Table_StateRates,6,FALSE)</f>
        <v>1.9</v>
      </c>
      <c r="AO5" s="60"/>
      <c r="AP5" s="545" t="s">
        <v>971</v>
      </c>
      <c r="AQ5" s="207">
        <f>HLOOKUP($C$10,Table_StateRates,6,FALSE)</f>
        <v>1.9</v>
      </c>
      <c r="AR5" s="207">
        <f>HLOOKUP($C$10,Table_StateRates,6,FALSE)</f>
        <v>1.9</v>
      </c>
      <c r="AS5" s="207">
        <f>HLOOKUP($C$10,Table_StateRates,6,FALSE)</f>
        <v>1.9</v>
      </c>
      <c r="AT5" s="207">
        <f>HLOOKUP($C$10,Table_StateRates,6,FALSE)</f>
        <v>1.9</v>
      </c>
      <c r="AU5" s="207">
        <f>HLOOKUP($C$10,Table_StateRates,6,FALSE)</f>
        <v>1.9</v>
      </c>
    </row>
    <row r="6" spans="1:47" x14ac:dyDescent="0.2">
      <c r="A6" s="120" t="s">
        <v>969</v>
      </c>
      <c r="B6" s="95"/>
      <c r="C6" s="1093" t="s">
        <v>980</v>
      </c>
      <c r="D6" s="1322">
        <v>3</v>
      </c>
      <c r="E6" s="1354"/>
      <c r="F6" s="1360"/>
      <c r="G6" s="1352"/>
      <c r="H6" s="1352"/>
      <c r="I6" s="1353"/>
      <c r="K6" s="1344" t="s">
        <v>2204</v>
      </c>
      <c r="L6" s="258">
        <f>IF($C$21="Yes",S$35,0)</f>
        <v>0</v>
      </c>
      <c r="M6" s="258">
        <f>IF($C$21="Yes",AA$35,0)</f>
        <v>0</v>
      </c>
      <c r="N6" s="259">
        <f>IF(AND($C$21="Yes",$C$11="SP"),S$80,0)</f>
        <v>0</v>
      </c>
      <c r="O6" s="259">
        <f>IF(AND($C$21="Yes",$C$11="BR"),AA$80,0)</f>
        <v>0</v>
      </c>
      <c r="Q6" s="60"/>
      <c r="R6" s="545" t="s">
        <v>2331</v>
      </c>
      <c r="S6" s="207">
        <f>$C$13</f>
        <v>1</v>
      </c>
      <c r="T6" s="207">
        <f t="shared" ref="T6:W6" si="0">$C$13</f>
        <v>1</v>
      </c>
      <c r="U6" s="207">
        <f t="shared" si="0"/>
        <v>1</v>
      </c>
      <c r="V6" s="207">
        <f t="shared" si="0"/>
        <v>1</v>
      </c>
      <c r="W6" s="207">
        <f t="shared" si="0"/>
        <v>1</v>
      </c>
      <c r="Y6" s="60"/>
      <c r="Z6" s="545" t="s">
        <v>1199</v>
      </c>
      <c r="AA6" s="207">
        <v>1</v>
      </c>
      <c r="AB6" s="207">
        <v>1</v>
      </c>
      <c r="AC6" s="207">
        <v>1</v>
      </c>
      <c r="AD6" s="207">
        <v>1</v>
      </c>
      <c r="AE6" s="207">
        <v>1</v>
      </c>
      <c r="AG6" s="60"/>
      <c r="AH6" s="1210" t="s">
        <v>1199</v>
      </c>
      <c r="AI6" s="207">
        <f>$C$13</f>
        <v>1</v>
      </c>
      <c r="AJ6" s="207">
        <f t="shared" ref="AJ6:AM6" si="1">$C$13</f>
        <v>1</v>
      </c>
      <c r="AK6" s="207">
        <f t="shared" si="1"/>
        <v>1</v>
      </c>
      <c r="AL6" s="207">
        <f t="shared" si="1"/>
        <v>1</v>
      </c>
      <c r="AM6" s="207">
        <f t="shared" si="1"/>
        <v>1</v>
      </c>
      <c r="AO6" s="60"/>
      <c r="AP6" s="1210" t="s">
        <v>1199</v>
      </c>
      <c r="AQ6" s="207">
        <v>1</v>
      </c>
      <c r="AR6" s="207">
        <v>1</v>
      </c>
      <c r="AS6" s="207">
        <v>1</v>
      </c>
      <c r="AT6" s="207">
        <v>1</v>
      </c>
      <c r="AU6" s="207">
        <v>1</v>
      </c>
    </row>
    <row r="7" spans="1:47" x14ac:dyDescent="0.2">
      <c r="A7" s="143" t="s">
        <v>923</v>
      </c>
      <c r="B7" s="940" t="s">
        <v>857</v>
      </c>
      <c r="C7" s="1039"/>
      <c r="D7" s="1322">
        <v>4</v>
      </c>
      <c r="E7" s="1354"/>
      <c r="F7" s="1360"/>
      <c r="G7" s="1352"/>
      <c r="H7" s="1352"/>
      <c r="I7" s="1356"/>
      <c r="K7" s="1344" t="s">
        <v>2205</v>
      </c>
      <c r="L7" s="258">
        <f>IF($C$21="Yes",T$35,0)</f>
        <v>0</v>
      </c>
      <c r="M7" s="258">
        <f>IF($C21="Yes",AB$35,0)</f>
        <v>0</v>
      </c>
      <c r="N7" s="259">
        <f>IF(AND($C$21="Yes",$C$11="SP"),T$80,0)</f>
        <v>0</v>
      </c>
      <c r="O7" s="259">
        <f>IF(AND($C$21="Yes",$C$11="BR"),AB$80,0)</f>
        <v>0</v>
      </c>
      <c r="Q7" s="60"/>
      <c r="R7" s="1210" t="s">
        <v>1018</v>
      </c>
      <c r="S7" s="207">
        <f>IF($B$16=250,DF_250Deductible,$C$16)</f>
        <v>1</v>
      </c>
      <c r="T7" s="207">
        <f>IF($B$16=250,DF_250Deductible,$C$16)</f>
        <v>1</v>
      </c>
      <c r="U7" s="207">
        <f>IF($B$16=250,DF_250Deductible,$C$16)</f>
        <v>1</v>
      </c>
      <c r="V7" s="207">
        <f>IF($B$16=250,DF_250Deductible,$C$16)</f>
        <v>1</v>
      </c>
      <c r="W7" s="207">
        <f>IF($B$16=250,DF_250Deductible,$C$16)</f>
        <v>1</v>
      </c>
      <c r="Y7" s="60"/>
      <c r="Z7" s="1210" t="s">
        <v>1018</v>
      </c>
      <c r="AA7" s="207">
        <f>IF($B$16=250,DF_250Deductible,$C$16)</f>
        <v>1</v>
      </c>
      <c r="AB7" s="207">
        <f>IF($B$16=250,DF_250Deductible,$C$16)</f>
        <v>1</v>
      </c>
      <c r="AC7" s="207">
        <f>IF($B$16=250,DF_250Deductible,$C$16)</f>
        <v>1</v>
      </c>
      <c r="AD7" s="207">
        <f>IF($B$16=250,DF_250Deductible,$C$16)</f>
        <v>1</v>
      </c>
      <c r="AE7" s="207">
        <f>IF($B$16=250,DF_250Deductible,$C$16)</f>
        <v>1</v>
      </c>
      <c r="AG7" s="60"/>
      <c r="AH7" s="1210" t="s">
        <v>1018</v>
      </c>
      <c r="AI7" s="207">
        <f>IF($B$18=250,DF_250Deductible,$C$18)</f>
        <v>1</v>
      </c>
      <c r="AJ7" s="207">
        <f>IF($B$18=250,DF_250Deductible,$C$18)</f>
        <v>1</v>
      </c>
      <c r="AK7" s="207">
        <f>IF($B$18=250,DF_250Deductible,$C$18)</f>
        <v>1</v>
      </c>
      <c r="AL7" s="207">
        <f>IF($B$18=250,DF_250Deductible,$C$18)</f>
        <v>1</v>
      </c>
      <c r="AM7" s="207">
        <f>IF($B$18=250,DF_250Deductible,$C$18)</f>
        <v>1</v>
      </c>
      <c r="AO7" s="60"/>
      <c r="AP7" s="1210" t="s">
        <v>1018</v>
      </c>
      <c r="AQ7" s="207">
        <f>IF($B$18=250,DF_250Deductible,$C$18)</f>
        <v>1</v>
      </c>
      <c r="AR7" s="207">
        <f>IF($B$18=250,DF_250Deductible,$C$18)</f>
        <v>1</v>
      </c>
      <c r="AS7" s="207">
        <f>IF($B$18=250,DF_250Deductible,$C$18)</f>
        <v>1</v>
      </c>
      <c r="AT7" s="207">
        <f>IF($B$18=250,DF_250Deductible,$C$18)</f>
        <v>1</v>
      </c>
      <c r="AU7" s="207">
        <f>IF($B$18=250,DF_250Deductible,$C$18)</f>
        <v>1</v>
      </c>
    </row>
    <row r="8" spans="1:47" x14ac:dyDescent="0.2">
      <c r="A8" s="120"/>
      <c r="B8" s="95"/>
      <c r="C8" s="1039"/>
      <c r="D8" s="1322">
        <v>5</v>
      </c>
      <c r="E8" s="1354"/>
      <c r="F8" s="1360"/>
      <c r="G8" s="1352"/>
      <c r="H8" s="1352"/>
      <c r="I8" s="1356"/>
      <c r="K8" s="1344" t="s">
        <v>2206</v>
      </c>
      <c r="L8" s="258">
        <f>IF($C$21="Yes",U$35,0)</f>
        <v>0</v>
      </c>
      <c r="M8" s="258">
        <f>IF($C21="Yes",AC$35,0)</f>
        <v>0</v>
      </c>
      <c r="N8" s="259">
        <f>IF(AND($C$21="Yes",$C$11="SP"),U$80,0)</f>
        <v>0</v>
      </c>
      <c r="O8" s="259">
        <f>IF(AND($C$21="Yes",$C$11="BR"),AC$80,0)</f>
        <v>0</v>
      </c>
      <c r="Q8" s="185"/>
      <c r="R8" s="1226" t="s">
        <v>1019</v>
      </c>
      <c r="S8" s="208">
        <f>HLOOKUP($C$10,Table_StateRates,5,FALSE)</f>
        <v>1.38</v>
      </c>
      <c r="T8" s="208">
        <f>HLOOKUP(C10,Table_StateRates,5,FALSE)</f>
        <v>1.38</v>
      </c>
      <c r="U8" s="208">
        <f>HLOOKUP(C10,Table_StateRates,5,FALSE)</f>
        <v>1.38</v>
      </c>
      <c r="V8" s="208">
        <f>HLOOKUP(C10,Table_StateRates,5,FALSE)</f>
        <v>1.38</v>
      </c>
      <c r="W8" s="208">
        <f>HLOOKUP(C10,Table_StateRates,5,FALSE)</f>
        <v>1.38</v>
      </c>
      <c r="Y8" s="185"/>
      <c r="Z8" s="1226" t="s">
        <v>1019</v>
      </c>
      <c r="AA8" s="208">
        <f>HLOOKUP(C10,Table_StateRates,5,FALSE)</f>
        <v>1.38</v>
      </c>
      <c r="AB8" s="208">
        <f>HLOOKUP(C10,Table_StateRates,5,FALSE)</f>
        <v>1.38</v>
      </c>
      <c r="AC8" s="208">
        <f>HLOOKUP(C10,Table_StateRates,5,FALSE)</f>
        <v>1.38</v>
      </c>
      <c r="AD8" s="208">
        <f>HLOOKUP(C10,Table_StateRates,5,FALSE)</f>
        <v>1.38</v>
      </c>
      <c r="AE8" s="208">
        <f>HLOOKUP(C10,Table_StateRates,5,FALSE)</f>
        <v>1.38</v>
      </c>
      <c r="AG8" s="185"/>
      <c r="AH8" s="1226" t="s">
        <v>1019</v>
      </c>
      <c r="AI8" s="208">
        <f>HLOOKUP($C$10,Table_StateRates,5,FALSE)</f>
        <v>1.38</v>
      </c>
      <c r="AJ8" s="208">
        <f>HLOOKUP($C$10,Table_StateRates,5,FALSE)</f>
        <v>1.38</v>
      </c>
      <c r="AK8" s="208">
        <f>HLOOKUP($C$10,Table_StateRates,5,FALSE)</f>
        <v>1.38</v>
      </c>
      <c r="AL8" s="208">
        <f>HLOOKUP($C$10,Table_StateRates,5,FALSE)</f>
        <v>1.38</v>
      </c>
      <c r="AM8" s="208">
        <f>HLOOKUP($C$10,Table_StateRates,5,FALSE)</f>
        <v>1.38</v>
      </c>
      <c r="AO8" s="185"/>
      <c r="AP8" s="1226" t="s">
        <v>1019</v>
      </c>
      <c r="AQ8" s="208">
        <f>HLOOKUP($C$10,Table_StateRates,5,FALSE)</f>
        <v>1.38</v>
      </c>
      <c r="AR8" s="208">
        <f>HLOOKUP($C$10,Table_StateRates,5,FALSE)</f>
        <v>1.38</v>
      </c>
      <c r="AS8" s="208">
        <f>HLOOKUP($C$10,Table_StateRates,5,FALSE)</f>
        <v>1.38</v>
      </c>
      <c r="AT8" s="208">
        <f>HLOOKUP($C$10,Table_StateRates,5,FALSE)</f>
        <v>1.38</v>
      </c>
      <c r="AU8" s="208">
        <f>HLOOKUP($C$10,Table_StateRates,5,FALSE)</f>
        <v>1.38</v>
      </c>
    </row>
    <row r="9" spans="1:47" x14ac:dyDescent="0.2">
      <c r="A9" s="120" t="s">
        <v>1829</v>
      </c>
      <c r="B9" s="95"/>
      <c r="C9" s="1094">
        <v>1</v>
      </c>
      <c r="D9" s="1326"/>
      <c r="E9" s="1327"/>
      <c r="F9" s="1347"/>
      <c r="G9" s="1328"/>
      <c r="H9" s="1329" t="s">
        <v>2174</v>
      </c>
      <c r="I9" s="1325">
        <f>SUM(I4:I8)</f>
        <v>0</v>
      </c>
      <c r="K9" s="1344" t="s">
        <v>2207</v>
      </c>
      <c r="L9" s="258">
        <f>IF($C$21="Yes",V$35,0)</f>
        <v>0</v>
      </c>
      <c r="M9" s="258">
        <f>IF($C21="Yes",AD$35,0)</f>
        <v>0</v>
      </c>
      <c r="N9" s="259">
        <f>IF(AND($C$21="Yes",$C$11="SP"),V$80,0)</f>
        <v>0</v>
      </c>
      <c r="O9" s="259">
        <f>IF(AND($C$21="Yes",$C$11="BR"),AD$80,0)</f>
        <v>0</v>
      </c>
      <c r="Q9" s="60"/>
      <c r="R9" s="83" t="s">
        <v>2181</v>
      </c>
      <c r="S9" s="1315">
        <f>ROUND(PRODUCT(S3:S8),3)</f>
        <v>0</v>
      </c>
      <c r="T9" s="1315">
        <f>ROUND(PRODUCT(T3:T8),3)</f>
        <v>0</v>
      </c>
      <c r="U9" s="1315">
        <f>ROUND(PRODUCT(U3:U8),3)</f>
        <v>0</v>
      </c>
      <c r="V9" s="1315">
        <f>ROUND(PRODUCT(V3:V8),3)</f>
        <v>0</v>
      </c>
      <c r="W9" s="1315">
        <f>ROUND(PRODUCT(W3:W8),3)</f>
        <v>0</v>
      </c>
      <c r="Y9" s="60"/>
      <c r="Z9" s="83" t="s">
        <v>2223</v>
      </c>
      <c r="AA9" s="1315">
        <f>ROUND(PRODUCT(AA3:AA8),3)</f>
        <v>0</v>
      </c>
      <c r="AB9" s="1315">
        <f>ROUND(PRODUCT(AB3:AB8),3)</f>
        <v>0</v>
      </c>
      <c r="AC9" s="1315">
        <f>ROUND(PRODUCT(AC3:AC8),3)</f>
        <v>0</v>
      </c>
      <c r="AD9" s="1315">
        <f>ROUND(PRODUCT(AD3:AD8),3)</f>
        <v>0</v>
      </c>
      <c r="AE9" s="1315">
        <f>ROUND(PRODUCT(AE3:AE8),3)</f>
        <v>0</v>
      </c>
      <c r="AG9" s="60"/>
      <c r="AH9" s="83" t="s">
        <v>2181</v>
      </c>
      <c r="AI9" s="1315">
        <f>ROUND(PRODUCT(AI3:AI8),3)</f>
        <v>0</v>
      </c>
      <c r="AJ9" s="1315">
        <f>ROUND(PRODUCT(AJ3:AJ8),3)</f>
        <v>0</v>
      </c>
      <c r="AK9" s="1315">
        <f>ROUND(PRODUCT(AK3:AK8),3)</f>
        <v>0</v>
      </c>
      <c r="AL9" s="1315">
        <f>ROUND(PRODUCT(AL3:AL8),3)</f>
        <v>0</v>
      </c>
      <c r="AM9" s="1315">
        <f>ROUND(PRODUCT(AM3:AM8),3)</f>
        <v>0</v>
      </c>
      <c r="AO9" s="60"/>
      <c r="AP9" s="83" t="s">
        <v>2223</v>
      </c>
      <c r="AQ9" s="1312">
        <f>ROUND(PRODUCT(AQ3:AQ8),3)</f>
        <v>0</v>
      </c>
      <c r="AR9" s="1312">
        <f>ROUND(PRODUCT(AR3:AR8),3)</f>
        <v>0</v>
      </c>
      <c r="AS9" s="1312">
        <f>ROUND(PRODUCT(AS3:AS8),3)</f>
        <v>0</v>
      </c>
      <c r="AT9" s="1312">
        <f>ROUND(PRODUCT(AT3:AT8),3)</f>
        <v>0</v>
      </c>
      <c r="AU9" s="1312">
        <f>ROUND(PRODUCT(AU3:AU8),3)</f>
        <v>0</v>
      </c>
    </row>
    <row r="10" spans="1:47" ht="13.5" thickBot="1" x14ac:dyDescent="0.25">
      <c r="A10" s="120" t="s">
        <v>835</v>
      </c>
      <c r="B10" s="1317"/>
      <c r="C10" s="1093" t="s">
        <v>1859</v>
      </c>
      <c r="D10" s="126"/>
      <c r="E10" s="541"/>
      <c r="F10" s="541"/>
      <c r="G10" s="96"/>
      <c r="H10" s="96"/>
      <c r="I10" s="1096"/>
      <c r="K10" s="1345" t="s">
        <v>2208</v>
      </c>
      <c r="L10" s="1357">
        <f>IF($C$21="Yes",W$35,0)</f>
        <v>0</v>
      </c>
      <c r="M10" s="1357">
        <f>IF($C21="Yes",AE$35,0)</f>
        <v>0</v>
      </c>
      <c r="N10" s="884">
        <f>IF(AND($C$21="Yes",$C$11="SP"),W$80,0)</f>
        <v>0</v>
      </c>
      <c r="O10" s="884">
        <f>IF(AND($C$21="Yes",$C$11="BR"),AE$80,0)</f>
        <v>0</v>
      </c>
      <c r="Q10" s="60"/>
      <c r="R10" s="83"/>
      <c r="S10" s="1312"/>
      <c r="T10" s="1312"/>
      <c r="U10" s="1312"/>
      <c r="V10" s="1312"/>
      <c r="W10" s="1312"/>
      <c r="AG10" s="60"/>
      <c r="AH10" s="83"/>
      <c r="AI10" s="1312"/>
      <c r="AJ10" s="1312"/>
      <c r="AK10" s="1312"/>
      <c r="AL10" s="1312"/>
      <c r="AM10" s="1312"/>
    </row>
    <row r="11" spans="1:47" x14ac:dyDescent="0.2">
      <c r="A11" s="415" t="s">
        <v>910</v>
      </c>
      <c r="B11" s="1318"/>
      <c r="C11" s="704" t="s">
        <v>894</v>
      </c>
      <c r="D11" s="500" t="s">
        <v>2215</v>
      </c>
      <c r="E11" s="508"/>
      <c r="F11" s="508"/>
      <c r="G11" s="508"/>
      <c r="H11" s="508"/>
      <c r="I11" s="509"/>
      <c r="K11" s="1343" t="s">
        <v>2218</v>
      </c>
      <c r="L11" s="485">
        <f>SUM(L6:L10)</f>
        <v>0</v>
      </c>
      <c r="M11" s="485">
        <f>SUM(M6:M10)</f>
        <v>0</v>
      </c>
      <c r="N11" s="485">
        <f>SUM(N6:N10)</f>
        <v>0</v>
      </c>
      <c r="O11" s="485">
        <f>SUM(O6:O10)</f>
        <v>0</v>
      </c>
      <c r="Q11" s="60" t="s">
        <v>2183</v>
      </c>
      <c r="R11" s="83"/>
      <c r="S11" s="1312"/>
      <c r="T11" s="1312"/>
      <c r="U11" s="1312"/>
      <c r="V11" s="1312"/>
      <c r="W11" s="1312"/>
      <c r="Y11" s="60" t="s">
        <v>2183</v>
      </c>
      <c r="Z11" s="83"/>
      <c r="AA11" s="1312"/>
      <c r="AB11" s="1312"/>
      <c r="AC11" s="1312"/>
      <c r="AD11" s="1312"/>
      <c r="AE11" s="1312"/>
      <c r="AG11" s="60" t="s">
        <v>2183</v>
      </c>
      <c r="AH11" s="83"/>
      <c r="AI11" s="1312"/>
      <c r="AJ11" s="1312"/>
      <c r="AK11" s="1312"/>
      <c r="AL11" s="1312"/>
      <c r="AM11" s="1312"/>
      <c r="AO11" s="60" t="s">
        <v>2183</v>
      </c>
      <c r="AP11" s="83"/>
      <c r="AQ11" s="1312"/>
      <c r="AR11" s="1312"/>
      <c r="AS11" s="1312"/>
      <c r="AT11" s="1312"/>
      <c r="AU11" s="1312"/>
    </row>
    <row r="12" spans="1:47" ht="13.5" thickBot="1" x14ac:dyDescent="0.25">
      <c r="A12" s="507" t="s">
        <v>1069</v>
      </c>
      <c r="B12" s="95"/>
      <c r="C12" s="1319">
        <v>1</v>
      </c>
      <c r="D12" s="1320" t="s">
        <v>2173</v>
      </c>
      <c r="E12" s="1323" t="s">
        <v>57</v>
      </c>
      <c r="F12" s="1323" t="s">
        <v>2170</v>
      </c>
      <c r="G12" s="1323" t="s">
        <v>2228</v>
      </c>
      <c r="H12" s="1323" t="s">
        <v>2171</v>
      </c>
      <c r="I12" s="1324" t="s">
        <v>2172</v>
      </c>
      <c r="K12" s="1206"/>
      <c r="L12" s="485"/>
      <c r="M12" s="485"/>
      <c r="N12" s="485"/>
      <c r="O12" s="485"/>
      <c r="R12" s="1117" t="s">
        <v>2184</v>
      </c>
      <c r="S12" s="478">
        <f>IF(ISNUMBER($I4),$I4,0)</f>
        <v>0</v>
      </c>
      <c r="T12" s="478">
        <f>IF(ISNUMBER($I5),$I5,0)</f>
        <v>0</v>
      </c>
      <c r="U12" s="478">
        <f>IF(ISNUMBER($I6),$I6,0)</f>
        <v>0</v>
      </c>
      <c r="V12" s="478">
        <f>IF(ISNUMBER($I7),$I7,0)</f>
        <v>0</v>
      </c>
      <c r="W12" s="478">
        <f>IF(ISNUMBER($I8),$I8,0)</f>
        <v>0</v>
      </c>
      <c r="Z12" s="1117" t="s">
        <v>2184</v>
      </c>
      <c r="AA12" s="478">
        <f>IF(ISNUMBER($I$4),$I$4,0)</f>
        <v>0</v>
      </c>
      <c r="AB12" s="478">
        <f>IF(ISNUMBER($I$5),$I$5,0)</f>
        <v>0</v>
      </c>
      <c r="AC12" s="478">
        <f>IF(ISNUMBER($I$6),$I$6,0)</f>
        <v>0</v>
      </c>
      <c r="AD12" s="478">
        <f>IF(ISNUMBER($I$7),$I$7,0)</f>
        <v>0</v>
      </c>
      <c r="AE12" s="478">
        <f>IF(ISNUMBER($I$8),$I$8,0)</f>
        <v>0</v>
      </c>
      <c r="AH12" s="1117" t="s">
        <v>2184</v>
      </c>
      <c r="AI12" s="478">
        <f>IF(ISNUMBER($I13),$I13,0)</f>
        <v>0</v>
      </c>
      <c r="AJ12" s="478">
        <f>IF(ISNUMBER($I14),$I14,0)</f>
        <v>0</v>
      </c>
      <c r="AK12" s="478">
        <f>IF(ISNUMBER($I15),$I15,0)</f>
        <v>0</v>
      </c>
      <c r="AL12" s="478">
        <f>IF(ISNUMBER($I16),$I16,0)</f>
        <v>0</v>
      </c>
      <c r="AM12" s="478">
        <f>IF(ISNUMBER($I17),$I17,0)</f>
        <v>0</v>
      </c>
      <c r="AP12" s="1117" t="s">
        <v>2184</v>
      </c>
      <c r="AQ12" s="478">
        <f>IF(ISNUMBER($I$13),$I$13,0)</f>
        <v>0</v>
      </c>
      <c r="AR12" s="478">
        <f>IF(ISNUMBER($I$14),$I$14,0)</f>
        <v>0</v>
      </c>
      <c r="AS12" s="478">
        <f>IF(ISNUMBER($I$15),$I$15,0)</f>
        <v>0</v>
      </c>
      <c r="AT12" s="478">
        <f>IF(ISNUMBER($I$16),$I$16,0)</f>
        <v>0</v>
      </c>
      <c r="AU12" s="478">
        <f>IF(ISNUMBER($I$17),$I$17,0)</f>
        <v>0</v>
      </c>
    </row>
    <row r="13" spans="1:47" x14ac:dyDescent="0.2">
      <c r="A13" s="1485" t="s">
        <v>2333</v>
      </c>
      <c r="B13" s="95"/>
      <c r="C13" s="1486">
        <v>1</v>
      </c>
      <c r="D13" s="1321">
        <v>1</v>
      </c>
      <c r="E13" s="1349"/>
      <c r="F13" s="1359"/>
      <c r="G13" s="1351"/>
      <c r="H13" s="1352"/>
      <c r="I13" s="1353"/>
      <c r="K13" s="1340" t="s">
        <v>2219</v>
      </c>
      <c r="L13" s="1341"/>
      <c r="M13" s="1342"/>
      <c r="N13" s="1342"/>
      <c r="O13" s="1342"/>
      <c r="Q13" s="185"/>
      <c r="R13" s="1226" t="s">
        <v>2185</v>
      </c>
      <c r="S13" s="238">
        <f>$I$9</f>
        <v>0</v>
      </c>
      <c r="T13" s="238">
        <f>$I$9</f>
        <v>0</v>
      </c>
      <c r="U13" s="238">
        <f>$I$9</f>
        <v>0</v>
      </c>
      <c r="V13" s="238">
        <f>$I$9</f>
        <v>0</v>
      </c>
      <c r="W13" s="238">
        <f>$I$9</f>
        <v>0</v>
      </c>
      <c r="Y13" s="185"/>
      <c r="Z13" s="1226" t="s">
        <v>2185</v>
      </c>
      <c r="AA13" s="238">
        <f>$I$9</f>
        <v>0</v>
      </c>
      <c r="AB13" s="238">
        <f t="shared" ref="AB13:AE13" si="2">$I$9</f>
        <v>0</v>
      </c>
      <c r="AC13" s="238">
        <f t="shared" si="2"/>
        <v>0</v>
      </c>
      <c r="AD13" s="238">
        <f t="shared" si="2"/>
        <v>0</v>
      </c>
      <c r="AE13" s="238">
        <f t="shared" si="2"/>
        <v>0</v>
      </c>
      <c r="AG13" s="185"/>
      <c r="AH13" s="1226" t="s">
        <v>2185</v>
      </c>
      <c r="AI13" s="238">
        <f>$I$18</f>
        <v>0</v>
      </c>
      <c r="AJ13" s="238">
        <f t="shared" ref="AJ13:AM13" si="3">$I$18</f>
        <v>0</v>
      </c>
      <c r="AK13" s="238">
        <f t="shared" si="3"/>
        <v>0</v>
      </c>
      <c r="AL13" s="238">
        <f t="shared" si="3"/>
        <v>0</v>
      </c>
      <c r="AM13" s="238">
        <f t="shared" si="3"/>
        <v>0</v>
      </c>
      <c r="AO13" s="185"/>
      <c r="AP13" s="1226" t="s">
        <v>2185</v>
      </c>
      <c r="AQ13" s="238">
        <f>$I$18</f>
        <v>0</v>
      </c>
      <c r="AR13" s="238">
        <f t="shared" ref="AR13:AU13" si="4">$I$18</f>
        <v>0</v>
      </c>
      <c r="AS13" s="238">
        <f t="shared" si="4"/>
        <v>0</v>
      </c>
      <c r="AT13" s="238">
        <f t="shared" si="4"/>
        <v>0</v>
      </c>
      <c r="AU13" s="238">
        <f t="shared" si="4"/>
        <v>0</v>
      </c>
    </row>
    <row r="14" spans="1:47" x14ac:dyDescent="0.2">
      <c r="A14" s="1485" t="s">
        <v>2332</v>
      </c>
      <c r="B14" s="95"/>
      <c r="C14" s="1486">
        <v>1</v>
      </c>
      <c r="D14" s="1322">
        <v>2</v>
      </c>
      <c r="E14" s="1354"/>
      <c r="F14" s="1360"/>
      <c r="G14" s="1352"/>
      <c r="H14" s="1352"/>
      <c r="I14" s="1356"/>
      <c r="K14" s="1458" t="s">
        <v>2278</v>
      </c>
      <c r="L14" s="1463" t="str">
        <f>IF($C$22="Yes",$AI$30,"NA")</f>
        <v>NA</v>
      </c>
      <c r="M14" s="1463" t="str">
        <f>IF($C$22="Yes",$AQ$30,"NA")</f>
        <v>NA</v>
      </c>
      <c r="N14" s="1463" t="str">
        <f>IF($C$22="Yes",$AI$75,"NA")</f>
        <v>NA</v>
      </c>
      <c r="O14" s="1463" t="str">
        <f>IF($C$22="Yes",$AQ$75,"NA")</f>
        <v>NA</v>
      </c>
      <c r="Q14" s="146"/>
      <c r="R14" s="301" t="s">
        <v>2187</v>
      </c>
      <c r="S14" s="1313" t="e">
        <f>ROUND(S12/S13,2)</f>
        <v>#DIV/0!</v>
      </c>
      <c r="T14" s="1313" t="e">
        <f>ROUND(T12/T13,2)</f>
        <v>#DIV/0!</v>
      </c>
      <c r="U14" s="1313" t="e">
        <f>ROUND(U12/U13,2)</f>
        <v>#DIV/0!</v>
      </c>
      <c r="V14" s="1313" t="e">
        <f>ROUND(V12/V13,2)</f>
        <v>#DIV/0!</v>
      </c>
      <c r="W14" s="1313" t="e">
        <f>ROUND(W12/W13,2)</f>
        <v>#DIV/0!</v>
      </c>
      <c r="Y14" s="146"/>
      <c r="Z14" s="301" t="s">
        <v>2187</v>
      </c>
      <c r="AA14" s="1313" t="e">
        <f>ROUND(AA12/AA13,2)</f>
        <v>#DIV/0!</v>
      </c>
      <c r="AB14" s="1313" t="e">
        <f>ROUND(AB12/AB13,2)</f>
        <v>#DIV/0!</v>
      </c>
      <c r="AC14" s="1313" t="e">
        <f>ROUND(AC12/AC13,2)</f>
        <v>#DIV/0!</v>
      </c>
      <c r="AD14" s="1313" t="e">
        <f>ROUND(AD12/AD13,2)</f>
        <v>#DIV/0!</v>
      </c>
      <c r="AE14" s="1313" t="e">
        <f>ROUND(AE12/AE13,2)</f>
        <v>#DIV/0!</v>
      </c>
      <c r="AG14" s="146"/>
      <c r="AH14" s="301" t="s">
        <v>2187</v>
      </c>
      <c r="AI14" s="1313" t="e">
        <f>ROUND(AI12/AI13,2)</f>
        <v>#DIV/0!</v>
      </c>
      <c r="AJ14" s="1313" t="e">
        <f>ROUND(AJ12/AJ13,2)</f>
        <v>#DIV/0!</v>
      </c>
      <c r="AK14" s="1313" t="e">
        <f>ROUND(AK12/AK13,2)</f>
        <v>#DIV/0!</v>
      </c>
      <c r="AL14" s="1313" t="e">
        <f>ROUND(AL12/AL13,2)</f>
        <v>#DIV/0!</v>
      </c>
      <c r="AM14" s="1313" t="e">
        <f>ROUND(AM12/AM13,2)</f>
        <v>#DIV/0!</v>
      </c>
      <c r="AO14" s="146"/>
      <c r="AP14" s="301" t="s">
        <v>2187</v>
      </c>
      <c r="AQ14" s="1313" t="e">
        <f>ROUND(AQ12/AQ13,2)</f>
        <v>#DIV/0!</v>
      </c>
      <c r="AR14" s="1313" t="e">
        <f>ROUND(AR12/AR13,2)</f>
        <v>#DIV/0!</v>
      </c>
      <c r="AS14" s="1313" t="e">
        <f>ROUND(AS12/AS13,2)</f>
        <v>#DIV/0!</v>
      </c>
      <c r="AT14" s="1313" t="e">
        <f>ROUND(AT12/AT13,2)</f>
        <v>#DIV/0!</v>
      </c>
      <c r="AU14" s="1313" t="e">
        <f>ROUND(AU12/AU13,2)</f>
        <v>#DIV/0!</v>
      </c>
    </row>
    <row r="15" spans="1:47" ht="13.5" customHeight="1" x14ac:dyDescent="0.2">
      <c r="A15" s="1316" t="s">
        <v>2226</v>
      </c>
      <c r="B15" s="160"/>
      <c r="C15" s="1330">
        <v>100</v>
      </c>
      <c r="D15" s="1322">
        <v>3</v>
      </c>
      <c r="E15" s="1354"/>
      <c r="F15" s="1360"/>
      <c r="G15" s="1352"/>
      <c r="H15" s="1352"/>
      <c r="I15" s="1356"/>
      <c r="K15" s="1344" t="s">
        <v>2204</v>
      </c>
      <c r="L15" s="258">
        <f>IF($C$22="Yes",AI$35,0)</f>
        <v>0</v>
      </c>
      <c r="M15" s="258">
        <f>IF($C$22="Yes",AQ$35,0)</f>
        <v>0</v>
      </c>
      <c r="N15" s="259">
        <f>IF(AND($C$22="Yes",$C$11="SP"),AI$80,0)</f>
        <v>0</v>
      </c>
      <c r="O15" s="259">
        <f>IF(AND($C$22="Yes",$C$11="BR"),AQ$80,0)</f>
        <v>0</v>
      </c>
      <c r="Q15" s="185"/>
      <c r="R15" s="1226" t="s">
        <v>2188</v>
      </c>
      <c r="S15" s="238">
        <f>PRODUCT(0.9,$I$9)</f>
        <v>0</v>
      </c>
      <c r="T15" s="238">
        <f>PRODUCT(0.9,$I$9)</f>
        <v>0</v>
      </c>
      <c r="U15" s="238">
        <f>PRODUCT(0.9,$I$9)</f>
        <v>0</v>
      </c>
      <c r="V15" s="238">
        <f>PRODUCT(0.9,$I$9)</f>
        <v>0</v>
      </c>
      <c r="W15" s="238">
        <f>PRODUCT(0.9,$I$9)</f>
        <v>0</v>
      </c>
      <c r="Y15" s="185"/>
      <c r="Z15" s="1226" t="s">
        <v>2188</v>
      </c>
      <c r="AA15" s="238">
        <f>PRODUCT(0.9,$I$9)</f>
        <v>0</v>
      </c>
      <c r="AB15" s="238">
        <f>PRODUCT(0.9,$I$9)</f>
        <v>0</v>
      </c>
      <c r="AC15" s="238">
        <f>PRODUCT(0.9,$I$9)</f>
        <v>0</v>
      </c>
      <c r="AD15" s="238">
        <f>PRODUCT(0.9,$I$9)</f>
        <v>0</v>
      </c>
      <c r="AE15" s="238">
        <f>PRODUCT(0.9,$I$9)</f>
        <v>0</v>
      </c>
      <c r="AG15" s="185"/>
      <c r="AH15" s="1226" t="s">
        <v>2188</v>
      </c>
      <c r="AI15" s="238">
        <f>PRODUCT(0.9,$I$18)</f>
        <v>0</v>
      </c>
      <c r="AJ15" s="238">
        <f>PRODUCT(0.9,$I$18)</f>
        <v>0</v>
      </c>
      <c r="AK15" s="238">
        <f>PRODUCT(0.9,$I$18)</f>
        <v>0</v>
      </c>
      <c r="AL15" s="238">
        <f>PRODUCT(0.9,$I$18)</f>
        <v>0</v>
      </c>
      <c r="AM15" s="238">
        <f>PRODUCT(0.9,$I$18)</f>
        <v>0</v>
      </c>
      <c r="AO15" s="185"/>
      <c r="AP15" s="1226" t="s">
        <v>2188</v>
      </c>
      <c r="AQ15" s="238">
        <f>PRODUCT(0.9,$I$18)</f>
        <v>0</v>
      </c>
      <c r="AR15" s="238">
        <f>PRODUCT(0.9,$I$18)</f>
        <v>0</v>
      </c>
      <c r="AS15" s="238">
        <f>PRODUCT(0.9,$I$18)</f>
        <v>0</v>
      </c>
      <c r="AT15" s="238">
        <f>PRODUCT(0.9,$I$18)</f>
        <v>0</v>
      </c>
      <c r="AU15" s="238">
        <f>PRODUCT(0.9,$I$18)</f>
        <v>0</v>
      </c>
    </row>
    <row r="16" spans="1:47" x14ac:dyDescent="0.2">
      <c r="A16" s="1316" t="s">
        <v>2323</v>
      </c>
      <c r="B16" s="1482">
        <v>500</v>
      </c>
      <c r="C16" s="1483">
        <v>1</v>
      </c>
      <c r="D16" s="1322">
        <v>4</v>
      </c>
      <c r="E16" s="1354"/>
      <c r="F16" s="1360"/>
      <c r="G16" s="1352"/>
      <c r="H16" s="1352"/>
      <c r="I16" s="1356"/>
      <c r="K16" s="1344" t="s">
        <v>2205</v>
      </c>
      <c r="L16" s="258">
        <f>IF($C$22="Yes",AJ$35,0)</f>
        <v>0</v>
      </c>
      <c r="M16" s="258">
        <f>IF($C$22="Yes",AR$35,0)</f>
        <v>0</v>
      </c>
      <c r="N16" s="259">
        <f>IF(AND($C$22="Yes",$C$11="SP"),AJ$80,0)</f>
        <v>0</v>
      </c>
      <c r="O16" s="259">
        <f>IF(AND($C$22="Yes",$C$11="BR"),AR$80,0)</f>
        <v>0</v>
      </c>
      <c r="R16" s="83" t="s">
        <v>2189</v>
      </c>
      <c r="S16" s="248" t="e">
        <f>PRODUCT(S14:S15)</f>
        <v>#DIV/0!</v>
      </c>
      <c r="T16" s="248" t="e">
        <f>PRODUCT(T14:T15)</f>
        <v>#DIV/0!</v>
      </c>
      <c r="U16" s="248" t="e">
        <f>PRODUCT(U14:U15)</f>
        <v>#DIV/0!</v>
      </c>
      <c r="V16" s="248" t="e">
        <f>PRODUCT(V14:V15)</f>
        <v>#DIV/0!</v>
      </c>
      <c r="W16" s="248" t="e">
        <f>PRODUCT(W14:W15)</f>
        <v>#DIV/0!</v>
      </c>
      <c r="Z16" s="83" t="s">
        <v>2189</v>
      </c>
      <c r="AA16" s="248" t="e">
        <f>PRODUCT(AA14:AA15)</f>
        <v>#DIV/0!</v>
      </c>
      <c r="AB16" s="248" t="e">
        <f>PRODUCT(AB14:AB15)</f>
        <v>#DIV/0!</v>
      </c>
      <c r="AC16" s="248" t="e">
        <f>PRODUCT(AC14:AC15)</f>
        <v>#DIV/0!</v>
      </c>
      <c r="AD16" s="248" t="e">
        <f>PRODUCT(AD14:AD15)</f>
        <v>#DIV/0!</v>
      </c>
      <c r="AE16" s="248" t="e">
        <f>PRODUCT(AE14:AE15)</f>
        <v>#DIV/0!</v>
      </c>
      <c r="AH16" s="83" t="s">
        <v>2189</v>
      </c>
      <c r="AI16" s="248" t="e">
        <f>PRODUCT(AI14:AI15)</f>
        <v>#DIV/0!</v>
      </c>
      <c r="AJ16" s="248" t="e">
        <f>PRODUCT(AJ14:AJ15)</f>
        <v>#DIV/0!</v>
      </c>
      <c r="AK16" s="248" t="e">
        <f>PRODUCT(AK14:AK15)</f>
        <v>#DIV/0!</v>
      </c>
      <c r="AL16" s="248" t="e">
        <f>PRODUCT(AL14:AL15)</f>
        <v>#DIV/0!</v>
      </c>
      <c r="AM16" s="248" t="e">
        <f>PRODUCT(AM14:AM15)</f>
        <v>#DIV/0!</v>
      </c>
      <c r="AP16" s="83" t="s">
        <v>2189</v>
      </c>
      <c r="AQ16" s="248" t="e">
        <f>PRODUCT(AQ14:AQ15)</f>
        <v>#DIV/0!</v>
      </c>
      <c r="AR16" s="248" t="e">
        <f>PRODUCT(AR14:AR15)</f>
        <v>#DIV/0!</v>
      </c>
      <c r="AS16" s="248" t="e">
        <f>PRODUCT(AS14:AS15)</f>
        <v>#DIV/0!</v>
      </c>
      <c r="AT16" s="248" t="e">
        <f>PRODUCT(AT14:AT15)</f>
        <v>#DIV/0!</v>
      </c>
      <c r="AU16" s="248" t="e">
        <f>PRODUCT(AU14:AU15)</f>
        <v>#DIV/0!</v>
      </c>
    </row>
    <row r="17" spans="1:47" ht="15" customHeight="1" x14ac:dyDescent="0.2">
      <c r="A17" s="1316" t="s">
        <v>2227</v>
      </c>
      <c r="B17" s="160"/>
      <c r="C17" s="1330">
        <v>100</v>
      </c>
      <c r="D17" s="1322">
        <v>5</v>
      </c>
      <c r="E17" s="1354"/>
      <c r="F17" s="1360"/>
      <c r="G17" s="1352"/>
      <c r="H17" s="1352"/>
      <c r="I17" s="1356"/>
      <c r="K17" s="1344" t="s">
        <v>2206</v>
      </c>
      <c r="L17" s="258">
        <f>IF($C$22="Yes",AK$35,0)</f>
        <v>0</v>
      </c>
      <c r="M17" s="258">
        <f>IF($C$22="Yes",AS$35,0)</f>
        <v>0</v>
      </c>
      <c r="N17" s="259">
        <f>IF(AND($C$22="Yes",$C$11="SP"),AK$80,0)</f>
        <v>0</v>
      </c>
      <c r="O17" s="259">
        <f>IF(AND($C$22="Yes",$C$11="BR"),AS$80,0)</f>
        <v>0</v>
      </c>
      <c r="Q17" s="1332"/>
      <c r="R17" s="1333" t="s">
        <v>2193</v>
      </c>
      <c r="S17" s="1334" t="e">
        <f>IF(S16=0,"N/A",IF(ISNA(MATCH(S16,List_LOI_Bldg,0)),VLOOKUP(S16,List_LOI_Bldg,1,TRUE),"N/A"))</f>
        <v>#DIV/0!</v>
      </c>
      <c r="T17" s="1334" t="e">
        <f>IF(T16=0,"N/A",IF(ISNA(MATCH(T16,List_LOI_Bldg,0)),VLOOKUP(T16,List_LOI_Bldg,1,TRUE),"N/A"))</f>
        <v>#DIV/0!</v>
      </c>
      <c r="U17" s="1334" t="e">
        <f>IF(U16=0,"N/A",IF(ISNA(MATCH(U16,List_LOI_Bldg,0)),VLOOKUP(U16,List_LOI_Bldg,1,TRUE),"N/A"))</f>
        <v>#DIV/0!</v>
      </c>
      <c r="V17" s="1335" t="e">
        <f>IF(V16=0,"N/A",IF(ISNA(MATCH(V16,List_LOI_Bldg,0)),VLOOKUP(V16,List_LOI_Bldg,1,TRUE),"N/A"))</f>
        <v>#DIV/0!</v>
      </c>
      <c r="W17" s="1335" t="e">
        <f>IF(W16=0,"N/A",IF(ISNA(MATCH(W16,List_LOI_Bldg,0)),VLOOKUP(W16,List_LOI_Bldg,1,TRUE),"N/A"))</f>
        <v>#DIV/0!</v>
      </c>
      <c r="Y17" s="1332"/>
      <c r="Z17" s="1333" t="s">
        <v>2193</v>
      </c>
      <c r="AA17" s="1334" t="e">
        <f>IF(AA16=0,"N/A",IF(ISNA(MATCH(AA16,List_LOI_Bldg,0)),VLOOKUP(AA16,List_LOI_Bldg,1,TRUE),"N/A"))</f>
        <v>#DIV/0!</v>
      </c>
      <c r="AB17" s="1334" t="e">
        <f>IF(AB16=0,"N/A",IF(ISNA(MATCH(AB16,List_LOI_Bldg,0)),VLOOKUP(AB16,List_LOI_Bldg,1,TRUE),"N/A"))</f>
        <v>#DIV/0!</v>
      </c>
      <c r="AC17" s="1335" t="e">
        <f>IF(AC16=0,"N/A",IF(ISNA(MATCH(AC16,List_LOI_Bldg,0)),VLOOKUP(AC16,List_LOI_Bldg,1,TRUE),"N/A"))</f>
        <v>#DIV/0!</v>
      </c>
      <c r="AD17" s="1335" t="e">
        <f>IF(AD16=0,"N/A",IF(ISNA(MATCH(AD16,List_LOI_Bldg,0)),VLOOKUP(AD16,List_LOI_Bldg,1,TRUE),"N/A"))</f>
        <v>#DIV/0!</v>
      </c>
      <c r="AE17" s="1335" t="e">
        <f>IF(AE16=0,"N/A",IF(ISNA(MATCH(AE16,List_LOI_Bldg,0)),VLOOKUP(AE16,List_LOI_Bldg,1,TRUE),"N/A"))</f>
        <v>#DIV/0!</v>
      </c>
      <c r="AG17" s="1332"/>
      <c r="AH17" s="1333" t="s">
        <v>2193</v>
      </c>
      <c r="AI17" s="1334" t="e">
        <f>IF(AI16=0,"N/A",IF(ISNA(MATCH(AI16,List_LOI_PP,0)),VLOOKUP(AI16,List_LOI_PP,1,TRUE),"N/A"))</f>
        <v>#DIV/0!</v>
      </c>
      <c r="AJ17" s="1334" t="e">
        <f>IF(AJ16=0,"N/A",IF(ISNA(MATCH(AJ16,List_LOI_PP,0)),VLOOKUP(AJ16,List_LOI_PP,1,TRUE),"N/A"))</f>
        <v>#DIV/0!</v>
      </c>
      <c r="AK17" s="1334" t="e">
        <f>IF(AK16=0,"N/A",IF(ISNA(MATCH(AK16,List_LOI_PP,0)),VLOOKUP(AK16,List_LOI_PP,1,TRUE),"N/A"))</f>
        <v>#DIV/0!</v>
      </c>
      <c r="AL17" s="1335" t="e">
        <f>IF(AL16=0,"N/A",IF(ISNA(MATCH(AL16,List_LOI_PP,0)),VLOOKUP(AL16,List_LOI_PP,1,TRUE),"N/A"))</f>
        <v>#DIV/0!</v>
      </c>
      <c r="AM17" s="1335" t="e">
        <f>IF(AM16=0,"N/A",IF(ISNA(MATCH(AM16,List_LOI_PP,0)),VLOOKUP(AM16,List_LOI_PP,1,TRUE),"N/A"))</f>
        <v>#DIV/0!</v>
      </c>
      <c r="AO17" s="1332"/>
      <c r="AP17" s="1333" t="s">
        <v>2193</v>
      </c>
      <c r="AQ17" s="1334" t="e">
        <f>IF(AQ16=0,"N/A",IF(ISNA(MATCH(AQ16,List_LOI_PP,0)),VLOOKUP(AQ16,List_LOI_PP,1,TRUE),"N/A"))</f>
        <v>#DIV/0!</v>
      </c>
      <c r="AR17" s="1334" t="e">
        <f>IF(AR16=0,"N/A",IF(ISNA(MATCH(AR16,List_LOI_PP,0)),VLOOKUP(AR16,List_LOI_PP,1,TRUE),"N/A"))</f>
        <v>#DIV/0!</v>
      </c>
      <c r="AS17" s="1335" t="e">
        <f>IF(AS16=0,"N/A",IF(ISNA(MATCH(AS16,List_LOI_PP,0)),VLOOKUP(AS16,List_LOI_PP,1,TRUE),"N/A"))</f>
        <v>#DIV/0!</v>
      </c>
      <c r="AT17" s="1335" t="e">
        <f>IF(AT16=0,"N/A",IF(ISNA(MATCH(AT16,List_LOI_PP,0)),VLOOKUP(AT16,List_LOI_PP,1,TRUE),"N/A"))</f>
        <v>#DIV/0!</v>
      </c>
      <c r="AU17" s="1335" t="e">
        <f>IF(AU16=0,"N/A",IF(ISNA(MATCH(AU16,List_LOI_PP,0)),VLOOKUP(AU16,List_LOI_PP,1,TRUE),"N/A"))</f>
        <v>#DIV/0!</v>
      </c>
    </row>
    <row r="18" spans="1:47" x14ac:dyDescent="0.2">
      <c r="A18" s="1316" t="s">
        <v>2323</v>
      </c>
      <c r="B18" s="1482">
        <v>500</v>
      </c>
      <c r="C18" s="1483">
        <v>1</v>
      </c>
      <c r="D18" s="1326"/>
      <c r="E18" s="1327"/>
      <c r="F18" s="1347"/>
      <c r="G18" s="1328"/>
      <c r="H18" s="1329" t="s">
        <v>2174</v>
      </c>
      <c r="I18" s="1325">
        <f>SUM(I13:I17)</f>
        <v>0</v>
      </c>
      <c r="K18" s="1344" t="s">
        <v>2207</v>
      </c>
      <c r="L18" s="258">
        <f>IF($C$22="Yes",AL$35,0)</f>
        <v>0</v>
      </c>
      <c r="M18" s="258">
        <f>IF($C$22="Yes",AT$35,0)</f>
        <v>0</v>
      </c>
      <c r="N18" s="259">
        <f>IF(AND($C$22="Yes",$C$11="SP"),AL$80,0)</f>
        <v>0</v>
      </c>
      <c r="O18" s="259">
        <f>IF(AND($C$22="Yes",$C$11="BR"),AT$80,0)</f>
        <v>0</v>
      </c>
      <c r="Q18" s="1336"/>
      <c r="R18" s="1337" t="s">
        <v>2194</v>
      </c>
      <c r="S18" s="1338" t="e">
        <f>IF(S17="N/A",0,INDEX(List_LOI_Bldg,MATCH(S17,List_LOI_Bldg,0)+1,1))</f>
        <v>#DIV/0!</v>
      </c>
      <c r="T18" s="1338" t="e">
        <f>IF(T17="N/A",0,INDEX(List_LOI_Bldg,MATCH(T17,List_LOI_Bldg,0)+1,1))</f>
        <v>#DIV/0!</v>
      </c>
      <c r="U18" s="1338" t="e">
        <f>IF(U17="N/A",0,INDEX(List_LOI_Bldg,MATCH(U17,List_LOI_Bldg,0)+1,1))</f>
        <v>#DIV/0!</v>
      </c>
      <c r="V18" s="1338" t="e">
        <f>IF(V17="N/A",0,INDEX(List_LOI_Bldg,MATCH(V17,List_LOI_Bldg,0)+1,1))</f>
        <v>#DIV/0!</v>
      </c>
      <c r="W18" s="1338" t="e">
        <f>IF(W17="N/A",0,INDEX(List_LOI_Bldg,MATCH(W17,List_LOI_Bldg,0)+1,1))</f>
        <v>#DIV/0!</v>
      </c>
      <c r="Y18" s="1336"/>
      <c r="Z18" s="1337" t="s">
        <v>2194</v>
      </c>
      <c r="AA18" s="1338" t="e">
        <f>IF(AA17="N/A",0,INDEX(List_LOI_Bldg,MATCH(AA17,List_LOI_Bldg,0)+1,1))</f>
        <v>#DIV/0!</v>
      </c>
      <c r="AB18" s="1338" t="e">
        <f>IF(AB17="N/A",0,INDEX(List_LOI_Bldg,MATCH(AB17,List_LOI_Bldg,0)+1,1))</f>
        <v>#DIV/0!</v>
      </c>
      <c r="AC18" s="1338" t="e">
        <f>IF(AC17="N/A",0,INDEX(List_LOI_Bldg,MATCH(AC17,List_LOI_Bldg,0)+1,1))</f>
        <v>#DIV/0!</v>
      </c>
      <c r="AD18" s="1338" t="e">
        <f>IF(AD17="N/A",0,INDEX(List_LOI_Bldg,MATCH(AD17,List_LOI_Bldg,0)+1,1))</f>
        <v>#DIV/0!</v>
      </c>
      <c r="AE18" s="1338" t="e">
        <f>IF(AE17="N/A",0,INDEX(List_LOI_Bldg,MATCH(AE17,List_LOI_Bldg,0)+1,1))</f>
        <v>#DIV/0!</v>
      </c>
      <c r="AG18" s="1336"/>
      <c r="AH18" s="1337" t="s">
        <v>2194</v>
      </c>
      <c r="AI18" s="1338" t="e">
        <f>IF(AI17="N/A",0,INDEX(List_LOI_PP,MATCH(AI17,List_LOI_PP,0)+1,1))</f>
        <v>#DIV/0!</v>
      </c>
      <c r="AJ18" s="1338" t="e">
        <f>IF(AJ17="N/A",0,INDEX(List_LOI_PP,MATCH(AJ17,List_LOI_PP,0)+1,1))</f>
        <v>#DIV/0!</v>
      </c>
      <c r="AK18" s="1338" t="e">
        <f>IF(AK17="N/A",0,INDEX(List_LOI_PP,MATCH(AK17,List_LOI_PP,0)+1,1))</f>
        <v>#DIV/0!</v>
      </c>
      <c r="AL18" s="1338" t="e">
        <f>IF(AL17="N/A",0,INDEX(List_LOI_PP,MATCH(AL17,List_LOI_PP,0)+1,1))</f>
        <v>#DIV/0!</v>
      </c>
      <c r="AM18" s="1338" t="e">
        <f>IF(AM17="N/A",0,INDEX(List_LOI_PP,MATCH(AM17,List_LOI_PP,0)+1,1))</f>
        <v>#DIV/0!</v>
      </c>
      <c r="AO18" s="1336"/>
      <c r="AP18" s="1337" t="s">
        <v>2194</v>
      </c>
      <c r="AQ18" s="1338" t="e">
        <f>IF(AQ17="N/A",0,INDEX(List_LOI_PP,MATCH(AQ17,List_LOI_PP,0)+1,1))</f>
        <v>#DIV/0!</v>
      </c>
      <c r="AR18" s="1338" t="e">
        <f>IF(AR17="N/A",0,INDEX(List_LOI_PP,MATCH(AR17,List_LOI_PP,0)+1,1))</f>
        <v>#DIV/0!</v>
      </c>
      <c r="AS18" s="1338" t="e">
        <f>IF(AS17="N/A",0,INDEX(List_LOI_PP,MATCH(AS17,List_LOI_PP,0)+1,1))</f>
        <v>#DIV/0!</v>
      </c>
      <c r="AT18" s="1338" t="e">
        <f>IF(AT17="N/A",0,INDEX(List_LOI_PP,MATCH(AT17,List_LOI_PP,0)+1,1))</f>
        <v>#DIV/0!</v>
      </c>
      <c r="AU18" s="1338" t="e">
        <f>IF(AU17="N/A",0,INDEX(List_LOI_PP,MATCH(AU17,List_LOI_PP,0)+1,1))</f>
        <v>#DIV/0!</v>
      </c>
    </row>
    <row r="19" spans="1:47" ht="13.5" thickBot="1" x14ac:dyDescent="0.25">
      <c r="A19" s="120"/>
      <c r="B19" s="95"/>
      <c r="C19" s="1039"/>
      <c r="D19" s="126"/>
      <c r="E19" s="541"/>
      <c r="F19" s="541"/>
      <c r="G19" s="96"/>
      <c r="H19" s="96"/>
      <c r="I19" s="1096"/>
      <c r="K19" s="1345" t="s">
        <v>2208</v>
      </c>
      <c r="L19" s="1357">
        <f>IF($C$22="Yes",AM$35,0)</f>
        <v>0</v>
      </c>
      <c r="M19" s="1357">
        <f>IF($C$22="Yes",AU$35,0)</f>
        <v>0</v>
      </c>
      <c r="N19" s="884">
        <f>IF(AND($C$22="Yes",$C$11="SP"),AM$80,0)</f>
        <v>0</v>
      </c>
      <c r="O19" s="884">
        <f>IF(AND($C$22="Yes",$C$11="BR"),AU$80,0)</f>
        <v>0</v>
      </c>
      <c r="Q19" s="185"/>
      <c r="R19" s="1226" t="s">
        <v>2195</v>
      </c>
      <c r="S19" s="1457" t="e">
        <f>IF(S16=0,0,IF(AND(S17="N/A",S16&gt;0),VLOOKUP(S16,Table_LOI_Bldg,MATCH($G4,List_Relatives,0)+1,FALSE),
ROUND(VLOOKUP(S17,Table_LOI_Bldg,MATCH($G4,List_Relatives,0)+1,FALSE) -
ROUND(PRODUCT((VLOOKUP(S17,Table_LOI_Bldg,MATCH($G4,List_Relatives,0)+1,FALSE) - VLOOKUP(S18,Table_LOI_Bldg,MATCH($G4,List_Relatives,0)+1,FALSE)),S16-S17)/(S18-S17),4),4)))</f>
        <v>#DIV/0!</v>
      </c>
      <c r="T19" s="1457" t="e">
        <f>IF(T16=0,0,IF(AND(T17="N/A",T16&gt;0),VLOOKUP(T16,Table_LOI_Bldg,MATCH($G5,List_Relatives,0)+1,FALSE),
ROUND(VLOOKUP(T17,Table_LOI_Bldg,MATCH($G5,List_Relatives,0)+1,FALSE) -
ROUND(PRODUCT((VLOOKUP(T17,Table_LOI_Bldg,MATCH($G5,List_Relatives,0)+1,FALSE) - VLOOKUP(T18,Table_LOI_Bldg,MATCH($G5,List_Relatives,0)+1,FALSE)),T16-T17)/(T18-T17),4),4)))</f>
        <v>#DIV/0!</v>
      </c>
      <c r="U19" s="1457" t="e">
        <f>IF(U16=0,0,IF(AND(U17="N/A",U16&gt;0),VLOOKUP(U16,Table_LOI_Bldg,MATCH($G6,List_Relatives,0)+1,FALSE),
ROUND(VLOOKUP(U17,Table_LOI_Bldg,MATCH($G6,List_Relatives,0)+1,FALSE) -
ROUND(PRODUCT((VLOOKUP(U17,Table_LOI_Bldg,MATCH($G6,List_Relatives,0)+1,FALSE) - VLOOKUP(U18,Table_LOI_Bldg,MATCH($G6,List_Relatives,0)+1,FALSE)),U16-U17)/(U18-U17),4),4)))</f>
        <v>#DIV/0!</v>
      </c>
      <c r="V19" s="1457" t="e">
        <f>IF(V16=0,0,IF(AND(V17="N/A",V16&gt;0),VLOOKUP(V16,Table_LOI_Bldg,MATCH($G7,List_Relatives,0)+1,FALSE),
ROUND(VLOOKUP(V17,Table_LOI_Bldg,MATCH($G7,List_Relatives,0)+1,FALSE) -
ROUND(PRODUCT((VLOOKUP(V17,Table_LOI_Bldg,MATCH($G7,List_Relatives,0)+1,FALSE) - VLOOKUP(V18,Table_LOI_Bldg,MATCH($G7,List_Relatives,0)+1,FALSE)),V16-V17)/(V18-V17),4),4)))</f>
        <v>#DIV/0!</v>
      </c>
      <c r="W19" s="1457" t="e">
        <f>IF(W16=0,0,IF(AND(W17="N/A",W16&gt;0),VLOOKUP(W16,Table_LOI_Bldg,MATCH($G8,List_Relatives,0)+1,FALSE),
ROUND(VLOOKUP(W17,Table_LOI_Bldg,MATCH($G8,List_Relatives,0)+1,FALSE) -
ROUND(PRODUCT((VLOOKUP(W17,Table_LOI_Bldg,MATCH($G8,List_Relatives,0)+1,FALSE) - VLOOKUP(W18,Table_LOI_Bldg,MATCH($G8,List_Relatives,0)+1,FALSE)),W16-W17)/(W18-W17),4),4)))</f>
        <v>#DIV/0!</v>
      </c>
      <c r="Y19" s="185"/>
      <c r="Z19" s="1226" t="s">
        <v>2195</v>
      </c>
      <c r="AA19" s="1457" t="e">
        <f>IF(AA16=0,0,IF(AND(AA17="N/A",AA16&gt;0),VLOOKUP(AA16,Table_LOI_Bldg,MATCH("BA2",List_Relatives,0)+1,FALSE),
ROUND(VLOOKUP(AA17,Table_LOI_Bldg,MATCH("BA2",List_Relatives,0)+1,FALSE) -
ROUND(PRODUCT((VLOOKUP(AA17,Table_LOI_Bldg,MATCH("BA2",List_Relatives,0)+1,FALSE) - VLOOKUP(AA18,Table_LOI_Bldg,MATCH("BA2",List_Relatives,0)+1,FALSE)),AA16-AA17)/(AA18-AA17),4),4)))</f>
        <v>#DIV/0!</v>
      </c>
      <c r="AB19" s="1457" t="e">
        <f>IF(AB16=0,0,IF(AND(AB17="N/A",AB16&gt;0),VLOOKUP(AB16,Table_LOI_Bldg,MATCH("BA2",List_Relatives,0)+1,FALSE),
ROUND(VLOOKUP(AB17,Table_LOI_Bldg,MATCH("BA2",List_Relatives,0)+1,FALSE) -
ROUND(PRODUCT((VLOOKUP(AB17,Table_LOI_Bldg,MATCH("BA2",List_Relatives,0)+1,FALSE) - VLOOKUP(AB18,Table_LOI_Bldg,MATCH("BA2",List_Relatives,0)+1,FALSE)),AB16-AB17)/(AB18-AB17),4),4)))</f>
        <v>#DIV/0!</v>
      </c>
      <c r="AC19" s="1457" t="e">
        <f>IF(AC16=0,0,IF(AND(AC17="N/A",AC16&gt;0),VLOOKUP(AC16,Table_LOI_Bldg,MATCH("BA2",List_Relatives,0)+1,FALSE),
ROUND(VLOOKUP(AC17,Table_LOI_Bldg,MATCH("BA2",List_Relatives,0)+1,FALSE) -
ROUND(PRODUCT((VLOOKUP(AC17,Table_LOI_Bldg,MATCH("BA2",List_Relatives,0)+1,FALSE) - VLOOKUP(AC18,Table_LOI_Bldg,MATCH("BA2",List_Relatives,0)+1,FALSE)),AC16-AC17)/(AC18-AC17),4),4)))</f>
        <v>#DIV/0!</v>
      </c>
      <c r="AD19" s="1457" t="e">
        <f>IF(AD16=0,0,IF(AND(AD17="N/A",AD16&gt;0),VLOOKUP(AD16,Table_LOI_Bldg,MATCH($G7,List_Relatives,0)+1,FALSE),
ROUND(VLOOKUP(AD17,Table_LOI_Bldg,MATCH($G7,List_Relatives,0)+1,FALSE) -
ROUND(PRODUCT((VLOOKUP(AD17,Table_LOI_Bldg,MATCH($G7,List_Relatives,0)+1,FALSE) - VLOOKUP(AD18,Table_LOI_Bldg,MATCH($G7,List_Relatives,0)+1,FALSE)),AD16-AD17)/(AD18-AD17),4),4)))</f>
        <v>#DIV/0!</v>
      </c>
      <c r="AE19" s="1457" t="e">
        <f>IF(AE16=0,0,IF(AND(AE17="N/A",AE16&gt;0),VLOOKUP(AE16,Table_LOI_Bldg,MATCH($G8,List_Relatives,0)+1,FALSE),
ROUND(VLOOKUP(AE17,Table_LOI_Bldg,MATCH($G8,List_Relatives,0)+1,FALSE) -
ROUND(PRODUCT((VLOOKUP(AE17,Table_LOI_Bldg,MATCH($G8,List_Relatives,0)+1,FALSE) - VLOOKUP(AE18,Table_LOI_Bldg,MATCH($G8,List_Relatives,0)+1,FALSE)),AE16-AE17)/(AE18-AE17),4),4)))</f>
        <v>#DIV/0!</v>
      </c>
      <c r="AG19" s="185"/>
      <c r="AH19" s="1226" t="s">
        <v>2195</v>
      </c>
      <c r="AI19" s="1457" t="e">
        <f>IF(AI16=0,0,IF(AND(AI17="N/A",AI16&gt;0),VLOOKUP(AI16,Table_LOI_PP,MATCH($G13,List_Relatives,0)+1,FALSE),
ROUND(VLOOKUP(AI17,Table_LOI_PP,MATCH($G13,List_Relatives,0)+1,FALSE) -
ROUND(PRODUCT((VLOOKUP(AI17,Table_LOI_PP,MATCH($G13,List_Relatives,0)+1,FALSE) - VLOOKUP(AI18,Table_LOI_PP,MATCH($G13,List_Relatives,0)+1,FALSE)),AI16-AI17)/(AI18-AI17),4),4)))</f>
        <v>#DIV/0!</v>
      </c>
      <c r="AJ19" s="1457" t="e">
        <f>IF(AJ16=0,0,IF(AND(AJ17="N/A",AJ16&gt;0),VLOOKUP(AJ16,Table_LOI_PP,MATCH($G14,List_Relatives,0)+1,FALSE),
ROUND(VLOOKUP(AJ17,Table_LOI_PP,MATCH($G14,List_Relatives,0)+1,FALSE) -
ROUND(PRODUCT((VLOOKUP(AJ17,Table_LOI_PP,MATCH($G14,List_Relatives,0)+1,FALSE) - VLOOKUP(AJ18,Table_LOI_PP,MATCH($G14,List_Relatives,0)+1,FALSE)),AJ16-AJ17)/(AJ18-AJ17),4),4)))</f>
        <v>#DIV/0!</v>
      </c>
      <c r="AK19" s="1457" t="e">
        <f>IF(AK16=0,0,IF(AND(AK17="N/A",AK16&gt;0),VLOOKUP(AK16,Table_LOI_PP,MATCH($G15,List_Relatives,0)+1,FALSE),
ROUND(VLOOKUP(AK17,Table_LOI_PP,MATCH($G15,List_Relatives,0)+1,FALSE) -
ROUND(PRODUCT((VLOOKUP(AK17,Table_LOI_PP,MATCH($G15,List_Relatives,0)+1,FALSE) - VLOOKUP(AK18,Table_LOI_PP,MATCH($G15,List_Relatives,0)+1,FALSE)),AK16-AK17)/(AK18-AK17),4),4)))</f>
        <v>#DIV/0!</v>
      </c>
      <c r="AL19" s="1457" t="e">
        <f>IF(AL16=0,0,IF(AND(AL17="N/A",AL16&gt;0),VLOOKUP(AL16,Table_LOI_PP,MATCH($G16,List_Relatives,0)+1,FALSE),
ROUND(VLOOKUP(AL17,Table_LOI_PP,MATCH($G16,List_Relatives,0)+1,FALSE) -
ROUND(PRODUCT((VLOOKUP(AL17,Table_LOI_PP,MATCH($G16,List_Relatives,0)+1,FALSE) - VLOOKUP(AL18,Table_LOI_PP,MATCH($G16,List_Relatives,0)+1,FALSE)),AL16-AL17)/(AL18-AL17),4),4)))</f>
        <v>#DIV/0!</v>
      </c>
      <c r="AM19" s="1457" t="e">
        <f>IF(AM16=0,0,IF(AND(AM17="N/A",AM16&gt;0),VLOOKUP(AM16,Table_LOI_PP,MATCH($G17,List_Relatives,0)+1,FALSE),
ROUND(VLOOKUP(AM17,Table_LOI_PP,MATCH($G17,List_Relatives,0)+1,FALSE) -
ROUND(PRODUCT((VLOOKUP(AM17,Table_LOI_PP,MATCH($G17,List_Relatives,0)+1,FALSE) - VLOOKUP(AM18,Table_LOI_PP,MATCH($G17,List_Relatives,0)+1,FALSE)),AM16-AM17)/(AM18-AM17),4),4)))</f>
        <v>#DIV/0!</v>
      </c>
      <c r="AO19" s="185"/>
      <c r="AP19" s="1226" t="s">
        <v>2195</v>
      </c>
      <c r="AQ19" s="1457" t="e">
        <f>IF(AQ16=0,0,IF(AND(AQ17="N/A",AQ16&gt;0),VLOOKUP(AQ16,Table_LOI_PP,MATCH("BA2",List_Relatives,0)+1,FALSE),
ROUND(VLOOKUP(AQ17,Table_LOI_PP,MATCH("BA2",List_Relatives,0)+1,FALSE) -
ROUND(PRODUCT((VLOOKUP(AQ17,Table_LOI_PP,MATCH("BA2",List_Relatives,0)+1,FALSE) - VLOOKUP(AQ18,Table_LOI_PP,MATCH("BA2",List_Relatives,0)+1,FALSE)),AQ16-AQ17)/(AQ18-AQ17),4),4)))</f>
        <v>#DIV/0!</v>
      </c>
      <c r="AR19" s="1457" t="e">
        <f>IF(AR16=0,0,IF(AND(AR17="N/A",AR16&gt;0),VLOOKUP(AR16,Table_LOI_PP,MATCH("BA2",List_Relatives,0)+1,FALSE),
ROUND(VLOOKUP(AR17,Table_LOI_PP,MATCH("BA2",List_Relatives,0)+1,FALSE) -
ROUND(PRODUCT((VLOOKUP(AR17,Table_LOI_PP,MATCH("BA2",List_Relatives,0)+1,FALSE) - VLOOKUP(AR18,Table_LOI_PP,MATCH("BA2",List_Relatives,0)+1,FALSE)),AR16-AR17)/(AR18-AR17),4),4)))</f>
        <v>#DIV/0!</v>
      </c>
      <c r="AS19" s="1457" t="e">
        <f>IF(AS16=0,0,IF(AND(AS17="N/A",AS16&gt;0),VLOOKUP(AS16,Table_LOI_PP,MATCH("BA2",List_Relatives,0)+1,FALSE),
ROUND(VLOOKUP(AS17,Table_LOI_PP,MATCH("BA2",List_Relatives,0)+1,FALSE) -
ROUND(PRODUCT((VLOOKUP(AS17,Table_LOI_PP,MATCH("BA2",List_Relatives,0)+1,FALSE) - VLOOKUP(AS18,Table_LOI_PP,MATCH("BA2",List_Relatives,0)+1,FALSE)),AS16-AS17)/(AS18-AS17),4),4)))</f>
        <v>#DIV/0!</v>
      </c>
      <c r="AT19" s="1457" t="e">
        <f>IF(AT16=0,0,IF(AND(AT17="N/A",AT16&gt;0),VLOOKUP(AT16,Table_LOI_PP,MATCH($G16,List_Relatives,0)+1,FALSE),
ROUND(VLOOKUP(AT17,Table_LOI_PP,MATCH($G16,List_Relatives,0)+1,FALSE) -
ROUND(PRODUCT((VLOOKUP(AT17,Table_LOI_PP,MATCH($G16,List_Relatives,0)+1,FALSE) - VLOOKUP(AT18,Table_LOI_PP,MATCH($G16,List_Relatives,0)+1,FALSE)),AT16-AT17)/(AT18-AT17),4),4)))</f>
        <v>#DIV/0!</v>
      </c>
      <c r="AU19" s="1457" t="e">
        <f>IF(AU16=0,0,IF(AND(AU17="N/A",AU16&gt;0),VLOOKUP(AU16,Table_LOI_PP,MATCH($G17,List_Relatives,0)+1,FALSE),
ROUND(VLOOKUP(AU17,Table_LOI_PP,MATCH($G17,List_Relatives,0)+1,FALSE) -
ROUND(PRODUCT((VLOOKUP(AU17,Table_LOI_PP,MATCH($G17,List_Relatives,0)+1,FALSE) - VLOOKUP(AU18,Table_LOI_PP,MATCH($G17,List_Relatives,0)+1,FALSE)),AU16-AU17)/(AU18-AU17),4),4)))</f>
        <v>#DIV/0!</v>
      </c>
    </row>
    <row r="20" spans="1:47" ht="13.5" thickBot="1" x14ac:dyDescent="0.25">
      <c r="A20" s="529" t="s">
        <v>2214</v>
      </c>
      <c r="B20" s="531"/>
      <c r="C20" s="532"/>
      <c r="D20" s="500" t="s">
        <v>2216</v>
      </c>
      <c r="E20" s="508"/>
      <c r="F20" s="508"/>
      <c r="G20" s="508"/>
      <c r="H20" s="508"/>
      <c r="I20" s="509"/>
      <c r="K20" s="1343" t="s">
        <v>2218</v>
      </c>
      <c r="L20" s="485">
        <f>SUM(L15:L19)</f>
        <v>0</v>
      </c>
      <c r="M20" s="485">
        <f>SUM(M15:M19)</f>
        <v>0</v>
      </c>
      <c r="N20" s="485">
        <f>SUM(N15:N19)</f>
        <v>0</v>
      </c>
      <c r="O20" s="485">
        <f>SUM(O15:O19)</f>
        <v>0</v>
      </c>
      <c r="R20" s="83" t="s">
        <v>2196</v>
      </c>
      <c r="S20" s="247" t="e">
        <f>PRODUCT(S9,S19)</f>
        <v>#DIV/0!</v>
      </c>
      <c r="T20" s="247" t="e">
        <f>PRODUCT(T9,T19)</f>
        <v>#DIV/0!</v>
      </c>
      <c r="U20" s="2" t="e">
        <f>PRODUCT(U9,U19)</f>
        <v>#DIV/0!</v>
      </c>
      <c r="V20" s="2" t="e">
        <f>PRODUCT(V9,V19)</f>
        <v>#DIV/0!</v>
      </c>
      <c r="W20" s="2" t="e">
        <f>PRODUCT(W9,W19)</f>
        <v>#DIV/0!</v>
      </c>
      <c r="Z20" s="83" t="s">
        <v>2196</v>
      </c>
      <c r="AA20" s="2" t="e">
        <f>PRODUCT(AA9,AA19)</f>
        <v>#DIV/0!</v>
      </c>
      <c r="AB20" s="2" t="e">
        <f>PRODUCT(AB9,AB19)</f>
        <v>#DIV/0!</v>
      </c>
      <c r="AC20" s="2" t="e">
        <f>PRODUCT(AC9,AC19)</f>
        <v>#DIV/0!</v>
      </c>
      <c r="AD20" s="2" t="e">
        <f>PRODUCT(AD9,AD19)</f>
        <v>#DIV/0!</v>
      </c>
      <c r="AE20" s="2" t="e">
        <f>PRODUCT(AE9,AE19)</f>
        <v>#DIV/0!</v>
      </c>
      <c r="AH20" s="83" t="s">
        <v>2196</v>
      </c>
      <c r="AI20" s="247" t="e">
        <f>PRODUCT(AI9,AI19)</f>
        <v>#DIV/0!</v>
      </c>
      <c r="AJ20" s="247" t="e">
        <f>PRODUCT(AJ9,AJ19)</f>
        <v>#DIV/0!</v>
      </c>
      <c r="AK20" s="2" t="e">
        <f>PRODUCT(AK9,AK19)</f>
        <v>#DIV/0!</v>
      </c>
      <c r="AL20" s="2" t="e">
        <f>PRODUCT(AL9,AL19)</f>
        <v>#DIV/0!</v>
      </c>
      <c r="AM20" s="2" t="e">
        <f>PRODUCT(AM9,AM19)</f>
        <v>#DIV/0!</v>
      </c>
      <c r="AP20" s="83" t="s">
        <v>2196</v>
      </c>
      <c r="AQ20" s="2" t="e">
        <f>PRODUCT(AQ9,AQ19)</f>
        <v>#DIV/0!</v>
      </c>
      <c r="AR20" s="2" t="e">
        <f>PRODUCT(AR9,AR19)</f>
        <v>#DIV/0!</v>
      </c>
      <c r="AS20" s="2" t="e">
        <f>PRODUCT(AS9,AS19)</f>
        <v>#DIV/0!</v>
      </c>
      <c r="AT20" s="2" t="e">
        <f>PRODUCT(AT9,AT19)</f>
        <v>#DIV/0!</v>
      </c>
      <c r="AU20" s="2" t="e">
        <f>PRODUCT(AU9,AU19)</f>
        <v>#DIV/0!</v>
      </c>
    </row>
    <row r="21" spans="1:47" ht="13.5" thickBot="1" x14ac:dyDescent="0.25">
      <c r="A21" s="1346" t="s">
        <v>856</v>
      </c>
      <c r="B21" s="95"/>
      <c r="C21" s="1348" t="s">
        <v>857</v>
      </c>
      <c r="D21" s="1320" t="s">
        <v>2173</v>
      </c>
      <c r="E21" s="1323" t="s">
        <v>57</v>
      </c>
      <c r="F21" s="1323"/>
      <c r="G21" s="1323"/>
      <c r="H21" s="1323" t="s">
        <v>2171</v>
      </c>
      <c r="I21" s="1324" t="s">
        <v>2172</v>
      </c>
      <c r="K21" s="685"/>
      <c r="L21" s="726"/>
      <c r="M21" s="726"/>
      <c r="N21" s="726"/>
      <c r="O21" s="726"/>
      <c r="Q21" s="185"/>
      <c r="R21" s="1226" t="s">
        <v>2197</v>
      </c>
      <c r="S21" s="238">
        <f>IF(ISNUMBER($I4),$I4,0)</f>
        <v>0</v>
      </c>
      <c r="T21" s="238">
        <f>IF(ISNUMBER($I5),$I5,0)</f>
        <v>0</v>
      </c>
      <c r="U21" s="238">
        <f>IF(ISNUMBER($I6),$I6,0)</f>
        <v>0</v>
      </c>
      <c r="V21" s="238">
        <f>IF(ISNUMBER($I7),$I7,0)</f>
        <v>0</v>
      </c>
      <c r="W21" s="238">
        <f>IF(ISNUMBER($I8),$I8,0)</f>
        <v>0</v>
      </c>
      <c r="Y21" s="185"/>
      <c r="Z21" s="1226" t="s">
        <v>2197</v>
      </c>
      <c r="AA21" s="238">
        <f>IF(ISNUMBER($I4),$I4,0)</f>
        <v>0</v>
      </c>
      <c r="AB21" s="238">
        <f>IF(ISNUMBER($I5),$I5,0)</f>
        <v>0</v>
      </c>
      <c r="AC21" s="238">
        <f>IF(ISNUMBER($I6),$I6,0)</f>
        <v>0</v>
      </c>
      <c r="AD21" s="238">
        <f>IF(ISNUMBER($I7),$I7,0)</f>
        <v>0</v>
      </c>
      <c r="AE21" s="238">
        <f>IF(ISNUMBER($I8),$I8,0)</f>
        <v>0</v>
      </c>
      <c r="AG21" s="185"/>
      <c r="AH21" s="1226" t="s">
        <v>2197</v>
      </c>
      <c r="AI21" s="238">
        <f>IF(ISNUMBER($I13),$I13,0)</f>
        <v>0</v>
      </c>
      <c r="AJ21" s="238">
        <f>IF(ISNUMBER($I14),$I14,0)</f>
        <v>0</v>
      </c>
      <c r="AK21" s="238">
        <f>IF(ISNUMBER($I15),$I15,0)</f>
        <v>0</v>
      </c>
      <c r="AL21" s="238">
        <f>IF(ISNUMBER($I16),$I16,0)</f>
        <v>0</v>
      </c>
      <c r="AM21" s="238">
        <f>IF(ISNUMBER($I17),$I17,0)</f>
        <v>0</v>
      </c>
      <c r="AO21" s="185"/>
      <c r="AP21" s="1226" t="s">
        <v>2197</v>
      </c>
      <c r="AQ21" s="238">
        <f>IF(ISNUMBER($I13),$I13,0)</f>
        <v>0</v>
      </c>
      <c r="AR21" s="238">
        <f>IF(ISNUMBER($I14),$I14,0)</f>
        <v>0</v>
      </c>
      <c r="AS21" s="238">
        <f>IF(ISNUMBER($I15),$I15,0)</f>
        <v>0</v>
      </c>
      <c r="AT21" s="238">
        <f>IF(ISNUMBER($I16),$I16,0)</f>
        <v>0</v>
      </c>
      <c r="AU21" s="238">
        <f>IF(ISNUMBER($I17),$I17,0)</f>
        <v>0</v>
      </c>
    </row>
    <row r="22" spans="1:47" x14ac:dyDescent="0.2">
      <c r="A22" s="1346" t="s">
        <v>1068</v>
      </c>
      <c r="B22" s="95"/>
      <c r="C22" s="1348" t="s">
        <v>857</v>
      </c>
      <c r="D22" s="1321">
        <v>1</v>
      </c>
      <c r="E22" s="1349"/>
      <c r="F22" s="1350"/>
      <c r="G22" s="1351"/>
      <c r="H22" s="1352"/>
      <c r="I22" s="1353"/>
      <c r="K22" s="1340" t="s">
        <v>2220</v>
      </c>
      <c r="L22" s="1341"/>
      <c r="M22" s="1342"/>
      <c r="N22" s="1342"/>
      <c r="O22" s="1342"/>
      <c r="R22" s="83" t="s">
        <v>2198</v>
      </c>
      <c r="S22" s="1339" t="e">
        <f>PRODUCT(S20:S21)</f>
        <v>#DIV/0!</v>
      </c>
      <c r="T22" s="1339" t="e">
        <f>PRODUCT(T20:T21)</f>
        <v>#DIV/0!</v>
      </c>
      <c r="U22" s="1339" t="e">
        <f>PRODUCT(U20:U21)</f>
        <v>#DIV/0!</v>
      </c>
      <c r="V22" s="1339" t="e">
        <f>PRODUCT(V20:V21)</f>
        <v>#DIV/0!</v>
      </c>
      <c r="W22" s="1339" t="e">
        <f>PRODUCT(W20:W21)</f>
        <v>#DIV/0!</v>
      </c>
      <c r="Z22" s="83" t="s">
        <v>2198</v>
      </c>
      <c r="AA22" s="1339" t="e">
        <f>PRODUCT(AA20:AA21)</f>
        <v>#DIV/0!</v>
      </c>
      <c r="AB22" s="1339" t="e">
        <f>PRODUCT(AB20:AB21)</f>
        <v>#DIV/0!</v>
      </c>
      <c r="AC22" s="1339" t="e">
        <f>PRODUCT(AC20:AC21)</f>
        <v>#DIV/0!</v>
      </c>
      <c r="AD22" s="1339" t="e">
        <f>PRODUCT(AD20:AD21)</f>
        <v>#DIV/0!</v>
      </c>
      <c r="AE22" s="1339" t="e">
        <f>PRODUCT(AE20:AE21)</f>
        <v>#DIV/0!</v>
      </c>
      <c r="AH22" s="83" t="s">
        <v>2198</v>
      </c>
      <c r="AI22" s="1339" t="e">
        <f>PRODUCT(AI20:AI21)</f>
        <v>#DIV/0!</v>
      </c>
      <c r="AJ22" s="1339" t="e">
        <f>PRODUCT(AJ20:AJ21)</f>
        <v>#DIV/0!</v>
      </c>
      <c r="AK22" s="1339" t="e">
        <f>PRODUCT(AK20:AK21)</f>
        <v>#DIV/0!</v>
      </c>
      <c r="AL22" s="1339" t="e">
        <f>PRODUCT(AL20:AL21)</f>
        <v>#DIV/0!</v>
      </c>
      <c r="AM22" s="1339" t="e">
        <f>PRODUCT(AM20:AM21)</f>
        <v>#DIV/0!</v>
      </c>
      <c r="AP22" s="83" t="s">
        <v>2198</v>
      </c>
      <c r="AQ22" s="1339" t="e">
        <f>PRODUCT(AQ20:AQ21)</f>
        <v>#DIV/0!</v>
      </c>
      <c r="AR22" s="1339" t="e">
        <f>PRODUCT(AR20:AR21)</f>
        <v>#DIV/0!</v>
      </c>
      <c r="AS22" s="1339" t="e">
        <f>PRODUCT(AS20:AS21)</f>
        <v>#DIV/0!</v>
      </c>
      <c r="AT22" s="1339" t="e">
        <f>PRODUCT(AT20:AT21)</f>
        <v>#DIV/0!</v>
      </c>
      <c r="AU22" s="1339" t="e">
        <f>PRODUCT(AU20:AU21)</f>
        <v>#DIV/0!</v>
      </c>
    </row>
    <row r="23" spans="1:47" x14ac:dyDescent="0.2">
      <c r="A23" s="1346" t="s">
        <v>306</v>
      </c>
      <c r="B23" s="95"/>
      <c r="C23" s="1348" t="s">
        <v>857</v>
      </c>
      <c r="D23" s="1322">
        <v>2</v>
      </c>
      <c r="E23" s="1354"/>
      <c r="F23" s="1355"/>
      <c r="G23" s="1352"/>
      <c r="H23" s="1352"/>
      <c r="I23" s="1356"/>
      <c r="K23" s="1458" t="s">
        <v>2278</v>
      </c>
      <c r="L23" s="1459"/>
      <c r="M23" s="1460"/>
      <c r="N23" s="1460"/>
      <c r="O23" s="1461"/>
    </row>
    <row r="24" spans="1:47" x14ac:dyDescent="0.2">
      <c r="A24" s="1346" t="s">
        <v>962</v>
      </c>
      <c r="B24" s="95"/>
      <c r="C24" s="1348" t="s">
        <v>857</v>
      </c>
      <c r="D24" s="1322">
        <v>3</v>
      </c>
      <c r="E24" s="1354"/>
      <c r="F24" s="1355"/>
      <c r="G24" s="1352"/>
      <c r="H24" s="1352"/>
      <c r="I24" s="1356"/>
      <c r="K24" s="1344" t="s">
        <v>2204</v>
      </c>
      <c r="L24" s="258"/>
      <c r="M24" s="258"/>
      <c r="N24" s="259"/>
      <c r="O24" s="259"/>
      <c r="Q24" s="60" t="s">
        <v>2199</v>
      </c>
      <c r="Y24" s="60" t="s">
        <v>2199</v>
      </c>
      <c r="AG24" s="60" t="s">
        <v>2199</v>
      </c>
      <c r="AO24" s="60" t="s">
        <v>2199</v>
      </c>
    </row>
    <row r="25" spans="1:47" ht="13.5" thickBot="1" x14ac:dyDescent="0.25">
      <c r="A25" s="526"/>
      <c r="B25" s="96"/>
      <c r="C25" s="1076"/>
      <c r="D25" s="1322">
        <v>4</v>
      </c>
      <c r="E25" s="1354"/>
      <c r="F25" s="1355"/>
      <c r="G25" s="1352"/>
      <c r="H25" s="1352"/>
      <c r="I25" s="1356"/>
      <c r="K25" s="1344" t="s">
        <v>2205</v>
      </c>
      <c r="L25" s="258"/>
      <c r="M25" s="259"/>
      <c r="N25" s="259"/>
      <c r="O25" s="259"/>
      <c r="R25" s="1117" t="s">
        <v>2200</v>
      </c>
      <c r="S25" s="1339" t="e">
        <f>SUM(S22:W22)</f>
        <v>#DIV/0!</v>
      </c>
      <c r="Z25" s="1117" t="s">
        <v>2200</v>
      </c>
      <c r="AA25" s="1339" t="e">
        <f>SUM(AA22:AE22)</f>
        <v>#DIV/0!</v>
      </c>
      <c r="AH25" s="1117" t="s">
        <v>2200</v>
      </c>
      <c r="AI25" s="1339" t="e">
        <f>SUM(AI22:AM22)</f>
        <v>#DIV/0!</v>
      </c>
      <c r="AP25" s="1117" t="s">
        <v>2200</v>
      </c>
      <c r="AQ25" s="1339" t="e">
        <f>SUM(AQ22:AU22)</f>
        <v>#DIV/0!</v>
      </c>
    </row>
    <row r="26" spans="1:47" x14ac:dyDescent="0.2">
      <c r="D26" s="1322">
        <v>5</v>
      </c>
      <c r="E26" s="1354"/>
      <c r="F26" s="1355"/>
      <c r="G26" s="1352"/>
      <c r="H26" s="1352"/>
      <c r="I26" s="1356"/>
      <c r="K26" s="1344" t="s">
        <v>2206</v>
      </c>
      <c r="L26" s="248"/>
      <c r="M26" s="248"/>
      <c r="N26" s="248"/>
      <c r="O26" s="248"/>
      <c r="Q26" s="185"/>
      <c r="R26" s="1226" t="s">
        <v>2186</v>
      </c>
      <c r="S26" s="238">
        <f>$I$9</f>
        <v>0</v>
      </c>
      <c r="Y26" s="185"/>
      <c r="Z26" s="1226" t="s">
        <v>2186</v>
      </c>
      <c r="AA26" s="238">
        <f>$I$9</f>
        <v>0</v>
      </c>
      <c r="AG26" s="185"/>
      <c r="AH26" s="1226" t="s">
        <v>2186</v>
      </c>
      <c r="AI26" s="238">
        <f>$I$18</f>
        <v>0</v>
      </c>
      <c r="AO26" s="185"/>
      <c r="AP26" s="1226" t="s">
        <v>2186</v>
      </c>
      <c r="AQ26" s="238">
        <f>$I$18</f>
        <v>0</v>
      </c>
    </row>
    <row r="27" spans="1:47" x14ac:dyDescent="0.2">
      <c r="D27" s="1326"/>
      <c r="E27" s="1327"/>
      <c r="F27" s="1347"/>
      <c r="G27" s="1328"/>
      <c r="H27" s="1329" t="s">
        <v>2174</v>
      </c>
      <c r="I27" s="1325">
        <f>SUM(I22:I26)</f>
        <v>0</v>
      </c>
      <c r="K27" s="1344" t="s">
        <v>2207</v>
      </c>
      <c r="L27" s="485"/>
      <c r="M27" s="485"/>
      <c r="N27" s="485"/>
      <c r="O27" s="485"/>
      <c r="R27" s="1117" t="s">
        <v>2201</v>
      </c>
      <c r="S27" s="2" t="e">
        <f>ROUND(S25/S26,3)</f>
        <v>#DIV/0!</v>
      </c>
      <c r="Z27" s="1117" t="s">
        <v>2229</v>
      </c>
      <c r="AA27" s="2" t="e">
        <f>ROUND(AA25/AA26,4)</f>
        <v>#DIV/0!</v>
      </c>
      <c r="AH27" s="1117" t="s">
        <v>2201</v>
      </c>
      <c r="AI27" s="2" t="e">
        <f>ROUND(AI25/AI26,3)</f>
        <v>#DIV/0!</v>
      </c>
      <c r="AP27" s="1117" t="s">
        <v>2229</v>
      </c>
      <c r="AQ27" s="2" t="e">
        <f>ROUND(AQ25/AQ26,4)</f>
        <v>#DIV/0!</v>
      </c>
    </row>
    <row r="28" spans="1:47" ht="13.5" thickBot="1" x14ac:dyDescent="0.25">
      <c r="D28" s="126"/>
      <c r="E28" s="541"/>
      <c r="F28" s="541"/>
      <c r="G28" s="96"/>
      <c r="H28" s="96"/>
      <c r="I28" s="1096"/>
      <c r="K28" s="1345" t="s">
        <v>2208</v>
      </c>
      <c r="L28" s="238"/>
      <c r="M28" s="238"/>
      <c r="N28" s="238"/>
      <c r="O28" s="238"/>
      <c r="Q28" s="146"/>
      <c r="R28" s="1210" t="s">
        <v>2202</v>
      </c>
      <c r="S28" s="299">
        <f>VLOOKUP($C$15,Table_CoIns_Blanket,2,0)</f>
        <v>0.95</v>
      </c>
      <c r="Y28" s="146"/>
      <c r="Z28" s="1210" t="s">
        <v>2202</v>
      </c>
      <c r="AA28" s="299">
        <f>VLOOKUP($C$15,Table_CoIns_Blanket,2,0)</f>
        <v>0.95</v>
      </c>
      <c r="AG28" s="146"/>
      <c r="AH28" s="1210" t="s">
        <v>2202</v>
      </c>
      <c r="AI28" s="299">
        <f>VLOOKUP($C$15,Table_CoIns_Blanket,2,0)</f>
        <v>0.95</v>
      </c>
      <c r="AO28" s="146"/>
      <c r="AP28" s="1210" t="s">
        <v>2202</v>
      </c>
      <c r="AQ28" s="299">
        <f>VLOOKUP($C$15,Table_CoIns_Blanket,2,0)</f>
        <v>0.95</v>
      </c>
    </row>
    <row r="29" spans="1:47" x14ac:dyDescent="0.2">
      <c r="D29" s="500" t="s">
        <v>2217</v>
      </c>
      <c r="E29" s="508"/>
      <c r="F29" s="508"/>
      <c r="G29" s="508"/>
      <c r="H29" s="508"/>
      <c r="I29" s="509"/>
      <c r="K29" s="1343" t="s">
        <v>2218</v>
      </c>
      <c r="L29" s="485">
        <f>SUM(L24:L28)</f>
        <v>0</v>
      </c>
      <c r="M29" s="485">
        <f>SUM(M24:M28)</f>
        <v>0</v>
      </c>
      <c r="N29" s="485">
        <f>SUM(N24:N28)</f>
        <v>0</v>
      </c>
      <c r="O29" s="485">
        <f>SUM(O24:O28)</f>
        <v>0</v>
      </c>
      <c r="Q29" s="185"/>
      <c r="R29" s="1226" t="s">
        <v>1020</v>
      </c>
      <c r="S29" s="208">
        <f>IF($C$6="PAC",VLOOKUP(B7,Table_PakMods,MATCH($C$10,List_Company,0)+1,FALSE),1)</f>
        <v>1</v>
      </c>
      <c r="Y29" s="185"/>
      <c r="Z29" s="1226" t="s">
        <v>1020</v>
      </c>
      <c r="AA29" s="208">
        <f>IF($C$6="PAC",VLOOKUP(B7,Table_PakMods,MATCH($C$10,List_Company,0)+1,FALSE),1)</f>
        <v>1</v>
      </c>
      <c r="AG29" s="185"/>
      <c r="AH29" s="1226" t="s">
        <v>1020</v>
      </c>
      <c r="AI29" s="208">
        <f>IF($C$6="PAC",VLOOKUP(B7,Table_PakMods,MATCH($C$10,List_Company,0)+1,FALSE),1)</f>
        <v>1</v>
      </c>
      <c r="AO29" s="185"/>
      <c r="AP29" s="1226" t="s">
        <v>1020</v>
      </c>
      <c r="AQ29" s="208">
        <f>IF($C$6="PAC",VLOOKUP(B7,Table_PakMods,MATCH($C$10,List_Company,0)+1,FALSE),1)</f>
        <v>1</v>
      </c>
    </row>
    <row r="30" spans="1:47" ht="13.5" thickBot="1" x14ac:dyDescent="0.25">
      <c r="D30" s="1320" t="s">
        <v>2173</v>
      </c>
      <c r="E30" s="1323" t="s">
        <v>57</v>
      </c>
      <c r="F30" s="1323"/>
      <c r="G30" s="1323" t="s">
        <v>2222</v>
      </c>
      <c r="H30" s="1323" t="s">
        <v>2171</v>
      </c>
      <c r="I30" s="1324" t="s">
        <v>2172</v>
      </c>
      <c r="K30" s="702"/>
      <c r="L30" s="575"/>
      <c r="M30" s="478"/>
      <c r="N30" s="575"/>
      <c r="O30" s="575"/>
      <c r="R30" s="83" t="s">
        <v>2203</v>
      </c>
      <c r="S30" s="60" t="e">
        <f>ROUND(PRODUCT(S27:S29),3)</f>
        <v>#DIV/0!</v>
      </c>
      <c r="Z30" s="83" t="s">
        <v>2230</v>
      </c>
      <c r="AA30" s="60" t="e">
        <f>ROUND(PRODUCT(AA27:AA29),3)</f>
        <v>#DIV/0!</v>
      </c>
      <c r="AH30" s="83" t="s">
        <v>2203</v>
      </c>
      <c r="AI30" s="60" t="e">
        <f>ROUND(PRODUCT(AI27:AI29),3)</f>
        <v>#DIV/0!</v>
      </c>
      <c r="AP30" s="83" t="s">
        <v>2230</v>
      </c>
      <c r="AQ30" s="60" t="e">
        <f>ROUND(PRODUCT(AQ27:AQ29),3)</f>
        <v>#DIV/0!</v>
      </c>
    </row>
    <row r="31" spans="1:47" x14ac:dyDescent="0.2">
      <c r="D31" s="1321">
        <v>1</v>
      </c>
      <c r="E31" s="1349"/>
      <c r="F31" s="1350"/>
      <c r="G31" s="1351"/>
      <c r="H31" s="1352"/>
      <c r="I31" s="1353"/>
      <c r="K31" s="1340" t="s">
        <v>2221</v>
      </c>
      <c r="L31" s="1341"/>
      <c r="M31" s="1342"/>
      <c r="N31" s="1342"/>
      <c r="O31" s="1342"/>
    </row>
    <row r="32" spans="1:47" x14ac:dyDescent="0.2">
      <c r="D32" s="1322">
        <v>2</v>
      </c>
      <c r="E32" s="1354"/>
      <c r="F32" s="1355"/>
      <c r="G32" s="1352"/>
      <c r="H32" s="1352"/>
      <c r="I32" s="1356"/>
      <c r="K32" s="1458" t="s">
        <v>2278</v>
      </c>
      <c r="L32" s="1459"/>
      <c r="M32" s="1460"/>
      <c r="N32" s="1460"/>
      <c r="O32" s="1461"/>
      <c r="Q32" s="60" t="s">
        <v>2209</v>
      </c>
      <c r="S32" s="235" t="s">
        <v>2176</v>
      </c>
      <c r="T32" s="235" t="s">
        <v>2177</v>
      </c>
      <c r="U32" s="235" t="s">
        <v>2178</v>
      </c>
      <c r="V32" s="235" t="s">
        <v>2179</v>
      </c>
      <c r="W32" s="235" t="s">
        <v>2180</v>
      </c>
      <c r="Y32" s="60" t="s">
        <v>2209</v>
      </c>
      <c r="AA32" s="235" t="s">
        <v>2176</v>
      </c>
      <c r="AB32" s="235" t="s">
        <v>2177</v>
      </c>
      <c r="AC32" s="235" t="s">
        <v>2178</v>
      </c>
      <c r="AD32" s="235" t="s">
        <v>2179</v>
      </c>
      <c r="AE32" s="235" t="s">
        <v>2180</v>
      </c>
      <c r="AG32" s="60" t="s">
        <v>2209</v>
      </c>
      <c r="AI32" s="235" t="s">
        <v>2176</v>
      </c>
      <c r="AJ32" s="235" t="s">
        <v>2177</v>
      </c>
      <c r="AK32" s="235" t="s">
        <v>2178</v>
      </c>
      <c r="AL32" s="235" t="s">
        <v>2179</v>
      </c>
      <c r="AM32" s="235" t="s">
        <v>2180</v>
      </c>
      <c r="AO32" s="60" t="s">
        <v>2209</v>
      </c>
      <c r="AQ32" s="235" t="s">
        <v>2176</v>
      </c>
      <c r="AR32" s="235" t="s">
        <v>2177</v>
      </c>
      <c r="AS32" s="235" t="s">
        <v>2178</v>
      </c>
      <c r="AT32" s="235" t="s">
        <v>2179</v>
      </c>
      <c r="AU32" s="235" t="s">
        <v>2180</v>
      </c>
    </row>
    <row r="33" spans="4:47" x14ac:dyDescent="0.2">
      <c r="D33" s="1322">
        <v>3</v>
      </c>
      <c r="E33" s="1354"/>
      <c r="F33" s="1355"/>
      <c r="G33" s="1352"/>
      <c r="H33" s="1352"/>
      <c r="I33" s="1356"/>
      <c r="K33" s="1344" t="s">
        <v>2204</v>
      </c>
      <c r="L33" s="258"/>
      <c r="M33" s="258"/>
      <c r="N33" s="259"/>
      <c r="O33" s="259"/>
      <c r="Q33" s="1227"/>
      <c r="R33" s="1117" t="s">
        <v>2212</v>
      </c>
      <c r="S33" s="478">
        <f>IF(ISNUMBER($I4),$I4/100,0)</f>
        <v>0</v>
      </c>
      <c r="T33" s="478">
        <f>IF(ISNUMBER($I5),$I5/100,0)</f>
        <v>0</v>
      </c>
      <c r="U33" s="478">
        <f>IF(ISNUMBER($I6),$I6/100,0)</f>
        <v>0</v>
      </c>
      <c r="V33" s="478">
        <f>IF(ISNUMBER($I7),$I7/100,0)</f>
        <v>0</v>
      </c>
      <c r="W33" s="478">
        <f>IF(ISNUMBER($I8),$I8/100,0)</f>
        <v>0</v>
      </c>
      <c r="Y33" s="1227"/>
      <c r="Z33" s="1117" t="s">
        <v>2212</v>
      </c>
      <c r="AA33" s="478">
        <f>IF(ISNUMBER($I4),$I4/100,0)</f>
        <v>0</v>
      </c>
      <c r="AB33" s="478">
        <f>IF(ISNUMBER($I5),$I5/100,0)</f>
        <v>0</v>
      </c>
      <c r="AC33" s="478">
        <f>IF(ISNUMBER($I6),$I6/100,0)</f>
        <v>0</v>
      </c>
      <c r="AD33" s="478">
        <f>IF(ISNUMBER($I7),$I7/100,0)</f>
        <v>0</v>
      </c>
      <c r="AE33" s="478">
        <f>IF(ISNUMBER($I8),$I8/100,0)</f>
        <v>0</v>
      </c>
      <c r="AG33" s="1227"/>
      <c r="AH33" s="1117" t="s">
        <v>2212</v>
      </c>
      <c r="AI33" s="478">
        <f>IF(ISNUMBER($I13),$I13/100,0)</f>
        <v>0</v>
      </c>
      <c r="AJ33" s="478">
        <f>IF(ISNUMBER($I14),$I14/100,0)</f>
        <v>0</v>
      </c>
      <c r="AK33" s="478">
        <f>IF(ISNUMBER($I15),$I15/100,0)</f>
        <v>0</v>
      </c>
      <c r="AL33" s="478">
        <f>IF(ISNUMBER($I16),$I16/100,0)</f>
        <v>0</v>
      </c>
      <c r="AM33" s="478">
        <f>IF(ISNUMBER($I17),$I17/100,0)</f>
        <v>0</v>
      </c>
      <c r="AO33" s="1227"/>
      <c r="AP33" s="1117" t="s">
        <v>2212</v>
      </c>
      <c r="AQ33" s="478">
        <f>IF(ISNUMBER($I13),$I13/100,0)</f>
        <v>0</v>
      </c>
      <c r="AR33" s="478">
        <f>IF(ISNUMBER($I14),$I14/100,0)</f>
        <v>0</v>
      </c>
      <c r="AS33" s="478">
        <f>IF(ISNUMBER($I15),$I15/100,0)</f>
        <v>0</v>
      </c>
      <c r="AT33" s="478">
        <f>IF(ISNUMBER($I16),$I16/100,0)</f>
        <v>0</v>
      </c>
      <c r="AU33" s="478">
        <f>IF(ISNUMBER($I17),$I17/100,0)</f>
        <v>0</v>
      </c>
    </row>
    <row r="34" spans="4:47" x14ac:dyDescent="0.2">
      <c r="D34" s="1322">
        <v>4</v>
      </c>
      <c r="E34" s="1354"/>
      <c r="F34" s="1355"/>
      <c r="G34" s="1352"/>
      <c r="H34" s="1352"/>
      <c r="I34" s="1356"/>
      <c r="K34" s="1344" t="s">
        <v>2205</v>
      </c>
      <c r="L34" s="258"/>
      <c r="M34" s="259"/>
      <c r="N34" s="259"/>
      <c r="O34" s="259"/>
      <c r="Q34" s="185"/>
      <c r="R34" s="1226" t="s">
        <v>2210</v>
      </c>
      <c r="S34" s="185" t="e">
        <f>$S$30</f>
        <v>#DIV/0!</v>
      </c>
      <c r="T34" s="185" t="e">
        <f>$S$30</f>
        <v>#DIV/0!</v>
      </c>
      <c r="U34" s="185" t="e">
        <f>$S$30</f>
        <v>#DIV/0!</v>
      </c>
      <c r="V34" s="185" t="e">
        <f>$S$30</f>
        <v>#DIV/0!</v>
      </c>
      <c r="W34" s="185" t="e">
        <f>$S$30</f>
        <v>#DIV/0!</v>
      </c>
      <c r="Y34" s="185"/>
      <c r="Z34" s="1226" t="s">
        <v>2210</v>
      </c>
      <c r="AA34" s="185" t="e">
        <f>$AA$30</f>
        <v>#DIV/0!</v>
      </c>
      <c r="AB34" s="185" t="e">
        <f>$AA$30</f>
        <v>#DIV/0!</v>
      </c>
      <c r="AC34" s="185" t="e">
        <f>$AA$30</f>
        <v>#DIV/0!</v>
      </c>
      <c r="AD34" s="185" t="e">
        <f>$AA$30</f>
        <v>#DIV/0!</v>
      </c>
      <c r="AE34" s="185" t="e">
        <f>$AA$30</f>
        <v>#DIV/0!</v>
      </c>
      <c r="AG34" s="185"/>
      <c r="AH34" s="1226" t="s">
        <v>2210</v>
      </c>
      <c r="AI34" s="185" t="e">
        <f>$AI$30</f>
        <v>#DIV/0!</v>
      </c>
      <c r="AJ34" s="185" t="e">
        <f t="shared" ref="AJ34:AM34" si="5">$AI$30</f>
        <v>#DIV/0!</v>
      </c>
      <c r="AK34" s="185" t="e">
        <f t="shared" si="5"/>
        <v>#DIV/0!</v>
      </c>
      <c r="AL34" s="185" t="e">
        <f t="shared" si="5"/>
        <v>#DIV/0!</v>
      </c>
      <c r="AM34" s="185" t="e">
        <f t="shared" si="5"/>
        <v>#DIV/0!</v>
      </c>
      <c r="AO34" s="185"/>
      <c r="AP34" s="1226" t="s">
        <v>2210</v>
      </c>
      <c r="AQ34" s="455" t="e">
        <f>$AQ$30</f>
        <v>#DIV/0!</v>
      </c>
      <c r="AR34" s="455" t="e">
        <f t="shared" ref="AR34:AU34" si="6">$AQ$30</f>
        <v>#DIV/0!</v>
      </c>
      <c r="AS34" s="455" t="e">
        <f t="shared" si="6"/>
        <v>#DIV/0!</v>
      </c>
      <c r="AT34" s="455" t="e">
        <f t="shared" si="6"/>
        <v>#DIV/0!</v>
      </c>
      <c r="AU34" s="455" t="e">
        <f t="shared" si="6"/>
        <v>#DIV/0!</v>
      </c>
    </row>
    <row r="35" spans="4:47" x14ac:dyDescent="0.2">
      <c r="D35" s="1322">
        <v>5</v>
      </c>
      <c r="E35" s="1354"/>
      <c r="F35" s="1355"/>
      <c r="G35" s="1352"/>
      <c r="H35" s="1352"/>
      <c r="I35" s="1356"/>
      <c r="K35" s="1344" t="s">
        <v>2206</v>
      </c>
      <c r="L35" s="248"/>
      <c r="M35" s="248"/>
      <c r="N35" s="248"/>
      <c r="O35" s="248"/>
      <c r="R35" s="83" t="s">
        <v>2211</v>
      </c>
      <c r="S35" s="248" t="e">
        <f>ROUND(PRODUCT(S33:S34),0)</f>
        <v>#DIV/0!</v>
      </c>
      <c r="T35" s="248" t="e">
        <f>ROUND(PRODUCT(T33:T34),0)</f>
        <v>#DIV/0!</v>
      </c>
      <c r="U35" s="248" t="e">
        <f>ROUND(PRODUCT(U33:U34),0)</f>
        <v>#DIV/0!</v>
      </c>
      <c r="V35" s="248" t="e">
        <f>ROUND(PRODUCT(V33:V34),0)</f>
        <v>#DIV/0!</v>
      </c>
      <c r="W35" s="248" t="e">
        <f>ROUND(PRODUCT(W33:W34),0)</f>
        <v>#DIV/0!</v>
      </c>
      <c r="Z35" s="83" t="s">
        <v>2231</v>
      </c>
      <c r="AA35" s="248" t="e">
        <f>ROUND(PRODUCT(AA33:AA34),0)</f>
        <v>#DIV/0!</v>
      </c>
      <c r="AB35" s="248" t="e">
        <f>ROUND(PRODUCT(AB33:AB34),0)</f>
        <v>#DIV/0!</v>
      </c>
      <c r="AC35" s="248" t="e">
        <f>ROUND(PRODUCT(AC33:AC34),0)</f>
        <v>#DIV/0!</v>
      </c>
      <c r="AD35" s="248" t="e">
        <f>ROUND(PRODUCT(AD33:AD34),0)</f>
        <v>#DIV/0!</v>
      </c>
      <c r="AE35" s="248" t="e">
        <f>ROUND(PRODUCT(AE33:AE34),0)</f>
        <v>#DIV/0!</v>
      </c>
      <c r="AH35" s="83" t="s">
        <v>2211</v>
      </c>
      <c r="AI35" s="248" t="e">
        <f>ROUND(PRODUCT(AI33:AI34),0)</f>
        <v>#DIV/0!</v>
      </c>
      <c r="AJ35" s="248" t="e">
        <f>ROUND(PRODUCT(AJ33:AJ34),0)</f>
        <v>#DIV/0!</v>
      </c>
      <c r="AK35" s="248" t="e">
        <f>ROUND(PRODUCT(AK33:AK34),0)</f>
        <v>#DIV/0!</v>
      </c>
      <c r="AL35" s="248" t="e">
        <f>ROUND(PRODUCT(AL33:AL34),0)</f>
        <v>#DIV/0!</v>
      </c>
      <c r="AM35" s="248" t="e">
        <f>ROUND(PRODUCT(AM33:AM34),0)</f>
        <v>#DIV/0!</v>
      </c>
      <c r="AP35" s="83" t="s">
        <v>2231</v>
      </c>
      <c r="AQ35" s="248" t="e">
        <f>ROUND(PRODUCT(AQ33:AQ34),0)</f>
        <v>#DIV/0!</v>
      </c>
      <c r="AR35" s="248" t="e">
        <f>ROUND(PRODUCT(AR33:AR34),0)</f>
        <v>#DIV/0!</v>
      </c>
      <c r="AS35" s="248" t="e">
        <f>ROUND(PRODUCT(AS33:AS34),0)</f>
        <v>#DIV/0!</v>
      </c>
      <c r="AT35" s="248" t="e">
        <f>ROUND(PRODUCT(AT33:AT34),0)</f>
        <v>#DIV/0!</v>
      </c>
      <c r="AU35" s="248" t="e">
        <f>ROUND(PRODUCT(AU33:AU34),0)</f>
        <v>#DIV/0!</v>
      </c>
    </row>
    <row r="36" spans="4:47" x14ac:dyDescent="0.2">
      <c r="D36" s="1326"/>
      <c r="E36" s="1327"/>
      <c r="F36" s="1347"/>
      <c r="G36" s="1328"/>
      <c r="H36" s="1329" t="s">
        <v>2174</v>
      </c>
      <c r="I36" s="1325">
        <f>SUM(I31:I35)</f>
        <v>0</v>
      </c>
      <c r="K36" s="1344" t="s">
        <v>2207</v>
      </c>
      <c r="L36" s="485"/>
      <c r="M36" s="485"/>
      <c r="N36" s="485"/>
      <c r="O36" s="485"/>
    </row>
    <row r="37" spans="4:47" ht="13.5" thickBot="1" x14ac:dyDescent="0.25">
      <c r="D37" s="126"/>
      <c r="E37" s="541"/>
      <c r="F37" s="541"/>
      <c r="G37" s="96"/>
      <c r="H37" s="96"/>
      <c r="I37" s="1096"/>
      <c r="K37" s="1345" t="s">
        <v>2208</v>
      </c>
      <c r="L37" s="238"/>
      <c r="M37" s="238"/>
      <c r="N37" s="238"/>
      <c r="O37" s="238"/>
    </row>
    <row r="38" spans="4:47" x14ac:dyDescent="0.2">
      <c r="I38" s="139"/>
      <c r="K38" s="1343" t="s">
        <v>2218</v>
      </c>
      <c r="L38" s="485">
        <f>SUM(L33:L37)</f>
        <v>0</v>
      </c>
      <c r="M38" s="485">
        <f>SUM(M33:M37)</f>
        <v>0</v>
      </c>
      <c r="N38" s="485">
        <f>SUM(N33:N37)</f>
        <v>0</v>
      </c>
      <c r="O38" s="485">
        <f>SUM(O33:O37)</f>
        <v>0</v>
      </c>
    </row>
    <row r="39" spans="4:47" x14ac:dyDescent="0.2">
      <c r="K39" s="793"/>
      <c r="L39" s="478"/>
      <c r="M39" s="146"/>
      <c r="N39" s="146"/>
      <c r="O39" s="146"/>
    </row>
    <row r="40" spans="4:47" x14ac:dyDescent="0.2">
      <c r="K40" s="793"/>
      <c r="L40" s="146"/>
      <c r="M40" s="146"/>
      <c r="N40" s="146"/>
      <c r="O40" s="146"/>
    </row>
    <row r="41" spans="4:47" x14ac:dyDescent="0.2">
      <c r="K41" s="146"/>
      <c r="L41" s="478"/>
      <c r="M41" s="146"/>
      <c r="N41" s="146"/>
      <c r="O41" s="146"/>
    </row>
    <row r="42" spans="4:47" x14ac:dyDescent="0.2">
      <c r="J42" s="8"/>
      <c r="K42" s="146"/>
      <c r="L42" s="478"/>
      <c r="M42" s="146"/>
      <c r="N42" s="146"/>
      <c r="O42" s="146"/>
    </row>
    <row r="43" spans="4:47" x14ac:dyDescent="0.2">
      <c r="J43" s="8"/>
      <c r="K43" s="146"/>
      <c r="L43" s="146"/>
      <c r="M43" s="146"/>
      <c r="N43" s="146"/>
      <c r="O43" s="146"/>
    </row>
    <row r="44" spans="4:47" x14ac:dyDescent="0.2">
      <c r="J44" s="8"/>
      <c r="K44" s="146"/>
      <c r="L44" s="146"/>
      <c r="M44" s="146"/>
      <c r="N44" s="146"/>
      <c r="O44" s="146"/>
    </row>
    <row r="45" spans="4:47" ht="13.5" thickBot="1" x14ac:dyDescent="0.25">
      <c r="J45" s="8"/>
      <c r="K45" s="146"/>
      <c r="L45" s="146"/>
      <c r="M45" s="146"/>
      <c r="N45" s="146"/>
      <c r="O45" s="146"/>
    </row>
    <row r="46" spans="4:47" ht="13.5" thickBot="1" x14ac:dyDescent="0.25">
      <c r="J46" s="8"/>
      <c r="K46" s="146"/>
      <c r="L46" s="146"/>
      <c r="M46" s="146"/>
      <c r="N46" s="146"/>
      <c r="O46" s="146"/>
      <c r="Q46" s="1612" t="s">
        <v>2279</v>
      </c>
      <c r="R46" s="1613"/>
      <c r="S46" s="1613"/>
      <c r="T46" s="1613"/>
      <c r="U46" s="1613"/>
      <c r="V46" s="1613"/>
      <c r="W46" s="1614"/>
      <c r="Y46" s="1612" t="s">
        <v>2280</v>
      </c>
      <c r="Z46" s="1613"/>
      <c r="AA46" s="1613"/>
      <c r="AB46" s="1613"/>
      <c r="AC46" s="1613"/>
      <c r="AD46" s="1613"/>
      <c r="AE46" s="1614"/>
      <c r="AG46" s="1609" t="s">
        <v>2286</v>
      </c>
      <c r="AH46" s="1610"/>
      <c r="AI46" s="1610"/>
      <c r="AJ46" s="1610"/>
      <c r="AK46" s="1610"/>
      <c r="AL46" s="1610"/>
      <c r="AM46" s="1611"/>
      <c r="AO46" s="1609" t="s">
        <v>2287</v>
      </c>
      <c r="AP46" s="1610"/>
      <c r="AQ46" s="1610"/>
      <c r="AR46" s="1610"/>
      <c r="AS46" s="1610"/>
      <c r="AT46" s="1610"/>
      <c r="AU46" s="1611"/>
    </row>
    <row r="47" spans="4:47" x14ac:dyDescent="0.2">
      <c r="K47" s="146"/>
      <c r="L47" s="146"/>
      <c r="M47" s="146"/>
      <c r="N47" s="146"/>
      <c r="O47" s="146"/>
      <c r="Q47" s="60" t="s">
        <v>2182</v>
      </c>
      <c r="S47" s="235" t="s">
        <v>2176</v>
      </c>
      <c r="T47" s="235" t="s">
        <v>2177</v>
      </c>
      <c r="U47" s="235" t="s">
        <v>2178</v>
      </c>
      <c r="V47" s="235" t="s">
        <v>2179</v>
      </c>
      <c r="W47" s="235" t="s">
        <v>2180</v>
      </c>
      <c r="Y47" s="60" t="s">
        <v>2182</v>
      </c>
      <c r="AA47" s="235" t="s">
        <v>2176</v>
      </c>
      <c r="AB47" s="235" t="s">
        <v>2177</v>
      </c>
      <c r="AC47" s="235" t="s">
        <v>2178</v>
      </c>
      <c r="AD47" s="235" t="s">
        <v>2179</v>
      </c>
      <c r="AE47" s="235" t="s">
        <v>2180</v>
      </c>
      <c r="AG47" s="60" t="s">
        <v>2182</v>
      </c>
      <c r="AI47" s="235" t="s">
        <v>2176</v>
      </c>
      <c r="AJ47" s="235" t="s">
        <v>2177</v>
      </c>
      <c r="AK47" s="235" t="s">
        <v>2178</v>
      </c>
      <c r="AL47" s="235" t="s">
        <v>2179</v>
      </c>
      <c r="AM47" s="235" t="s">
        <v>2180</v>
      </c>
      <c r="AO47" s="60" t="s">
        <v>2182</v>
      </c>
      <c r="AQ47" s="235" t="s">
        <v>2176</v>
      </c>
      <c r="AR47" s="235" t="s">
        <v>2177</v>
      </c>
      <c r="AS47" s="235" t="s">
        <v>2178</v>
      </c>
      <c r="AT47" s="235" t="s">
        <v>2179</v>
      </c>
      <c r="AU47" s="235" t="s">
        <v>2180</v>
      </c>
    </row>
    <row r="48" spans="4:47" x14ac:dyDescent="0.2">
      <c r="K48" s="146"/>
      <c r="L48" s="146"/>
      <c r="M48" s="146"/>
      <c r="N48" s="146"/>
      <c r="O48" s="146"/>
      <c r="Q48" s="60"/>
      <c r="R48" s="1117" t="s">
        <v>1197</v>
      </c>
      <c r="S48" s="2">
        <f>IF(OR(ISBLANK($C$12),$C$12="No"),0,IF(ISTEXT($E4),VLOOKUP(1,Table_Special_Bldg,2,FALSE)*IF(AND($C$11="SP",$C$12=2),VLOOKUP(2,Table_Special_Bldg,2,0),1),0))</f>
        <v>0</v>
      </c>
      <c r="T48" s="2">
        <f>IF(OR(ISBLANK($C$12),$C$12="No"),0,IF(ISTEXT($E5),VLOOKUP(1,Table_Special_Bldg,2,FALSE)*IF(AND($C$11="SP",$C$12=2),VLOOKUP(2,Table_Special_Bldg,2,0),1),0))</f>
        <v>0</v>
      </c>
      <c r="U48" s="2">
        <f>IF(OR(ISBLANK($C$12),$C$12="No"),0,IF(ISTEXT($E6),VLOOKUP(1,Table_Special_Bldg,2,FALSE)*IF(AND($C$11="SP",$C$12=2),VLOOKUP(2,Table_Special_Bldg,2,0),1),0))</f>
        <v>0</v>
      </c>
      <c r="V48" s="2">
        <f>IF(OR(ISBLANK($C$12),$C$12="No"),0,IF(ISTEXT($E7),VLOOKUP(1,Table_Special_Bldg,2,FALSE)*IF(AND($C$11="SP",$C$12=2),VLOOKUP(2,Table_Special_Bldg,2,0),1),0))</f>
        <v>0</v>
      </c>
      <c r="W48" s="2">
        <f>IF(OR(ISBLANK($C$12),$C$12="No"),0,IF(ISTEXT($E8),VLOOKUP(1,Table_Special_Bldg,2,FALSE)*IF(AND($C$11="SP",$C$12=2),VLOOKUP(2,Table_Special_Bldg,2,0),1),0))</f>
        <v>0</v>
      </c>
      <c r="Y48" s="60"/>
      <c r="Z48" s="1117" t="s">
        <v>2283</v>
      </c>
      <c r="AA48" s="1462">
        <f>IF(OR($G$4=5,$G$4=6),1,2)</f>
        <v>2</v>
      </c>
      <c r="AB48" s="1462">
        <f>IF(OR($G$5=5,$G$5=6),1,2)</f>
        <v>2</v>
      </c>
      <c r="AC48" s="1462">
        <f>IF(OR($G$6=5,$G$6=6),1,2)</f>
        <v>2</v>
      </c>
      <c r="AD48" s="1462">
        <f>IF(OR($G$7=5,$G$7=6),1,2)</f>
        <v>2</v>
      </c>
      <c r="AE48" s="1462">
        <f>IF(OR($G$8=5,$G$8=6),1,2)</f>
        <v>2</v>
      </c>
      <c r="AH48" s="1117" t="s">
        <v>2315</v>
      </c>
      <c r="AI48" s="168" t="str">
        <f>IF(ISTEXT($E13),VLOOKUP($E13,Table_G1_LC,3,0),"NA")</f>
        <v>NA</v>
      </c>
      <c r="AJ48" s="168" t="str">
        <f>IF(ISTEXT($E14),VLOOKUP($E14,Table_G1_LC,3,0),"NA")</f>
        <v>NA</v>
      </c>
      <c r="AK48" s="168" t="str">
        <f>IF(ISTEXT($E15),VLOOKUP($E15,Table_G1_LC,3,0),"NA")</f>
        <v>NA</v>
      </c>
      <c r="AL48" s="168" t="str">
        <f>IF(ISTEXT($E16),VLOOKUP($E16,Table_G1_LC,3,0),"NA")</f>
        <v>NA</v>
      </c>
      <c r="AM48" s="168" t="str">
        <f>IF(ISTEXT($E17),VLOOKUP($E17,Table_G1_LC,3,0),"NA")</f>
        <v>NA</v>
      </c>
      <c r="AO48" s="60"/>
      <c r="AP48" s="1117" t="s">
        <v>2283</v>
      </c>
      <c r="AQ48" s="1462">
        <f>IF(OR($G$13=5,$G$13=6),1,2)</f>
        <v>2</v>
      </c>
      <c r="AR48" s="1462">
        <f>IF(OR($G$14=5,$G$14=6),1,2)</f>
        <v>2</v>
      </c>
      <c r="AS48" s="1462">
        <f>IF(OR($G$15=5,$G$15=6),1,2)</f>
        <v>2</v>
      </c>
      <c r="AT48" s="1462">
        <f>IF(OR($G$16=5,$G$16=6),1,2)</f>
        <v>2</v>
      </c>
      <c r="AU48" s="1462">
        <f>IF(OR($G$17=5,$G$17=6),1,2)</f>
        <v>2</v>
      </c>
    </row>
    <row r="49" spans="10:47" x14ac:dyDescent="0.2">
      <c r="K49" s="146"/>
      <c r="L49" s="146"/>
      <c r="M49" s="146"/>
      <c r="N49" s="146"/>
      <c r="O49" s="146"/>
      <c r="Q49" s="60"/>
      <c r="R49" s="1117" t="s">
        <v>1178</v>
      </c>
      <c r="S49" s="207">
        <v>1</v>
      </c>
      <c r="T49" s="207">
        <v>1</v>
      </c>
      <c r="U49" s="207">
        <v>1</v>
      </c>
      <c r="V49" s="207">
        <v>1</v>
      </c>
      <c r="W49" s="207">
        <v>1</v>
      </c>
      <c r="Y49" s="60"/>
      <c r="Z49" s="1117" t="s">
        <v>1197</v>
      </c>
      <c r="AA49" s="2">
        <f>IF(ISTEXT($E4),HLOOKUP(AA48,Table_BroadLC,IF($E$4&lt;&gt;"1150",2,4),FALSE),0)</f>
        <v>0</v>
      </c>
      <c r="AB49" s="2">
        <f>IF(ISTEXT($E5),HLOOKUP(AB48,Table_BroadLC,IF($E$5&lt;&gt;"1150",2,4),FALSE),0)</f>
        <v>0</v>
      </c>
      <c r="AC49" s="2">
        <f>IF(ISTEXT($E6),HLOOKUP(AC48,Table_BroadLC,IF($E$6&lt;&gt;"1150",2,4),FALSE),0)</f>
        <v>0</v>
      </c>
      <c r="AD49" s="2">
        <f>IF(ISTEXT($E7),HLOOKUP(AD48,Table_BroadLC,IF($E$7&lt;&gt;"1150",2,4),FALSE),0)</f>
        <v>0</v>
      </c>
      <c r="AE49" s="2">
        <f>IF(ISTEXT($E8),HLOOKUP(AE48,Table_BroadLC,IF($E$8&lt;&gt;"1150",2,4),FALSE),0)</f>
        <v>0</v>
      </c>
      <c r="AG49" s="60"/>
      <c r="AH49" s="1117" t="s">
        <v>1198</v>
      </c>
      <c r="AI49" s="2">
        <f>IF(OR(ISBLANK($C$12),$C$12="No"),0,IF(ISTEXT($E13),VLOOKUP(AI48,Table_Special_PP,3,FALSE)*IF(AND($C$11="SP",$C$12=2),VLOOKUP(AI48,Table_Special_PP,4,0),1),0))</f>
        <v>0</v>
      </c>
      <c r="AJ49" s="2">
        <f>IF(OR(ISBLANK($C$12),$C$12="No"),0,IF(ISTEXT($E14),VLOOKUP(AJ48,Table_Special_PP,3,FALSE)*IF(AND($C$11="SP",$C$12=2),VLOOKUP(AJ48,Table_Special_PP,4,0),1),0))</f>
        <v>0</v>
      </c>
      <c r="AK49" s="2">
        <f>IF(OR(ISBLANK($C$12),$C$12="No"),0,IF(ISTEXT($E15),VLOOKUP(AK48,Table_Special_PP,3,FALSE)*IF(AND($C$11="SP",$C$12=2),VLOOKUP(AK48,Table_Special_PP,4,0),1),0))</f>
        <v>0</v>
      </c>
      <c r="AL49" s="2">
        <f>IF(OR(ISBLANK($C$12),$C$12="No"),0,IF(ISTEXT($E16),VLOOKUP(AL48,Table_Special_PP,3,FALSE)*IF(AND($C$11="SP",$C$12=2),VLOOKUP(AL48,Table_Special_PP,4,0),1),0))</f>
        <v>0</v>
      </c>
      <c r="AM49" s="2">
        <f>IF(OR(ISBLANK($C$12),$C$12="No"),0,IF(ISTEXT($E17),VLOOKUP(AM48,Table_Special_PP,3,FALSE)*IF(AND($C$11="SP",$C$12=2),VLOOKUP(AM48,Table_Special_PP,4,0),1),0))</f>
        <v>0</v>
      </c>
      <c r="AO49" s="60"/>
      <c r="AP49" s="1117" t="s">
        <v>1198</v>
      </c>
      <c r="AQ49" s="2">
        <f>IF(ISTEXT($E13),HLOOKUP(AQ48,Table_BroadLC,IF($E$4&lt;&gt;"1150",3,4),FALSE),0)</f>
        <v>0</v>
      </c>
      <c r="AR49" s="2">
        <f>IF(ISTEXT($E14),HLOOKUP(AR48,Table_BroadLC,IF($E$5&lt;&gt;"1150",3,4),FALSE),0)</f>
        <v>0</v>
      </c>
      <c r="AS49" s="2">
        <f>IF(ISTEXT($E15),HLOOKUP(AS48,Table_BroadLC,IF($E$6&lt;&gt;"1150",3,4),FALSE),0)</f>
        <v>0</v>
      </c>
      <c r="AT49" s="2">
        <f>IF(ISTEXT($E16),HLOOKUP(AT48,Table_BroadLC,IF($E$7&lt;&gt;"1150",3,4),FALSE),0)</f>
        <v>0</v>
      </c>
      <c r="AU49" s="2">
        <f>IF(ISTEXT($E17),HLOOKUP(AU48,Table_BroadLC,IF($E$8&lt;&gt;"1150",3,4),FALSE),0)</f>
        <v>0</v>
      </c>
    </row>
    <row r="50" spans="10:47" x14ac:dyDescent="0.2">
      <c r="K50" s="146"/>
      <c r="L50" s="146"/>
      <c r="M50" s="146"/>
      <c r="N50" s="146"/>
      <c r="O50" s="146"/>
      <c r="Q50" s="60"/>
      <c r="R50" s="545" t="s">
        <v>971</v>
      </c>
      <c r="S50" s="207">
        <f>HLOOKUP($C$10,Table_StateRates,6,FALSE)</f>
        <v>1.9</v>
      </c>
      <c r="T50" s="207">
        <f>HLOOKUP($C$10,Table_StateRates,6,FALSE)</f>
        <v>1.9</v>
      </c>
      <c r="U50" s="207">
        <f>HLOOKUP($C$10,Table_StateRates,6,FALSE)</f>
        <v>1.9</v>
      </c>
      <c r="V50" s="207">
        <f>HLOOKUP($C$10,Table_StateRates,6,FALSE)</f>
        <v>1.9</v>
      </c>
      <c r="W50" s="207">
        <f>HLOOKUP($C$10,Table_StateRates,6,FALSE)</f>
        <v>1.9</v>
      </c>
      <c r="Y50" s="60"/>
      <c r="Z50" s="545" t="s">
        <v>971</v>
      </c>
      <c r="AA50" s="207">
        <f>HLOOKUP($C$10,Table_StateRates,6,FALSE)</f>
        <v>1.9</v>
      </c>
      <c r="AB50" s="207">
        <f>HLOOKUP($C$10,Table_StateRates,6,FALSE)</f>
        <v>1.9</v>
      </c>
      <c r="AC50" s="207">
        <f>HLOOKUP($C$10,Table_StateRates,6,FALSE)</f>
        <v>1.9</v>
      </c>
      <c r="AD50" s="207">
        <f>HLOOKUP($C$10,Table_StateRates,6,FALSE)</f>
        <v>1.9</v>
      </c>
      <c r="AE50" s="207">
        <f>HLOOKUP($C$10,Table_StateRates,6,FALSE)</f>
        <v>1.9</v>
      </c>
      <c r="AG50" s="60"/>
      <c r="AH50" s="545" t="s">
        <v>971</v>
      </c>
      <c r="AI50" s="207">
        <f>HLOOKUP($C$10,Table_StateRates,6,FALSE)</f>
        <v>1.9</v>
      </c>
      <c r="AJ50" s="207">
        <f>HLOOKUP($C$10,Table_StateRates,6,FALSE)</f>
        <v>1.9</v>
      </c>
      <c r="AK50" s="207">
        <f>HLOOKUP($C$10,Table_StateRates,6,FALSE)</f>
        <v>1.9</v>
      </c>
      <c r="AL50" s="207">
        <f>HLOOKUP($C$10,Table_StateRates,6,FALSE)</f>
        <v>1.9</v>
      </c>
      <c r="AM50" s="207">
        <f>HLOOKUP($C$10,Table_StateRates,6,FALSE)</f>
        <v>1.9</v>
      </c>
      <c r="AO50" s="60"/>
      <c r="AP50" s="545" t="s">
        <v>971</v>
      </c>
      <c r="AQ50" s="207">
        <f>HLOOKUP($C$10,Table_StateRates,6,FALSE)</f>
        <v>1.9</v>
      </c>
      <c r="AR50" s="207">
        <f>HLOOKUP($C$10,Table_StateRates,6,FALSE)</f>
        <v>1.9</v>
      </c>
      <c r="AS50" s="207">
        <f>HLOOKUP($C$10,Table_StateRates,6,FALSE)</f>
        <v>1.9</v>
      </c>
      <c r="AT50" s="207">
        <f>HLOOKUP($C$10,Table_StateRates,6,FALSE)</f>
        <v>1.9</v>
      </c>
      <c r="AU50" s="207">
        <f>HLOOKUP($C$10,Table_StateRates,6,FALSE)</f>
        <v>1.9</v>
      </c>
    </row>
    <row r="51" spans="10:47" x14ac:dyDescent="0.2">
      <c r="J51" s="8"/>
      <c r="K51" s="146"/>
      <c r="L51" s="146"/>
      <c r="M51" s="146"/>
      <c r="N51" s="146"/>
      <c r="O51" s="146"/>
      <c r="Q51" s="60"/>
      <c r="R51" s="1210" t="s">
        <v>1018</v>
      </c>
      <c r="S51" s="207">
        <f>IF($B$16=250,DF_250Deductible,$C$16)</f>
        <v>1</v>
      </c>
      <c r="T51" s="207">
        <f>IF($B$16=250,DF_250Deductible,$C$16)</f>
        <v>1</v>
      </c>
      <c r="U51" s="207">
        <f>IF($B$16=250,DF_250Deductible,$C$16)</f>
        <v>1</v>
      </c>
      <c r="V51" s="207">
        <f>IF($B$16=250,DF_250Deductible,$C$16)</f>
        <v>1</v>
      </c>
      <c r="W51" s="207">
        <f>IF($B$16=250,DF_250Deductible,$C$16)</f>
        <v>1</v>
      </c>
      <c r="Y51" s="60"/>
      <c r="Z51" s="1210" t="s">
        <v>1018</v>
      </c>
      <c r="AA51" s="207">
        <f>IF($B$16=250,DF_250Deductible,$C$16)</f>
        <v>1</v>
      </c>
      <c r="AB51" s="207">
        <f>IF($B$16=250,DF_250Deductible,$C$16)</f>
        <v>1</v>
      </c>
      <c r="AC51" s="207">
        <f>IF($B$16=250,DF_250Deductible,$C$16)</f>
        <v>1</v>
      </c>
      <c r="AD51" s="207">
        <f>IF($B$16=250,DF_250Deductible,$C$16)</f>
        <v>1</v>
      </c>
      <c r="AE51" s="207">
        <f>IF($B$16=250,DF_250Deductible,$C$16)</f>
        <v>1</v>
      </c>
      <c r="AG51" s="60"/>
      <c r="AH51" s="1210" t="s">
        <v>1018</v>
      </c>
      <c r="AI51" s="207">
        <f>IF($B$18=250,DF_250Deductible,$C$18)</f>
        <v>1</v>
      </c>
      <c r="AJ51" s="207">
        <f>IF($B$18=250,DF_250Deductible,$C$18)</f>
        <v>1</v>
      </c>
      <c r="AK51" s="207">
        <f>IF($B$18=250,DF_250Deductible,$C$18)</f>
        <v>1</v>
      </c>
      <c r="AL51" s="207">
        <f>IF($B$18=250,DF_250Deductible,$C$18)</f>
        <v>1</v>
      </c>
      <c r="AM51" s="207">
        <f>IF($B$18=250,DF_250Deductible,$C$18)</f>
        <v>1</v>
      </c>
      <c r="AO51" s="60"/>
      <c r="AP51" s="1210" t="s">
        <v>1018</v>
      </c>
      <c r="AQ51" s="207">
        <f>IF($B$18=250,DF_250Deductible,$C$18)</f>
        <v>1</v>
      </c>
      <c r="AR51" s="207">
        <f>IF($B$18=250,DF_250Deductible,$C$18)</f>
        <v>1</v>
      </c>
      <c r="AS51" s="207">
        <f>IF($B$18=250,DF_250Deductible,$C$18)</f>
        <v>1</v>
      </c>
      <c r="AT51" s="207">
        <f>IF($B$18=250,DF_250Deductible,$C$18)</f>
        <v>1</v>
      </c>
      <c r="AU51" s="207">
        <f>IF($B$18=250,DF_250Deductible,$C$18)</f>
        <v>1</v>
      </c>
    </row>
    <row r="52" spans="10:47" x14ac:dyDescent="0.2">
      <c r="J52" s="8"/>
      <c r="K52" s="146"/>
      <c r="L52" s="146"/>
      <c r="M52" s="146"/>
      <c r="N52" s="146"/>
      <c r="O52" s="146"/>
      <c r="Q52" s="185"/>
      <c r="R52" s="1226" t="s">
        <v>1019</v>
      </c>
      <c r="S52" s="208">
        <f>HLOOKUP($C$10,Table_StateRates,5,FALSE)</f>
        <v>1.38</v>
      </c>
      <c r="T52" s="208">
        <f>HLOOKUP($C$10,Table_StateRates,5,FALSE)</f>
        <v>1.38</v>
      </c>
      <c r="U52" s="208">
        <f>HLOOKUP($C$10,Table_StateRates,5,FALSE)</f>
        <v>1.38</v>
      </c>
      <c r="V52" s="208">
        <f>HLOOKUP($C$10,Table_StateRates,5,FALSE)</f>
        <v>1.38</v>
      </c>
      <c r="W52" s="208">
        <f>HLOOKUP($C$10,Table_StateRates,5,FALSE)</f>
        <v>1.38</v>
      </c>
      <c r="Y52" s="185"/>
      <c r="Z52" s="1226" t="s">
        <v>1019</v>
      </c>
      <c r="AA52" s="208">
        <f>HLOOKUP($C$10,Table_StateRates,5,FALSE)</f>
        <v>1.38</v>
      </c>
      <c r="AB52" s="208">
        <f>HLOOKUP($C$10,Table_StateRates,5,FALSE)</f>
        <v>1.38</v>
      </c>
      <c r="AC52" s="208">
        <f>HLOOKUP($C$10,Table_StateRates,5,FALSE)</f>
        <v>1.38</v>
      </c>
      <c r="AD52" s="208">
        <f>HLOOKUP($C$10,Table_StateRates,5,FALSE)</f>
        <v>1.38</v>
      </c>
      <c r="AE52" s="208">
        <f>HLOOKUP($C$10,Table_StateRates,5,FALSE)</f>
        <v>1.38</v>
      </c>
      <c r="AG52" s="185"/>
      <c r="AH52" s="1226" t="s">
        <v>1019</v>
      </c>
      <c r="AI52" s="208">
        <f>HLOOKUP($C$10,Table_StateRates,5,FALSE)</f>
        <v>1.38</v>
      </c>
      <c r="AJ52" s="208">
        <f>HLOOKUP($C$10,Table_StateRates,5,FALSE)</f>
        <v>1.38</v>
      </c>
      <c r="AK52" s="208">
        <f>HLOOKUP($C$10,Table_StateRates,5,FALSE)</f>
        <v>1.38</v>
      </c>
      <c r="AL52" s="208">
        <f>HLOOKUP($C$10,Table_StateRates,5,FALSE)</f>
        <v>1.38</v>
      </c>
      <c r="AM52" s="208">
        <f>HLOOKUP($C$10,Table_StateRates,5,FALSE)</f>
        <v>1.38</v>
      </c>
      <c r="AO52" s="185"/>
      <c r="AP52" s="1226" t="s">
        <v>1019</v>
      </c>
      <c r="AQ52" s="208">
        <f>HLOOKUP($C$10,Table_StateRates,5,FALSE)</f>
        <v>1.38</v>
      </c>
      <c r="AR52" s="208">
        <f>HLOOKUP($C$10,Table_StateRates,5,FALSE)</f>
        <v>1.38</v>
      </c>
      <c r="AS52" s="208">
        <f>HLOOKUP($C$10,Table_StateRates,5,FALSE)</f>
        <v>1.38</v>
      </c>
      <c r="AT52" s="208">
        <f>HLOOKUP($C$10,Table_StateRates,5,FALSE)</f>
        <v>1.38</v>
      </c>
      <c r="AU52" s="208">
        <f>HLOOKUP($C$10,Table_StateRates,5,FALSE)</f>
        <v>1.38</v>
      </c>
    </row>
    <row r="53" spans="10:47" x14ac:dyDescent="0.2">
      <c r="J53" s="8"/>
      <c r="K53" s="146"/>
      <c r="L53" s="146"/>
      <c r="M53" s="146"/>
      <c r="N53" s="146"/>
      <c r="O53" s="146"/>
      <c r="Q53" s="60"/>
      <c r="R53" s="83" t="s">
        <v>2281</v>
      </c>
      <c r="S53" s="1315">
        <f>ROUND(PRODUCT(S48:S52),3)</f>
        <v>0</v>
      </c>
      <c r="T53" s="1315">
        <f>ROUND(PRODUCT(T48:T52),3)</f>
        <v>0</v>
      </c>
      <c r="U53" s="1315">
        <f>ROUND(PRODUCT(U48:U52),3)</f>
        <v>0</v>
      </c>
      <c r="V53" s="1315">
        <f>ROUND(PRODUCT(V48:V52),3)</f>
        <v>0</v>
      </c>
      <c r="W53" s="1315">
        <f>ROUND(PRODUCT(W48:W52),3)</f>
        <v>0</v>
      </c>
      <c r="Y53" s="60"/>
      <c r="Z53" s="83" t="s">
        <v>2282</v>
      </c>
      <c r="AA53" s="1315">
        <f>ROUND(PRODUCT(AA49:AA52),3)</f>
        <v>0</v>
      </c>
      <c r="AB53" s="1315">
        <f>ROUND(PRODUCT(AB49:AB52),3)</f>
        <v>0</v>
      </c>
      <c r="AC53" s="1315">
        <f>ROUND(PRODUCT(AC49:AC52),3)</f>
        <v>0</v>
      </c>
      <c r="AD53" s="1315">
        <f>ROUND(PRODUCT(AD49:AD52),3)</f>
        <v>0</v>
      </c>
      <c r="AE53" s="1315">
        <f>ROUND(PRODUCT(AE49:AE52),3)</f>
        <v>0</v>
      </c>
      <c r="AG53" s="60"/>
      <c r="AH53" s="83" t="s">
        <v>2281</v>
      </c>
      <c r="AI53" s="1315">
        <f>ROUND(PRODUCT(AI49:AI52),3)</f>
        <v>0</v>
      </c>
      <c r="AJ53" s="1315">
        <f>ROUND(PRODUCT(AJ49:AJ52),3)</f>
        <v>0</v>
      </c>
      <c r="AK53" s="1315">
        <f>ROUND(PRODUCT(AK49:AK52),3)</f>
        <v>0</v>
      </c>
      <c r="AL53" s="1315">
        <f>ROUND(PRODUCT(AL49:AL52),3)</f>
        <v>0</v>
      </c>
      <c r="AM53" s="1315">
        <f>ROUND(PRODUCT(AM49:AM52),3)</f>
        <v>0</v>
      </c>
      <c r="AO53" s="60"/>
      <c r="AP53" s="83" t="s">
        <v>2282</v>
      </c>
      <c r="AQ53" s="1315">
        <f>ROUND(PRODUCT(AQ49:AQ52),3)</f>
        <v>0</v>
      </c>
      <c r="AR53" s="1315">
        <f>ROUND(PRODUCT(AR49:AR52),3)</f>
        <v>0</v>
      </c>
      <c r="AS53" s="1315">
        <f>ROUND(PRODUCT(AS49:AS52),3)</f>
        <v>0</v>
      </c>
      <c r="AT53" s="1315">
        <f>ROUND(PRODUCT(AT49:AT52),3)</f>
        <v>0</v>
      </c>
      <c r="AU53" s="1315">
        <f>ROUND(PRODUCT(AU49:AU52),3)</f>
        <v>0</v>
      </c>
    </row>
    <row r="54" spans="10:47" x14ac:dyDescent="0.2">
      <c r="J54" s="8"/>
      <c r="K54" s="146"/>
      <c r="L54" s="146"/>
      <c r="M54" s="146"/>
      <c r="N54" s="146"/>
      <c r="O54" s="146"/>
      <c r="Q54" s="60"/>
      <c r="R54" s="83"/>
      <c r="S54" s="1312"/>
      <c r="T54" s="1312"/>
      <c r="U54" s="1312"/>
      <c r="V54" s="1312"/>
      <c r="W54" s="1312"/>
      <c r="AG54" s="60"/>
      <c r="AH54" s="83"/>
      <c r="AI54" s="1312"/>
      <c r="AJ54" s="1312"/>
      <c r="AK54" s="1312"/>
      <c r="AL54" s="1312"/>
      <c r="AM54" s="1312"/>
    </row>
    <row r="55" spans="10:47" x14ac:dyDescent="0.2">
      <c r="J55" s="8"/>
      <c r="K55" s="146"/>
      <c r="L55" s="146"/>
      <c r="M55" s="146"/>
      <c r="N55" s="146"/>
      <c r="O55" s="146"/>
      <c r="Q55" s="60" t="s">
        <v>2183</v>
      </c>
      <c r="R55" s="83"/>
      <c r="S55" s="1312"/>
      <c r="T55" s="1312"/>
      <c r="U55" s="1312"/>
      <c r="V55" s="1312"/>
      <c r="W55" s="1312"/>
      <c r="Y55" s="60" t="s">
        <v>2183</v>
      </c>
      <c r="Z55" s="83"/>
      <c r="AA55" s="1312"/>
      <c r="AB55" s="1312"/>
      <c r="AC55" s="1312"/>
      <c r="AD55" s="1312"/>
      <c r="AE55" s="1312"/>
      <c r="AG55" s="60" t="s">
        <v>2183</v>
      </c>
      <c r="AH55" s="83"/>
      <c r="AI55" s="1312"/>
      <c r="AJ55" s="1312"/>
      <c r="AK55" s="1312"/>
      <c r="AL55" s="1312"/>
      <c r="AM55" s="1312"/>
      <c r="AO55" s="60" t="s">
        <v>2183</v>
      </c>
      <c r="AP55" s="83"/>
      <c r="AQ55" s="1312"/>
      <c r="AR55" s="1312"/>
      <c r="AS55" s="1312"/>
      <c r="AT55" s="1312"/>
      <c r="AU55" s="1312"/>
    </row>
    <row r="56" spans="10:47" x14ac:dyDescent="0.2">
      <c r="J56" s="8"/>
      <c r="K56" s="146"/>
      <c r="L56" s="146"/>
      <c r="M56" s="146"/>
      <c r="N56" s="146"/>
      <c r="O56" s="146"/>
      <c r="R56" s="1117" t="s">
        <v>2184</v>
      </c>
      <c r="S56" s="478">
        <f>IF(ISNUMBER($I4),$I4,0)</f>
        <v>0</v>
      </c>
      <c r="T56" s="478">
        <f>IF(ISNUMBER($I5),$I5,0)</f>
        <v>0</v>
      </c>
      <c r="U56" s="478">
        <f>IF(ISNUMBER($I6),$I6,0)</f>
        <v>0</v>
      </c>
      <c r="V56" s="478">
        <f>IF(ISNUMBER($I7),$I7,0)</f>
        <v>0</v>
      </c>
      <c r="W56" s="478">
        <f>IF(ISNUMBER($I8),$I8,0)</f>
        <v>0</v>
      </c>
      <c r="Z56" s="1117" t="s">
        <v>2184</v>
      </c>
      <c r="AA56" s="478">
        <f>IF(ISNUMBER($I$4),$I$4,0)</f>
        <v>0</v>
      </c>
      <c r="AB56" s="478">
        <f>IF(ISNUMBER($I$5),$I$5,0)</f>
        <v>0</v>
      </c>
      <c r="AC56" s="478">
        <f>IF(ISNUMBER($I$6),$I$6,0)</f>
        <v>0</v>
      </c>
      <c r="AD56" s="478">
        <f>IF(ISNUMBER($I$7),$I$7,0)</f>
        <v>0</v>
      </c>
      <c r="AE56" s="478">
        <f>IF(ISNUMBER($I$8),$I$8,0)</f>
        <v>0</v>
      </c>
      <c r="AH56" s="1117" t="s">
        <v>2184</v>
      </c>
      <c r="AI56" s="478">
        <f>IF(ISNUMBER($I13),$I13,0)</f>
        <v>0</v>
      </c>
      <c r="AJ56" s="478">
        <f>IF(ISNUMBER($I14),$I14,0)</f>
        <v>0</v>
      </c>
      <c r="AK56" s="478">
        <f>IF(ISNUMBER($I15),$I15,0)</f>
        <v>0</v>
      </c>
      <c r="AL56" s="478">
        <f>IF(ISNUMBER($I16),$I16,0)</f>
        <v>0</v>
      </c>
      <c r="AM56" s="478">
        <f>IF(ISNUMBER($I17),$I17,0)</f>
        <v>0</v>
      </c>
      <c r="AP56" s="1117" t="s">
        <v>2184</v>
      </c>
      <c r="AQ56" s="478">
        <f>IF(ISNUMBER($I$13),$I$13,0)</f>
        <v>0</v>
      </c>
      <c r="AR56" s="478">
        <f>IF(ISNUMBER($I$14),$I$14,0)</f>
        <v>0</v>
      </c>
      <c r="AS56" s="478">
        <f>IF(ISNUMBER($I$15),$I$15,0)</f>
        <v>0</v>
      </c>
      <c r="AT56" s="478">
        <f>IF(ISNUMBER($I$16),$I$16,0)</f>
        <v>0</v>
      </c>
      <c r="AU56" s="478">
        <f>IF(ISNUMBER($I$17),$I$17,0)</f>
        <v>0</v>
      </c>
    </row>
    <row r="57" spans="10:47" x14ac:dyDescent="0.2">
      <c r="J57" s="8"/>
      <c r="K57" s="146"/>
      <c r="L57" s="146"/>
      <c r="M57" s="146"/>
      <c r="N57" s="146"/>
      <c r="O57" s="146"/>
      <c r="Q57" s="185"/>
      <c r="R57" s="1226" t="s">
        <v>2185</v>
      </c>
      <c r="S57" s="238">
        <f>$I$9</f>
        <v>0</v>
      </c>
      <c r="T57" s="238">
        <f>$I$9</f>
        <v>0</v>
      </c>
      <c r="U57" s="238">
        <f>$I$9</f>
        <v>0</v>
      </c>
      <c r="V57" s="238">
        <f>$I$9</f>
        <v>0</v>
      </c>
      <c r="W57" s="238">
        <f>$I$9</f>
        <v>0</v>
      </c>
      <c r="Y57" s="185"/>
      <c r="Z57" s="1226" t="s">
        <v>2185</v>
      </c>
      <c r="AA57" s="238">
        <f>$I$9</f>
        <v>0</v>
      </c>
      <c r="AB57" s="238">
        <f t="shared" ref="AB57:AE57" si="7">$I$9</f>
        <v>0</v>
      </c>
      <c r="AC57" s="238">
        <f t="shared" si="7"/>
        <v>0</v>
      </c>
      <c r="AD57" s="238">
        <f t="shared" si="7"/>
        <v>0</v>
      </c>
      <c r="AE57" s="238">
        <f t="shared" si="7"/>
        <v>0</v>
      </c>
      <c r="AG57" s="185"/>
      <c r="AH57" s="1226" t="s">
        <v>2185</v>
      </c>
      <c r="AI57" s="238">
        <f>$I$18</f>
        <v>0</v>
      </c>
      <c r="AJ57" s="238">
        <f t="shared" ref="AJ57:AM57" si="8">$I$18</f>
        <v>0</v>
      </c>
      <c r="AK57" s="238">
        <f t="shared" si="8"/>
        <v>0</v>
      </c>
      <c r="AL57" s="238">
        <f t="shared" si="8"/>
        <v>0</v>
      </c>
      <c r="AM57" s="238">
        <f t="shared" si="8"/>
        <v>0</v>
      </c>
      <c r="AO57" s="185"/>
      <c r="AP57" s="1226" t="s">
        <v>2185</v>
      </c>
      <c r="AQ57" s="238">
        <f>$I$18</f>
        <v>0</v>
      </c>
      <c r="AR57" s="238">
        <f t="shared" ref="AR57:AU57" si="9">$I$18</f>
        <v>0</v>
      </c>
      <c r="AS57" s="238">
        <f t="shared" si="9"/>
        <v>0</v>
      </c>
      <c r="AT57" s="238">
        <f t="shared" si="9"/>
        <v>0</v>
      </c>
      <c r="AU57" s="238">
        <f t="shared" si="9"/>
        <v>0</v>
      </c>
    </row>
    <row r="58" spans="10:47" x14ac:dyDescent="0.2">
      <c r="J58" s="8"/>
      <c r="K58" s="146"/>
      <c r="L58" s="146"/>
      <c r="M58" s="146"/>
      <c r="N58" s="146"/>
      <c r="O58" s="146"/>
      <c r="Q58" s="146"/>
      <c r="R58" s="301" t="s">
        <v>2187</v>
      </c>
      <c r="S58" s="1313" t="e">
        <f>ROUND(S56/S57,2)</f>
        <v>#DIV/0!</v>
      </c>
      <c r="T58" s="1313" t="e">
        <f>ROUND(T56/T57,2)</f>
        <v>#DIV/0!</v>
      </c>
      <c r="U58" s="1313" t="e">
        <f>ROUND(U56/U57,2)</f>
        <v>#DIV/0!</v>
      </c>
      <c r="V58" s="1313" t="e">
        <f>ROUND(V56/V57,2)</f>
        <v>#DIV/0!</v>
      </c>
      <c r="W58" s="1313" t="e">
        <f>ROUND(W56/W57,2)</f>
        <v>#DIV/0!</v>
      </c>
      <c r="Y58" s="146"/>
      <c r="Z58" s="301" t="s">
        <v>2187</v>
      </c>
      <c r="AA58" s="1313" t="e">
        <f>ROUND(AA56/AA57,2)</f>
        <v>#DIV/0!</v>
      </c>
      <c r="AB58" s="1313" t="e">
        <f>ROUND(AB56/AB57,2)</f>
        <v>#DIV/0!</v>
      </c>
      <c r="AC58" s="1313" t="e">
        <f>ROUND(AC56/AC57,2)</f>
        <v>#DIV/0!</v>
      </c>
      <c r="AD58" s="1313" t="e">
        <f>ROUND(AD56/AD57,2)</f>
        <v>#DIV/0!</v>
      </c>
      <c r="AE58" s="1313" t="e">
        <f>ROUND(AE56/AE57,2)</f>
        <v>#DIV/0!</v>
      </c>
      <c r="AG58" s="146"/>
      <c r="AH58" s="301" t="s">
        <v>2187</v>
      </c>
      <c r="AI58" s="1313" t="e">
        <f>ROUND(AI56/AI57,2)</f>
        <v>#DIV/0!</v>
      </c>
      <c r="AJ58" s="1313" t="e">
        <f>ROUND(AJ56/AJ57,2)</f>
        <v>#DIV/0!</v>
      </c>
      <c r="AK58" s="1313" t="e">
        <f>ROUND(AK56/AK57,2)</f>
        <v>#DIV/0!</v>
      </c>
      <c r="AL58" s="1313" t="e">
        <f>ROUND(AL56/AL57,2)</f>
        <v>#DIV/0!</v>
      </c>
      <c r="AM58" s="1313" t="e">
        <f>ROUND(AM56/AM57,2)</f>
        <v>#DIV/0!</v>
      </c>
      <c r="AO58" s="146"/>
      <c r="AP58" s="301" t="s">
        <v>2187</v>
      </c>
      <c r="AQ58" s="1313" t="e">
        <f>ROUND(AQ56/AQ57,2)</f>
        <v>#DIV/0!</v>
      </c>
      <c r="AR58" s="1313" t="e">
        <f>ROUND(AR56/AR57,2)</f>
        <v>#DIV/0!</v>
      </c>
      <c r="AS58" s="1313" t="e">
        <f>ROUND(AS56/AS57,2)</f>
        <v>#DIV/0!</v>
      </c>
      <c r="AT58" s="1313" t="e">
        <f>ROUND(AT56/AT57,2)</f>
        <v>#DIV/0!</v>
      </c>
      <c r="AU58" s="1313" t="e">
        <f>ROUND(AU56/AU57,2)</f>
        <v>#DIV/0!</v>
      </c>
    </row>
    <row r="59" spans="10:47" x14ac:dyDescent="0.2">
      <c r="J59" s="146"/>
      <c r="K59" s="146"/>
      <c r="L59" s="146"/>
      <c r="M59" s="146"/>
      <c r="N59" s="146"/>
      <c r="O59" s="146"/>
      <c r="Q59" s="185"/>
      <c r="R59" s="1226" t="s">
        <v>2188</v>
      </c>
      <c r="S59" s="238">
        <f>PRODUCT(0.9,$I$9)</f>
        <v>0</v>
      </c>
      <c r="T59" s="238">
        <f>PRODUCT(0.9,$I$9)</f>
        <v>0</v>
      </c>
      <c r="U59" s="238">
        <f>PRODUCT(0.9,$I$9)</f>
        <v>0</v>
      </c>
      <c r="V59" s="238">
        <f>PRODUCT(0.9,$I$9)</f>
        <v>0</v>
      </c>
      <c r="W59" s="238">
        <f>PRODUCT(0.9,$I$9)</f>
        <v>0</v>
      </c>
      <c r="Y59" s="185"/>
      <c r="Z59" s="1226" t="s">
        <v>2188</v>
      </c>
      <c r="AA59" s="238">
        <f>PRODUCT(0.9,$I$9)</f>
        <v>0</v>
      </c>
      <c r="AB59" s="238">
        <f>PRODUCT(0.9,$I$9)</f>
        <v>0</v>
      </c>
      <c r="AC59" s="238">
        <f>PRODUCT(0.9,$I$9)</f>
        <v>0</v>
      </c>
      <c r="AD59" s="238">
        <f>PRODUCT(0.9,$I$9)</f>
        <v>0</v>
      </c>
      <c r="AE59" s="238">
        <f>PRODUCT(0.9,$I$9)</f>
        <v>0</v>
      </c>
      <c r="AG59" s="185"/>
      <c r="AH59" s="1226" t="s">
        <v>2188</v>
      </c>
      <c r="AI59" s="238">
        <f>PRODUCT(0.9,$I$18)</f>
        <v>0</v>
      </c>
      <c r="AJ59" s="238">
        <f>PRODUCT(0.9,$I$18)</f>
        <v>0</v>
      </c>
      <c r="AK59" s="238">
        <f>PRODUCT(0.9,$I$18)</f>
        <v>0</v>
      </c>
      <c r="AL59" s="238">
        <f>PRODUCT(0.9,$I$18)</f>
        <v>0</v>
      </c>
      <c r="AM59" s="238">
        <f>PRODUCT(0.9,$I$18)</f>
        <v>0</v>
      </c>
      <c r="AO59" s="185"/>
      <c r="AP59" s="1226" t="s">
        <v>2188</v>
      </c>
      <c r="AQ59" s="238">
        <f>PRODUCT(0.9,$I$18)</f>
        <v>0</v>
      </c>
      <c r="AR59" s="238">
        <f>PRODUCT(0.9,$I$18)</f>
        <v>0</v>
      </c>
      <c r="AS59" s="238">
        <f>PRODUCT(0.9,$I$18)</f>
        <v>0</v>
      </c>
      <c r="AT59" s="238">
        <f>PRODUCT(0.9,$I$18)</f>
        <v>0</v>
      </c>
      <c r="AU59" s="238">
        <f>PRODUCT(0.9,$I$18)</f>
        <v>0</v>
      </c>
    </row>
    <row r="60" spans="10:47" x14ac:dyDescent="0.2">
      <c r="K60" s="146"/>
      <c r="L60" s="146"/>
      <c r="M60" s="146"/>
      <c r="N60" s="146"/>
      <c r="O60" s="146"/>
      <c r="R60" s="83" t="s">
        <v>2189</v>
      </c>
      <c r="S60" s="248" t="e">
        <f>PRODUCT(S58:S59)</f>
        <v>#DIV/0!</v>
      </c>
      <c r="T60" s="248" t="e">
        <f>PRODUCT(T58:T59)</f>
        <v>#DIV/0!</v>
      </c>
      <c r="U60" s="248" t="e">
        <f>PRODUCT(U58:U59)</f>
        <v>#DIV/0!</v>
      </c>
      <c r="V60" s="248" t="e">
        <f>PRODUCT(V58:V59)</f>
        <v>#DIV/0!</v>
      </c>
      <c r="W60" s="248" t="e">
        <f>PRODUCT(W58:W59)</f>
        <v>#DIV/0!</v>
      </c>
      <c r="Z60" s="83" t="s">
        <v>2189</v>
      </c>
      <c r="AA60" s="248" t="e">
        <f>PRODUCT(AA58:AA59)</f>
        <v>#DIV/0!</v>
      </c>
      <c r="AB60" s="248" t="e">
        <f>PRODUCT(AB58:AB59)</f>
        <v>#DIV/0!</v>
      </c>
      <c r="AC60" s="248" t="e">
        <f>PRODUCT(AC58:AC59)</f>
        <v>#DIV/0!</v>
      </c>
      <c r="AD60" s="248" t="e">
        <f>PRODUCT(AD58:AD59)</f>
        <v>#DIV/0!</v>
      </c>
      <c r="AE60" s="248" t="e">
        <f>PRODUCT(AE58:AE59)</f>
        <v>#DIV/0!</v>
      </c>
      <c r="AH60" s="83" t="s">
        <v>2189</v>
      </c>
      <c r="AI60" s="248" t="e">
        <f>PRODUCT(AI58:AI59)</f>
        <v>#DIV/0!</v>
      </c>
      <c r="AJ60" s="248" t="e">
        <f>PRODUCT(AJ58:AJ59)</f>
        <v>#DIV/0!</v>
      </c>
      <c r="AK60" s="248" t="e">
        <f>PRODUCT(AK58:AK59)</f>
        <v>#DIV/0!</v>
      </c>
      <c r="AL60" s="248" t="e">
        <f>PRODUCT(AL58:AL59)</f>
        <v>#DIV/0!</v>
      </c>
      <c r="AM60" s="248" t="e">
        <f>PRODUCT(AM58:AM59)</f>
        <v>#DIV/0!</v>
      </c>
      <c r="AP60" s="83" t="s">
        <v>2189</v>
      </c>
      <c r="AQ60" s="248" t="e">
        <f>PRODUCT(AQ58:AQ59)</f>
        <v>#DIV/0!</v>
      </c>
      <c r="AR60" s="248" t="e">
        <f>PRODUCT(AR58:AR59)</f>
        <v>#DIV/0!</v>
      </c>
      <c r="AS60" s="248" t="e">
        <f>PRODUCT(AS58:AS59)</f>
        <v>#DIV/0!</v>
      </c>
      <c r="AT60" s="248" t="e">
        <f>PRODUCT(AT58:AT59)</f>
        <v>#DIV/0!</v>
      </c>
      <c r="AU60" s="248" t="e">
        <f>PRODUCT(AU58:AU59)</f>
        <v>#DIV/0!</v>
      </c>
    </row>
    <row r="61" spans="10:47" x14ac:dyDescent="0.2">
      <c r="K61" s="146"/>
      <c r="L61" s="146"/>
      <c r="M61" s="146"/>
      <c r="N61" s="146"/>
      <c r="O61" s="146"/>
      <c r="Q61" s="1332"/>
      <c r="R61" s="1333" t="s">
        <v>2193</v>
      </c>
      <c r="S61" s="1334" t="e">
        <f>IF(S60=0,"N/A",IF(ISNA(MATCH(S60,List_LOI_Bldg,0)),VLOOKUP(S60,List_LOI_Bldg,1,TRUE),"N/A"))</f>
        <v>#DIV/0!</v>
      </c>
      <c r="T61" s="1334" t="e">
        <f>IF(T60=0,"N/A",IF(ISNA(MATCH(T60,List_LOI_Bldg,0)),VLOOKUP(T60,List_LOI_Bldg,1,TRUE),"N/A"))</f>
        <v>#DIV/0!</v>
      </c>
      <c r="U61" s="1334" t="e">
        <f>IF(U60=0,"N/A",IF(ISNA(MATCH(U60,List_LOI_Bldg,0)),VLOOKUP(U60,List_LOI_Bldg,1,TRUE),"N/A"))</f>
        <v>#DIV/0!</v>
      </c>
      <c r="V61" s="1335" t="e">
        <f>IF(V60=0,"N/A",IF(ISNA(MATCH(V60,List_LOI_Bldg,0)),VLOOKUP(V60,List_LOI_Bldg,1,TRUE),"N/A"))</f>
        <v>#DIV/0!</v>
      </c>
      <c r="W61" s="1335" t="e">
        <f>IF(W60=0,"N/A",IF(ISNA(MATCH(W60,List_LOI_Bldg,0)),VLOOKUP(W60,List_LOI_Bldg,1,TRUE),"N/A"))</f>
        <v>#DIV/0!</v>
      </c>
      <c r="Y61" s="1332"/>
      <c r="Z61" s="1333" t="s">
        <v>2193</v>
      </c>
      <c r="AA61" s="1334" t="e">
        <f>IF(AA60=0,"N/A",IF(ISNA(MATCH(AA60,List_LOI_Bldg,0)),VLOOKUP(AA60,List_LOI_Bldg,1,TRUE),"N/A"))</f>
        <v>#DIV/0!</v>
      </c>
      <c r="AB61" s="1334" t="e">
        <f>IF(AB60=0,"N/A",IF(ISNA(MATCH(AB60,List_LOI_Bldg,0)),VLOOKUP(AB60,List_LOI_Bldg,1,TRUE),"N/A"))</f>
        <v>#DIV/0!</v>
      </c>
      <c r="AC61" s="1335" t="e">
        <f>IF(AC60=0,"N/A",IF(ISNA(MATCH(AC60,List_LOI_Bldg,0)),VLOOKUP(AC60,List_LOI_Bldg,1,TRUE),"N/A"))</f>
        <v>#DIV/0!</v>
      </c>
      <c r="AD61" s="1335" t="e">
        <f>IF(AD60=0,"N/A",IF(ISNA(MATCH(AD60,List_LOI_Bldg,0)),VLOOKUP(AD60,List_LOI_Bldg,1,TRUE),"N/A"))</f>
        <v>#DIV/0!</v>
      </c>
      <c r="AE61" s="1335" t="e">
        <f>IF(AE60=0,"N/A",IF(ISNA(MATCH(AE60,List_LOI_Bldg,0)),VLOOKUP(AE60,List_LOI_Bldg,1,TRUE),"N/A"))</f>
        <v>#DIV/0!</v>
      </c>
      <c r="AG61" s="1332"/>
      <c r="AH61" s="1333" t="s">
        <v>2193</v>
      </c>
      <c r="AI61" s="1334" t="e">
        <f>IF(AI60=0,"N/A",IF(ISNA(MATCH(AI60,List_LOI_PP,0)),VLOOKUP(AI60,List_LOI_PP,1,TRUE),"N/A"))</f>
        <v>#DIV/0!</v>
      </c>
      <c r="AJ61" s="1334" t="e">
        <f>IF(AJ60=0,"N/A",IF(ISNA(MATCH(AJ60,List_LOI_PP,0)),VLOOKUP(AJ60,List_LOI_PP,1,TRUE),"N/A"))</f>
        <v>#DIV/0!</v>
      </c>
      <c r="AK61" s="1334" t="e">
        <f>IF(AK60=0,"N/A",IF(ISNA(MATCH(AK60,List_LOI_PP,0)),VLOOKUP(AK60,List_LOI_PP,1,TRUE),"N/A"))</f>
        <v>#DIV/0!</v>
      </c>
      <c r="AL61" s="1335" t="e">
        <f>IF(AL60=0,"N/A",IF(ISNA(MATCH(AL60,List_LOI_PP,0)),VLOOKUP(AL60,List_LOI_PP,1,TRUE),"N/A"))</f>
        <v>#DIV/0!</v>
      </c>
      <c r="AM61" s="1335" t="e">
        <f>IF(AM60=0,"N/A",IF(ISNA(MATCH(AM60,List_LOI_PP,0)),VLOOKUP(AM60,List_LOI_PP,1,TRUE),"N/A"))</f>
        <v>#DIV/0!</v>
      </c>
      <c r="AO61" s="1332"/>
      <c r="AP61" s="1333" t="s">
        <v>2193</v>
      </c>
      <c r="AQ61" s="1334" t="e">
        <f>IF(AQ60=0,"N/A",IF(ISNA(MATCH(AQ60,List_LOI_PP,0)),VLOOKUP(AQ60,List_LOI_PP,1,TRUE),"N/A"))</f>
        <v>#DIV/0!</v>
      </c>
      <c r="AR61" s="1334" t="e">
        <f>IF(AR60=0,"N/A",IF(ISNA(MATCH(AR60,List_LOI_PP,0)),VLOOKUP(AR60,List_LOI_PP,1,TRUE),"N/A"))</f>
        <v>#DIV/0!</v>
      </c>
      <c r="AS61" s="1335" t="e">
        <f>IF(AS60=0,"N/A",IF(ISNA(MATCH(AS60,List_LOI_PP,0)),VLOOKUP(AS60,List_LOI_PP,1,TRUE),"N/A"))</f>
        <v>#DIV/0!</v>
      </c>
      <c r="AT61" s="1335" t="e">
        <f>IF(AT60=0,"N/A",IF(ISNA(MATCH(AT60,List_LOI_PP,0)),VLOOKUP(AT60,List_LOI_PP,1,TRUE),"N/A"))</f>
        <v>#DIV/0!</v>
      </c>
      <c r="AU61" s="1335" t="e">
        <f>IF(AU60=0,"N/A",IF(ISNA(MATCH(AU60,List_LOI_PP,0)),VLOOKUP(AU60,List_LOI_PP,1,TRUE),"N/A"))</f>
        <v>#DIV/0!</v>
      </c>
    </row>
    <row r="62" spans="10:47" x14ac:dyDescent="0.2">
      <c r="K62" s="146"/>
      <c r="L62" s="146"/>
      <c r="M62" s="146"/>
      <c r="N62" s="146"/>
      <c r="O62" s="146"/>
      <c r="Q62" s="1336"/>
      <c r="R62" s="1337" t="s">
        <v>2194</v>
      </c>
      <c r="S62" s="1338" t="e">
        <f>IF(S61="N/A",0,INDEX(List_LOI_Bldg,MATCH(S61,List_LOI_Bldg,0)+1,1))</f>
        <v>#DIV/0!</v>
      </c>
      <c r="T62" s="1338" t="e">
        <f>IF(T61="N/A",0,INDEX(List_LOI_Bldg,MATCH(T61,List_LOI_Bldg,0)+1,1))</f>
        <v>#DIV/0!</v>
      </c>
      <c r="U62" s="1338" t="e">
        <f>IF(U61="N/A",0,INDEX(List_LOI_Bldg,MATCH(U61,List_LOI_Bldg,0)+1,1))</f>
        <v>#DIV/0!</v>
      </c>
      <c r="V62" s="1338" t="e">
        <f>IF(V61="N/A",0,INDEX(List_LOI_Bldg,MATCH(V61,List_LOI_Bldg,0)+1,1))</f>
        <v>#DIV/0!</v>
      </c>
      <c r="W62" s="1338" t="e">
        <f>IF(W61="N/A",0,INDEX(List_LOI_Bldg,MATCH(W61,List_LOI_Bldg,0)+1,1))</f>
        <v>#DIV/0!</v>
      </c>
      <c r="Y62" s="1336"/>
      <c r="Z62" s="1337" t="s">
        <v>2194</v>
      </c>
      <c r="AA62" s="1338" t="e">
        <f>IF(AA61="N/A",0,INDEX(List_LOI_Bldg,MATCH(AA61,List_LOI_Bldg,0)+1,1))</f>
        <v>#DIV/0!</v>
      </c>
      <c r="AB62" s="1338" t="e">
        <f>IF(AB61="N/A",0,INDEX(List_LOI_Bldg,MATCH(AB61,List_LOI_Bldg,0)+1,1))</f>
        <v>#DIV/0!</v>
      </c>
      <c r="AC62" s="1338" t="e">
        <f>IF(AC61="N/A",0,INDEX(List_LOI_Bldg,MATCH(AC61,List_LOI_Bldg,0)+1,1))</f>
        <v>#DIV/0!</v>
      </c>
      <c r="AD62" s="1338" t="e">
        <f>IF(AD61="N/A",0,INDEX(List_LOI_Bldg,MATCH(AD61,List_LOI_Bldg,0)+1,1))</f>
        <v>#DIV/0!</v>
      </c>
      <c r="AE62" s="1338" t="e">
        <f>IF(AE61="N/A",0,INDEX(List_LOI_Bldg,MATCH(AE61,List_LOI_Bldg,0)+1,1))</f>
        <v>#DIV/0!</v>
      </c>
      <c r="AG62" s="1336"/>
      <c r="AH62" s="1337" t="s">
        <v>2194</v>
      </c>
      <c r="AI62" s="1338" t="e">
        <f>IF(AI61="N/A",0,INDEX(List_LOI_PP,MATCH(AI61,List_LOI_PP,0)+1,1))</f>
        <v>#DIV/0!</v>
      </c>
      <c r="AJ62" s="1338" t="e">
        <f>IF(AJ61="N/A",0,INDEX(List_LOI_PP,MATCH(AJ61,List_LOI_PP,0)+1,1))</f>
        <v>#DIV/0!</v>
      </c>
      <c r="AK62" s="1338" t="e">
        <f>IF(AK61="N/A",0,INDEX(List_LOI_PP,MATCH(AK61,List_LOI_PP,0)+1,1))</f>
        <v>#DIV/0!</v>
      </c>
      <c r="AL62" s="1338" t="e">
        <f>IF(AL61="N/A",0,INDEX(List_LOI_PP,MATCH(AL61,List_LOI_PP,0)+1,1))</f>
        <v>#DIV/0!</v>
      </c>
      <c r="AM62" s="1338" t="e">
        <f>IF(AM61="N/A",0,INDEX(List_LOI_PP,MATCH(AM61,List_LOI_PP,0)+1,1))</f>
        <v>#DIV/0!</v>
      </c>
      <c r="AO62" s="1336"/>
      <c r="AP62" s="1337" t="s">
        <v>2194</v>
      </c>
      <c r="AQ62" s="1338" t="e">
        <f>IF(AQ61="N/A",0,INDEX(List_LOI_PP,MATCH(AQ61,List_LOI_PP,0)+1,1))</f>
        <v>#DIV/0!</v>
      </c>
      <c r="AR62" s="1338" t="e">
        <f>IF(AR61="N/A",0,INDEX(List_LOI_PP,MATCH(AR61,List_LOI_PP,0)+1,1))</f>
        <v>#DIV/0!</v>
      </c>
      <c r="AS62" s="1338" t="e">
        <f>IF(AS61="N/A",0,INDEX(List_LOI_PP,MATCH(AS61,List_LOI_PP,0)+1,1))</f>
        <v>#DIV/0!</v>
      </c>
      <c r="AT62" s="1338" t="e">
        <f>IF(AT61="N/A",0,INDEX(List_LOI_PP,MATCH(AT61,List_LOI_PP,0)+1,1))</f>
        <v>#DIV/0!</v>
      </c>
      <c r="AU62" s="1338" t="e">
        <f>IF(AU61="N/A",0,INDEX(List_LOI_PP,MATCH(AU61,List_LOI_PP,0)+1,1))</f>
        <v>#DIV/0!</v>
      </c>
    </row>
    <row r="63" spans="10:47" x14ac:dyDescent="0.2">
      <c r="Q63" s="185"/>
      <c r="R63" s="1226" t="s">
        <v>2195</v>
      </c>
      <c r="S63" s="1457" t="e">
        <f>IF(S60=0,0,IF(AND(S61="N/A",S60&gt;0),VLOOKUP(S60,Table_LOI_Bldg,MATCH("SP",List_Relatives,0)+1,FALSE),
ROUND(VLOOKUP(S61,Table_LOI_Bldg,MATCH("SP",List_Relatives,0)+1,FALSE) -
ROUND(PRODUCT((VLOOKUP(S61,Table_LOI_Bldg,MATCH("SP",List_Relatives,0)+1,FALSE) - VLOOKUP(S62,Table_LOI_Bldg,MATCH("SP",List_Relatives,0)+1,FALSE)),S60-S61)/(S62-S61),4),4)))</f>
        <v>#DIV/0!</v>
      </c>
      <c r="T63" s="1457" t="e">
        <f>IF(T60=0,0,IF(AND(T61="N/A",T60&gt;0),VLOOKUP(T60,Table_LOI_Bldg,MATCH("SP",List_Relatives,0)+1,FALSE),
ROUND(VLOOKUP(T61,Table_LOI_Bldg,MATCH("SP",List_Relatives,0)+1,FALSE) -
ROUND(PRODUCT((VLOOKUP(T61,Table_LOI_Bldg,MATCH("SP",List_Relatives,0)+1,FALSE) - VLOOKUP(T62,Table_LOI_Bldg,MATCH("SP",List_Relatives,0)+1,FALSE)),T60-T61)/(T62-T61),4),4)))</f>
        <v>#DIV/0!</v>
      </c>
      <c r="U63" s="1457" t="e">
        <f>IF(U60=0,0,IF(AND(U61="N/A",U60&gt;0),VLOOKUP(U60,Table_LOI_Bldg,MATCH("SP",List_Relatives,0)+1,FALSE),
ROUND(VLOOKUP(U61,Table_LOI_Bldg,MATCH("SP",List_Relatives,0)+1,FALSE) -
ROUND(PRODUCT((VLOOKUP(U61,Table_LOI_Bldg,MATCH("SP",List_Relatives,0)+1,FALSE) - VLOOKUP(U62,Table_LOI_Bldg,MATCH("SP",List_Relatives,0)+1,FALSE)),U60-U61)/(U62-U61),4),4)))</f>
        <v>#DIV/0!</v>
      </c>
      <c r="V63" s="1457" t="e">
        <f>IF(V60=0,0,IF(AND(V61="N/A",V60&gt;0),VLOOKUP(V60,Table_LOI_Bldg,MATCH("SP",List_Relatives,0)+1,FALSE),
ROUND(VLOOKUP(V61,Table_LOI_Bldg,MATCH("SP",List_Relatives,0)+1,FALSE) -
ROUND(PRODUCT((VLOOKUP(V61,Table_LOI_Bldg,MATCH("SP",List_Relatives,0)+1,FALSE) - VLOOKUP(V62,Table_LOI_Bldg,MATCH("SP",List_Relatives,0)+1,FALSE)),V60-V61)/(V62-V61),4),4)))</f>
        <v>#DIV/0!</v>
      </c>
      <c r="W63" s="1457" t="e">
        <f>IF(W60=0,0,IF(AND(W61="N/A",W60&gt;0),VLOOKUP(W60,Table_LOI_Bldg,MATCH("SP",List_Relatives,0)+1,FALSE),
ROUND(VLOOKUP(W61,Table_LOI_Bldg,MATCH("SP",List_Relatives,0)+1,FALSE) -
ROUND(PRODUCT((VLOOKUP(W61,Table_LOI_Bldg,MATCH("SP",List_Relatives,0)+1,FALSE) - VLOOKUP(W62,Table_LOI_Bldg,MATCH("SP",List_Relatives,0)+1,FALSE)),W60-W61)/(W62-W61),4),4)))</f>
        <v>#DIV/0!</v>
      </c>
      <c r="Y63" s="185"/>
      <c r="Z63" s="1226" t="s">
        <v>2195</v>
      </c>
      <c r="AA63" s="1457" t="e">
        <f>IF(AA60=0,0,IF(AND(AA61="N/A",AA60&gt;0),VLOOKUP(AA60,Table_LOI_Bldg,MATCH("BR",List_Relatives,0)+1,FALSE),
ROUND(VLOOKUP(AA61,Table_LOI_Bldg,MATCH("BR",List_Relatives,0)+1,FALSE) -
ROUND(PRODUCT((VLOOKUP(AA61,Table_LOI_Bldg,MATCH("BR",List_Relatives,0)+1,FALSE) - VLOOKUP(AA62,Table_LOI_Bldg,MATCH("BR",List_Relatives,0)+1,FALSE)),AA60-AA61)/(AA62-AA61),4),4)))</f>
        <v>#DIV/0!</v>
      </c>
      <c r="AB63" s="1457" t="e">
        <f>IF(AB60=0,0,IF(AND(AB61="N/A",AB60&gt;0),VLOOKUP(AB60,Table_LOI_Bldg,MATCH("BR",List_Relatives,0)+1,FALSE),
ROUND(VLOOKUP(AB61,Table_LOI_Bldg,MATCH("BR",List_Relatives,0)+1,FALSE) -
ROUND(PRODUCT((VLOOKUP(AB61,Table_LOI_Bldg,MATCH("BR",List_Relatives,0)+1,FALSE) - VLOOKUP(AB62,Table_LOI_Bldg,MATCH("BR",List_Relatives,0)+1,FALSE)),AB60-AB61)/(AB62-AB61),4),4)))</f>
        <v>#DIV/0!</v>
      </c>
      <c r="AC63" s="1457" t="e">
        <f>IF(AC60=0,0,IF(AND(AC61="N/A",AC60&gt;0),VLOOKUP(AC60,Table_LOI_Bldg,MATCH("BR",List_Relatives,0)+1,FALSE),
ROUND(VLOOKUP(AC61,Table_LOI_Bldg,MATCH("BR",List_Relatives,0)+1,FALSE) -
ROUND(PRODUCT((VLOOKUP(AC61,Table_LOI_Bldg,MATCH("BR",List_Relatives,0)+1,FALSE) - VLOOKUP(AC62,Table_LOI_Bldg,MATCH("BR",List_Relatives,0)+1,FALSE)),AC60-AC61)/(AC62-AC61),4),4)))</f>
        <v>#DIV/0!</v>
      </c>
      <c r="AD63" s="1457" t="e">
        <f>IF(AD60=0,0,IF(AND(AD61="N/A",AD60&gt;0),VLOOKUP(AD60,Table_LOI_Bldg,MATCH($G41,List_Relatives,0)+1,FALSE),
ROUND(VLOOKUP(AD61,Table_LOI_Bldg,MATCH($G41,List_Relatives,0)+1,FALSE) -
ROUND(PRODUCT((VLOOKUP(AD61,Table_LOI_Bldg,MATCH($G41,List_Relatives,0)+1,FALSE) - VLOOKUP(AD62,Table_LOI_Bldg,MATCH($G41,List_Relatives,0)+1,FALSE)),AD60-AD61)/(AD62-AD61),4),4)))</f>
        <v>#DIV/0!</v>
      </c>
      <c r="AE63" s="1457" t="e">
        <f>IF(AE60=0,0,IF(AND(AE61="N/A",AE60&gt;0),VLOOKUP(AE60,Table_LOI_Bldg,MATCH($G42,List_Relatives,0)+1,FALSE),
ROUND(VLOOKUP(AE61,Table_LOI_Bldg,MATCH($G42,List_Relatives,0)+1,FALSE) -
ROUND(PRODUCT((VLOOKUP(AE61,Table_LOI_Bldg,MATCH($G42,List_Relatives,0)+1,FALSE) - VLOOKUP(AE62,Table_LOI_Bldg,MATCH($G42,List_Relatives,0)+1,FALSE)),AE60-AE61)/(AE62-AE61),4),4)))</f>
        <v>#DIV/0!</v>
      </c>
      <c r="AG63" s="185"/>
      <c r="AH63" s="1226" t="s">
        <v>2195</v>
      </c>
      <c r="AI63" s="1457" t="e">
        <f>IF(AI60=0,0,IF(AND(AI61="N/A",AI60&gt;0),VLOOKUP(AI60,Table_LOI_PP,MATCH("SP",List_Relatives,0)+1,FALSE),
ROUND(VLOOKUP(AI61,Table_LOI_PP,MATCH("SP",List_Relatives,0)+1,FALSE) -
ROUND(PRODUCT((VLOOKUP(AI61,Table_LOI_PP,MATCH("SP",List_Relatives,0)+1,FALSE) - VLOOKUP(AI62,Table_LOI_PP,MATCH("SP",List_Relatives,0)+1,FALSE)),AI60-AI61)/(AI62-AI61),4),4)))</f>
        <v>#DIV/0!</v>
      </c>
      <c r="AJ63" s="1457" t="e">
        <f>IF(AJ60=0,0,IF(AND(AJ61="N/A",AJ60&gt;0),VLOOKUP(AJ60,Table_LOI_PP,MATCH("SP",List_Relatives,0)+1,FALSE),
ROUND(VLOOKUP(AJ61,Table_LOI_PP,MATCH("SP",List_Relatives,0)+1,FALSE) -
ROUND(PRODUCT((VLOOKUP(AJ61,Table_LOI_PP,MATCH("SP",List_Relatives,0)+1,FALSE) - VLOOKUP(AJ62,Table_LOI_PP,MATCH("SP",List_Relatives,0)+1,FALSE)),AJ60-AJ61)/(AJ62-AJ61),4),4)))</f>
        <v>#DIV/0!</v>
      </c>
      <c r="AK63" s="1457" t="e">
        <f>IF(AK60=0,0,IF(AND(AK61="N/A",AK60&gt;0),VLOOKUP(AK60,Table_LOI_PP,MATCH("SP",List_Relatives,0)+1,FALSE),
ROUND(VLOOKUP(AK61,Table_LOI_PP,MATCH("SP",List_Relatives,0)+1,FALSE) -
ROUND(PRODUCT((VLOOKUP(AK61,Table_LOI_PP,MATCH("SP",List_Relatives,0)+1,FALSE) - VLOOKUP(AK62,Table_LOI_PP,MATCH("SP",List_Relatives,0)+1,FALSE)),AK60-AK61)/(AK62-AK61),4),4)))</f>
        <v>#DIV/0!</v>
      </c>
      <c r="AL63" s="1457" t="e">
        <f>IF(AL60=0,0,IF(AND(AL61="N/A",AL60&gt;0),VLOOKUP(AL60,Table_LOI_PP,MATCH("SP",List_Relatives,0)+1,FALSE),
ROUND(VLOOKUP(AL61,Table_LOI_PP,MATCH("SP",List_Relatives,0)+1,FALSE) -
ROUND(PRODUCT((VLOOKUP(AL61,Table_LOI_PP,MATCH("SP",List_Relatives,0)+1,FALSE) - VLOOKUP(AL62,Table_LOI_PP,MATCH("SP",List_Relatives,0)+1,FALSE)),AL60-AL61)/(AL62-AL61),4),4)))</f>
        <v>#DIV/0!</v>
      </c>
      <c r="AM63" s="1457" t="e">
        <f>IF(AM60=0,0,IF(AND(AM61="N/A",AM60&gt;0),VLOOKUP(AM60,Table_LOI_PP,MATCH("SP",List_Relatives,0)+1,FALSE),
ROUND(VLOOKUP(AM61,Table_LOI_PP,MATCH("SP",List_Relatives,0)+1,FALSE) -
ROUND(PRODUCT((VLOOKUP(AM61,Table_LOI_PP,MATCH("SP",List_Relatives,0)+1,FALSE) - VLOOKUP(AM62,Table_LOI_PP,MATCH("SP",List_Relatives,0)+1,FALSE)),AM60-AM61)/(AM62-AM61),4),4)))</f>
        <v>#DIV/0!</v>
      </c>
      <c r="AO63" s="185"/>
      <c r="AP63" s="1226" t="s">
        <v>2195</v>
      </c>
      <c r="AQ63" s="1457" t="e">
        <f>IF(AQ60=0,0,IF(AND(AQ61="N/A",AQ60&gt;0),VLOOKUP(AQ60,Table_LOI_PP,MATCH("BR",List_Relatives,0)+1,FALSE),
ROUND(VLOOKUP(AQ61,Table_LOI_PP,MATCH("BR",List_Relatives,0)+1,FALSE) -
ROUND(PRODUCT((VLOOKUP(AQ61,Table_LOI_PP,MATCH("BR",List_Relatives,0)+1,FALSE) - VLOOKUP(AQ62,Table_LOI_PP,MATCH("BR",List_Relatives,0)+1,FALSE)),AQ60-AQ61)/(AQ62-AQ61),4),4)))</f>
        <v>#DIV/0!</v>
      </c>
      <c r="AR63" s="1457" t="e">
        <f>IF(AR60=0,0,IF(AND(AR61="N/A",AR60&gt;0),VLOOKUP(AR60,Table_LOI_PP,MATCH("BR",List_Relatives,0)+1,FALSE),
ROUND(VLOOKUP(AR61,Table_LOI_PP,MATCH("BR",List_Relatives,0)+1,FALSE) -
ROUND(PRODUCT((VLOOKUP(AR61,Table_LOI_PP,MATCH("BR",List_Relatives,0)+1,FALSE) - VLOOKUP(AR62,Table_LOI_PP,MATCH("BR",List_Relatives,0)+1,FALSE)),AR60-AR61)/(AR62-AR61),4),4)))</f>
        <v>#DIV/0!</v>
      </c>
      <c r="AS63" s="1457" t="e">
        <f>IF(AS60=0,0,IF(AND(AS61="N/A",AS60&gt;0),VLOOKUP(AS60,Table_LOI_PP,MATCH("BR",List_Relatives,0)+1,FALSE),
ROUND(VLOOKUP(AS61,Table_LOI_PP,MATCH("BR",List_Relatives,0)+1,FALSE) -
ROUND(PRODUCT((VLOOKUP(AS61,Table_LOI_PP,MATCH("BR",List_Relatives,0)+1,FALSE) - VLOOKUP(AS62,Table_LOI_PP,MATCH("BR",List_Relatives,0)+1,FALSE)),AS60-AS61)/(AS62-AS61),4),4)))</f>
        <v>#DIV/0!</v>
      </c>
      <c r="AT63" s="1457" t="e">
        <f>IF(AT60=0,0,IF(AND(AT61="N/A",AT60&gt;0),VLOOKUP(AT60,Table_LOI_PP,MATCH($G131,List_Relatives,0)+1,FALSE),
ROUND(VLOOKUP(AT61,Table_LOI_PP,MATCH($G131,List_Relatives,0)+1,FALSE) -
ROUND(PRODUCT((VLOOKUP(AT61,Table_LOI_PP,MATCH($G131,List_Relatives,0)+1,FALSE) - VLOOKUP(AT62,Table_LOI_PP,MATCH($G131,List_Relatives,0)+1,FALSE)),AT60-AT61)/(AT62-AT61),4),4)))</f>
        <v>#DIV/0!</v>
      </c>
      <c r="AU63" s="1457" t="e">
        <f>IF(AU60=0,0,IF(AND(AU61="N/A",AU60&gt;0),VLOOKUP(AU60,Table_LOI_PP,MATCH($G132,List_Relatives,0)+1,FALSE),
ROUND(VLOOKUP(AU61,Table_LOI_PP,MATCH($G132,List_Relatives,0)+1,FALSE) -
ROUND(PRODUCT((VLOOKUP(AU61,Table_LOI_PP,MATCH($G132,List_Relatives,0)+1,FALSE) - VLOOKUP(AU62,Table_LOI_PP,MATCH($G132,List_Relatives,0)+1,FALSE)),AU60-AU61)/(AU62-AU61),4),4)))</f>
        <v>#DIV/0!</v>
      </c>
    </row>
    <row r="64" spans="10:47" x14ac:dyDescent="0.2">
      <c r="R64" s="83" t="s">
        <v>2196</v>
      </c>
      <c r="S64" s="247" t="e">
        <f>PRODUCT(S53,S63)</f>
        <v>#DIV/0!</v>
      </c>
      <c r="T64" s="247" t="e">
        <f>PRODUCT(T53,T63)</f>
        <v>#DIV/0!</v>
      </c>
      <c r="U64" s="2" t="e">
        <f>PRODUCT(U53,U63)</f>
        <v>#DIV/0!</v>
      </c>
      <c r="V64" s="2" t="e">
        <f>PRODUCT(V53,V63)</f>
        <v>#DIV/0!</v>
      </c>
      <c r="W64" s="2" t="e">
        <f>PRODUCT(W53,W63)</f>
        <v>#DIV/0!</v>
      </c>
      <c r="Z64" s="83" t="s">
        <v>2196</v>
      </c>
      <c r="AA64" s="2" t="e">
        <f>PRODUCT(AA53,AA63)</f>
        <v>#DIV/0!</v>
      </c>
      <c r="AB64" s="2" t="e">
        <f>PRODUCT(AB53,AB63)</f>
        <v>#DIV/0!</v>
      </c>
      <c r="AC64" s="2" t="e">
        <f>PRODUCT(AC53,AC63)</f>
        <v>#DIV/0!</v>
      </c>
      <c r="AD64" s="2" t="e">
        <f>PRODUCT(AD53,AD63)</f>
        <v>#DIV/0!</v>
      </c>
      <c r="AE64" s="2" t="e">
        <f>PRODUCT(AE53,AE63)</f>
        <v>#DIV/0!</v>
      </c>
      <c r="AH64" s="83" t="s">
        <v>2196</v>
      </c>
      <c r="AI64" s="247" t="e">
        <f>PRODUCT(AI53,AI63)</f>
        <v>#DIV/0!</v>
      </c>
      <c r="AJ64" s="247" t="e">
        <f>PRODUCT(AJ53,AJ63)</f>
        <v>#DIV/0!</v>
      </c>
      <c r="AK64" s="2" t="e">
        <f>PRODUCT(AK53,AK63)</f>
        <v>#DIV/0!</v>
      </c>
      <c r="AL64" s="2" t="e">
        <f>PRODUCT(AL53,AL63)</f>
        <v>#DIV/0!</v>
      </c>
      <c r="AM64" s="2" t="e">
        <f>PRODUCT(AM53,AM63)</f>
        <v>#DIV/0!</v>
      </c>
      <c r="AP64" s="83" t="s">
        <v>2196</v>
      </c>
      <c r="AQ64" s="2" t="e">
        <f>PRODUCT(AQ53,AQ63)</f>
        <v>#DIV/0!</v>
      </c>
      <c r="AR64" s="2" t="e">
        <f>PRODUCT(AR53,AR63)</f>
        <v>#DIV/0!</v>
      </c>
      <c r="AS64" s="2" t="e">
        <f>PRODUCT(AS53,AS63)</f>
        <v>#DIV/0!</v>
      </c>
      <c r="AT64" s="2" t="e">
        <f>PRODUCT(AT53,AT63)</f>
        <v>#DIV/0!</v>
      </c>
      <c r="AU64" s="2" t="e">
        <f>PRODUCT(AU53,AU63)</f>
        <v>#DIV/0!</v>
      </c>
    </row>
    <row r="65" spans="17:47" x14ac:dyDescent="0.2">
      <c r="R65" s="1117" t="s">
        <v>2330</v>
      </c>
      <c r="S65" s="247">
        <f>$C$14</f>
        <v>1</v>
      </c>
      <c r="T65" s="247">
        <f t="shared" ref="T65:W65" si="10">$C$14</f>
        <v>1</v>
      </c>
      <c r="U65" s="247">
        <f t="shared" si="10"/>
        <v>1</v>
      </c>
      <c r="V65" s="247">
        <f t="shared" si="10"/>
        <v>1</v>
      </c>
      <c r="W65" s="247">
        <f t="shared" si="10"/>
        <v>1</v>
      </c>
      <c r="Z65" s="1117" t="s">
        <v>2330</v>
      </c>
      <c r="AA65" s="247">
        <v>1</v>
      </c>
      <c r="AB65" s="247">
        <v>1</v>
      </c>
      <c r="AC65" s="247">
        <v>1</v>
      </c>
      <c r="AD65" s="247">
        <v>1</v>
      </c>
      <c r="AE65" s="247">
        <v>1</v>
      </c>
      <c r="AH65" s="1117" t="s">
        <v>2330</v>
      </c>
      <c r="AI65" s="247">
        <f>$C$14</f>
        <v>1</v>
      </c>
      <c r="AJ65" s="247">
        <f t="shared" ref="AJ65:AM65" si="11">$C$14</f>
        <v>1</v>
      </c>
      <c r="AK65" s="247">
        <f t="shared" si="11"/>
        <v>1</v>
      </c>
      <c r="AL65" s="247">
        <f t="shared" si="11"/>
        <v>1</v>
      </c>
      <c r="AM65" s="247">
        <f t="shared" si="11"/>
        <v>1</v>
      </c>
      <c r="AP65" s="1117" t="s">
        <v>2330</v>
      </c>
      <c r="AQ65" s="247">
        <v>1</v>
      </c>
      <c r="AR65" s="247">
        <v>1</v>
      </c>
      <c r="AS65" s="247">
        <v>1</v>
      </c>
      <c r="AT65" s="247">
        <v>1</v>
      </c>
      <c r="AU65" s="247">
        <v>1</v>
      </c>
    </row>
    <row r="66" spans="17:47" x14ac:dyDescent="0.2">
      <c r="Q66" s="185"/>
      <c r="R66" s="1226" t="s">
        <v>2197</v>
      </c>
      <c r="S66" s="238">
        <f>IF(ISNUMBER($I4),$I4,0)</f>
        <v>0</v>
      </c>
      <c r="T66" s="238">
        <f>IF(ISNUMBER($I5),$I5,0)</f>
        <v>0</v>
      </c>
      <c r="U66" s="238">
        <f>IF(ISNUMBER($I6),$I6,0)</f>
        <v>0</v>
      </c>
      <c r="V66" s="238">
        <f>IF(ISNUMBER($I7),$I7,0)</f>
        <v>0</v>
      </c>
      <c r="W66" s="238">
        <f>IF(ISNUMBER($I8),$I8,0)</f>
        <v>0</v>
      </c>
      <c r="Y66" s="185"/>
      <c r="Z66" s="1226" t="s">
        <v>2197</v>
      </c>
      <c r="AA66" s="238">
        <f>IF(ISNUMBER($I$4),$I$4,0)</f>
        <v>0</v>
      </c>
      <c r="AB66" s="238">
        <f>IF(ISNUMBER($I$5),$I$5,0)</f>
        <v>0</v>
      </c>
      <c r="AC66" s="238">
        <f>IF(ISNUMBER($I$6),$I$6,0)</f>
        <v>0</v>
      </c>
      <c r="AD66" s="238">
        <f>IF(ISNUMBER($I$7),$I$7,0)</f>
        <v>0</v>
      </c>
      <c r="AE66" s="238">
        <f>IF(ISNUMBER($I$8),$I$8,0)</f>
        <v>0</v>
      </c>
      <c r="AG66" s="185"/>
      <c r="AH66" s="1226" t="s">
        <v>2197</v>
      </c>
      <c r="AI66" s="238">
        <f>IF(ISNUMBER($I13),$I13,0)</f>
        <v>0</v>
      </c>
      <c r="AJ66" s="238">
        <f>IF(ISNUMBER($I14),$I14,0)</f>
        <v>0</v>
      </c>
      <c r="AK66" s="238">
        <f>IF(ISNUMBER($I15),$I15,0)</f>
        <v>0</v>
      </c>
      <c r="AL66" s="238">
        <f>IF(ISNUMBER($I16),$I16,0)</f>
        <v>0</v>
      </c>
      <c r="AM66" s="238">
        <f>IF(ISNUMBER($I17),$I17,0)</f>
        <v>0</v>
      </c>
      <c r="AO66" s="185"/>
      <c r="AP66" s="1226" t="s">
        <v>2197</v>
      </c>
      <c r="AQ66" s="238">
        <f>IF(ISNUMBER($I13),$I13,0)</f>
        <v>0</v>
      </c>
      <c r="AR66" s="238">
        <f>IF(ISNUMBER($I14),$I14,0)</f>
        <v>0</v>
      </c>
      <c r="AS66" s="238">
        <f>IF(ISNUMBER($I15),$I15,0)</f>
        <v>0</v>
      </c>
      <c r="AT66" s="238">
        <f>IF(ISNUMBER($I16),$I16,0)</f>
        <v>0</v>
      </c>
      <c r="AU66" s="238">
        <f>IF(ISNUMBER($I17),$I17,0)</f>
        <v>0</v>
      </c>
    </row>
    <row r="67" spans="17:47" x14ac:dyDescent="0.2">
      <c r="R67" s="83" t="s">
        <v>2198</v>
      </c>
      <c r="S67" s="1339" t="e">
        <f>PRODUCT(S64:S66)</f>
        <v>#DIV/0!</v>
      </c>
      <c r="T67" s="1339" t="e">
        <f>PRODUCT(T64:T66)</f>
        <v>#DIV/0!</v>
      </c>
      <c r="U67" s="1339" t="e">
        <f>PRODUCT(U64:U66)</f>
        <v>#DIV/0!</v>
      </c>
      <c r="V67" s="1339" t="e">
        <f>PRODUCT(V64:V66)</f>
        <v>#DIV/0!</v>
      </c>
      <c r="W67" s="1339" t="e">
        <f>PRODUCT(W64:W66)</f>
        <v>#DIV/0!</v>
      </c>
      <c r="Z67" s="83" t="s">
        <v>2198</v>
      </c>
      <c r="AA67" s="1339" t="e">
        <f>PRODUCT(AA64:AA66)</f>
        <v>#DIV/0!</v>
      </c>
      <c r="AB67" s="1339" t="e">
        <f>PRODUCT(AB64:AB66)</f>
        <v>#DIV/0!</v>
      </c>
      <c r="AC67" s="1339" t="e">
        <f>PRODUCT(AC64:AC66)</f>
        <v>#DIV/0!</v>
      </c>
      <c r="AD67" s="1339" t="e">
        <f>PRODUCT(AD64:AD66)</f>
        <v>#DIV/0!</v>
      </c>
      <c r="AE67" s="1339" t="e">
        <f>PRODUCT(AE64:AE66)</f>
        <v>#DIV/0!</v>
      </c>
      <c r="AH67" s="83" t="s">
        <v>2198</v>
      </c>
      <c r="AI67" s="1339" t="e">
        <f>PRODUCT(AI64:AI66)</f>
        <v>#DIV/0!</v>
      </c>
      <c r="AJ67" s="1339" t="e">
        <f>PRODUCT(AJ64:AJ66)</f>
        <v>#DIV/0!</v>
      </c>
      <c r="AK67" s="1339" t="e">
        <f>PRODUCT(AK64:AK66)</f>
        <v>#DIV/0!</v>
      </c>
      <c r="AL67" s="1339" t="e">
        <f>PRODUCT(AL64:AL66)</f>
        <v>#DIV/0!</v>
      </c>
      <c r="AM67" s="1339" t="e">
        <f>PRODUCT(AM64:AM66)</f>
        <v>#DIV/0!</v>
      </c>
      <c r="AP67" s="83" t="s">
        <v>2198</v>
      </c>
      <c r="AQ67" s="1339" t="e">
        <f>PRODUCT(AQ64:AQ66)</f>
        <v>#DIV/0!</v>
      </c>
      <c r="AR67" s="1339" t="e">
        <f>PRODUCT(AR64:AR66)</f>
        <v>#DIV/0!</v>
      </c>
      <c r="AS67" s="1339" t="e">
        <f>PRODUCT(AS64:AS66)</f>
        <v>#DIV/0!</v>
      </c>
      <c r="AT67" s="1339" t="e">
        <f>PRODUCT(AT64:AT66)</f>
        <v>#DIV/0!</v>
      </c>
      <c r="AU67" s="1339" t="e">
        <f>PRODUCT(AU64:AU66)</f>
        <v>#DIV/0!</v>
      </c>
    </row>
    <row r="69" spans="17:47" x14ac:dyDescent="0.2">
      <c r="Q69" s="60" t="s">
        <v>2199</v>
      </c>
      <c r="Y69" s="60" t="s">
        <v>2199</v>
      </c>
      <c r="AG69" s="60" t="s">
        <v>2199</v>
      </c>
      <c r="AO69" s="60" t="s">
        <v>2199</v>
      </c>
    </row>
    <row r="70" spans="17:47" x14ac:dyDescent="0.2">
      <c r="R70" s="1117" t="s">
        <v>2200</v>
      </c>
      <c r="S70" s="1339" t="e">
        <f>SUM(S67:W67)</f>
        <v>#DIV/0!</v>
      </c>
      <c r="Z70" s="1117" t="s">
        <v>2200</v>
      </c>
      <c r="AA70" s="1339" t="e">
        <f>SUM(AA67:AE67)</f>
        <v>#DIV/0!</v>
      </c>
      <c r="AH70" s="1117" t="s">
        <v>2200</v>
      </c>
      <c r="AI70" s="1339" t="e">
        <f>SUM(AI67:AM67)</f>
        <v>#DIV/0!</v>
      </c>
      <c r="AP70" s="1117" t="s">
        <v>2200</v>
      </c>
      <c r="AQ70" s="1339" t="e">
        <f>SUM(AQ67:AU67)</f>
        <v>#DIV/0!</v>
      </c>
    </row>
    <row r="71" spans="17:47" x14ac:dyDescent="0.2">
      <c r="Q71" s="185"/>
      <c r="R71" s="1226" t="s">
        <v>2186</v>
      </c>
      <c r="S71" s="238">
        <f>$I$9</f>
        <v>0</v>
      </c>
      <c r="Y71" s="185"/>
      <c r="Z71" s="1226" t="s">
        <v>2186</v>
      </c>
      <c r="AA71" s="238">
        <f>$I$9</f>
        <v>0</v>
      </c>
      <c r="AG71" s="185"/>
      <c r="AH71" s="1226" t="s">
        <v>2186</v>
      </c>
      <c r="AI71" s="238">
        <f>$I$18</f>
        <v>0</v>
      </c>
      <c r="AO71" s="185"/>
      <c r="AP71" s="1226" t="s">
        <v>2186</v>
      </c>
      <c r="AQ71" s="238">
        <f>$I$18</f>
        <v>0</v>
      </c>
    </row>
    <row r="72" spans="17:47" x14ac:dyDescent="0.2">
      <c r="R72" s="1117" t="s">
        <v>2201</v>
      </c>
      <c r="S72" s="2" t="e">
        <f>ROUND(S70/S71,3)</f>
        <v>#DIV/0!</v>
      </c>
      <c r="Z72" s="1117" t="s">
        <v>2229</v>
      </c>
      <c r="AA72" s="2" t="e">
        <f>ROUND(AA70/AA71,4)</f>
        <v>#DIV/0!</v>
      </c>
      <c r="AH72" s="1117" t="s">
        <v>2201</v>
      </c>
      <c r="AI72" s="2" t="e">
        <f>ROUND(AI70/AI71,3)</f>
        <v>#DIV/0!</v>
      </c>
      <c r="AP72" s="1117" t="s">
        <v>2229</v>
      </c>
      <c r="AQ72" s="2" t="e">
        <f>ROUND(AQ70/AQ71,4)</f>
        <v>#DIV/0!</v>
      </c>
    </row>
    <row r="73" spans="17:47" x14ac:dyDescent="0.2">
      <c r="Q73" s="146"/>
      <c r="R73" s="1210" t="s">
        <v>2202</v>
      </c>
      <c r="S73" s="299">
        <f>VLOOKUP($C$15,Table_CoIns_Blanket,2,0)</f>
        <v>0.95</v>
      </c>
      <c r="Y73" s="146"/>
      <c r="Z73" s="1210" t="s">
        <v>2202</v>
      </c>
      <c r="AA73" s="299">
        <f>VLOOKUP($C$15,Table_CoIns_Blanket,2,0)</f>
        <v>0.95</v>
      </c>
      <c r="AG73" s="146"/>
      <c r="AH73" s="1210" t="s">
        <v>2202</v>
      </c>
      <c r="AI73" s="299">
        <f>VLOOKUP($C$15,Table_CoIns_Blanket,2,0)</f>
        <v>0.95</v>
      </c>
      <c r="AO73" s="146"/>
      <c r="AP73" s="1210" t="s">
        <v>2202</v>
      </c>
      <c r="AQ73" s="299">
        <f>VLOOKUP($C$15,Table_CoIns_Blanket,2,0)</f>
        <v>0.95</v>
      </c>
    </row>
    <row r="74" spans="17:47" x14ac:dyDescent="0.2">
      <c r="Q74" s="185"/>
      <c r="R74" s="1226" t="s">
        <v>1020</v>
      </c>
      <c r="S74" s="208">
        <f>IF($C$6="PAC",VLOOKUP(B7,Table_PakMods,MATCH($C$10,List_Company,0)+1,FALSE),1)</f>
        <v>1</v>
      </c>
      <c r="Y74" s="185"/>
      <c r="Z74" s="1226" t="s">
        <v>1020</v>
      </c>
      <c r="AA74" s="208">
        <f>IF($C$6="PAC",VLOOKUP(B7,Table_PakMods,MATCH($C$10,List_Company,0)+1,FALSE),1)</f>
        <v>1</v>
      </c>
      <c r="AG74" s="185"/>
      <c r="AH74" s="1226" t="s">
        <v>1020</v>
      </c>
      <c r="AI74" s="208">
        <f>IF($C$6="PAC",VLOOKUP(B7,Table_PakMods,MATCH($C$10,List_Company,0)+1,FALSE),1)</f>
        <v>1</v>
      </c>
      <c r="AO74" s="185"/>
      <c r="AP74" s="1226" t="s">
        <v>1020</v>
      </c>
      <c r="AQ74" s="208">
        <f>IF($C$6="PAC",VLOOKUP(B7,Table_PakMods,MATCH($C$10,List_Company,0)+1,FALSE),1)</f>
        <v>1</v>
      </c>
    </row>
    <row r="75" spans="17:47" x14ac:dyDescent="0.2">
      <c r="R75" s="83" t="s">
        <v>2203</v>
      </c>
      <c r="S75" s="60" t="e">
        <f>ROUND(PRODUCT(S72:S74),3)</f>
        <v>#DIV/0!</v>
      </c>
      <c r="Z75" s="83" t="s">
        <v>2230</v>
      </c>
      <c r="AA75" s="60" t="e">
        <f>ROUND(PRODUCT(AA72:AA74),3)</f>
        <v>#DIV/0!</v>
      </c>
      <c r="AH75" s="83" t="s">
        <v>2203</v>
      </c>
      <c r="AI75" s="60" t="e">
        <f>ROUND(PRODUCT(AI72:AI74),3)</f>
        <v>#DIV/0!</v>
      </c>
      <c r="AP75" s="83" t="s">
        <v>2230</v>
      </c>
      <c r="AQ75" s="60" t="e">
        <f>ROUND(PRODUCT(AQ72:AQ74),3)</f>
        <v>#DIV/0!</v>
      </c>
    </row>
    <row r="77" spans="17:47" x14ac:dyDescent="0.2">
      <c r="Q77" s="60" t="s">
        <v>2209</v>
      </c>
      <c r="S77" s="235" t="s">
        <v>2176</v>
      </c>
      <c r="T77" s="235" t="s">
        <v>2177</v>
      </c>
      <c r="U77" s="235" t="s">
        <v>2178</v>
      </c>
      <c r="V77" s="235" t="s">
        <v>2179</v>
      </c>
      <c r="W77" s="235" t="s">
        <v>2180</v>
      </c>
      <c r="Y77" s="60" t="s">
        <v>2209</v>
      </c>
      <c r="AA77" s="235" t="s">
        <v>2176</v>
      </c>
      <c r="AB77" s="235" t="s">
        <v>2177</v>
      </c>
      <c r="AC77" s="235" t="s">
        <v>2178</v>
      </c>
      <c r="AD77" s="235" t="s">
        <v>2179</v>
      </c>
      <c r="AE77" s="235" t="s">
        <v>2180</v>
      </c>
      <c r="AG77" s="60" t="s">
        <v>2209</v>
      </c>
      <c r="AI77" s="235" t="s">
        <v>2176</v>
      </c>
      <c r="AJ77" s="235" t="s">
        <v>2177</v>
      </c>
      <c r="AK77" s="235" t="s">
        <v>2178</v>
      </c>
      <c r="AL77" s="235" t="s">
        <v>2179</v>
      </c>
      <c r="AM77" s="235" t="s">
        <v>2180</v>
      </c>
      <c r="AO77" s="60" t="s">
        <v>2209</v>
      </c>
      <c r="AQ77" s="235" t="s">
        <v>2176</v>
      </c>
      <c r="AR77" s="235" t="s">
        <v>2177</v>
      </c>
      <c r="AS77" s="235" t="s">
        <v>2178</v>
      </c>
      <c r="AT77" s="235" t="s">
        <v>2179</v>
      </c>
      <c r="AU77" s="235" t="s">
        <v>2180</v>
      </c>
    </row>
    <row r="78" spans="17:47" x14ac:dyDescent="0.2">
      <c r="Q78" s="1227"/>
      <c r="R78" s="1117" t="s">
        <v>2212</v>
      </c>
      <c r="S78" s="478">
        <f>IF(ISNUMBER($I$4),$I$4/100,0)</f>
        <v>0</v>
      </c>
      <c r="T78" s="478">
        <f>IF(ISNUMBER($I$5),$I$5/100,0)</f>
        <v>0</v>
      </c>
      <c r="U78" s="478">
        <f>IF(ISNUMBER($I$6),$I$6/100,0)</f>
        <v>0</v>
      </c>
      <c r="V78" s="478">
        <f>IF(ISNUMBER($I$7),$I$7/100,0)</f>
        <v>0</v>
      </c>
      <c r="W78" s="478">
        <f>IF(ISNUMBER($I$8),$I$8/100,0)</f>
        <v>0</v>
      </c>
      <c r="Y78" s="1227"/>
      <c r="Z78" s="1117" t="s">
        <v>2212</v>
      </c>
      <c r="AA78" s="478">
        <f>IF(ISNUMBER($I$4),$I$4/100,0)</f>
        <v>0</v>
      </c>
      <c r="AB78" s="478">
        <f>IF(ISNUMBER($I$5),$I$5/100,0)</f>
        <v>0</v>
      </c>
      <c r="AC78" s="478">
        <f>IF(ISNUMBER($I$6),$I$6/100,0)</f>
        <v>0</v>
      </c>
      <c r="AD78" s="478">
        <f>IF(ISNUMBER($I$7),$I$7/100,0)</f>
        <v>0</v>
      </c>
      <c r="AE78" s="478">
        <f>IF(ISNUMBER($I$8),$I$8/100,0)</f>
        <v>0</v>
      </c>
      <c r="AG78" s="1227"/>
      <c r="AH78" s="1117" t="s">
        <v>2212</v>
      </c>
      <c r="AI78" s="478">
        <f>IF(ISNUMBER($I$13),$I$13/100,0)</f>
        <v>0</v>
      </c>
      <c r="AJ78" s="478">
        <f>IF(ISNUMBER($I$14),$I$14/100,0)</f>
        <v>0</v>
      </c>
      <c r="AK78" s="478">
        <f>IF(ISNUMBER($I$15),$I$15/100,0)</f>
        <v>0</v>
      </c>
      <c r="AL78" s="478">
        <f>IF(ISNUMBER($I$16),$I$16/100,0)</f>
        <v>0</v>
      </c>
      <c r="AM78" s="478">
        <f>IF(ISNUMBER($I$17),$I$17/100,0)</f>
        <v>0</v>
      </c>
      <c r="AO78" s="1227"/>
      <c r="AP78" s="1117" t="s">
        <v>2212</v>
      </c>
      <c r="AQ78" s="478">
        <f>IF(ISNUMBER($I$13),$I$13/100,0)</f>
        <v>0</v>
      </c>
      <c r="AR78" s="478">
        <f>IF(ISNUMBER($I$14),$I$14/100,0)</f>
        <v>0</v>
      </c>
      <c r="AS78" s="478">
        <f>IF(ISNUMBER($I$15),$I$15/100,0)</f>
        <v>0</v>
      </c>
      <c r="AT78" s="478">
        <f>IF(ISNUMBER($I$16),$I$16/100,0)</f>
        <v>0</v>
      </c>
      <c r="AU78" s="478">
        <f>IF(ISNUMBER($I$17),$I$17/100,0)</f>
        <v>0</v>
      </c>
    </row>
    <row r="79" spans="17:47" x14ac:dyDescent="0.2">
      <c r="Q79" s="185"/>
      <c r="R79" s="1226" t="s">
        <v>2210</v>
      </c>
      <c r="S79" s="185" t="e">
        <f>$S$75</f>
        <v>#DIV/0!</v>
      </c>
      <c r="T79" s="185" t="e">
        <f t="shared" ref="T79:W79" si="12">$S$75</f>
        <v>#DIV/0!</v>
      </c>
      <c r="U79" s="185" t="e">
        <f t="shared" si="12"/>
        <v>#DIV/0!</v>
      </c>
      <c r="V79" s="185" t="e">
        <f t="shared" si="12"/>
        <v>#DIV/0!</v>
      </c>
      <c r="W79" s="185" t="e">
        <f t="shared" si="12"/>
        <v>#DIV/0!</v>
      </c>
      <c r="Y79" s="185"/>
      <c r="Z79" s="1226" t="s">
        <v>2210</v>
      </c>
      <c r="AA79" s="455" t="e">
        <f>$AA$75</f>
        <v>#DIV/0!</v>
      </c>
      <c r="AB79" s="455" t="e">
        <f t="shared" ref="AB79:AE79" si="13">$AA$75</f>
        <v>#DIV/0!</v>
      </c>
      <c r="AC79" s="455" t="e">
        <f t="shared" si="13"/>
        <v>#DIV/0!</v>
      </c>
      <c r="AD79" s="455" t="e">
        <f t="shared" si="13"/>
        <v>#DIV/0!</v>
      </c>
      <c r="AE79" s="455" t="e">
        <f t="shared" si="13"/>
        <v>#DIV/0!</v>
      </c>
      <c r="AG79" s="185"/>
      <c r="AH79" s="1226" t="s">
        <v>2210</v>
      </c>
      <c r="AI79" s="185" t="e">
        <f>$AI$75</f>
        <v>#DIV/0!</v>
      </c>
      <c r="AJ79" s="185" t="e">
        <f t="shared" ref="AJ79:AM79" si="14">$AI$75</f>
        <v>#DIV/0!</v>
      </c>
      <c r="AK79" s="185" t="e">
        <f t="shared" si="14"/>
        <v>#DIV/0!</v>
      </c>
      <c r="AL79" s="185" t="e">
        <f t="shared" si="14"/>
        <v>#DIV/0!</v>
      </c>
      <c r="AM79" s="185" t="e">
        <f t="shared" si="14"/>
        <v>#DIV/0!</v>
      </c>
      <c r="AO79" s="185"/>
      <c r="AP79" s="1226" t="s">
        <v>2210</v>
      </c>
      <c r="AQ79" s="455" t="e">
        <f>$AQ$75</f>
        <v>#DIV/0!</v>
      </c>
      <c r="AR79" s="455" t="e">
        <f t="shared" ref="AR79:AU79" si="15">$AQ$75</f>
        <v>#DIV/0!</v>
      </c>
      <c r="AS79" s="455" t="e">
        <f t="shared" si="15"/>
        <v>#DIV/0!</v>
      </c>
      <c r="AT79" s="455" t="e">
        <f t="shared" si="15"/>
        <v>#DIV/0!</v>
      </c>
      <c r="AU79" s="455" t="e">
        <f t="shared" si="15"/>
        <v>#DIV/0!</v>
      </c>
    </row>
    <row r="80" spans="17:47" x14ac:dyDescent="0.2">
      <c r="R80" s="83" t="s">
        <v>2211</v>
      </c>
      <c r="S80" s="248" t="e">
        <f>ROUND(PRODUCT(S78:S79),0)</f>
        <v>#DIV/0!</v>
      </c>
      <c r="T80" s="248" t="e">
        <f>ROUND(PRODUCT(T78:T79),0)</f>
        <v>#DIV/0!</v>
      </c>
      <c r="U80" s="248" t="e">
        <f>ROUND(PRODUCT(U78:U79),0)</f>
        <v>#DIV/0!</v>
      </c>
      <c r="V80" s="248" t="e">
        <f>ROUND(PRODUCT(V78:V79),0)</f>
        <v>#DIV/0!</v>
      </c>
      <c r="W80" s="248" t="e">
        <f>ROUND(PRODUCT(W78:W79),0)</f>
        <v>#DIV/0!</v>
      </c>
      <c r="Z80" s="83" t="s">
        <v>2231</v>
      </c>
      <c r="AA80" s="248" t="e">
        <f>ROUND(PRODUCT(AA78:AA79),0)</f>
        <v>#DIV/0!</v>
      </c>
      <c r="AB80" s="248" t="e">
        <f>ROUND(PRODUCT(AB78:AB79),0)</f>
        <v>#DIV/0!</v>
      </c>
      <c r="AC80" s="248" t="e">
        <f>ROUND(PRODUCT(AC78:AC79),0)</f>
        <v>#DIV/0!</v>
      </c>
      <c r="AD80" s="248" t="e">
        <f>ROUND(PRODUCT(AD78:AD79),0)</f>
        <v>#DIV/0!</v>
      </c>
      <c r="AE80" s="248" t="e">
        <f>ROUND(PRODUCT(AE78:AE79),0)</f>
        <v>#DIV/0!</v>
      </c>
      <c r="AH80" s="83" t="s">
        <v>2211</v>
      </c>
      <c r="AI80" s="248" t="e">
        <f>ROUND(PRODUCT(AI78:AI79),0)</f>
        <v>#DIV/0!</v>
      </c>
      <c r="AJ80" s="248" t="e">
        <f>ROUND(PRODUCT(AJ78:AJ79),0)</f>
        <v>#DIV/0!</v>
      </c>
      <c r="AK80" s="248" t="e">
        <f>ROUND(PRODUCT(AK78:AK79),0)</f>
        <v>#DIV/0!</v>
      </c>
      <c r="AL80" s="248" t="e">
        <f>ROUND(PRODUCT(AL78:AL79),0)</f>
        <v>#DIV/0!</v>
      </c>
      <c r="AM80" s="248" t="e">
        <f>ROUND(PRODUCT(AM78:AM79),0)</f>
        <v>#DIV/0!</v>
      </c>
      <c r="AP80" s="83" t="s">
        <v>2231</v>
      </c>
      <c r="AQ80" s="248" t="e">
        <f>ROUND(PRODUCT(AQ78:AQ79),0)</f>
        <v>#DIV/0!</v>
      </c>
      <c r="AR80" s="248" t="e">
        <f>ROUND(PRODUCT(AR78:AR79),0)</f>
        <v>#DIV/0!</v>
      </c>
      <c r="AS80" s="248" t="e">
        <f>ROUND(PRODUCT(AS78:AS79),0)</f>
        <v>#DIV/0!</v>
      </c>
      <c r="AT80" s="248" t="e">
        <f>ROUND(PRODUCT(AT78:AT79),0)</f>
        <v>#DIV/0!</v>
      </c>
      <c r="AU80" s="248" t="e">
        <f>ROUND(PRODUCT(AU78:AU79),0)</f>
        <v>#DIV/0!</v>
      </c>
    </row>
  </sheetData>
  <mergeCells count="9">
    <mergeCell ref="Q46:W46"/>
    <mergeCell ref="Y46:AE46"/>
    <mergeCell ref="AG46:AM46"/>
    <mergeCell ref="AO46:AU46"/>
    <mergeCell ref="K1:O1"/>
    <mergeCell ref="Q1:W1"/>
    <mergeCell ref="Y1:AE1"/>
    <mergeCell ref="AG1:AM1"/>
    <mergeCell ref="AO1:AU1"/>
  </mergeCells>
  <conditionalFormatting sqref="E22:I26">
    <cfRule type="expression" dxfId="175" priority="4">
      <formula>IF($C$23="Yes",TRUE,FALSE)</formula>
    </cfRule>
  </conditionalFormatting>
  <conditionalFormatting sqref="E31:I35">
    <cfRule type="expression" dxfId="174" priority="3">
      <formula>IF($C$24="Yes",TRUE,FALSE)</formula>
    </cfRule>
  </conditionalFormatting>
  <conditionalFormatting sqref="E13:I17">
    <cfRule type="expression" dxfId="173" priority="2">
      <formula>IF($C$22="Yes",TRUE,FALSE)</formula>
    </cfRule>
  </conditionalFormatting>
  <conditionalFormatting sqref="E4:I8">
    <cfRule type="expression" dxfId="172" priority="1">
      <formula>IF($C$21="Yes",TRUE,FALSE)</formula>
    </cfRule>
  </conditionalFormatting>
  <dataValidations count="15">
    <dataValidation type="list" allowBlank="1" showInputMessage="1" showErrorMessage="1" promptTitle="Coverage Selection" prompt="Please Select:_x000a_{ Yes or No }" sqref="C21:C24">
      <formula1>List_YN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list" allowBlank="1" showInputMessage="1" showErrorMessage="1" promptTitle="Please Select Cause of Loss:" prompt="BA  = Basic_x000a_BR  = Broad_x000a_SP  = Special" sqref="C11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list" allowBlank="1" showInputMessage="1" showErrorMessage="1" promptTitle="Special - Cause of Loss" prompt="Please select:_x000a_1 - Including Theft_x000a_2 - Excluding Theft" sqref="C12">
      <formula1>IF($C$11="SP",List_SPTheft,List_No)</formula1>
    </dataValidation>
    <dataValidation type="list" allowBlank="1" showInputMessage="1" showErrorMessage="1" promptTitle="Protection Class:" prompt="Please select a number (1 - 10)" sqref="F13:F17">
      <formula1>OFFSET(Table_ProtClass,0,0,,1)</formula1>
    </dataValidation>
    <dataValidation type="list" allowBlank="1" showInputMessage="1" showErrorMessage="1" promptTitle="Class Code Selection" prompt="Please select your building class code" sqref="E4:E8 E13:E17 E22:F26 E31:F35">
      <formula1>OFFSET(Table_G1_LC,0,0,,1)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G4:G8 G13:G17 G22:G26 G31:G3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H4:H8 H13:H17 H22:H26 H31:H35">
      <formula1>OFFSET(Table_G2SymLC,0,0,,1)</formula1>
    </dataValidation>
    <dataValidation type="list" allowBlank="1" showInputMessage="1" showErrorMessage="1" promptTitle="Protection Class" prompt="Please Select from drop down" sqref="F4:F8">
      <formula1>OFFSET(Table_ProtClass,0,0,,1)</formula1>
    </dataValidation>
    <dataValidation type="list" allowBlank="1" showInputMessage="1" showErrorMessage="1" promptTitle="Coinsurance Percent" prompt="Please Select:_x000a_{ 80, 90, 100 }" sqref="C15 C17">
      <formula1>OFFSET(Table_CoIns_Blanket,0,0,,1)</formula1>
    </dataValidation>
    <dataValidation type="list" allowBlank="1" showInputMessage="1" showErrorMessage="1" promptTitle="Deductible Amount:" prompt="Please Select from list:_x000a_(250 - 75,000)" sqref="B16 B18">
      <formula1>List_DedSelect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rowBreaks count="1" manualBreakCount="1">
    <brk id="45" max="46" man="1"/>
  </rowBreaks>
  <colBreaks count="6" manualBreakCount="6">
    <brk id="9" max="1048575" man="1"/>
    <brk id="16" max="44" man="1"/>
    <brk id="24" max="44" man="1"/>
    <brk id="24" min="45" max="81" man="1"/>
    <brk id="40" max="44" man="1"/>
    <brk id="40" min="45" max="81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FFFF00"/>
  </sheetPr>
  <dimension ref="A1:G51"/>
  <sheetViews>
    <sheetView zoomScale="90" zoomScaleNormal="90" workbookViewId="0">
      <selection activeCell="C48" sqref="C48:E48"/>
    </sheetView>
  </sheetViews>
  <sheetFormatPr defaultRowHeight="12.75" x14ac:dyDescent="0.2"/>
  <cols>
    <col min="1" max="1" width="18" style="2" customWidth="1"/>
    <col min="2" max="2" width="16.85546875" style="2" customWidth="1"/>
    <col min="3" max="3" width="17" style="2" customWidth="1"/>
    <col min="4" max="4" width="5.42578125" style="2" customWidth="1"/>
    <col min="5" max="5" width="17.85546875" style="2" customWidth="1"/>
    <col min="6" max="6" width="13.7109375" style="2" customWidth="1"/>
    <col min="7" max="7" width="16.85546875" style="2" customWidth="1"/>
    <col min="8" max="16384" width="9.140625" style="2"/>
  </cols>
  <sheetData>
    <row r="1" spans="1:7" ht="15.75" x14ac:dyDescent="0.2">
      <c r="A1" s="1440" t="s">
        <v>2256</v>
      </c>
    </row>
    <row r="2" spans="1:7" x14ac:dyDescent="0.2">
      <c r="A2" s="1227"/>
    </row>
    <row r="3" spans="1:7" ht="14.25" customHeight="1" x14ac:dyDescent="0.2">
      <c r="A3" s="82" t="s">
        <v>1024</v>
      </c>
      <c r="B3" s="917" t="str">
        <f>DF_State</f>
        <v>CT</v>
      </c>
    </row>
    <row r="4" spans="1:7" ht="17.25" customHeight="1" x14ac:dyDescent="0.2">
      <c r="A4" s="82" t="s">
        <v>2104</v>
      </c>
      <c r="B4" s="1441" t="str">
        <f>UI_CustNumber</f>
        <v>0004514584</v>
      </c>
    </row>
    <row r="5" spans="1:7" ht="16.5" customHeight="1" x14ac:dyDescent="0.2">
      <c r="A5" s="82"/>
      <c r="B5" s="984"/>
    </row>
    <row r="6" spans="1:7" x14ac:dyDescent="0.2">
      <c r="A6" s="82" t="s">
        <v>2258</v>
      </c>
      <c r="B6" s="1442"/>
      <c r="F6" s="1443"/>
      <c r="G6" s="1444"/>
    </row>
    <row r="7" spans="1:7" ht="16.5" customHeight="1" x14ac:dyDescent="0.2">
      <c r="A7" s="82"/>
      <c r="B7" s="834"/>
      <c r="F7" s="1443"/>
      <c r="G7" s="1444"/>
    </row>
    <row r="8" spans="1:7" x14ac:dyDescent="0.2">
      <c r="A8" s="82" t="s">
        <v>2259</v>
      </c>
      <c r="B8" s="1442"/>
      <c r="F8" s="1443"/>
      <c r="G8" s="1444"/>
    </row>
    <row r="9" spans="1:7" ht="16.5" customHeight="1" x14ac:dyDescent="0.2">
      <c r="A9" s="82"/>
      <c r="B9" s="984"/>
      <c r="F9" s="1443"/>
      <c r="G9" s="1444"/>
    </row>
    <row r="10" spans="1:7" x14ac:dyDescent="0.2">
      <c r="A10" s="82" t="s">
        <v>2257</v>
      </c>
      <c r="B10" s="1593"/>
      <c r="C10" s="1593"/>
      <c r="D10" s="1593"/>
      <c r="G10" s="834"/>
    </row>
    <row r="13" spans="1:7" ht="13.5" thickBot="1" x14ac:dyDescent="0.25">
      <c r="A13" s="1464" t="s">
        <v>55</v>
      </c>
      <c r="B13" s="1465"/>
      <c r="C13" s="1465"/>
      <c r="D13" s="1465"/>
      <c r="E13" s="1465"/>
    </row>
    <row r="14" spans="1:7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</row>
    <row r="15" spans="1:7" x14ac:dyDescent="0.2">
      <c r="A15" s="1445">
        <v>1</v>
      </c>
      <c r="B15" s="1453"/>
      <c r="C15" s="1446" t="str">
        <f ca="1">IF(ISBLANK(B15),"",INDIRECT($B15&amp;"!"&amp;"$I$47"))</f>
        <v/>
      </c>
      <c r="E15" s="1446" t="str">
        <f ca="1">IF(ISBLANK(B15),"",INDIRECT($B15&amp;"!"&amp;"$I$44"))</f>
        <v/>
      </c>
    </row>
    <row r="16" spans="1:7" x14ac:dyDescent="0.2">
      <c r="A16" s="1453">
        <v>2</v>
      </c>
      <c r="B16" s="1453"/>
      <c r="C16" s="1446" t="str">
        <f t="shared" ref="C16:C19" ca="1" si="0">IF(ISBLANK(B16),"",INDIRECT($B16&amp;"!"&amp;"$I$47"))</f>
        <v/>
      </c>
      <c r="E16" s="1446" t="str">
        <f t="shared" ref="E16:E19" ca="1" si="1">IF(ISBLANK(B16),"",INDIRECT($B16&amp;"!"&amp;"$I$44"))</f>
        <v/>
      </c>
    </row>
    <row r="17" spans="1:5" ht="17.25" customHeight="1" x14ac:dyDescent="0.2">
      <c r="A17" s="1453">
        <v>3</v>
      </c>
      <c r="B17" s="1453"/>
      <c r="C17" s="1446" t="str">
        <f t="shared" ca="1" si="0"/>
        <v/>
      </c>
      <c r="E17" s="1446" t="str">
        <f t="shared" ca="1" si="1"/>
        <v/>
      </c>
    </row>
    <row r="18" spans="1:5" x14ac:dyDescent="0.2">
      <c r="A18" s="1453">
        <v>4</v>
      </c>
      <c r="B18" s="1453"/>
      <c r="C18" s="1446" t="str">
        <f t="shared" ca="1" si="0"/>
        <v/>
      </c>
      <c r="E18" s="1446" t="str">
        <f t="shared" ca="1" si="1"/>
        <v/>
      </c>
    </row>
    <row r="19" spans="1:5" ht="13.5" thickBot="1" x14ac:dyDescent="0.25">
      <c r="A19" s="1084">
        <v>5</v>
      </c>
      <c r="B19" s="1453"/>
      <c r="C19" s="1446" t="str">
        <f t="shared" ca="1" si="0"/>
        <v/>
      </c>
      <c r="E19" s="1446" t="str">
        <f t="shared" ca="1" si="1"/>
        <v/>
      </c>
    </row>
    <row r="20" spans="1:5" x14ac:dyDescent="0.2">
      <c r="A20" s="1450"/>
      <c r="B20" s="1451" t="s">
        <v>2271</v>
      </c>
      <c r="C20" s="1452">
        <f ca="1">SUM(C15:C19)</f>
        <v>0</v>
      </c>
      <c r="D20" s="1450"/>
      <c r="E20" s="1452">
        <f ca="1">SUM(E15:E19)</f>
        <v>0</v>
      </c>
    </row>
    <row r="21" spans="1:5" ht="19.5" customHeight="1" x14ac:dyDescent="0.2"/>
    <row r="22" spans="1:5" ht="19.5" customHeight="1" thickBot="1" x14ac:dyDescent="0.25">
      <c r="A22" s="1464" t="s">
        <v>2219</v>
      </c>
      <c r="B22" s="1465"/>
      <c r="C22" s="1465"/>
      <c r="D22" s="1465"/>
      <c r="E22" s="1465"/>
    </row>
    <row r="23" spans="1:5" ht="18.75" customHeight="1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</row>
    <row r="24" spans="1:5" x14ac:dyDescent="0.2">
      <c r="A24" s="1445">
        <v>1</v>
      </c>
      <c r="B24" s="1445"/>
      <c r="C24" s="1446" t="str">
        <f ca="1">IF(ISBLANK(B24),"",INDIRECT($B24&amp;"!"&amp;"$I$54"))</f>
        <v/>
      </c>
      <c r="E24" s="1446" t="str">
        <f ca="1">IF(ISBLANK(B24),"",INDIRECT($B24&amp;"!"&amp;"$I$49"))</f>
        <v/>
      </c>
    </row>
    <row r="25" spans="1:5" x14ac:dyDescent="0.2">
      <c r="A25" s="1453">
        <v>2</v>
      </c>
      <c r="B25" s="1453"/>
      <c r="C25" s="1446" t="str">
        <f t="shared" ref="C25:C28" ca="1" si="2">IF(ISBLANK(B25),"",INDIRECT($B25&amp;"!"&amp;"$I$54"))</f>
        <v/>
      </c>
      <c r="D25" s="146"/>
      <c r="E25" s="1446" t="str">
        <f t="shared" ref="E25:E28" ca="1" si="3">IF(ISBLANK(B25),"",INDIRECT($B25&amp;"!"&amp;"$I$49"))</f>
        <v/>
      </c>
    </row>
    <row r="26" spans="1:5" x14ac:dyDescent="0.2">
      <c r="A26" s="1445">
        <v>3</v>
      </c>
      <c r="B26" s="1453"/>
      <c r="C26" s="1446" t="str">
        <f t="shared" ca="1" si="2"/>
        <v/>
      </c>
      <c r="D26" s="146"/>
      <c r="E26" s="1446" t="str">
        <f t="shared" ca="1" si="3"/>
        <v/>
      </c>
    </row>
    <row r="27" spans="1:5" x14ac:dyDescent="0.2">
      <c r="A27" s="1453">
        <v>4</v>
      </c>
      <c r="B27" s="1453"/>
      <c r="C27" s="1446" t="str">
        <f t="shared" ca="1" si="2"/>
        <v/>
      </c>
      <c r="D27" s="146"/>
      <c r="E27" s="1446" t="str">
        <f t="shared" ca="1" si="3"/>
        <v/>
      </c>
    </row>
    <row r="28" spans="1:5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</row>
    <row r="29" spans="1:5" x14ac:dyDescent="0.2">
      <c r="A29" s="1450"/>
      <c r="B29" s="1451" t="s">
        <v>2271</v>
      </c>
      <c r="C29" s="1452">
        <f ca="1">SUM(C24:C28)</f>
        <v>0</v>
      </c>
      <c r="D29" s="1450"/>
      <c r="E29" s="1452">
        <f ca="1">SUM(E24:E28)</f>
        <v>0</v>
      </c>
    </row>
    <row r="31" spans="1:5" ht="13.5" thickBot="1" x14ac:dyDescent="0.25">
      <c r="A31" s="1464" t="s">
        <v>2220</v>
      </c>
      <c r="B31" s="1465"/>
      <c r="C31" s="1465"/>
      <c r="D31" s="1465"/>
      <c r="E31" s="1465"/>
    </row>
    <row r="32" spans="1:5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</row>
    <row r="33" spans="1:5" x14ac:dyDescent="0.2">
      <c r="A33" s="1445">
        <v>1</v>
      </c>
      <c r="B33" s="1445"/>
      <c r="C33" s="1446" t="str">
        <f ca="1">IF(ISBLANK(B33),"",INDIRECT($B33&amp;"!"&amp;"$I$29"))</f>
        <v/>
      </c>
      <c r="E33" s="1446" t="str">
        <f ca="1">IF(ISBLANK(B33),"",INDIRECT($B33&amp;"!"&amp;"$I$26"))</f>
        <v/>
      </c>
    </row>
    <row r="34" spans="1:5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E34" s="1446" t="str">
        <f t="shared" ref="E34:E37" ca="1" si="5">IF(ISBLANK(B34),"",INDIRECT($B34&amp;"!"&amp;"$I$26"))</f>
        <v/>
      </c>
    </row>
    <row r="35" spans="1:5" x14ac:dyDescent="0.2">
      <c r="A35" s="1445">
        <v>3</v>
      </c>
      <c r="B35" s="1453"/>
      <c r="C35" s="1446" t="str">
        <f t="shared" ca="1" si="4"/>
        <v/>
      </c>
      <c r="E35" s="1446" t="str">
        <f t="shared" ca="1" si="5"/>
        <v/>
      </c>
    </row>
    <row r="36" spans="1:5" x14ac:dyDescent="0.2">
      <c r="A36" s="1453">
        <v>4</v>
      </c>
      <c r="B36" s="1453"/>
      <c r="C36" s="1446" t="str">
        <f t="shared" ca="1" si="4"/>
        <v/>
      </c>
      <c r="E36" s="1446" t="str">
        <f t="shared" ca="1" si="5"/>
        <v/>
      </c>
    </row>
    <row r="37" spans="1:5" ht="13.5" thickBot="1" x14ac:dyDescent="0.25">
      <c r="A37" s="1084">
        <v>5</v>
      </c>
      <c r="B37" s="1453"/>
      <c r="C37" s="1446" t="str">
        <f t="shared" ca="1" si="4"/>
        <v/>
      </c>
      <c r="E37" s="1446" t="str">
        <f t="shared" ca="1" si="5"/>
        <v/>
      </c>
    </row>
    <row r="38" spans="1:5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</row>
    <row r="41" spans="1:5" ht="13.5" thickBot="1" x14ac:dyDescent="0.25">
      <c r="A41" s="1464" t="s">
        <v>2221</v>
      </c>
      <c r="B41" s="1465"/>
      <c r="C41" s="1465"/>
      <c r="D41" s="1465"/>
      <c r="E41" s="1465"/>
    </row>
    <row r="42" spans="1:5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</row>
    <row r="43" spans="1:5" x14ac:dyDescent="0.2">
      <c r="A43" s="1445">
        <v>1</v>
      </c>
      <c r="B43" s="1445"/>
      <c r="C43" s="1446" t="str">
        <f ca="1">IF(ISBLANK(B43),"",INDIRECT($B43&amp;"!"&amp;"$I$21"))</f>
        <v/>
      </c>
      <c r="E43" s="1446" t="str">
        <f ca="1">IF(ISBLANK(B43),"",INDIRECT($B43&amp;"!"&amp;"$I$18"))</f>
        <v/>
      </c>
    </row>
    <row r="44" spans="1:5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E44" s="1446" t="str">
        <f t="shared" ref="E44:E47" ca="1" si="7">IF(ISBLANK(B44),"",INDIRECT($B44&amp;"!"&amp;"$I$18"))</f>
        <v/>
      </c>
    </row>
    <row r="45" spans="1:5" x14ac:dyDescent="0.2">
      <c r="A45" s="1445">
        <v>3</v>
      </c>
      <c r="B45" s="1453"/>
      <c r="C45" s="1446" t="str">
        <f t="shared" ca="1" si="6"/>
        <v/>
      </c>
      <c r="E45" s="1446" t="str">
        <f t="shared" ca="1" si="7"/>
        <v/>
      </c>
    </row>
    <row r="46" spans="1:5" x14ac:dyDescent="0.2">
      <c r="A46" s="1453">
        <v>4</v>
      </c>
      <c r="B46" s="1453"/>
      <c r="C46" s="1446" t="str">
        <f t="shared" ca="1" si="6"/>
        <v/>
      </c>
      <c r="E46" s="1446" t="str">
        <f t="shared" ca="1" si="7"/>
        <v/>
      </c>
    </row>
    <row r="47" spans="1:5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</row>
    <row r="48" spans="1:5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</row>
    <row r="50" spans="4:5" ht="13.5" thickBot="1" x14ac:dyDescent="0.25"/>
    <row r="51" spans="4:5" ht="13.5" thickBot="1" x14ac:dyDescent="0.25">
      <c r="D51" s="788" t="s">
        <v>2272</v>
      </c>
      <c r="E51" s="1448">
        <f ca="1">SUM(C20:E20,C29:E29,C38:E38,C48:E48)</f>
        <v>0</v>
      </c>
    </row>
  </sheetData>
  <mergeCells count="1">
    <mergeCell ref="B10:D10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R76"/>
  <sheetViews>
    <sheetView topLeftCell="B1" zoomScale="90" zoomScaleNormal="90" zoomScaleSheetLayoutView="85" workbookViewId="0">
      <selection activeCell="R34" sqref="R34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V2" s="168" t="s">
        <v>1019</v>
      </c>
      <c r="W2" s="207">
        <f>HLOOKUP(C11,Table_StateRates,5,FALSE)</f>
        <v>1.38</v>
      </c>
      <c r="X2" s="207">
        <f>HLOOKUP(C11,Table_StateRates,5,FALSE)</f>
        <v>1.38</v>
      </c>
      <c r="Y2" s="207">
        <f>HLOOKUP(C11,Table_StateRates,5,FALSE)</f>
        <v>1.38</v>
      </c>
      <c r="Z2" s="207">
        <f>HLOOKUP(C11,Table_StateRates,5,FALSE)</f>
        <v>1.38</v>
      </c>
      <c r="AB2" s="546"/>
      <c r="AC2" s="545" t="s">
        <v>1019</v>
      </c>
      <c r="AD2" s="207">
        <f>HLOOKUP(C11,Table_StateRates,5,FALSE)</f>
        <v>1.38</v>
      </c>
      <c r="AE2" s="207">
        <f>HLOOKUP(C11,Table_StateRates,5,FALSE)</f>
        <v>1.38</v>
      </c>
      <c r="AF2" s="207">
        <f>HLOOKUP(C11,Table_StateRates,5,FALSE)</f>
        <v>1.38</v>
      </c>
      <c r="AG2" s="207">
        <f>HLOOKUP(C11,Table_StateRates,5,FALSE)</f>
        <v>1.38</v>
      </c>
      <c r="AJ2" s="1117" t="s">
        <v>916</v>
      </c>
      <c r="AK2" s="207">
        <f>HLOOKUP(C11,Table_StateRates,5,FALSE)</f>
        <v>1.38</v>
      </c>
      <c r="AL2" s="207">
        <f>HLOOKUP(C11,Table_StateRates,5,FALSE)</f>
        <v>1.38</v>
      </c>
      <c r="AM2" s="207">
        <f>HLOOKUP(C11,Table_StateRates,5,FALSE)</f>
        <v>1.38</v>
      </c>
      <c r="AN2" s="207">
        <f>HLOOKUP(C11,Table_StateRates,5,FALSE)</f>
        <v>1.38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>
        <f>Summary6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46"/>
      <c r="V4" s="83" t="s">
        <v>2166</v>
      </c>
      <c r="W4" s="1312">
        <f>PRODUCT(W2:W3)</f>
        <v>2.6219999999999999</v>
      </c>
      <c r="X4" s="1312">
        <f>PRODUCT(X2:X3)</f>
        <v>2.6219999999999999</v>
      </c>
      <c r="Y4" s="1312">
        <f>PRODUCT(Y2:Y3)</f>
        <v>2.6219999999999999</v>
      </c>
      <c r="Z4" s="1312">
        <f>PRODUCT(Z2:Z3)</f>
        <v>2.6219999999999999</v>
      </c>
      <c r="AB4" s="60"/>
      <c r="AC4" s="83" t="s">
        <v>2166</v>
      </c>
      <c r="AD4" s="1312">
        <f>PRODUCT(AD2:AD3)</f>
        <v>2.6219999999999999</v>
      </c>
      <c r="AE4" s="1312">
        <f>PRODUCT(AE2:AE3)</f>
        <v>2.6219999999999999</v>
      </c>
      <c r="AF4" s="1312">
        <f>PRODUCT(AF2:AF3)</f>
        <v>2.6219999999999999</v>
      </c>
      <c r="AG4" s="1312">
        <f>PRODUCT(AG2:AG3)</f>
        <v>2.6219999999999999</v>
      </c>
      <c r="AI4" s="60"/>
      <c r="AJ4" s="83" t="s">
        <v>2166</v>
      </c>
      <c r="AK4" s="1312">
        <f>PRODUCT(AK2:AK3)</f>
        <v>2.6219999999999999</v>
      </c>
      <c r="AL4" s="1312">
        <f>PRODUCT(AL2:AL3)</f>
        <v>2.6219999999999999</v>
      </c>
      <c r="AM4" s="1312">
        <f>PRODUCT(AM2:AM3)</f>
        <v>2.6219999999999999</v>
      </c>
      <c r="AN4" s="1312">
        <f>PRODUCT(AN2:AN3)</f>
        <v>2.6219999999999999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793</v>
      </c>
      <c r="J5" s="258">
        <f>IF(C27="Yes",Q36,0)</f>
        <v>275</v>
      </c>
      <c r="K5" s="259" t="e">
        <f>IF(AND(C27="Yes",C12="SP"),R36,0)</f>
        <v>#N/A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0.126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4.8000000000000001E-2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0.126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4.8000000000000001E-2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0.126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0.126</v>
      </c>
      <c r="AL5" s="247">
        <f>Q5</f>
        <v>4.2000000000000003E-2</v>
      </c>
      <c r="AM5" s="247">
        <f>R5</f>
        <v>4.8000000000000001E-2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980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0.96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0.96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1.38</v>
      </c>
      <c r="AS6" s="299">
        <f>HLOOKUP(C11,Table_StateRates,5,FALSE)</f>
        <v>1.38</v>
      </c>
      <c r="AT6" s="299">
        <f>HLOOKUP(C11,Table_StateRates,5,FALSE)</f>
        <v>1.38</v>
      </c>
      <c r="AU6" s="299">
        <f>HLOOKUP(C11,Table_StateRates,5,FALSE)</f>
        <v>1.38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1.38</v>
      </c>
      <c r="BE6" s="453"/>
      <c r="BF6" s="186" t="s">
        <v>1019</v>
      </c>
      <c r="BG6" s="208">
        <f>HLOOKUP(C11,Table_StateRates,5,FALSE)</f>
        <v>1.38</v>
      </c>
      <c r="BH6" s="146"/>
      <c r="BI6" s="453"/>
      <c r="BJ6" s="186" t="s">
        <v>1019</v>
      </c>
      <c r="BK6" s="208">
        <f>HLOOKUP(C11,Table_StateRates,5,FALSE)</f>
        <v>1.38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0.96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0.96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0.317</v>
      </c>
      <c r="AE7" s="1315">
        <f>ROUND(PRODUCT(AE4:AE6),3)</f>
        <v>0.11</v>
      </c>
      <c r="AF7" s="1315">
        <f>ROUND(PRODUCT(AF4:AF6),3)</f>
        <v>2.5999999999999999E-2</v>
      </c>
      <c r="AG7" s="1315">
        <f>ROUND(PRODUCT(AG4:AG6),3)</f>
        <v>2.5999999999999999E-2</v>
      </c>
      <c r="AH7" s="207"/>
      <c r="AI7" s="146"/>
      <c r="AJ7" s="301" t="s">
        <v>2243</v>
      </c>
      <c r="AK7" s="1315">
        <f>ROUND(PRODUCT(AK4:AK6),3)</f>
        <v>0.317</v>
      </c>
      <c r="AL7" s="1315">
        <f>ROUND(PRODUCT(AL4:AL6),3)</f>
        <v>0.11</v>
      </c>
      <c r="AM7" s="1315">
        <f>ROUND(PRODUCT(AM4:AM6),3)</f>
        <v>0.126</v>
      </c>
      <c r="AN7" s="1315">
        <f>ROUND(PRODUCT(AN4:AN6),3)</f>
        <v>3.9E-2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1</v>
      </c>
      <c r="AS7" s="299">
        <f>IF(F7="Yes",1,IF(C48&gt;=80,VLOOKUP(C48,Table_CoIns1,2,FALSE),1+ IF(P5&lt;B49,VLOOKUP(B62,Table_CIUnder80,5,FALSE),0.5)))</f>
        <v>1</v>
      </c>
      <c r="AT7" s="299">
        <f>IF(F7="Yes",1,IF(C48&gt;=80,VLOOKUP(C48,Table_CoIns1,2,FALSE),1+ IF(P5&lt;B49,VLOOKUP(B62,Table_CIUnder80,5,FALSE),0.5)))</f>
        <v>1</v>
      </c>
      <c r="AU7" s="299">
        <f>IF(F7="Yes",1,IF(C48&gt;=80,VLOOKUP(C48,Table_CoIns1,2,FALSE),1+ IF(P5&lt;B49,VLOOKUP(B62,Table_CIUnder80,5,FALSE),0.5)))</f>
        <v>1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0.317</v>
      </c>
      <c r="X8" s="1315">
        <f>ROUND(PRODUCT(X4:X7),3)</f>
        <v>0.11</v>
      </c>
      <c r="Y8" s="1315">
        <f>ROUND(PRODUCT(Y4:Y7),3)</f>
        <v>0.126</v>
      </c>
      <c r="Z8" s="1315">
        <f>ROUND(PRODUCT(Z4:Z7),3)</f>
        <v>3.9E-2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 t="e">
        <f>IF(C12="SP",VLOOKUP(C18,Table_TerrMult_SP,2,0),1)</f>
        <v>#N/A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1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 t="e">
        <f>IF(OR(AND(C27="No",F41="Yes",F10="Yes",C12="SP"),AND(C27="Yes",F10="Yes",C12="SP")),Y27,0)</f>
        <v>#N/A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0.317</v>
      </c>
      <c r="Q9" s="1313">
        <f>ROUND(PRODUCT(Q4:Q8),3)</f>
        <v>0.11</v>
      </c>
      <c r="R9" s="1313">
        <f>ROUND(PRODUCT(R4:R8),3)</f>
        <v>0.126</v>
      </c>
      <c r="S9" s="1313">
        <f>ROUND(PRODUCT(S4:S8),3)</f>
        <v>3.9E-2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1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833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1859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7.9000000000000001E-2</v>
      </c>
      <c r="X11" s="1315">
        <f>ROUND(PRODUCT(X8:X10),3)</f>
        <v>2.8000000000000001E-2</v>
      </c>
      <c r="Y11" s="1315">
        <f>ROUND(PRODUCT(Y8:Y10),3)</f>
        <v>3.2000000000000001E-2</v>
      </c>
      <c r="Z11" s="1315">
        <f>ROUND(PRODUCT(Z8:Z10),3)</f>
        <v>0.01</v>
      </c>
      <c r="AB11" s="146"/>
      <c r="AC11" s="83" t="s">
        <v>2167</v>
      </c>
      <c r="AD11" s="1313">
        <f>ROUND(PRODUCT(AD7:AD10),3)</f>
        <v>0.159</v>
      </c>
      <c r="AE11" s="1313">
        <f>ROUND(PRODUCT(AE7:AE10),3)</f>
        <v>5.5E-2</v>
      </c>
      <c r="AF11" s="1313" t="e">
        <f>ROUND(PRODUCT(AF7:AF10),3)</f>
        <v>#N/A</v>
      </c>
      <c r="AG11" s="1313">
        <f>ROUND(PRODUCT(AG7:AG10),3)</f>
        <v>2.5999999999999999E-2</v>
      </c>
      <c r="AH11" s="426"/>
      <c r="AI11" s="146"/>
      <c r="AJ11" s="1210" t="s">
        <v>2243</v>
      </c>
      <c r="AK11" s="1424">
        <f>AK7</f>
        <v>0.317</v>
      </c>
      <c r="AL11" s="1424">
        <f>AL7</f>
        <v>0.11</v>
      </c>
      <c r="AM11" s="1424">
        <f>AM7</f>
        <v>0.126</v>
      </c>
      <c r="AN11" s="1424">
        <f>AN7</f>
        <v>3.9E-2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894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2</v>
      </c>
      <c r="C13" s="1106">
        <v>1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 t="e">
        <f t="shared" si="0"/>
        <v>#N/A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4.8000000000000001E-2</v>
      </c>
      <c r="AL13" s="1423">
        <f>ROUND(PRODUCT(AL11:AL12),3)</f>
        <v>1.7000000000000001E-2</v>
      </c>
      <c r="AM13" s="1423">
        <f>ROUND(PRODUCT(AM11:AM12),3)</f>
        <v>1.9E-2</v>
      </c>
      <c r="AN13" s="1423">
        <f>ROUND(PRODUCT(AN11:AN12),3)</f>
        <v>6.0000000000000001E-3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3</v>
      </c>
      <c r="D14" s="577" t="s">
        <v>1850</v>
      </c>
      <c r="E14" s="271"/>
      <c r="F14" s="1068" t="s">
        <v>833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 t="e">
        <f>IF(C12="SP",VLOOKUP(C18,Table_TerrMult_SP,2,0),1)</f>
        <v>#N/A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1.38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1</v>
      </c>
      <c r="D15" s="585" t="s">
        <v>1164</v>
      </c>
      <c r="E15" s="950">
        <v>250000</v>
      </c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0.159</v>
      </c>
      <c r="AE16" s="757">
        <f>AE11</f>
        <v>5.5E-2</v>
      </c>
      <c r="AF16" s="757" t="e">
        <f>AF11</f>
        <v>#N/A</v>
      </c>
      <c r="AG16" s="757">
        <f>AG11</f>
        <v>2.5999999999999999E-2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1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1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1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1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1.38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>
        <v>50000</v>
      </c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0.159</v>
      </c>
      <c r="AE17" s="1315">
        <f>ROUND(PRODUCT(AE15:AE16),3)</f>
        <v>5.5E-2</v>
      </c>
      <c r="AF17" s="1315" t="e">
        <f>ROUND(PRODUCT(AF15:AF16),3)</f>
        <v>#N/A</v>
      </c>
      <c r="AG17" s="1315">
        <f>ROUND(PRODUCT(AG15:AG16),3)</f>
        <v>2.5999999999999999E-2</v>
      </c>
      <c r="AH17" s="266"/>
      <c r="AI17" s="216"/>
      <c r="AJ17" s="1226" t="s">
        <v>2117</v>
      </c>
      <c r="AK17" s="1427">
        <f>IF(F14="Yes",IF(C58="Yes",E15/100,E16/100),0)</f>
        <v>2500</v>
      </c>
      <c r="AL17" s="1427">
        <f>IF(F14="Yes",IF(C58="Yes",E15/100,E16/100),0)</f>
        <v>2500</v>
      </c>
      <c r="AM17" s="1427">
        <f>IF(F14="Yes",IF(C58="Yes",E15/100,E16/100),0)</f>
        <v>2500</v>
      </c>
      <c r="AN17" s="1427">
        <f>IF(F14="Yes",IF(C58="Yes",E15/100,E16/100),0)</f>
        <v>2500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/>
      <c r="D18" s="587" t="s">
        <v>1154</v>
      </c>
      <c r="E18" s="950">
        <v>50000</v>
      </c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120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120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 t="e">
        <f>ROUND(PRODUCT(AF17:AF18),0)</f>
        <v>#N/A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6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IF(TC6_PP1!F26="Yes","PP","Available")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361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1.38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361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0.317</v>
      </c>
      <c r="Q21" s="1312">
        <f>ROUND(PRODUCT(Q9:Q20),3)</f>
        <v>0.11</v>
      </c>
      <c r="R21" s="1312">
        <f>ROUND(PRODUCT(R9:R20),3)</f>
        <v>0.126</v>
      </c>
      <c r="S21" s="1315">
        <f>ROUND(PRODUCT(S9:S20),3)</f>
        <v>3.9E-2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11.4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842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1</v>
      </c>
      <c r="Q22" s="247">
        <f>IF(F7="Yes",1,IF(C48&gt;=80,VLOOKUP(C48,Table_CoIns2,2,FALSE),1+ IF(Q5&lt;B49,VLOOKUP(B62,Table_CIUnder80,5,FALSE),0.5)))</f>
        <v>1</v>
      </c>
      <c r="R22" s="247">
        <f>IF(F7="Yes",1,IF(C48&gt;=80,VLOOKUP(C48,Table_CoIns1,2,FALSE),1+ IF(P5&lt;B49,VLOOKUP(B62,Table_CIUnder80,5,FALSE),0.5)))</f>
        <v>1</v>
      </c>
      <c r="S22" s="247">
        <f>IF(F7="Yes",1,IF(C48&gt;=80,VLOOKUP(C48,Table_CoIns1,2,FALSE),1+ IF(P5&lt;B49,VLOOKUP(B62,Table_CIUnder80,5,FALSE),0.5)))</f>
        <v>1</v>
      </c>
      <c r="V22" s="83" t="s">
        <v>1150</v>
      </c>
      <c r="W22" s="1315">
        <f>ROUND(PRODUCT(W11:W14,IF(AND(C59="Yes",C61="Sprinkler",C62="Yes"),W15-W16,W15),W17:W21),3)</f>
        <v>7.9000000000000001E-2</v>
      </c>
      <c r="X22" s="1315">
        <f>ROUND(PRODUCT(X11:X21),3)</f>
        <v>2.8000000000000001E-2</v>
      </c>
      <c r="Y22" s="1315" t="e">
        <f>ROUND(PRODUCT(Y11:Y21),3)</f>
        <v>#N/A</v>
      </c>
      <c r="Z22" s="1315">
        <f>ROUND(PRODUCT(Z11:Z21),3)</f>
        <v>0.01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1</v>
      </c>
      <c r="BD22" s="423"/>
      <c r="BE22" s="453"/>
      <c r="BF22" s="186" t="s">
        <v>1019</v>
      </c>
      <c r="BG22" s="208">
        <f>HLOOKUP(C11,Table_StateRates,5,FALSE)</f>
        <v>1.38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0.317</v>
      </c>
      <c r="AL23" s="1424">
        <f>AL7</f>
        <v>0.11</v>
      </c>
      <c r="AM23" s="1424">
        <f>AM7</f>
        <v>0.126</v>
      </c>
      <c r="AN23" s="1424">
        <f>AN7</f>
        <v>3.9E-2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1.1399999999999999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4.8000000000000001E-2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1.38</v>
      </c>
      <c r="AS24" s="299">
        <f>HLOOKUP(C11,Table_StateRates,5,FALSE)</f>
        <v>1.38</v>
      </c>
      <c r="AT24" s="299">
        <f>HLOOKUP(C11,Table_StateRates,5,FALSE)</f>
        <v>1.38</v>
      </c>
      <c r="AU24" s="299">
        <f>HLOOKUP(C11,Table_StateRates,5,FALSE)</f>
        <v>1.38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4.8000000000000001E-2</v>
      </c>
      <c r="AL25" s="1423">
        <f>ROUND(PRODUCT(AL23:AL24),3)</f>
        <v>1.7000000000000001E-2</v>
      </c>
      <c r="AM25" s="1423">
        <f>ROUND(PRODUCT(AM23:AM24),3)</f>
        <v>1.9E-2</v>
      </c>
      <c r="AN25" s="1423">
        <f>ROUND(PRODUCT(AN23:AN24),3)</f>
        <v>6.0000000000000001E-3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1</v>
      </c>
      <c r="AS25" s="299">
        <f>IF(F7="Yes",1,IF(C48&gt;=80,VLOOKUP(C48,Table_CoIns1,2,FALSE),1+ IF(P5&lt;B49,VLOOKUP(B62,Table_CIUnder80,5,FALSE),0.5)))</f>
        <v>1</v>
      </c>
      <c r="AT25" s="299">
        <f>IF(F7="Yes",1,IF(C48&gt;=80,VLOOKUP(C48,Table_CoIns1,2,FALSE),1+ IF(P5&lt;B49,VLOOKUP(B62,Table_CIUnder80,5,FALSE),0.5)))</f>
        <v>1</v>
      </c>
      <c r="AU25" s="299">
        <f>IF(F7="Yes",1,IF(C48&gt;=80,VLOOKUP(C48,Table_CoIns1,2,FALSE),1+ IF(P5&lt;B49,VLOOKUP(B62,Table_CIUnder80,5,FALSE),0.5)))</f>
        <v>1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1</v>
      </c>
      <c r="Q26" s="1314">
        <f>ROUND(PRODUCT(Q22:Q25),3)</f>
        <v>1</v>
      </c>
      <c r="R26" s="1314">
        <f>ROUND(PRODUCT(R22:R25),3)</f>
        <v>1</v>
      </c>
      <c r="S26" s="1314">
        <f>ROUND(PRODUCT(S22:S25),3)</f>
        <v>1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4.8000000000000001E-2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1.38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0.317</v>
      </c>
      <c r="Q27" s="757">
        <f>Q21</f>
        <v>0.11</v>
      </c>
      <c r="R27" s="757">
        <f>R21</f>
        <v>0.126</v>
      </c>
      <c r="S27" s="757">
        <f>S21</f>
        <v>3.9E-2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 t="e">
        <f>ROUND(PRODUCT(Y22,Y25:Y26),0)</f>
        <v>#N/A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1.1399999999999999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0.317</v>
      </c>
      <c r="Q28" s="1315">
        <f>IF($C$30="Yes",C31,ROUND(PRODUCT(Q26:Q27),3))</f>
        <v>0.11</v>
      </c>
      <c r="R28" s="1315">
        <f>IF($C$30="Yes",B32,ROUND(PRODUCT(R26:R27),3))</f>
        <v>0.126</v>
      </c>
      <c r="S28" s="1315">
        <f>IF($C$30="Yes",C32,ROUND(PRODUCT(S26:S27),3))</f>
        <v>3.9E-2</v>
      </c>
      <c r="AC28" s="168" t="s">
        <v>1019</v>
      </c>
      <c r="AD28" s="207">
        <f>HLOOKUP(C11,Table_StateRates,5,FALSE)</f>
        <v>1.38</v>
      </c>
      <c r="AE28" s="207">
        <f>HLOOKUP(C11,Table_StateRates,5,FALSE)</f>
        <v>1.38</v>
      </c>
      <c r="AF28" s="207">
        <f>HLOOKUP(C11,Table_StateRates,5,FALSE)</f>
        <v>1.38</v>
      </c>
      <c r="AG28" s="207">
        <f>HLOOKUP(C11,Table_StateRates,5,FALSE)</f>
        <v>1.38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1</v>
      </c>
      <c r="AE29" s="247">
        <f>IF(F7="Yes",1,IF(C48&gt;=80,VLOOKUP(C48,Table_CoIns1,2,FALSE),1+ IF(P5&lt;B49,VLOOKUP(B62,Table_CIUnder80,5,FALSE),0.5)))</f>
        <v>1</v>
      </c>
      <c r="AF29" s="247">
        <f>IF(F7="Yes",1,IF(C48&gt;=80,VLOOKUP(C48,Table_CoIns1,2,FALSE),1+ IF(P5&lt;B49,VLOOKUP(B62,Table_CIUnder80,5,FALSE),0.5)))</f>
        <v>1</v>
      </c>
      <c r="AG29" s="247">
        <f>IF(F7="Yes",1,IF(C48&gt;=80,VLOOKUP(C48,Table_CoIns1,2,FALSE),1+ IF(P5&lt;B49,VLOOKUP(B62,Table_CIUnder80,5,FALSE),0.5)))</f>
        <v>1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857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1.38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 t="e">
        <f>SUM(I13:L13,I16,I22,I27,I29)</f>
        <v>#N/A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1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1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1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1</v>
      </c>
      <c r="V31" s="168" t="s">
        <v>407</v>
      </c>
      <c r="W31" s="247">
        <f>P28</f>
        <v>0.317</v>
      </c>
      <c r="X31" s="247">
        <f>Q28</f>
        <v>0.11</v>
      </c>
      <c r="Y31" s="247">
        <f>R28</f>
        <v>0.126</v>
      </c>
      <c r="Z31" s="247">
        <f>S28</f>
        <v>3.9E-2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2.1000000000000001E-2</v>
      </c>
      <c r="AS31" s="247">
        <f>ROUND(PRODUCT(AS21:AS30),3)</f>
        <v>1.6E-2</v>
      </c>
      <c r="AT31" s="247">
        <f>ROUND(PRODUCT(AT21:AT30),3)</f>
        <v>1.6E-2</v>
      </c>
      <c r="AU31" s="247">
        <f>ROUND(PRODUCT(AU21:AU30),3)</f>
        <v>1.6E-2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 t="e">
        <f>IF(C12="SP",VLOOKUP(C18,Table_TerrMult_SP,2,0),1)</f>
        <v>#N/A</v>
      </c>
      <c r="S32" s="247">
        <v>1</v>
      </c>
      <c r="U32" s="185"/>
      <c r="V32" s="187" t="s">
        <v>408</v>
      </c>
      <c r="W32" s="208">
        <f>IF(C48&gt;80,P22,1)</f>
        <v>1</v>
      </c>
      <c r="X32" s="208">
        <f>IF(C48&gt;80,Q22,1)</f>
        <v>1</v>
      </c>
      <c r="Y32" s="208">
        <f>IF(C48&gt;80,R22,1)</f>
        <v>1</v>
      </c>
      <c r="Z32" s="208">
        <f>IF(C48&gt;80,S22,1)</f>
        <v>1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2500</v>
      </c>
      <c r="Q33" s="238">
        <f>IF(ISNUMBER(C45),C45/100,0)</f>
        <v>2500</v>
      </c>
      <c r="R33" s="238">
        <f>IF(ISNUMBER(C45),C45/100,0)</f>
        <v>2500</v>
      </c>
      <c r="S33" s="238">
        <f>IF(ISNUMBER(C45),C45/100,0)</f>
        <v>2500</v>
      </c>
      <c r="U33" s="546"/>
      <c r="V33" s="301" t="s">
        <v>409</v>
      </c>
      <c r="W33" s="247">
        <f>ROUND(W31/W32,3)</f>
        <v>0.317</v>
      </c>
      <c r="X33" s="247">
        <f>ROUND(X31/X32,3)</f>
        <v>0.11</v>
      </c>
      <c r="Y33" s="247">
        <f>ROUND(Y31/Y32,3)</f>
        <v>0.126</v>
      </c>
      <c r="Z33" s="247">
        <f>ROUND(Z31/Z32,3)</f>
        <v>3.9E-2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793</v>
      </c>
      <c r="Q34" s="1481">
        <f>IF($C$30="Yes",ROUND(PRODUCT(Q28,Q33),0),ROUND(PRODUCT(Q28,Q31:Q33),0))</f>
        <v>275</v>
      </c>
      <c r="R34" s="1481" t="e">
        <f>IF($C$30="Yes",ROUND(PRODUCT(R28,R33),0),ROUND(PRODUCT(R28,R31:R33),0))</f>
        <v>#N/A</v>
      </c>
      <c r="S34" s="1481">
        <f>IF($C$30="Yes",ROUND(PRODUCT(S28,S33),0),ROUND(PRODUCT(S28,S31:S33),0))</f>
        <v>98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0.11</v>
      </c>
      <c r="AF34" s="247">
        <f>ROUND(PRODUCT(AF26:AF33),3)</f>
        <v>0.126</v>
      </c>
      <c r="AG34" s="247">
        <f>ROUND(PRODUCT(AG26:AG33),3)</f>
        <v>3.9E-2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48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 t="e">
        <f>R42</f>
        <v>#N/A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0.317</v>
      </c>
      <c r="AL35" s="247">
        <f>AL7</f>
        <v>0.11</v>
      </c>
      <c r="AM35" s="247">
        <f>AM7</f>
        <v>0.126</v>
      </c>
      <c r="AN35" s="247">
        <f>AN7</f>
        <v>3.9E-2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793</v>
      </c>
      <c r="Q36" s="248">
        <f>SUM(Q34:Q35)</f>
        <v>275</v>
      </c>
      <c r="R36" s="248" t="e">
        <f>SUM(R34:R35)</f>
        <v>#N/A</v>
      </c>
      <c r="S36" s="248">
        <f>SUM(S34:S35)</f>
        <v>98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1.38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1.1719999999999999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1.5129999999999999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1.4530000000000001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1.4530000000000001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1.38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9.5000000000000001E-2</v>
      </c>
      <c r="X39" s="247">
        <f>ROUND(PRODUCT(X33:X38),3)</f>
        <v>3.3000000000000002E-2</v>
      </c>
      <c r="Y39" s="247">
        <f>ROUND(PRODUCT(Y33:Y38),3)</f>
        <v>3.7999999999999999E-2</v>
      </c>
      <c r="Z39" s="247">
        <f>ROUND(PRODUCT(Z33:Z38),3)</f>
        <v>1.2E-2</v>
      </c>
      <c r="AH39" s="266"/>
      <c r="AI39" s="216"/>
      <c r="AJ39" s="1226" t="s">
        <v>2117</v>
      </c>
      <c r="AK39" s="1427">
        <f>IF(F14="Yes",E17/100,0)</f>
        <v>500</v>
      </c>
      <c r="AL39" s="1427">
        <f>IF(F14="Yes",E17/100,0)</f>
        <v>500</v>
      </c>
      <c r="AM39" s="542">
        <f>IF(F14="Yes",E17/100,0)</f>
        <v>500</v>
      </c>
      <c r="AN39" s="1211">
        <f>IF(F14="Yes",E17/100,0)</f>
        <v>500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0.126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1.38</v>
      </c>
      <c r="AZ39" s="423"/>
      <c r="BA39" s="542"/>
      <c r="BB39" s="597" t="s">
        <v>1019</v>
      </c>
      <c r="BC39" s="279">
        <f>HLOOKUP(C11,Table_StateRates,5,FALSE)</f>
        <v>1.38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793</v>
      </c>
      <c r="Q40" s="248">
        <f>Q34</f>
        <v>275</v>
      </c>
      <c r="R40" s="248" t="e">
        <f>R34</f>
        <v>#N/A</v>
      </c>
      <c r="S40" s="248">
        <f>S34</f>
        <v>98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186</v>
      </c>
      <c r="AL40" s="1228">
        <f>ROUND(PRODUCT(AL35,AL38:AL39),0)</f>
        <v>83</v>
      </c>
      <c r="AM40" s="1228">
        <f>ROUND(PRODUCT(AM35,AM38:AM39),0)</f>
        <v>92</v>
      </c>
      <c r="AN40" s="1228">
        <f>ROUND(PRODUCT(AN35,AN38:AN39),0)</f>
        <v>28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3.9E-2</v>
      </c>
      <c r="AZ40" s="559"/>
      <c r="BA40" s="423"/>
      <c r="BB40" s="810" t="s">
        <v>1134</v>
      </c>
      <c r="BC40" s="426">
        <f>ROUND(PRODUCT(BC35:BC39),3)</f>
        <v>3.9E-2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0.96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0.96</v>
      </c>
      <c r="AZ41" s="559"/>
      <c r="BA41" s="423"/>
      <c r="BB41" s="906" t="s">
        <v>1178</v>
      </c>
      <c r="BC41" s="423">
        <f>IF(OR(C28="S",C28="T",C28="SC"),1,VLOOKUP(C14,Table_ProtClass,IF(C15&lt;=3,2,3),FALSE))</f>
        <v>0.96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 t="e">
        <f>ROUND(PRODUCT(R40:R41),0)</f>
        <v>#N/A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 t="e">
        <f>IF(C12="SP",VLOOKUP(C18,Table_TerrMult_SP,2,0),1)</f>
        <v>#N/A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0.16600000000000001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1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93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0.317</v>
      </c>
      <c r="AL44" s="247">
        <f>AL7</f>
        <v>0.11</v>
      </c>
      <c r="AM44" s="247">
        <f>AM7</f>
        <v>0.126</v>
      </c>
      <c r="AN44" s="247">
        <f>AN7</f>
        <v>3.9E-2</v>
      </c>
      <c r="AO44" s="557"/>
      <c r="AP44" s="2"/>
      <c r="AQ44" s="168" t="s">
        <v>1019</v>
      </c>
      <c r="AR44" s="207">
        <f>HLOOKUP(C11,Table_StateRates,5,FALSE)</f>
        <v>1.38</v>
      </c>
      <c r="AS44" s="207">
        <f>HLOOKUP(C11,Table_StateRates,5,FALSE)</f>
        <v>1.38</v>
      </c>
      <c r="AT44" s="207">
        <f>HLOOKUP(C11,Table_StateRates,5,FALSE)</f>
        <v>1.38</v>
      </c>
      <c r="AU44" s="207">
        <f>HLOOKUP(C11,Table_StateRates,5,FALSE)</f>
        <v>1.38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8.9999999999999993E-3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250000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3.6999999999999998E-2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2500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1.38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 t="e">
        <f>SUM(I5:L5,I31,I38,I41)</f>
        <v>#N/A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1.1719999999999999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1.5129999999999999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1.4530000000000001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1.4530000000000001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93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80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500</v>
      </c>
      <c r="AL48" s="1427">
        <f>IF(F14="Yes",E18/100,0)</f>
        <v>500</v>
      </c>
      <c r="AM48" s="542">
        <f>IF(F14="Yes",E18/100,0)</f>
        <v>500</v>
      </c>
      <c r="AN48" s="1211">
        <f>IF(F14="Yes",E18/100,0)</f>
        <v>500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 t="e">
        <f>SUM(I44,I47)</f>
        <v>#N/A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0.126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4.8000000000000001E-2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186</v>
      </c>
      <c r="AL49" s="1228">
        <f>ROUND(PRODUCT(AL44,AL47:AL48),0)</f>
        <v>83</v>
      </c>
      <c r="AM49" s="1228">
        <f>ROUND(PRODUCT(AM44,AM47:AM48),0)</f>
        <v>92</v>
      </c>
      <c r="AN49" s="1228">
        <f>ROUND(PRODUCT(AN44,AN47:AN48),0)</f>
        <v>28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0.159</v>
      </c>
      <c r="AS50" s="247">
        <f>ROUND(PRODUCT(AS39:AS49),3)</f>
        <v>5.5E-2</v>
      </c>
      <c r="AT50" s="247" t="e">
        <f>ROUND(PRODUCT(AT39:AT49),3)</f>
        <v>#N/A</v>
      </c>
      <c r="AU50" s="247">
        <f>ROUND(PRODUCT(AU39:AU49),3)</f>
        <v>1.6E-2</v>
      </c>
      <c r="AW50" s="566"/>
      <c r="AX50" s="990" t="s">
        <v>395</v>
      </c>
      <c r="AY50" s="813">
        <f>SUM(AY47,BC46)</f>
        <v>93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1.38</v>
      </c>
      <c r="X51" s="207">
        <f>HLOOKUP(C11,Table_StateRates,5,FALSE)</f>
        <v>1.38</v>
      </c>
      <c r="Y51" s="207">
        <f>HLOOKUP(C11,Table_StateRates,5,FALSE)</f>
        <v>1.38</v>
      </c>
      <c r="Z51" s="207">
        <f>HLOOKUP(C11,Table_StateRates,5,FALSE)</f>
        <v>1.38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120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361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 t="e">
        <f>ROUND(PRODUCT(AT50:AT51),0)</f>
        <v>#N/A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361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4.2999999999999997E-2</v>
      </c>
      <c r="X56" s="247">
        <f>ROUND(PRODUCT(X49:X55),3)</f>
        <v>1.4E-2</v>
      </c>
      <c r="Y56" s="247">
        <f>ROUND(PRODUCT(Y49:Y55),3)</f>
        <v>0.126</v>
      </c>
      <c r="Z56" s="247">
        <f>ROUND(PRODUCT(Z49:Z55),3)</f>
        <v>3.9E-2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4.2999999999999997E-2</v>
      </c>
      <c r="X59" s="247">
        <f>MAX(X56:X57)</f>
        <v>1.4E-2</v>
      </c>
      <c r="Y59" s="247">
        <f>MAX(Y56:Y57)</f>
        <v>0.126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171" priority="21" stopIfTrue="1">
      <formula>IF($C$24="Yes",FALSE,TRUE)</formula>
    </cfRule>
  </conditionalFormatting>
  <conditionalFormatting sqref="E16">
    <cfRule type="expression" dxfId="170" priority="20" stopIfTrue="1">
      <formula>IF($C$58="Yes",TRUE,FALSE)</formula>
    </cfRule>
  </conditionalFormatting>
  <conditionalFormatting sqref="C18">
    <cfRule type="expression" dxfId="169" priority="18">
      <formula>IF($C$12="SP",TRUE,FALSE)</formula>
    </cfRule>
    <cfRule type="expression" dxfId="168" priority="19">
      <formula>IF($C$12="SP",TRUE,FALSE)</formula>
    </cfRule>
  </conditionalFormatting>
  <conditionalFormatting sqref="A18">
    <cfRule type="expression" dxfId="167" priority="17">
      <formula>IF($C$12="SP",TRUE,FALSE)</formula>
    </cfRule>
  </conditionalFormatting>
  <conditionalFormatting sqref="B21">
    <cfRule type="expression" dxfId="166" priority="14">
      <formula>IF($C$21="Yes",TRUE,FALSE)</formula>
    </cfRule>
  </conditionalFormatting>
  <conditionalFormatting sqref="C18">
    <cfRule type="expression" dxfId="165" priority="10">
      <formula>IF($C$12="SP",TRUE,FALSE)</formula>
    </cfRule>
    <cfRule type="expression" dxfId="164" priority="11">
      <formula>IF($C$12="SP",TRUE,FALSE)</formula>
    </cfRule>
  </conditionalFormatting>
  <conditionalFormatting sqref="C32">
    <cfRule type="expression" dxfId="163" priority="2">
      <formula>IF(AND($C$30="Yes",$C$12="BR"),TRUE,FALSE)</formula>
    </cfRule>
  </conditionalFormatting>
  <conditionalFormatting sqref="B32">
    <cfRule type="expression" dxfId="162" priority="1">
      <formula>IF(AND($C$30="Yes",$C$12="SP"),TRUE,FALSE)</formula>
    </cfRule>
  </conditionalFormatting>
  <conditionalFormatting sqref="B31:C31">
    <cfRule type="expression" dxfId="161" priority="3">
      <formula>IF($C$30="Yes",TRUE,FALSE)</formula>
    </cfRule>
  </conditionalFormatting>
  <dataValidations count="97"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custom" allowBlank="1" showInputMessage="1" showErrorMessage="1" sqref="C25 F46 D23 B10 D43:E43 F33:F35 F38:F39 A38 A43">
      <formula1>FALSE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allowBlank="1" showInputMessage="1" showErrorMessage="1" promptTitle="Occupancy Type Description" prompt="Displays the description of the choice made in the cell to the left.  " sqref="B33 B40"/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="Bldg Lookup Value" sqref="F36">
      <formula1>FALSE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custom" allowBlank="1" showInputMessage="1" showErrorMessage="1" prompt="EQ Table Lookup Value" sqref="F49">
      <formula1>FALSE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allowBlank="1" showInputMessage="1" showErrorMessage="1" promptTitle="Special Class Pty: Grp II Symbol" prompt="Group II Symbol supplied for the Special Class Property selected." sqref="E24"/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A78"/>
  <sheetViews>
    <sheetView topLeftCell="A10"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1.38</v>
      </c>
      <c r="Q2" s="423">
        <f>HLOOKUP(C11,Table_StateRates,5,FALSE)</f>
        <v>1.38</v>
      </c>
      <c r="R2" s="423">
        <f>HLOOKUP(C11,Table_StateRates,5,FALSE)</f>
        <v>1.38</v>
      </c>
      <c r="S2" s="423">
        <f>HLOOKUP(C11,Table_StateRates,5,FALSE)</f>
        <v>1.38</v>
      </c>
      <c r="U2" s="1290"/>
      <c r="V2" s="1294" t="s">
        <v>2165</v>
      </c>
      <c r="W2" s="1300">
        <f ca="1">$P$28</f>
        <v>0.32700000000000001</v>
      </c>
      <c r="X2" s="1300">
        <f>$Q$28</f>
        <v>0.14699999999999999</v>
      </c>
      <c r="Y2" s="1300" t="e">
        <f>$R$28</f>
        <v>#N/A</v>
      </c>
      <c r="Z2" s="1300">
        <f>$S$28</f>
        <v>5.5E-2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0.32700000000000001</v>
      </c>
      <c r="AU2" s="247">
        <f>Q28</f>
        <v>0.14699999999999999</v>
      </c>
      <c r="AV2" s="247">
        <f>IF(AND(C27="Yes",C12="SP"),VLOOKUP(C33,Table_Special_PP,3,0),0)</f>
        <v>0.113</v>
      </c>
      <c r="AW2" s="247">
        <f>S28</f>
        <v>5.5E-2</v>
      </c>
      <c r="AZ2" s="1117" t="s">
        <v>2154</v>
      </c>
      <c r="BA2" s="247">
        <f ca="1">P28</f>
        <v>0.32700000000000001</v>
      </c>
      <c r="BB2" s="2">
        <f>Q28</f>
        <v>0.14699999999999999</v>
      </c>
      <c r="BC2" s="558" t="e">
        <f>R28</f>
        <v>#N/A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833</v>
      </c>
      <c r="H3" s="1273">
        <f>Summary6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0.77800000000000002</v>
      </c>
      <c r="X3" s="247">
        <f t="shared" ref="X3:Z3" si="0">Q$31</f>
        <v>0.67200000000000004</v>
      </c>
      <c r="Y3" s="247">
        <f t="shared" si="0"/>
        <v>0.57899999999999996</v>
      </c>
      <c r="Z3" s="247">
        <f t="shared" si="0"/>
        <v>0.57899999999999996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0.13</v>
      </c>
      <c r="AE3" s="2">
        <f>IF(OR(C28="S",C28="T"),C29,VLOOKUP(C16,Table_G2SymLC,3,FALSE)*IF(C60&lt;&gt;"Yes",B16,1))</f>
        <v>5.6000000000000001E-2</v>
      </c>
      <c r="AF3" s="247">
        <f>R5</f>
        <v>0.113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0.32700000000000001</v>
      </c>
      <c r="AM3" s="4">
        <f>Q28</f>
        <v>0.14699999999999999</v>
      </c>
      <c r="AN3" s="780" t="e">
        <f ca="1">IF(AND(C27="Yes",C12="SP"),IF(C13=1,R28,IF(C13=2,INDIRECT(VLOOKUP(C33,Table_Special_PP,6,FALSE)),"Select Type")),0)</f>
        <v>#N/A</v>
      </c>
      <c r="AO3" s="4">
        <f>S28</f>
        <v>5.5E-2</v>
      </c>
      <c r="AP3" s="4" t="e">
        <f>IF(TC6_EQ1!C31="Yes",TC6_EQ1!O28,0)</f>
        <v>#N/A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>
        <f>IF(F3="Yes",C41,"")</f>
        <v>250000</v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0.32700000000000001</v>
      </c>
      <c r="AU4" s="247">
        <f>ROUND(AU2/AU3,3)</f>
        <v>0.14699999999999999</v>
      </c>
      <c r="AV4" s="247">
        <f>ROUND(AV2/AV3,3)</f>
        <v>0.113</v>
      </c>
      <c r="AW4" s="247">
        <f>ROUND(AW2/AW3,3)</f>
        <v>5.5E-2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>
        <v>500000</v>
      </c>
      <c r="F5" s="1065"/>
      <c r="H5" s="82" t="str">
        <f>LEFT(A41,LEN(A41)-7)&amp;" Coverage"</f>
        <v>PPI - Personal Pty of Insured Coverage</v>
      </c>
      <c r="I5" s="258">
        <f ca="1">IF(C27="Yes",P35,0)</f>
        <v>636</v>
      </c>
      <c r="J5" s="258">
        <f>IF(C27="Yes",Q35,0)</f>
        <v>247</v>
      </c>
      <c r="K5" s="258" t="e">
        <f>IF(AND(C27="Yes",C12="SP"),R35,0)</f>
        <v>#N/A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0.13</v>
      </c>
      <c r="Q5" s="247">
        <f>IF(OR(C28="S",C28="T"),C29,VLOOKUP(C16,Table_G2SymLC,3,FALSE)*IF(C60&lt;&gt;"Yes",B16,1))</f>
        <v>5.6000000000000001E-2</v>
      </c>
      <c r="R5" s="247">
        <f>IF(AND(C27="Yes",C12="SP"),VLOOKUP(C33,Table_Special_PP,3,0),0)</f>
        <v>0.113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0</v>
      </c>
      <c r="X5" s="1306">
        <f>ROUND(PRODUCT(X2:X4),0)</f>
        <v>0</v>
      </c>
      <c r="Y5" s="1306" t="e">
        <f>ROUND(PRODUCT(Y2:Y4),0)</f>
        <v>#N/A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3.3000000000000002E-2</v>
      </c>
      <c r="AM5" s="4">
        <f>ROUND(PRODUCT(AM3:AM4),3)</f>
        <v>1.4999999999999999E-2</v>
      </c>
      <c r="AN5" s="780" t="e">
        <f ca="1">ROUND(PRODUCT(AN3:AN4),3)</f>
        <v>#N/A</v>
      </c>
      <c r="AO5" s="4">
        <f>ROUND(PRODUCT(AO3:AO4),3)</f>
        <v>6.0000000000000001E-3</v>
      </c>
      <c r="AP5" s="4" t="e">
        <f>ROUND(PRODUCT(AP3:AP4),3)</f>
        <v>#N/A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0.627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0.47799999999999998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0.36099999999999999</v>
      </c>
      <c r="BD5" s="1229"/>
      <c r="BG5" s="146"/>
      <c r="BH5" s="545" t="s">
        <v>1019</v>
      </c>
      <c r="BI5" s="299">
        <f>HLOOKUP(C11,Table_StateRates,5,FALSE)</f>
        <v>1.38</v>
      </c>
      <c r="BJ5" s="299">
        <f>HLOOKUP(C11,Table_StateRates,5,FALSE)</f>
        <v>1.38</v>
      </c>
      <c r="BK5" s="299">
        <f>HLOOKUP(C11,Table_StateRates,5,FALSE)</f>
        <v>1.38</v>
      </c>
      <c r="BL5" s="299">
        <f>HLOOKUP(C11,Table_StateRates,5,FALSE)</f>
        <v>1.38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980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0.96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0.247</v>
      </c>
      <c r="AE6" s="247">
        <f>ROUND(PRODUCT(AE3:AE5),3)</f>
        <v>0.106</v>
      </c>
      <c r="AF6" s="247">
        <f>ROUND(PRODUCT(AF3:AF5),3)</f>
        <v>0.215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0.20499999999999999</v>
      </c>
      <c r="BB6" s="1315">
        <f>ROUND(PRODUCT(BB2,BB5),3)</f>
        <v>7.0000000000000007E-2</v>
      </c>
      <c r="BC6" s="1315" t="e">
        <f>ROUND(PRODUCT(BC2,BC5),3)</f>
        <v>#N/A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1.38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0</v>
      </c>
      <c r="X7" s="1301">
        <f>SUM(X5:X6)</f>
        <v>0</v>
      </c>
      <c r="Y7" s="1301" t="e">
        <f>SUM(Y5:Y6)</f>
        <v>#N/A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#N/A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10000</v>
      </c>
      <c r="BB7" s="238">
        <f>IF(F21="Yes",E22/100,0)</f>
        <v>10000</v>
      </c>
      <c r="BC7" s="238">
        <f>IF(F21="Yes",E22/100,0)</f>
        <v>10000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0.32700000000000001</v>
      </c>
      <c r="Q8" s="1315">
        <f>ROUND(PRODUCT(Q4:Q7),3)</f>
        <v>0.14699999999999999</v>
      </c>
      <c r="R8" s="1315">
        <f>ROUND(PRODUCT(R4:R7),3)</f>
        <v>0.29599999999999999</v>
      </c>
      <c r="S8" s="1315">
        <f>ROUND(PRODUCT(S4:S7),3)</f>
        <v>5.5E-2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2050</v>
      </c>
      <c r="BB8" s="248">
        <f>ROUND(PRODUCT(BB6:BB7),0)</f>
        <v>700</v>
      </c>
      <c r="BC8" s="248" t="e">
        <f>ROUND(PRODUCT(BC6:BC7),0)</f>
        <v>#N/A</v>
      </c>
      <c r="BD8" s="575"/>
      <c r="BE8" s="572" t="e">
        <f ca="1">SUM(BA8:BC8)</f>
        <v>#N/A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0.124</v>
      </c>
      <c r="AE9" s="247">
        <f>ROUND(PRODUCT(AE6:AE8),3)</f>
        <v>5.2999999999999999E-2</v>
      </c>
      <c r="AF9" s="247">
        <f>ROUND(PRODUCT(AF6:AF8),3)</f>
        <v>0.108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0.40899999999999997</v>
      </c>
      <c r="AU9" s="247">
        <f>ROUND(PRODUCT(AU4:AU7),3)</f>
        <v>0.184</v>
      </c>
      <c r="AV9" s="247">
        <f>ROUND(PRODUCT(AV4:AV7),3)</f>
        <v>0.14099999999999999</v>
      </c>
      <c r="AW9" s="247">
        <f>ROUND(PRODUCT(AW4:AW7),3)</f>
        <v>6.9000000000000006E-2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0</v>
      </c>
      <c r="X10" s="1301">
        <f>X5</f>
        <v>0</v>
      </c>
      <c r="Y10" s="1301" t="e">
        <f>Y5</f>
        <v>#N/A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2500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2500</v>
      </c>
      <c r="AU10" s="238">
        <f>IF(F13="Yes",E14/100,C41/100)</f>
        <v>2500</v>
      </c>
      <c r="AV10" s="238">
        <f>IF(F13="Yes",E14/100,C41/100)</f>
        <v>2500</v>
      </c>
      <c r="AW10" s="238">
        <f>IF(F13="Yes",E14/100,C41/100)</f>
        <v>2500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1859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#N/A</v>
      </c>
      <c r="AM11" s="146"/>
      <c r="AN11" s="146"/>
      <c r="AO11" s="301"/>
      <c r="AP11" s="976"/>
      <c r="AS11" s="301"/>
      <c r="AT11" s="248">
        <f ca="1">ROUND(PRODUCT(AT9:AT10),0)</f>
        <v>1023</v>
      </c>
      <c r="AU11" s="248">
        <f>ROUND(PRODUCT(AU9:AU10),0)</f>
        <v>460</v>
      </c>
      <c r="AV11" s="248">
        <f>ROUND(PRODUCT(AV9:AV10),0)</f>
        <v>353</v>
      </c>
      <c r="AW11" s="248">
        <f>ROUND(PRODUCT(AW9:AW10),0)</f>
        <v>173</v>
      </c>
      <c r="AZ11" s="1117" t="s">
        <v>2154</v>
      </c>
      <c r="BA11" s="247">
        <f ca="1">P28</f>
        <v>0.32700000000000001</v>
      </c>
      <c r="BB11" s="2">
        <f>Q28</f>
        <v>0.14699999999999999</v>
      </c>
      <c r="BC11" s="558" t="e">
        <f>R28</f>
        <v>#N/A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#N/A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106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0.96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1836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3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 t="e">
        <f>IF(C12="SP",VLOOKUP(C18,Table_TerrMult_SP,2,0),1)</f>
        <v>#N/A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0.77800000000000002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0.67200000000000004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0.57899999999999996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1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0.254</v>
      </c>
      <c r="BB15" s="1315">
        <f>ROUND(PRODUCT(BB11,BB14),3)</f>
        <v>9.9000000000000005E-2</v>
      </c>
      <c r="BC15" s="1315" t="e">
        <f>ROUND(PRODUCT(BC11,BC14),3)</f>
        <v>#N/A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18</v>
      </c>
      <c r="D16" s="195"/>
      <c r="E16" s="195"/>
      <c r="F16" s="1067"/>
      <c r="H16" s="788" t="s">
        <v>1289</v>
      </c>
      <c r="I16" s="248">
        <f ca="1">SUM(I5:I15)</f>
        <v>636</v>
      </c>
      <c r="J16" s="248">
        <f>SUM(J5:J15)</f>
        <v>247</v>
      </c>
      <c r="K16" s="248" t="e">
        <f>SUM(K5:K15)</f>
        <v>#N/A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0.32700000000000001</v>
      </c>
      <c r="X16" s="1300">
        <f>$Q$28</f>
        <v>0.14699999999999999</v>
      </c>
      <c r="Y16" s="1300" t="e">
        <f>$R$28</f>
        <v>#N/A</v>
      </c>
      <c r="Z16" s="1300">
        <f>$S$28</f>
        <v>5.5E-2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2500</v>
      </c>
      <c r="BB16" s="238">
        <f>IF(F21="Yes",C41/100,0)</f>
        <v>2500</v>
      </c>
      <c r="BC16" s="238">
        <f>IF(F21="Yes",C41/100,0)</f>
        <v>2500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0.77800000000000002</v>
      </c>
      <c r="X17" s="247">
        <f t="shared" ref="X17:Z17" si="1">Q$31</f>
        <v>0.67200000000000004</v>
      </c>
      <c r="Y17" s="247">
        <f t="shared" si="1"/>
        <v>0.57899999999999996</v>
      </c>
      <c r="Z17" s="247">
        <f t="shared" si="1"/>
        <v>0.57899999999999996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0.29599999999999999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635</v>
      </c>
      <c r="BB17" s="248">
        <f>ROUND(PRODUCT(BB15:BB16),0)</f>
        <v>248</v>
      </c>
      <c r="BC17" s="248" t="e">
        <f>ROUND(PRODUCT(BC15:BC16),0)</f>
        <v>#N/A</v>
      </c>
      <c r="BD17" s="575"/>
      <c r="BE17" s="572" t="e">
        <f ca="1">SUM(BA17:BC17)</f>
        <v>#N/A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/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1.38</v>
      </c>
      <c r="AE18" s="423">
        <f>HLOOKUP(C11,Table_StateRates,5,FALSE)</f>
        <v>1.38</v>
      </c>
      <c r="AF18" s="423">
        <f>HLOOKUP(C11,Table_StateRates,5,FALSE)</f>
        <v>1.38</v>
      </c>
      <c r="AG18" s="423">
        <f>HLOOKUP(C11,Table_StateRates,5,FALSE)</f>
        <v>1.38</v>
      </c>
      <c r="AI18" s="266"/>
      <c r="AJ18" s="266"/>
      <c r="AK18" s="268" t="s">
        <v>1019</v>
      </c>
      <c r="AL18" s="423">
        <f>HLOOKUP(C11,Table_StateRates,5,FALSE)</f>
        <v>1.38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0.14699999999999999</v>
      </c>
      <c r="AV18" s="247">
        <f>IF(AND(C27="Yes",C12="SP"),VLOOKUP(C33,Table_Special_PP,3,0),0)</f>
        <v>0.113</v>
      </c>
      <c r="AW18" s="2">
        <f>S28</f>
        <v>5.5E-2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0</v>
      </c>
      <c r="X19" s="1306">
        <f>ROUND(PRODUCT(X16:X18),0)</f>
        <v>0</v>
      </c>
      <c r="Y19" s="1306" t="e">
        <f>ROUND(PRODUCT(Y16:Y18),0)</f>
        <v>#N/A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7.4999999999999997E-2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0.32700000000000001</v>
      </c>
      <c r="Q20" s="1312">
        <f>ROUND(PRODUCT(Q8:Q19),3)</f>
        <v>0.14699999999999999</v>
      </c>
      <c r="R20" s="1312">
        <f>ROUND(PRODUCT(R8:R19),3)</f>
        <v>0.29599999999999999</v>
      </c>
      <c r="S20" s="1312">
        <f>ROUND(PRODUCT(S8:S19),3)</f>
        <v>5.5E-2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2.6219999999999999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0.57899999999999996</v>
      </c>
      <c r="AS20" s="83" t="s">
        <v>115</v>
      </c>
      <c r="AT20" s="247">
        <f>PRODUCT(AT18:AT19)</f>
        <v>0</v>
      </c>
      <c r="AU20" s="247">
        <f>PRODUCT(AU18:AU19)</f>
        <v>0.14699999999999999</v>
      </c>
      <c r="AV20" s="247">
        <f>PRODUCT(AV18:AV19)</f>
        <v>0.113</v>
      </c>
      <c r="AW20" s="247">
        <f>PRODUCT(AW18:AW19)</f>
        <v>5.5E-2</v>
      </c>
      <c r="AZ20" s="168" t="s">
        <v>1335</v>
      </c>
      <c r="BA20" s="248">
        <f>F24</f>
        <v>59</v>
      </c>
      <c r="BD20" s="168" t="s">
        <v>1337</v>
      </c>
      <c r="BE20" s="248" t="e">
        <f ca="1">BE8</f>
        <v>#N/A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1.38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833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>
        <f ca="1">SUM(W19:W20)</f>
        <v>0</v>
      </c>
      <c r="X21" s="1301">
        <f>SUM(X19:X20)</f>
        <v>0</v>
      </c>
      <c r="Y21" s="1301" t="e">
        <f>SUM(Y19:Y20)</f>
        <v>#N/A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0.113</v>
      </c>
      <c r="AN21" s="1429"/>
      <c r="AO21" s="1226" t="s">
        <v>2253</v>
      </c>
      <c r="AP21" s="238">
        <f>IF(F3="Yes",E4/100,0)</f>
        <v>2500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 t="e">
        <f ca="1">BE17</f>
        <v>#N/A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0.14299999999999999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>
        <v>1000000</v>
      </c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0.16400000000000001</v>
      </c>
      <c r="AE22" s="247">
        <f>ROUND(PRODUCT(AE9:AE21),3)</f>
        <v>7.2999999999999995E-2</v>
      </c>
      <c r="AF22" s="247" t="e">
        <f>ROUND(PRODUCT(AF9:AF21),3)</f>
        <v>#N/A</v>
      </c>
      <c r="AG22" s="247">
        <f>ROUND(PRODUCT(AG9:AG21),3)</f>
        <v>2.8000000000000001E-2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428</v>
      </c>
      <c r="AS22" s="168" t="s">
        <v>1019</v>
      </c>
      <c r="AT22" s="207">
        <f>HLOOKUP(C11,Table_StateRates,5,FALSE)</f>
        <v>1.38</v>
      </c>
      <c r="AU22" s="207">
        <f>HLOOKUP(C11,Table_StateRates,5,FALSE)</f>
        <v>1.38</v>
      </c>
      <c r="AV22" s="207">
        <f>HLOOKUP(C11,Table_StateRates,5,FALSE)</f>
        <v>1.38</v>
      </c>
      <c r="AW22" s="207">
        <f>HLOOKUP(C11,Table_StateRates,5,FALSE)</f>
        <v>1.38</v>
      </c>
      <c r="AZ22" s="83" t="s">
        <v>1334</v>
      </c>
      <c r="BA22" s="2">
        <f>ROUND(BA20/BA21,3)</f>
        <v>0.16200000000000001</v>
      </c>
      <c r="BD22" s="83" t="s">
        <v>1339</v>
      </c>
      <c r="BE22" s="248" t="e">
        <f ca="1">IF(BE20=0,0,BE20-BE21)</f>
        <v>#N/A</v>
      </c>
      <c r="BG22" s="146"/>
      <c r="BH22" s="545" t="s">
        <v>1019</v>
      </c>
      <c r="BI22" s="299">
        <f>HLOOKUP(C11,Table_StateRates,5,FALSE)</f>
        <v>1.38</v>
      </c>
      <c r="BJ22" s="299">
        <f>HLOOKUP(C11,Table_StateRates,5,FALSE)</f>
        <v>1.38</v>
      </c>
      <c r="BK22" s="299">
        <f>HLOOKUP(C11,Table_StateRates,5,FALSE)</f>
        <v>1.38</v>
      </c>
      <c r="BL22" s="299">
        <f>HLOOKUP(C11,Table_StateRates,5,FALSE)</f>
        <v>1.38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>
        <v>40562</v>
      </c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0.29599999999999999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0.16200000000000001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>
        <f ca="1">ROUND(PRODUCT(BP21:BP22),3)</f>
        <v>1.4E-2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>
        <v>40621</v>
      </c>
      <c r="F24" s="875">
        <f>IF(OR(ISBLANK(E24),ISBLANK(E23)),0,E24-E23)</f>
        <v>59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0</v>
      </c>
      <c r="X24" s="1301">
        <f>X19</f>
        <v>0</v>
      </c>
      <c r="Y24" s="1301" t="e">
        <f>Y19</f>
        <v>#N/A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 t="e">
        <f ca="1">ROUND(PRODUCT(BE22:BE23),0)</f>
        <v>#N/A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429</v>
      </c>
      <c r="J25" s="248"/>
      <c r="K25" s="976"/>
      <c r="L25" s="478"/>
      <c r="N25" s="385"/>
      <c r="O25" s="685" t="s">
        <v>2236</v>
      </c>
      <c r="P25" s="1314">
        <f>ROUND(PRODUCT(P21:P24),3)</f>
        <v>1</v>
      </c>
      <c r="Q25" s="1314">
        <f>ROUND(PRODUCT(Q21:Q24),3)</f>
        <v>1</v>
      </c>
      <c r="R25" s="1314">
        <f>ROUND(PRODUCT(R21:R24),3)</f>
        <v>1</v>
      </c>
      <c r="S25" s="1314">
        <f>ROUND(PRODUCT(S21:S24),3)</f>
        <v>1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 t="e">
        <f>ROUND(PRODUCT(AF22:AF24),0)</f>
        <v>#N/A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IF(TC6_BLDG1!F20="Yes","Bldg","Available")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 t="e">
        <f>IF($C$12="SP",VLOOKUP($C$18,Table_TerrMult_SP,2,0),1)</f>
        <v>#N/A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0.29599999999999999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0.32700000000000001</v>
      </c>
      <c r="Q27" s="757">
        <f>Q20</f>
        <v>0.14699999999999999</v>
      </c>
      <c r="R27" s="757">
        <f>R20</f>
        <v>0.29599999999999999</v>
      </c>
      <c r="S27" s="757">
        <f>S20</f>
        <v>5.5E-2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1.4E-2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0.32700000000000001</v>
      </c>
      <c r="Q28" s="1315">
        <f>IF($C$30="Yes",C31,ROUND(PRODUCT(Q25:Q27),3))</f>
        <v>0.14699999999999999</v>
      </c>
      <c r="R28" s="1484" t="e">
        <f>IF($C$30="Yes",B32,ROUND(PRODUCT(R25:R27),4))</f>
        <v>#N/A</v>
      </c>
      <c r="S28" s="1315">
        <f>IF($C$30="Yes",C32,ROUND(PRODUCT(S25:S27),3))</f>
        <v>5.5E-2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0.38500000000000001</v>
      </c>
      <c r="AV28" s="247">
        <f>ROUND(PRODUCT(AV20:AV27),3)</f>
        <v>0.29599999999999999</v>
      </c>
      <c r="AW28" s="247">
        <f>ROUND(PRODUCT(AW20:AW27),3)</f>
        <v>0.14399999999999999</v>
      </c>
      <c r="AY28" s="60" t="s">
        <v>1583</v>
      </c>
      <c r="BH28" s="301" t="s">
        <v>1389</v>
      </c>
      <c r="BI28" s="247">
        <f>ROUND(PRODUCT(BI19:BI27),3)</f>
        <v>2.1000000000000001E-2</v>
      </c>
      <c r="BJ28" s="247">
        <f>ROUND(PRODUCT(BJ19:BJ27),3)</f>
        <v>1.6E-2</v>
      </c>
      <c r="BK28" s="247">
        <f>ROUND(PRODUCT(BK19:BK27),3)</f>
        <v>5.5E-2</v>
      </c>
      <c r="BL28" s="247">
        <f>ROUND(PRODUCT(BL19:BL27),3)</f>
        <v>1.6E-2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857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0.57899999999999996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 t="e">
        <f ca="1">IF(AND(C27="Yes",F21="Yes"),BE24,0)</f>
        <v>#N/A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0.32700000000000001</v>
      </c>
      <c r="X30" s="1300">
        <f>$Q$28</f>
        <v>0.14699999999999999</v>
      </c>
      <c r="Y30" s="1300" t="e">
        <f>$R$28</f>
        <v>#N/A</v>
      </c>
      <c r="Z30" s="1300">
        <f>$S$28</f>
        <v>5.5E-2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428</v>
      </c>
      <c r="AN30" s="1430"/>
      <c r="AO30" s="1226" t="s">
        <v>2254</v>
      </c>
      <c r="AP30" s="238">
        <f>IF(F3="Yes",E5/100,0)</f>
        <v>5000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0.21299999999999999</v>
      </c>
      <c r="C31" s="1455">
        <v>0.09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0.77800000000000002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0.67200000000000004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0.57899999999999996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0.57899999999999996</v>
      </c>
      <c r="T31" s="299"/>
      <c r="U31" s="1288"/>
      <c r="V31" s="1117" t="s">
        <v>2152</v>
      </c>
      <c r="W31" s="247">
        <f>P$31</f>
        <v>0.77800000000000002</v>
      </c>
      <c r="X31" s="247">
        <f t="shared" ref="X31:Z31" si="2">Q$31</f>
        <v>0.67200000000000004</v>
      </c>
      <c r="Y31" s="247">
        <f t="shared" si="2"/>
        <v>0.57899999999999996</v>
      </c>
      <c r="Z31" s="247">
        <f t="shared" si="2"/>
        <v>0.57899999999999996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429</v>
      </c>
      <c r="AN31" s="796"/>
      <c r="AO31" s="301" t="s">
        <v>2132</v>
      </c>
      <c r="AP31" s="1228">
        <f>ROUND(PRODUCT(AP26,AP29:AP30),0)</f>
        <v>857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8.8999999999999996E-2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2500</v>
      </c>
      <c r="Q32" s="238">
        <f>IF(ISBLANK(C41),0,C41/100)</f>
        <v>2500</v>
      </c>
      <c r="R32" s="238">
        <f>IF(ISBLANK(C41),0,C41/100)</f>
        <v>2500</v>
      </c>
      <c r="S32" s="238">
        <f>IF(ISBLANK(C41),0,C41/100)</f>
        <v>2500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1.38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0" t="s">
        <v>1242</v>
      </c>
      <c r="E33" s="950">
        <v>500000</v>
      </c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636</v>
      </c>
      <c r="Q33" s="1481">
        <f>IF($C$30="Yes",ROUND(PRODUCT(Q28,Q32),0),ROUND(PRODUCT(Q28,Q31:Q32),0))</f>
        <v>247</v>
      </c>
      <c r="R33" s="1481" t="e">
        <f>IF($C$30="Yes",ROUND(PRODUCT(R28,R32),0),ROUND(PRODUCT(R28,R31:R32),0))</f>
        <v>#N/A</v>
      </c>
      <c r="S33" s="1481">
        <f>IF($C$30="Yes",ROUND(PRODUCT(S28,S32),0),ROUND(PRODUCT(S28,S31:S32),0))</f>
        <v>80</v>
      </c>
      <c r="U33" s="1293"/>
      <c r="V33" s="1303" t="s">
        <v>2161</v>
      </c>
      <c r="W33" s="1306">
        <f ca="1">ROUND(PRODUCT(W30:W32),0)</f>
        <v>0</v>
      </c>
      <c r="X33" s="1306">
        <f>ROUND(PRODUCT(X30:X32),0)</f>
        <v>0</v>
      </c>
      <c r="Y33" s="1306" t="e">
        <f>ROUND(PRODUCT(Y30:Y32),0)</f>
        <v>#N/A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1.38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 t="s">
        <v>742</v>
      </c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 t="e">
        <f>R41</f>
        <v>#N/A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48</v>
      </c>
      <c r="D35" s="930" t="s">
        <v>910</v>
      </c>
      <c r="E35" s="958">
        <v>2</v>
      </c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636</v>
      </c>
      <c r="Q35" s="248">
        <f>SUM(Q33:Q34)</f>
        <v>247</v>
      </c>
      <c r="R35" s="248" t="e">
        <f>SUM(R33:R34)</f>
        <v>#N/A</v>
      </c>
      <c r="S35" s="248">
        <f>SUM(S33:S34)</f>
        <v>80</v>
      </c>
      <c r="T35" s="235"/>
      <c r="U35" s="1288"/>
      <c r="V35" s="1291" t="s">
        <v>2162</v>
      </c>
      <c r="W35" s="1301">
        <f ca="1">SUM(W33:W34)</f>
        <v>0</v>
      </c>
      <c r="X35" s="1301">
        <f>SUM(X33:X34)</f>
        <v>0</v>
      </c>
      <c r="Y35" s="1301" t="e">
        <f>SUM(Y33:Y34)</f>
        <v>#N/A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1.38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>
        <f>IF(ISBLANK(E34),"",VLOOKUP(E34,Table_SpoilTypes,3,FALSE))</f>
        <v>1</v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5000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 t="e">
        <f ca="1">SUM(I25:I31,I36)</f>
        <v>#N/A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0</v>
      </c>
      <c r="X38" s="1301">
        <f>X33</f>
        <v>0</v>
      </c>
      <c r="Y38" s="1301" t="e">
        <f>Y33</f>
        <v>#N/A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636</v>
      </c>
      <c r="Q39" s="248">
        <f>Q33</f>
        <v>247</v>
      </c>
      <c r="R39" s="248" t="e">
        <f>R33</f>
        <v>#N/A</v>
      </c>
      <c r="S39" s="248">
        <f>S33</f>
        <v>80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1.38</v>
      </c>
      <c r="BQ39" s="423"/>
      <c r="BR39" s="542"/>
      <c r="BS39" s="597" t="s">
        <v>1019</v>
      </c>
      <c r="BT39" s="279">
        <f>HLOOKUP(C11,Table_StateRates,5,FALSE)</f>
        <v>1.38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3.9E-2</v>
      </c>
      <c r="BQ40" s="559"/>
      <c r="BR40" s="423"/>
      <c r="BS40" s="810" t="s">
        <v>1134</v>
      </c>
      <c r="BT40" s="426">
        <f>ROUND(PRODUCT(BT35:BT39),3)</f>
        <v>3.9E-2</v>
      </c>
    </row>
    <row r="41" spans="1:72" ht="13.5" thickBot="1" x14ac:dyDescent="0.25">
      <c r="A41" s="203" t="s">
        <v>2112</v>
      </c>
      <c r="B41" s="104"/>
      <c r="C41" s="943">
        <v>250000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 t="e">
        <f>ROUND(PRODUCT(R39:R40),0)</f>
        <v>#N/A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0.96</v>
      </c>
      <c r="BQ41" s="426"/>
      <c r="BR41" s="423"/>
      <c r="BS41" s="906" t="s">
        <v>1178</v>
      </c>
      <c r="BT41" s="423">
        <f>IF(OR(C28="S",C28="T"),1,VLOOKUP(C14,Table_ProtClass,IF(C15&lt;=3,2,3),FALSE))</f>
        <v>0.96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>
        <f>ROUND(PRODUCT(BT40:BT42),3)</f>
        <v>1.9E-2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0.32700000000000001</v>
      </c>
      <c r="X44" s="1300">
        <f>$Q$28</f>
        <v>0.14699999999999999</v>
      </c>
      <c r="Y44" s="1300" t="e">
        <f>$R$28</f>
        <v>#N/A</v>
      </c>
      <c r="Z44" s="1300">
        <f>$S$28</f>
        <v>5.5E-2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0.77800000000000002</v>
      </c>
      <c r="X45" s="247">
        <f t="shared" ref="X45:Z45" si="3">Q$31</f>
        <v>0.67200000000000004</v>
      </c>
      <c r="Y45" s="247">
        <f t="shared" si="3"/>
        <v>0.57899999999999996</v>
      </c>
      <c r="Z45" s="247">
        <f t="shared" si="3"/>
        <v>0.57899999999999996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3.6999999999999998E-2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2500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 t="e">
        <f>ROUND(PRODUCT(Y44:Y46),0)</f>
        <v>#N/A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93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93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 t="e">
        <f>SUM(Y47:Y48)</f>
        <v>#N/A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93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 t="e">
        <f>Y47</f>
        <v>#N/A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 t="e">
        <f ca="1">SUM(I16:L16,I38,I46,I52)</f>
        <v>#N/A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 t="e">
        <f ca="1">SUM(I54,I49)</f>
        <v>#N/A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250000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160" priority="15" stopIfTrue="1">
      <formula>IF($C$24="Yes",FALSE,TRUE)</formula>
    </cfRule>
  </conditionalFormatting>
  <conditionalFormatting sqref="C18">
    <cfRule type="expression" dxfId="159" priority="13">
      <formula>IF($C$12="SP",TRUE,FALSE)</formula>
    </cfRule>
    <cfRule type="expression" dxfId="158" priority="14">
      <formula>IF($C$12="SP",TRUE,FALSE)</formula>
    </cfRule>
  </conditionalFormatting>
  <conditionalFormatting sqref="A18">
    <cfRule type="expression" dxfId="157" priority="12">
      <formula>IF($C$12="SP",TRUE,FALSE)</formula>
    </cfRule>
  </conditionalFormatting>
  <conditionalFormatting sqref="B21">
    <cfRule type="expression" dxfId="156" priority="9">
      <formula>IF($C$21="Yes",TRUE,FALSE)</formula>
    </cfRule>
  </conditionalFormatting>
  <conditionalFormatting sqref="C32">
    <cfRule type="expression" dxfId="155" priority="2">
      <formula>IF(AND($C$30="Yes",$C$12="BR"),TRUE,FALSE)</formula>
    </cfRule>
  </conditionalFormatting>
  <conditionalFormatting sqref="B32">
    <cfRule type="expression" dxfId="154" priority="1">
      <formula>IF(AND($C$30="Yes",$C$12="SP"),TRUE,FALSE)</formula>
    </cfRule>
  </conditionalFormatting>
  <conditionalFormatting sqref="B31:C31">
    <cfRule type="expression" dxfId="153" priority="3">
      <formula>IF($C$30="Yes",TRUE,FALSE)</formula>
    </cfRule>
  </conditionalFormatting>
  <dataValidations count="111"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custom" allowBlank="1" showInputMessage="1" showErrorMessage="1" errorTitle="Do Not Touch" error="This is used to generate the Coinsurance rate." sqref="B58 E62">
      <formula1>FALSE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allowBlank="1" showInputMessage="1" showErrorMessage="1" promptTitle="Occupancy Type Description" prompt="Displays the description of the choice made in the cell to the left.  " sqref="B38 B33"/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custom" allowBlank="1" showInputMessage="1" showErrorMessage="1" prompt="Personal Property Lookup Value" sqref="F4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EQ Table Lookup Value" sqref="F54:F5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Spoilage Coverage" prompt="Please Select:_x000a_{ Yes or No }" sqref="F32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custom" allowBlank="1" showInputMessage="1" showErrorMessage="1" prompt="Lookup Value for Spoil Coverage Loss Cost Table" sqref="F33">
      <formula1>FALSE</formula1>
    </dataValidation>
    <dataValidation type="custom" allowBlank="1" showInputMessage="1" showErrorMessage="1" prompt="Spoilage Loss Cost Column Reference" sqref="F37">
      <formula1>FALSE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V67"/>
  <sheetViews>
    <sheetView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4.140625" style="2" customWidth="1"/>
    <col min="3" max="3" width="13.5703125" style="2" customWidth="1"/>
    <col min="4" max="4" width="27.42578125" style="2" customWidth="1"/>
    <col min="5" max="5" width="11.85546875" style="2" customWidth="1"/>
    <col min="6" max="6" width="12.5703125" style="2" customWidth="1"/>
    <col min="7" max="7" width="9.140625" style="2"/>
    <col min="8" max="8" width="38.7109375" style="2" customWidth="1"/>
    <col min="9" max="12" width="12.85546875" style="2" customWidth="1"/>
    <col min="13" max="13" width="8.140625" style="2" customWidth="1"/>
    <col min="14" max="14" width="18.140625" style="2" customWidth="1"/>
    <col min="15" max="15" width="23" style="2" customWidth="1"/>
    <col min="16" max="19" width="11.42578125" style="2" customWidth="1"/>
    <col min="20" max="20" width="9.140625" style="2"/>
    <col min="21" max="21" width="18.140625" style="2" customWidth="1"/>
    <col min="22" max="22" width="23" style="2" customWidth="1"/>
    <col min="23" max="26" width="11.42578125" style="2" customWidth="1"/>
    <col min="27" max="27" width="9.140625" style="2"/>
    <col min="28" max="28" width="18.140625" style="2" customWidth="1"/>
    <col min="29" max="29" width="23" style="2" customWidth="1"/>
    <col min="30" max="30" width="11.42578125" style="2" customWidth="1"/>
    <col min="31" max="31" width="8.28515625" style="2" customWidth="1"/>
    <col min="32" max="32" width="17.42578125" style="2" customWidth="1"/>
    <col min="33" max="33" width="20.7109375" style="2" customWidth="1"/>
    <col min="34" max="34" width="12.140625" style="2" customWidth="1"/>
    <col min="35" max="35" width="4.7109375" style="2" customWidth="1"/>
    <col min="36" max="36" width="19.42578125" style="2" customWidth="1"/>
    <col min="37" max="37" width="26" style="2" customWidth="1"/>
    <col min="38" max="41" width="13.140625" style="2" customWidth="1"/>
    <col min="42" max="42" width="9.140625" style="2"/>
    <col min="43" max="43" width="34.28515625" style="2" customWidth="1"/>
    <col min="44" max="44" width="23.7109375" style="2" customWidth="1"/>
    <col min="45" max="45" width="14.28515625" style="2" customWidth="1"/>
    <col min="46" max="46" width="5.7109375" style="2" customWidth="1"/>
    <col min="47" max="16384" width="9.140625" style="2"/>
  </cols>
  <sheetData>
    <row r="1" spans="1:46" ht="19.5" customHeight="1" thickBot="1" x14ac:dyDescent="0.25">
      <c r="A1" s="99" t="s">
        <v>834</v>
      </c>
      <c r="B1" s="94"/>
      <c r="C1" s="94"/>
      <c r="D1" s="525"/>
      <c r="E1" s="525"/>
      <c r="F1" s="106" t="s">
        <v>840</v>
      </c>
      <c r="H1" s="1594" t="s">
        <v>1756</v>
      </c>
      <c r="I1" s="1595"/>
      <c r="J1" s="1595"/>
      <c r="K1" s="1595"/>
      <c r="L1" s="1596"/>
      <c r="N1" s="60" t="s">
        <v>977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1602" t="s">
        <v>675</v>
      </c>
      <c r="AC1" s="1603"/>
      <c r="AD1" s="1603"/>
      <c r="AE1" s="1603"/>
      <c r="AF1" s="1603"/>
      <c r="AG1" s="1603"/>
      <c r="AH1" s="1604"/>
      <c r="AI1" s="814"/>
      <c r="AJ1" s="60"/>
      <c r="AL1" s="235" t="s">
        <v>1012</v>
      </c>
      <c r="AM1" s="235" t="s">
        <v>1013</v>
      </c>
      <c r="AN1" s="235" t="s">
        <v>838</v>
      </c>
      <c r="AO1" s="235" t="s">
        <v>837</v>
      </c>
      <c r="AQ1" s="1617" t="s">
        <v>949</v>
      </c>
      <c r="AR1" s="1617"/>
      <c r="AS1" s="1617"/>
      <c r="AT1" s="385"/>
    </row>
    <row r="2" spans="1:46" ht="12.75" customHeight="1" thickBot="1" x14ac:dyDescent="0.25">
      <c r="A2" s="529" t="s">
        <v>1832</v>
      </c>
      <c r="B2" s="530"/>
      <c r="C2" s="5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1611</v>
      </c>
      <c r="AB2" s="814"/>
      <c r="AC2" s="814"/>
      <c r="AD2" s="814"/>
      <c r="AE2" s="814"/>
      <c r="AF2" s="814"/>
      <c r="AG2" s="814"/>
      <c r="AH2" s="814"/>
      <c r="AI2" s="814"/>
      <c r="AJ2" s="60" t="s">
        <v>550</v>
      </c>
      <c r="AL2" s="235"/>
      <c r="AM2" s="235"/>
      <c r="AN2" s="235"/>
      <c r="AO2" s="235"/>
      <c r="AT2" s="385"/>
    </row>
    <row r="3" spans="1:46" ht="13.5" thickBot="1" x14ac:dyDescent="0.25">
      <c r="A3" s="744" t="s">
        <v>195</v>
      </c>
      <c r="B3" s="745" t="str">
        <f>IF(C3="Building","B",IF(C3="Pers Pty","PP","None"))</f>
        <v>B</v>
      </c>
      <c r="C3" s="978" t="str">
        <f>IF(AND(TC6_BLDG1!C27="Yes",TC6_PP1!C27="Yes"),"Building",IF(AND(TC6_BLDG1!C27="No",TC6_PP1!C27="Yes"),"Pers Pty",IF(AND(TC6_BLDG1!C27="Yes",TC6_PP1!C27="No"),"Building","Neither")))</f>
        <v>Building</v>
      </c>
      <c r="D3" s="203" t="s">
        <v>1</v>
      </c>
      <c r="E3" s="820" t="str">
        <f>IF(TC6_EE1!F3="Yes","EE","Available")</f>
        <v>EE</v>
      </c>
      <c r="F3" s="1070" t="s">
        <v>857</v>
      </c>
      <c r="H3" s="1273">
        <f>Summary6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1546</v>
      </c>
      <c r="W3" s="247">
        <f>B29</f>
        <v>0.126</v>
      </c>
      <c r="X3" s="2">
        <f>C29</f>
        <v>4.2000000000000003E-2</v>
      </c>
      <c r="Y3" s="2">
        <f>IF(C12="SP",VLOOKUP(B13,Table_Time_Special,E4,FALSE),0)</f>
        <v>4.3999999999999997E-2</v>
      </c>
      <c r="Z3" s="2">
        <f>HLOOKUP(B12,Table_BroadTime,IF(F5="Yes",3,2),FALSE)</f>
        <v>1.0999999999999999E-2</v>
      </c>
      <c r="AB3" s="60" t="s">
        <v>682</v>
      </c>
      <c r="AD3" s="235"/>
      <c r="AE3" s="235"/>
      <c r="AF3" s="60" t="s">
        <v>683</v>
      </c>
      <c r="AH3" s="235"/>
      <c r="AI3" s="235"/>
      <c r="AJ3" s="146"/>
      <c r="AK3" s="545" t="s">
        <v>1049</v>
      </c>
      <c r="AL3" s="146">
        <f>VLOOKUP(1,Table_Time_Utility,2,FALSE)</f>
        <v>2.1999999999999999E-2</v>
      </c>
      <c r="AM3" s="146">
        <f>VLOOKUP(1,Table_Time_Utility,3,FALSE)</f>
        <v>1.0999999999999999E-2</v>
      </c>
      <c r="AN3" s="146">
        <f>VLOOKUP(1,Table_Time_Utility,5,FALSE)</f>
        <v>1.9E-2</v>
      </c>
      <c r="AO3" s="563">
        <f>VLOOKUP(1,Table_Time_Utility,4,FALSE)</f>
        <v>6.0000000000000001E-3</v>
      </c>
      <c r="AQ3" s="154" t="s">
        <v>950</v>
      </c>
      <c r="AR3" s="86"/>
      <c r="AS3" s="156" t="s">
        <v>951</v>
      </c>
      <c r="AT3" s="385"/>
    </row>
    <row r="4" spans="1:46" x14ac:dyDescent="0.2">
      <c r="A4" s="120" t="s">
        <v>1024</v>
      </c>
      <c r="B4" s="95"/>
      <c r="C4" s="818" t="str">
        <f>IF(B3="B",TC6_BLDG1!C3,IF(B3="PP",TC6_PP1!C3,""))</f>
        <v>CT</v>
      </c>
      <c r="D4" s="107" t="s">
        <v>961</v>
      </c>
      <c r="E4" s="887">
        <f>IF(C12&lt;&gt;"SP","N/A",IF(F5="Yes",3,2))</f>
        <v>2</v>
      </c>
      <c r="F4" s="962">
        <v>500000</v>
      </c>
      <c r="H4" s="82"/>
      <c r="I4" s="189"/>
      <c r="J4" s="4"/>
      <c r="K4" s="4"/>
      <c r="L4" s="4"/>
      <c r="N4" s="146"/>
      <c r="O4" s="83" t="s">
        <v>2166</v>
      </c>
      <c r="P4" s="1418">
        <f>PRODUCT(P2:P3)</f>
        <v>2.6219999999999999</v>
      </c>
      <c r="Q4" s="1418">
        <f>PRODUCT(Q2:Q3)</f>
        <v>2.6219999999999999</v>
      </c>
      <c r="R4" s="1418">
        <f>PRODUCT(R2:R3)</f>
        <v>2.6219999999999999</v>
      </c>
      <c r="S4" s="1418">
        <f>PRODUCT(S2:S3)</f>
        <v>2.6219999999999999</v>
      </c>
      <c r="V4" s="168" t="s">
        <v>970</v>
      </c>
      <c r="W4" s="207">
        <f>IF(B32="Yes",DF_Sprinkler50,1)</f>
        <v>1</v>
      </c>
      <c r="X4" s="207">
        <v>1</v>
      </c>
      <c r="Y4" s="207">
        <v>1</v>
      </c>
      <c r="Z4" s="207">
        <v>1</v>
      </c>
      <c r="AB4" s="266"/>
      <c r="AC4" s="268" t="s">
        <v>1749</v>
      </c>
      <c r="AD4" s="426" t="e">
        <f>IF(F56="Yes",VLOOKUP(F58,Table_EQ_LC,3,FALSE),0)</f>
        <v>#N/A</v>
      </c>
      <c r="AE4" s="266"/>
      <c r="AF4" s="266"/>
      <c r="AG4" s="268" t="s">
        <v>1752</v>
      </c>
      <c r="AH4" s="426">
        <f>IF(F60="Yes",VLOOKUP(E61,Table_Other_PierWharf,6,FALSE),0)</f>
        <v>0</v>
      </c>
      <c r="AI4" s="426"/>
      <c r="AJ4" s="185"/>
      <c r="AK4" s="186" t="s">
        <v>1050</v>
      </c>
      <c r="AL4" s="238">
        <f>F48</f>
        <v>0</v>
      </c>
      <c r="AM4" s="238">
        <f>F48</f>
        <v>0</v>
      </c>
      <c r="AN4" s="238">
        <f>F48</f>
        <v>0</v>
      </c>
      <c r="AO4" s="785">
        <f>F48</f>
        <v>0</v>
      </c>
      <c r="AQ4" s="686" t="s">
        <v>1715</v>
      </c>
      <c r="AS4" s="155">
        <f>IF(AS23&lt;-0.05,-0.05,IF(AS23&gt;0.05,0.05,AS23))</f>
        <v>0</v>
      </c>
      <c r="AT4" s="385"/>
    </row>
    <row r="5" spans="1:46" x14ac:dyDescent="0.2">
      <c r="A5" s="120" t="s">
        <v>1828</v>
      </c>
      <c r="B5" s="729">
        <f>IF(B3="B",TC6_BLDG1!B4,IF(B3="PP",TC6_PP1!B4,""))</f>
        <v>0</v>
      </c>
      <c r="C5" s="818">
        <f>IF(B3="B",TC6_BLDG1!C4,IF(B3="PP",TC6_PP1!C4,""))</f>
        <v>0</v>
      </c>
      <c r="D5" s="124" t="s">
        <v>1218</v>
      </c>
      <c r="E5" s="888">
        <f>IF(F5="Yes",2,3)</f>
        <v>3</v>
      </c>
      <c r="F5" s="962" t="s">
        <v>857</v>
      </c>
      <c r="H5" s="483" t="s">
        <v>977</v>
      </c>
      <c r="I5" s="484">
        <f>IF(F3="Yes",P38,0)</f>
        <v>0</v>
      </c>
      <c r="J5" s="484">
        <f>IF(F3="Yes",Q38,0)</f>
        <v>0</v>
      </c>
      <c r="K5" s="484">
        <f>IF(AND(C12="SP",F3="Yes"),R38,0)</f>
        <v>0</v>
      </c>
      <c r="L5" s="484">
        <f>IF(AND(C12="BR",F3="Yes"),S38,0)</f>
        <v>0</v>
      </c>
      <c r="O5" s="168" t="str">
        <f>C3&amp;" - Loss Cost"</f>
        <v>Building - Loss Cost</v>
      </c>
      <c r="P5" s="247">
        <f>B29</f>
        <v>0.126</v>
      </c>
      <c r="Q5" s="2">
        <f>C29</f>
        <v>4.2000000000000003E-2</v>
      </c>
      <c r="R5" s="247">
        <f>IF(C12="SP",VLOOKUP(B13,Table_Time_Special,E4,FALSE),0)</f>
        <v>4.3999999999999997E-2</v>
      </c>
      <c r="S5" s="2">
        <f>HLOOKUP(B12,Table_BroadTime,IF(F5="Yes",3,2),FALSE)</f>
        <v>1.0999999999999999E-2</v>
      </c>
      <c r="U5" s="185"/>
      <c r="V5" s="186" t="s">
        <v>971</v>
      </c>
      <c r="W5" s="208">
        <f>HLOOKUP(C11,Table_StateRates,6,FALSE)</f>
        <v>1.9</v>
      </c>
      <c r="X5" s="208">
        <f>HLOOKUP(C11,Table_StateRates,6,FALSE)</f>
        <v>1.9</v>
      </c>
      <c r="Y5" s="208">
        <f>HLOOKUP(C11,Table_StateRates,6,FALSE)</f>
        <v>1.9</v>
      </c>
      <c r="Z5" s="208">
        <f>HLOOKUP(C11,Table_StateRates,6,FALSE)</f>
        <v>1.9</v>
      </c>
      <c r="AB5" s="542"/>
      <c r="AC5" s="724" t="s">
        <v>1750</v>
      </c>
      <c r="AD5" s="757">
        <f>IF(F56="Yes",VLOOKUP(F57,Table_EQ_SprLkgExt,4,FALSE),0)</f>
        <v>0.21</v>
      </c>
      <c r="AE5" s="558"/>
      <c r="AF5" s="558"/>
      <c r="AG5" s="755" t="s">
        <v>971</v>
      </c>
      <c r="AH5" s="558">
        <f>HLOOKUP(C11,Table_StateRates,6,FALSE)</f>
        <v>1.9</v>
      </c>
      <c r="AI5" s="558"/>
      <c r="AJ5" s="146"/>
      <c r="AK5" s="301" t="s">
        <v>1051</v>
      </c>
      <c r="AL5" s="146">
        <f>ROUND(PRODUCT(AL3:AL4),3)</f>
        <v>0</v>
      </c>
      <c r="AM5" s="146">
        <f>ROUND(PRODUCT(AM3:AM4),3)</f>
        <v>0</v>
      </c>
      <c r="AN5" s="146">
        <f>ROUND(PRODUCT(AN3:AN4),3)</f>
        <v>0</v>
      </c>
      <c r="AO5" s="146">
        <f>ROUND(PRODUCT(AO3:AO4),3)</f>
        <v>0</v>
      </c>
      <c r="AQ5" s="151" t="s">
        <v>1714</v>
      </c>
      <c r="AS5" s="155">
        <f>IF(AS24&lt;-0.06,-0.06,IF(AS24&gt;0.06,0.06,AS24))</f>
        <v>0</v>
      </c>
      <c r="AT5" s="385"/>
    </row>
    <row r="6" spans="1:46" x14ac:dyDescent="0.2">
      <c r="A6" s="120"/>
      <c r="B6" s="95"/>
      <c r="C6" s="1047"/>
      <c r="D6" s="84" t="s">
        <v>1227</v>
      </c>
      <c r="E6" s="193"/>
      <c r="F6" s="962" t="s">
        <v>857</v>
      </c>
      <c r="H6" s="83"/>
      <c r="I6" s="248"/>
      <c r="J6" s="260"/>
      <c r="K6" s="260"/>
      <c r="L6" s="260"/>
      <c r="O6" s="168" t="s">
        <v>972</v>
      </c>
      <c r="P6" s="207">
        <f>IF(OR(C27="S",C27="T"),1,VLOOKUP(C14,Table_ProtClass,IF(C15&lt;=3,2,3),FALSE)) - IF(AND(C33=1,ISNUMBER(B31),P11=1),B31,0)</f>
        <v>0.96</v>
      </c>
      <c r="Q6" s="207">
        <v>1</v>
      </c>
      <c r="R6" s="207">
        <v>1</v>
      </c>
      <c r="S6" s="207">
        <v>1</v>
      </c>
      <c r="V6" s="83" t="s">
        <v>1134</v>
      </c>
      <c r="W6" s="247">
        <f>ROUND(PRODUCT(W3:W5),3)</f>
        <v>0.23899999999999999</v>
      </c>
      <c r="X6" s="247">
        <f>ROUND(PRODUCT(X3:X5),3)</f>
        <v>0.08</v>
      </c>
      <c r="Y6" s="247">
        <f>ROUND(PRODUCT(Y3:Y5),3)</f>
        <v>8.4000000000000005E-2</v>
      </c>
      <c r="Z6" s="247">
        <f>ROUND(PRODUCT(Z3:Z5),3)</f>
        <v>2.1000000000000001E-2</v>
      </c>
      <c r="AB6" s="266"/>
      <c r="AC6" s="568" t="s">
        <v>1751</v>
      </c>
      <c r="AD6" s="426" t="e">
        <f>PRODUCT(AD4:AD5)</f>
        <v>#N/A</v>
      </c>
      <c r="AE6" s="266"/>
      <c r="AF6" s="266"/>
      <c r="AG6" s="268" t="s">
        <v>1019</v>
      </c>
      <c r="AH6" s="423">
        <f>HLOOKUP(C11,Table_StateRates,5,FALSE)</f>
        <v>1.38</v>
      </c>
      <c r="AI6" s="423"/>
      <c r="AK6" s="168" t="s">
        <v>971</v>
      </c>
      <c r="AL6" s="207">
        <f>HLOOKUP(C11,Table_StateRates,6,FALSE)</f>
        <v>1.9</v>
      </c>
      <c r="AM6" s="207">
        <f>HLOOKUP(C11,Table_StateRates,6,FALSE)</f>
        <v>1.9</v>
      </c>
      <c r="AN6" s="207">
        <f>HLOOKUP(C11,Table_StateRates,6,FALSE)</f>
        <v>1.9</v>
      </c>
      <c r="AO6" s="207">
        <f>HLOOKUP(C11,Table_StateRates,6,FALSE)</f>
        <v>1.9</v>
      </c>
      <c r="AQ6" s="8" t="s">
        <v>1716</v>
      </c>
      <c r="AS6" s="155">
        <f>IF(AS25&lt;-0.06,-0.06,IF(AS25&gt;0.06,0.06,AS25))</f>
        <v>0</v>
      </c>
      <c r="AT6" s="385"/>
    </row>
    <row r="7" spans="1:46" ht="13.5" thickBot="1" x14ac:dyDescent="0.25">
      <c r="A7" s="120" t="s">
        <v>969</v>
      </c>
      <c r="B7" s="95"/>
      <c r="C7" s="1079" t="str">
        <f>IF(B3="B",TC6_BLDG1!C6,IF(B3="PP",TC6_PP1!C6,""))</f>
        <v>CPP</v>
      </c>
      <c r="D7" s="84" t="s">
        <v>1222</v>
      </c>
      <c r="E7" s="103"/>
      <c r="F7" s="962">
        <v>100</v>
      </c>
      <c r="H7" s="83"/>
      <c r="I7" s="248"/>
      <c r="J7" s="260"/>
      <c r="K7" s="260"/>
      <c r="L7" s="260"/>
      <c r="N7" s="185"/>
      <c r="O7" s="186" t="s">
        <v>970</v>
      </c>
      <c r="P7" s="208">
        <f>IF(C32="Yes",DF_Sprinkler50,1)</f>
        <v>1</v>
      </c>
      <c r="Q7" s="208">
        <v>1</v>
      </c>
      <c r="R7" s="208">
        <f>IF(C32="Yes",DF_Sprinkler50,1)</f>
        <v>1</v>
      </c>
      <c r="S7" s="208">
        <v>1</v>
      </c>
      <c r="U7" s="185"/>
      <c r="V7" s="186" t="s">
        <v>1253</v>
      </c>
      <c r="W7" s="455">
        <f>IF(OR(ISBLANK(F7),F7="None"),1,IF(E8="Yes",F14,VLOOKUP(F7,IF(F5="Yes",Table_BI_CoIns_EE,Table_BI_CoIns),F8+1,FALSE)+P18))</f>
        <v>0.54</v>
      </c>
      <c r="X7" s="455">
        <f>IF(OR(ISBLANK(F7),F7="None"),1,IF(E8="Yes",F14,VLOOKUP(F7,IF(F5="Yes",Table_BI_CoIns_EE,Table_BI_CoIns),F8+1,FALSE)+X18))</f>
        <v>0.54</v>
      </c>
      <c r="Y7" s="208">
        <v>1</v>
      </c>
      <c r="Z7" s="208">
        <v>1</v>
      </c>
      <c r="AB7" s="558"/>
      <c r="AC7" s="755" t="s">
        <v>971</v>
      </c>
      <c r="AD7" s="558">
        <f>HLOOKUP(C11,Table_StateRates,6,FALSE)</f>
        <v>1.9</v>
      </c>
      <c r="AE7" s="266"/>
      <c r="AF7" s="266"/>
      <c r="AG7" s="268"/>
      <c r="AH7" s="423"/>
      <c r="AI7" s="423"/>
      <c r="AK7" s="168" t="s">
        <v>1019</v>
      </c>
      <c r="AL7" s="207">
        <f>HLOOKUP(C11,Table_StateRates,5,FALSE)</f>
        <v>1.38</v>
      </c>
      <c r="AM7" s="207">
        <f>HLOOKUP(C11,Table_StateRates,5,FALSE)</f>
        <v>1.38</v>
      </c>
      <c r="AN7" s="207">
        <f>HLOOKUP(C11,Table_StateRates,5,FALSE)</f>
        <v>1.38</v>
      </c>
      <c r="AO7" s="207">
        <f>HLOOKUP(C11,Table_StateRates,5,FALSE)</f>
        <v>1.38</v>
      </c>
      <c r="AQ7" s="8" t="s">
        <v>1717</v>
      </c>
      <c r="AS7" s="155">
        <f>IF(AS26&lt;-0.1,-0.1,IF(AS26&gt;0.1,0.1,AS26))</f>
        <v>0</v>
      </c>
      <c r="AT7" s="385"/>
    </row>
    <row r="8" spans="1:46" ht="13.5" thickBot="1" x14ac:dyDescent="0.25">
      <c r="A8" s="143" t="s">
        <v>923</v>
      </c>
      <c r="B8" s="1236" t="str">
        <f>IF(B3="B",TC6_BLDG1!B7,IF(B3="PP",TC6_PP1!B7,""))</f>
        <v>No</v>
      </c>
      <c r="C8" s="1047"/>
      <c r="D8" s="84" t="s">
        <v>1205</v>
      </c>
      <c r="E8" s="479" t="s">
        <v>857</v>
      </c>
      <c r="F8" s="1237">
        <v>1</v>
      </c>
      <c r="H8" s="82" t="s">
        <v>1661</v>
      </c>
      <c r="I8" s="248"/>
      <c r="J8" s="260"/>
      <c r="K8" s="260"/>
      <c r="L8" s="260"/>
      <c r="O8" s="83" t="str">
        <f>C3&amp; " Base Rate"</f>
        <v>Building Base Rate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0.115</v>
      </c>
      <c r="S8" s="1315">
        <f>ROUND(PRODUCT(S4:S7),3)</f>
        <v>2.9000000000000001E-2</v>
      </c>
      <c r="V8" s="83" t="s">
        <v>16</v>
      </c>
      <c r="W8" s="247">
        <f>ROUND(PRODUCT(W6:W7),3)</f>
        <v>0.129</v>
      </c>
      <c r="X8" s="247">
        <f>ROUND(PRODUCT(X6:X7),3)</f>
        <v>4.2999999999999997E-2</v>
      </c>
      <c r="Y8" s="247">
        <f>ROUND(PRODUCT(Y6:Y7),3)</f>
        <v>8.4000000000000005E-2</v>
      </c>
      <c r="Z8" s="247">
        <f>ROUND(PRODUCT(Z6:Z7),3)</f>
        <v>2.1000000000000001E-2</v>
      </c>
      <c r="AB8" s="266"/>
      <c r="AC8" s="268" t="s">
        <v>1253</v>
      </c>
      <c r="AD8" s="423">
        <f>IF(F17="Yes", P17, IF(F18="Yes",P19,P16))</f>
        <v>0.54</v>
      </c>
      <c r="AE8" s="266"/>
      <c r="AF8" s="266"/>
      <c r="AG8" s="268"/>
      <c r="AH8" s="423"/>
      <c r="AI8" s="423"/>
      <c r="AK8" s="168" t="s">
        <v>180</v>
      </c>
      <c r="AL8" s="207">
        <v>1</v>
      </c>
      <c r="AM8" s="207">
        <v>1</v>
      </c>
      <c r="AN8" s="207">
        <v>1</v>
      </c>
      <c r="AO8" s="207">
        <v>1</v>
      </c>
      <c r="AQ8" s="687" t="s">
        <v>1718</v>
      </c>
      <c r="AS8" s="155">
        <f>IF(AS27&lt;-0.06,-0.06,IF(AS27&gt;0.06,0.06,AS27))</f>
        <v>0</v>
      </c>
      <c r="AT8" s="385"/>
    </row>
    <row r="9" spans="1:46" x14ac:dyDescent="0.2">
      <c r="A9" s="120"/>
      <c r="B9" s="95"/>
      <c r="C9" s="1047"/>
      <c r="D9" s="488" t="str">
        <f>IF(F3="No","",IF(E8="Yes","Please Select the 2 Occ. Types below","Select 1 Occ. Type in Cell F8"))</f>
        <v/>
      </c>
      <c r="E9" s="487"/>
      <c r="F9" s="533"/>
      <c r="H9" s="189" t="s">
        <v>1826</v>
      </c>
      <c r="I9" s="258">
        <f>IF($F37="Yes",W34,0)</f>
        <v>0</v>
      </c>
      <c r="J9" s="258">
        <f>IF($F37="Yes",X34,0)</f>
        <v>0</v>
      </c>
      <c r="K9" s="258">
        <f>IF($F37="Yes",Y34,0)</f>
        <v>0</v>
      </c>
      <c r="L9" s="258">
        <f>IF(AND(F37="Yes",C12="BR"),Z34,0)</f>
        <v>0</v>
      </c>
      <c r="O9" s="168" t="s">
        <v>1100</v>
      </c>
      <c r="P9" s="207">
        <f>IF(C31="Yes",IF(B31&lt;&gt;"Sprinkler",1,VLOOKUP(C15,Table_SprLkg,IF(B3="B",2,3),FALSE)),1)</f>
        <v>1</v>
      </c>
      <c r="Q9" s="207">
        <v>1</v>
      </c>
      <c r="R9" s="207">
        <v>1</v>
      </c>
      <c r="S9" s="207">
        <v>1</v>
      </c>
      <c r="V9" s="189" t="s">
        <v>1496</v>
      </c>
      <c r="W9" s="207">
        <v>1</v>
      </c>
      <c r="X9" s="247">
        <f>IF(C34="Yes",VLOOKUP(C15,Table_Construction,3,FALSE),1)</f>
        <v>1</v>
      </c>
      <c r="Y9" s="207">
        <v>1</v>
      </c>
      <c r="Z9" s="207">
        <v>1</v>
      </c>
      <c r="AB9" s="266"/>
      <c r="AC9" s="268" t="s">
        <v>1573</v>
      </c>
      <c r="AD9" s="423">
        <f>IF(F28="Yes",VLOOKUP(E29,Table_CivilAuth,2,FALSE),1)</f>
        <v>1</v>
      </c>
      <c r="AE9" s="266"/>
      <c r="AF9" s="266"/>
      <c r="AG9" s="268" t="s">
        <v>180</v>
      </c>
      <c r="AH9" s="423">
        <f>1+$AU$25</f>
        <v>1</v>
      </c>
      <c r="AI9" s="423"/>
      <c r="AJ9" s="146"/>
      <c r="AK9" s="545" t="s">
        <v>1020</v>
      </c>
      <c r="AL9" s="299">
        <f>IF(C7="PAC",VLOOKUP(B8,Table_PakMods,MATCH(C11,List_Company,0)+1,FALSE),1)</f>
        <v>1</v>
      </c>
      <c r="AM9" s="299">
        <f>IF(C7="PAC",VLOOKUP(B8,Table_PakMods,MATCH(C11,List_Company,0)+1,FALSE),1)</f>
        <v>1</v>
      </c>
      <c r="AN9" s="299">
        <f>IF(C7="PAC",VLOOKUP(B8,Table_PakMods,MATCH(C11,List_Company,0)+1,FALSE),1)</f>
        <v>1</v>
      </c>
      <c r="AO9" s="299">
        <f>IF(C7="PAC",VLOOKUP(B8,Table_PakMods,MATCH(C11,List_Company,0)+1,FALSE),1)</f>
        <v>1</v>
      </c>
      <c r="AQ9" s="153" t="s">
        <v>1719</v>
      </c>
      <c r="AS9" s="155">
        <f>IF(AS28&lt;-0.025,-0.025,IF(AS28&gt;0.025,0.025,AS28))</f>
        <v>0</v>
      </c>
      <c r="AT9" s="385"/>
    </row>
    <row r="10" spans="1:46" x14ac:dyDescent="0.2">
      <c r="A10" s="120" t="s">
        <v>1829</v>
      </c>
      <c r="B10" s="95"/>
      <c r="C10" s="818">
        <f>IF(B3="B",TC6_BLDG1!C9,IF(B3="PP",TC6_PP1!C9,""))</f>
        <v>1</v>
      </c>
      <c r="D10" s="159" t="s">
        <v>1662</v>
      </c>
      <c r="E10" s="961" t="s">
        <v>857</v>
      </c>
      <c r="F10" s="962" t="s">
        <v>857</v>
      </c>
      <c r="H10" s="82"/>
      <c r="I10" s="248"/>
      <c r="J10" s="248"/>
      <c r="K10" s="248"/>
      <c r="L10" s="248"/>
      <c r="O10" s="236" t="s">
        <v>1099</v>
      </c>
      <c r="P10" s="281">
        <f>C33</f>
        <v>0</v>
      </c>
      <c r="Q10" s="211">
        <v>1</v>
      </c>
      <c r="R10" s="211">
        <v>1</v>
      </c>
      <c r="S10" s="211">
        <v>1</v>
      </c>
      <c r="V10" s="168" t="s">
        <v>972</v>
      </c>
      <c r="W10" s="207">
        <f>IF(OR(C27="S",C27="T"),1,VLOOKUP(C14,Table_ProtClass,IF(C15&lt;=3,2,3),FALSE)) - IF(AND(C33=1,ISNUMBER(B31),W11=1),B31,0)</f>
        <v>0.96</v>
      </c>
      <c r="X10" s="207">
        <v>1</v>
      </c>
      <c r="Y10" s="207">
        <v>1</v>
      </c>
      <c r="Z10" s="207">
        <v>1</v>
      </c>
      <c r="AB10" s="266"/>
      <c r="AC10" s="268" t="s">
        <v>180</v>
      </c>
      <c r="AD10" s="423">
        <f>1+$AU$25</f>
        <v>1</v>
      </c>
      <c r="AE10" s="266"/>
      <c r="AF10" s="266"/>
      <c r="AG10" s="545" t="s">
        <v>1020</v>
      </c>
      <c r="AH10" s="299">
        <f>IF(C7="PAC",VLOOKUP(B8,Table_PakMods,MATCH(C11,List_Company,0)+1,FALSE),1)</f>
        <v>1</v>
      </c>
      <c r="AI10" s="299"/>
      <c r="AJ10" s="542"/>
      <c r="AK10" s="724" t="s">
        <v>1022</v>
      </c>
      <c r="AL10" s="279">
        <v>1</v>
      </c>
      <c r="AM10" s="279">
        <v>1</v>
      </c>
      <c r="AN10" s="279">
        <v>1</v>
      </c>
      <c r="AO10" s="279">
        <v>1</v>
      </c>
      <c r="AQ10" s="687" t="s">
        <v>1720</v>
      </c>
      <c r="AS10" s="155">
        <f>IF(AS29&lt;-0.025,-0.025,IF(AS29&gt;0.025,0.025,AS29))</f>
        <v>0</v>
      </c>
      <c r="AT10" s="385"/>
    </row>
    <row r="11" spans="1:46" x14ac:dyDescent="0.2">
      <c r="A11" s="120" t="s">
        <v>835</v>
      </c>
      <c r="B11" s="95"/>
      <c r="C11" s="1079" t="str">
        <f>IF(B3="B",TC6_BLDG1!C11,IF(B3="PP",TC6_PP1!C11,""))</f>
        <v>GAIC</v>
      </c>
      <c r="D11" s="159" t="s">
        <v>1663</v>
      </c>
      <c r="E11" s="950"/>
      <c r="F11" s="962"/>
      <c r="L11" s="890" t="s">
        <v>1048</v>
      </c>
      <c r="O11" s="168" t="s">
        <v>1199</v>
      </c>
      <c r="P11" s="977">
        <f>IF(OR(C27="S",C27="T"),1,IF(C12="SP",VLOOKUP(C18,Table_TerrMult_SP,2,FALSE),VLOOKUP(C17,Table_TerrMult,2,FALSE))) - IF(AND((C31)="Yes",ISNUMBER(B31)),B31,0) -IF(AND(ISNUMBER(C33),Q48="TM"),C33,0)</f>
        <v>1.1499999999999999</v>
      </c>
      <c r="Q11" s="207">
        <v>1</v>
      </c>
      <c r="R11" s="207">
        <v>1</v>
      </c>
      <c r="S11" s="207">
        <v>1</v>
      </c>
      <c r="V11" s="168" t="s">
        <v>1199</v>
      </c>
      <c r="W11" s="977">
        <f>IF(OR(C27="S",C27="T"),1,VLOOKUP(C17,Table_TerrMult,2,FALSE)) - IF(AND((C31)="Yes",ISNUMBER(B31)),B31,0) -IF(AND(ISNUMBER(C33),Q48="TM"),C33,0)</f>
        <v>1</v>
      </c>
      <c r="X11" s="207">
        <v>1</v>
      </c>
      <c r="Y11" s="207">
        <v>1</v>
      </c>
      <c r="Z11" s="207">
        <v>1</v>
      </c>
      <c r="AB11" s="266"/>
      <c r="AC11" s="545" t="s">
        <v>1020</v>
      </c>
      <c r="AD11" s="299">
        <f>IF(C7="PAC",VLOOKUP(B8,Table_PakMods,MATCH(C11,List_Company,0)+1,FALSE),1)</f>
        <v>1</v>
      </c>
      <c r="AE11" s="266"/>
      <c r="AF11" s="542"/>
      <c r="AG11" s="724" t="s">
        <v>1022</v>
      </c>
      <c r="AH11" s="279">
        <f>1+$AS$14</f>
        <v>1</v>
      </c>
      <c r="AI11" s="559"/>
      <c r="AK11" s="83" t="s">
        <v>1150</v>
      </c>
      <c r="AL11" s="2">
        <f>ROUND(PRODUCT(AL5:AL10),3)</f>
        <v>0</v>
      </c>
      <c r="AM11" s="2">
        <f>ROUND(PRODUCT(AM5:AM10),3)</f>
        <v>0</v>
      </c>
      <c r="AN11" s="2">
        <f>ROUND(PRODUCT(AN5:AN10),3)</f>
        <v>0</v>
      </c>
      <c r="AO11" s="2">
        <f>ROUND(PRODUCT(AO5:AO10),3)</f>
        <v>0</v>
      </c>
      <c r="AQ11" s="687" t="s">
        <v>1721</v>
      </c>
      <c r="AS11" s="155">
        <f>IF(AS30&lt;-0.075,-0.075,IF(AS30&gt;0.075,0.075,AS30))</f>
        <v>0</v>
      </c>
      <c r="AT11" s="385"/>
    </row>
    <row r="12" spans="1:46" ht="13.5" thickBot="1" x14ac:dyDescent="0.25">
      <c r="A12" s="415" t="s">
        <v>910</v>
      </c>
      <c r="B12" s="493">
        <f>IF(OR(C15=5,C15=6),1,2)</f>
        <v>2</v>
      </c>
      <c r="C12" s="1051" t="s">
        <v>894</v>
      </c>
      <c r="D12" s="159" t="s">
        <v>1223</v>
      </c>
      <c r="E12" s="950"/>
      <c r="F12" s="962"/>
      <c r="H12" s="168" t="s">
        <v>1046</v>
      </c>
      <c r="I12" s="248">
        <f>IF(AND(F3="Yes",F44="Yes"),W60,0)</f>
        <v>0</v>
      </c>
      <c r="J12" s="248"/>
      <c r="K12" s="248"/>
      <c r="L12" s="248"/>
      <c r="O12" s="1117" t="s">
        <v>2140</v>
      </c>
      <c r="P12" s="247">
        <f>DF_BI_BRF1</f>
        <v>0.8</v>
      </c>
      <c r="Q12" s="247">
        <f>DF_BI_BRF2</f>
        <v>0.65</v>
      </c>
      <c r="R12" s="247">
        <v>1</v>
      </c>
      <c r="S12" s="247">
        <v>1</v>
      </c>
      <c r="V12" s="168" t="s">
        <v>1100</v>
      </c>
      <c r="W12" s="207">
        <f>IF(C31="Yes",IF(B31&lt;&gt;"Sprinkler",1,VLOOKUP(C15,Table_SprLkg,IF(B3="B",2,3),FALSE)),1)</f>
        <v>1</v>
      </c>
      <c r="X12" s="207">
        <v>1</v>
      </c>
      <c r="Y12" s="207">
        <v>1</v>
      </c>
      <c r="Z12" s="207">
        <v>1</v>
      </c>
      <c r="AB12" s="542"/>
      <c r="AC12" s="724" t="s">
        <v>1022</v>
      </c>
      <c r="AD12" s="279">
        <f>1+$AS$14</f>
        <v>1</v>
      </c>
      <c r="AE12" s="385"/>
      <c r="AF12" s="385"/>
      <c r="AG12" s="685" t="s">
        <v>396</v>
      </c>
      <c r="AH12" s="385">
        <f>ROUND(PRODUCT(AH4:AH11),3)</f>
        <v>0</v>
      </c>
      <c r="AI12" s="385"/>
      <c r="AJ12" s="185"/>
      <c r="AK12" s="186" t="s">
        <v>1025</v>
      </c>
      <c r="AL12" s="238">
        <f>IF(ISNUMBER(E47),E47/100,0)</f>
        <v>0</v>
      </c>
      <c r="AM12" s="238">
        <f>IF(ISNUMBER(E47),E47/100,0)</f>
        <v>0</v>
      </c>
      <c r="AN12" s="238">
        <f>IF(ISNUMBER(E47),E47/100,0)</f>
        <v>0</v>
      </c>
      <c r="AO12" s="238">
        <f>IF(ISNUMBER(E47),E47/100,0)</f>
        <v>0</v>
      </c>
      <c r="AQ12" s="8" t="s">
        <v>1722</v>
      </c>
      <c r="AS12" s="155">
        <f>IF(AS31&lt;-0.05,-0.05,IF(AS31&gt;0.05,0.05,AS31))</f>
        <v>0</v>
      </c>
      <c r="AT12" s="385"/>
    </row>
    <row r="13" spans="1:46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52">
        <v>2</v>
      </c>
      <c r="D13" s="480"/>
      <c r="E13" s="815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168" t="s">
        <v>1047</v>
      </c>
      <c r="I13" s="248">
        <f>IF(AND(F3="Yes",F46="Yes"),AL48,0)</f>
        <v>0</v>
      </c>
      <c r="J13" s="248"/>
      <c r="K13" s="248"/>
      <c r="L13" s="248"/>
      <c r="O13" s="189" t="s">
        <v>1496</v>
      </c>
      <c r="P13" s="207">
        <v>1</v>
      </c>
      <c r="Q13" s="207">
        <f>IF(C34="Yes",VLOOKUP(C15,Table_Construction,3,FALSE),1)</f>
        <v>1</v>
      </c>
      <c r="R13" s="207">
        <v>1</v>
      </c>
      <c r="S13" s="207">
        <v>1</v>
      </c>
      <c r="V13" s="236" t="s">
        <v>1099</v>
      </c>
      <c r="W13" s="281">
        <f>B33</f>
        <v>0</v>
      </c>
      <c r="X13" s="211">
        <v>1</v>
      </c>
      <c r="Y13" s="211">
        <v>1</v>
      </c>
      <c r="Z13" s="211">
        <v>1</v>
      </c>
      <c r="AB13" s="385"/>
      <c r="AC13" s="685" t="s">
        <v>679</v>
      </c>
      <c r="AD13" s="558" t="e">
        <f>ROUND(PRODUCT(AD6:AD12),3)</f>
        <v>#N/A</v>
      </c>
      <c r="AE13" s="266"/>
      <c r="AF13" s="542"/>
      <c r="AG13" s="724" t="s">
        <v>1572</v>
      </c>
      <c r="AH13" s="238">
        <f>IF(ISNUMBER(F4),F4/100,0)</f>
        <v>5000</v>
      </c>
      <c r="AI13" s="478"/>
      <c r="AK13" s="83" t="s">
        <v>1647</v>
      </c>
      <c r="AL13" s="248">
        <f>ROUND(PRODUCT(AL11:AL12),0)</f>
        <v>0</v>
      </c>
      <c r="AM13" s="248">
        <f>ROUND(PRODUCT(AM11:AM12),0)</f>
        <v>0</v>
      </c>
      <c r="AN13" s="248">
        <f>ROUND(PRODUCT(AN11:AN12),0)</f>
        <v>0</v>
      </c>
      <c r="AO13" s="248">
        <f>ROUND(PRODUCT(AO11:AO12),0)</f>
        <v>0</v>
      </c>
      <c r="AQ13" s="8"/>
      <c r="AS13" s="155"/>
      <c r="AT13" s="385"/>
    </row>
    <row r="14" spans="1:46" ht="13.5" thickBot="1" x14ac:dyDescent="0.25">
      <c r="A14" s="108" t="s">
        <v>898</v>
      </c>
      <c r="B14" s="95"/>
      <c r="C14" s="1079">
        <f>IF(B3="B",TC6_BLDG1!C14,IF(B3="PP",TC6_PP1!C14,""))</f>
        <v>3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491" t="str">
        <f>IF(AND(E8="Yes",E14="Area"),ROUND(SUM(E13:F13)/SUM(E11:F11),3),IF(AND(E8="Yes",E14="Value"),ROUND(SUM(E12:F12)/SUM(E13:F13),3),""))</f>
        <v/>
      </c>
      <c r="I14" s="248"/>
      <c r="J14" s="248"/>
      <c r="K14" s="248"/>
      <c r="L14" s="248"/>
      <c r="N14" s="209"/>
      <c r="O14" s="210" t="s">
        <v>1016</v>
      </c>
      <c r="P14" s="212">
        <v>1</v>
      </c>
      <c r="Q14" s="212">
        <v>1</v>
      </c>
      <c r="R14" s="212">
        <v>1</v>
      </c>
      <c r="S14" s="212">
        <v>1</v>
      </c>
      <c r="U14" s="209"/>
      <c r="V14" s="210" t="s">
        <v>1016</v>
      </c>
      <c r="W14" s="212">
        <v>1</v>
      </c>
      <c r="X14" s="212">
        <v>1</v>
      </c>
      <c r="Y14" s="212">
        <v>1</v>
      </c>
      <c r="Z14" s="212">
        <v>1</v>
      </c>
      <c r="AB14" s="542"/>
      <c r="AC14" s="724" t="s">
        <v>1572</v>
      </c>
      <c r="AD14" s="238">
        <f>IF(ISNUMBER(F4),F4/100,0)</f>
        <v>5000</v>
      </c>
      <c r="AE14" s="266"/>
      <c r="AF14" s="266"/>
      <c r="AG14" s="568" t="s">
        <v>680</v>
      </c>
      <c r="AH14" s="248">
        <f>ROUND(PRODUCT(AH12:AH13),0)</f>
        <v>0</v>
      </c>
      <c r="AI14" s="248"/>
      <c r="AR14" s="60" t="s">
        <v>952</v>
      </c>
      <c r="AS14" s="157">
        <f>IF(SUM(AS4:AS13)&lt;-0.4,-0.4,IF(SUM(AS4:AS13)&gt;0.4,0.4,SUM(AS4:AS13)))</f>
        <v>0</v>
      </c>
      <c r="AT14" s="385"/>
    </row>
    <row r="15" spans="1:46" ht="13.5" customHeight="1" x14ac:dyDescent="0.2">
      <c r="A15" s="108" t="s">
        <v>1073</v>
      </c>
      <c r="B15" s="319" t="str">
        <f>IF(C15&lt;=4,"B","A")</f>
        <v>B</v>
      </c>
      <c r="C15" s="1080">
        <f>IF(B3="B",TC6_BLDG1!C15,IF(B3="PP",TC6_PP1!C15,""))</f>
        <v>1</v>
      </c>
      <c r="D15" s="84" t="s">
        <v>1224</v>
      </c>
      <c r="E15" s="193"/>
      <c r="F15" s="964" t="s">
        <v>857</v>
      </c>
      <c r="H15" s="568" t="s">
        <v>244</v>
      </c>
      <c r="I15" s="797">
        <f>SUM(I12:I13,I9:L9)</f>
        <v>0</v>
      </c>
      <c r="O15" s="168" t="s">
        <v>1250</v>
      </c>
      <c r="P15" s="207">
        <f>IF(F6="Yes",DF_BI_AV,1)</f>
        <v>1</v>
      </c>
      <c r="Q15" s="207">
        <f>IF(F6="Yes",DF_BI_AV,1)</f>
        <v>1</v>
      </c>
      <c r="R15" s="207">
        <f>IF(F6="Yes",DF_BI_AV,1)</f>
        <v>1</v>
      </c>
      <c r="S15" s="207">
        <f>IF(F6="Yes",DF_BI_AV,1)</f>
        <v>1</v>
      </c>
      <c r="V15" s="168" t="s">
        <v>1250</v>
      </c>
      <c r="W15" s="207">
        <f>IF(F6="Yes",DF_BI_AV,1)</f>
        <v>1</v>
      </c>
      <c r="X15" s="207">
        <f>IF(F6="Yes",DF_BI_AV,1)</f>
        <v>1</v>
      </c>
      <c r="Y15" s="207">
        <v>1</v>
      </c>
      <c r="Z15" s="207">
        <v>1</v>
      </c>
      <c r="AB15" s="266"/>
      <c r="AC15" s="568" t="s">
        <v>680</v>
      </c>
      <c r="AD15" s="248" t="e">
        <f>ROUND(PRODUCT(AD13:AD14),0)</f>
        <v>#N/A</v>
      </c>
      <c r="AE15" s="266"/>
      <c r="AF15" s="266"/>
      <c r="AG15" s="266"/>
      <c r="AH15" s="266"/>
      <c r="AI15" s="266"/>
      <c r="AK15" s="685" t="s">
        <v>549</v>
      </c>
      <c r="AL15" s="907">
        <f>IF(E48="Yes",IF(C12="SP",SUM(AL13:AN13),IF(C12="BR",SUM(AL13:AM13,AO13),SUM(AL13:AM13))),0)</f>
        <v>0</v>
      </c>
      <c r="AQ15" s="686"/>
      <c r="AR15" s="385"/>
      <c r="AS15" s="738"/>
      <c r="AT15" s="385"/>
    </row>
    <row r="16" spans="1:46" x14ac:dyDescent="0.2">
      <c r="A16" s="84" t="s">
        <v>975</v>
      </c>
      <c r="B16" s="160"/>
      <c r="C16" s="1080" t="str">
        <f>IF(B3="B",TC6_BLDG1!C16,IF(B3="PP",TC6_PP1!C16,""))</f>
        <v>A</v>
      </c>
      <c r="D16" s="159" t="s">
        <v>1244</v>
      </c>
      <c r="E16" s="963"/>
      <c r="F16" s="277"/>
      <c r="N16" s="146"/>
      <c r="O16" s="545" t="s">
        <v>1253</v>
      </c>
      <c r="P16" s="563">
        <f>IF(OR(ISBLANK(F7),F7="None"),1,IF(E8="Yes",F14+P18,VLOOKUP(F7,IF(F5="Yes",Table_BI_CoIns_EE,Table_BI_CoIns),F8+1,FALSE)+P18))</f>
        <v>0.54</v>
      </c>
      <c r="Q16" s="563">
        <f>IF(OR(ISBLANK(F7),F7="None"),1,IF(E8="Yes",F14,VLOOKUP(F7,IF(F5="Yes",Table_BI_CoIns_EE,Table_BI_CoIns),F8+1,FALSE)+Q18))</f>
        <v>0.54</v>
      </c>
      <c r="R16" s="299">
        <v>1</v>
      </c>
      <c r="S16" s="299">
        <v>1</v>
      </c>
      <c r="V16" s="83" t="s">
        <v>1251</v>
      </c>
      <c r="W16" s="207">
        <f>IF(F17="Yes",VLOOKUP(F8,Table_BI_MaxInd,E5,FALSE)+W18,1)</f>
        <v>1</v>
      </c>
      <c r="X16" s="207">
        <f>IF(F17="Yes",VLOOKUP(F8,Table_BI_MaxInd,E5,FALSE)+X18,1)</f>
        <v>1</v>
      </c>
      <c r="Y16" s="207">
        <v>1</v>
      </c>
      <c r="Z16" s="207">
        <v>1</v>
      </c>
      <c r="AB16" s="266"/>
      <c r="AC16" s="266"/>
      <c r="AD16" s="266"/>
      <c r="AE16" s="557"/>
      <c r="AF16" s="557"/>
      <c r="AG16" s="557"/>
      <c r="AH16" s="557"/>
      <c r="AI16" s="557"/>
      <c r="AK16" s="685"/>
      <c r="AL16" s="701"/>
      <c r="AQ16" s="385"/>
      <c r="AR16" s="385"/>
      <c r="AS16" s="738"/>
      <c r="AT16" s="385"/>
    </row>
    <row r="17" spans="1:48" ht="15" customHeight="1" thickBot="1" x14ac:dyDescent="0.25">
      <c r="A17" s="122" t="s">
        <v>974</v>
      </c>
      <c r="B17" s="95"/>
      <c r="C17" s="1079">
        <f>IF(B3="B",TC6_BLDG1!C17,IF(B3="PP",TC6_PP1!C17,""))</f>
        <v>1</v>
      </c>
      <c r="D17" s="84" t="s">
        <v>1204</v>
      </c>
      <c r="E17" s="193"/>
      <c r="F17" s="960" t="s">
        <v>857</v>
      </c>
      <c r="O17" s="83" t="s">
        <v>2241</v>
      </c>
      <c r="P17" s="207">
        <f>IF(F17="Yes",VLOOKUP(F8,Table_BI_MaxInd,E5,FALSE)+P18,1)</f>
        <v>1</v>
      </c>
      <c r="Q17" s="207">
        <f>IF(F17="Yes",VLOOKUP(F8,Table_BI_MaxInd,E5,FALSE)+Q18,1)</f>
        <v>1</v>
      </c>
      <c r="R17" s="207">
        <v>1</v>
      </c>
      <c r="S17" s="207">
        <v>1</v>
      </c>
      <c r="V17" s="83" t="s">
        <v>1252</v>
      </c>
      <c r="W17" s="207">
        <f ca="1">IF(F18="Yes",VLOOKUP(E19,INDIRECT("Table_BI_Mos"&amp;F8),E5,FALSE)+W18,1)</f>
        <v>1</v>
      </c>
      <c r="X17" s="207">
        <f ca="1">IF(F18="Yes",VLOOKUP(E19,INDIRECT("Table_BI_Mos"&amp;F8),E5,FALSE)+X18,1)</f>
        <v>1</v>
      </c>
      <c r="Y17" s="207">
        <v>1</v>
      </c>
      <c r="Z17" s="207">
        <v>1</v>
      </c>
      <c r="AB17" s="557"/>
      <c r="AC17" s="557"/>
      <c r="AD17" s="557"/>
      <c r="AE17" s="266"/>
      <c r="AF17" s="60" t="s">
        <v>684</v>
      </c>
      <c r="AH17" s="235"/>
      <c r="AI17" s="235"/>
      <c r="AQ17" s="385"/>
      <c r="AR17" s="701"/>
      <c r="AS17" s="738"/>
      <c r="AT17" s="385"/>
    </row>
    <row r="18" spans="1:48" x14ac:dyDescent="0.2">
      <c r="A18" s="1195" t="s">
        <v>2097</v>
      </c>
      <c r="B18" s="95"/>
      <c r="C18" s="1238">
        <v>2</v>
      </c>
      <c r="D18" s="84" t="s">
        <v>1203</v>
      </c>
      <c r="E18" s="193"/>
      <c r="F18" s="960" t="s">
        <v>857</v>
      </c>
      <c r="H18" s="483" t="s">
        <v>662</v>
      </c>
      <c r="I18" s="485"/>
      <c r="N18" s="266"/>
      <c r="O18" s="1420" t="s">
        <v>2240</v>
      </c>
      <c r="P18" s="426">
        <f>IF(F30="Yes",VLOOKUP(E31,Table_BI_Mining,2,FALSE),0)</f>
        <v>0</v>
      </c>
      <c r="Q18" s="426">
        <f>IF(F30="Yes",VLOOKUP(E31,Table_BI_Mining,3,FALSE),0)</f>
        <v>0</v>
      </c>
      <c r="R18" s="423">
        <v>1</v>
      </c>
      <c r="S18" s="423">
        <v>1</v>
      </c>
      <c r="U18" s="266"/>
      <c r="V18" s="267" t="s">
        <v>1592</v>
      </c>
      <c r="W18" s="426">
        <f>IF(F30="Yes",VLOOKUP(E31,Table_BI_Mining,2,FALSE),0)</f>
        <v>0</v>
      </c>
      <c r="X18" s="426">
        <f>IF(F30="Yes",VLOOKUP(E31,Table_BI_Mining,3,FALSE),0)</f>
        <v>0</v>
      </c>
      <c r="Y18" s="423">
        <v>1</v>
      </c>
      <c r="Z18" s="423">
        <v>1</v>
      </c>
      <c r="AB18" s="60" t="s">
        <v>681</v>
      </c>
      <c r="AD18" s="235"/>
      <c r="AE18" s="266"/>
      <c r="AF18" s="266"/>
      <c r="AG18" s="268" t="s">
        <v>1753</v>
      </c>
      <c r="AH18" s="426">
        <f>IF(F63="Yes",VLOOKUP(E64,Table_Other_WaterBuyback,6,FALSE),0)</f>
        <v>0</v>
      </c>
      <c r="AI18" s="426"/>
      <c r="AJ18" s="60" t="s">
        <v>551</v>
      </c>
      <c r="AL18" s="235" t="s">
        <v>1012</v>
      </c>
      <c r="AM18" s="235" t="s">
        <v>1013</v>
      </c>
      <c r="AN18" s="235" t="s">
        <v>838</v>
      </c>
      <c r="AO18" s="235" t="s">
        <v>837</v>
      </c>
      <c r="AQ18" s="136" t="s">
        <v>947</v>
      </c>
      <c r="AR18" s="137"/>
      <c r="AS18" s="137"/>
      <c r="AT18" s="137"/>
      <c r="AU18" s="136" t="s">
        <v>938</v>
      </c>
      <c r="AV18" s="517"/>
    </row>
    <row r="19" spans="1:48" ht="13.5" thickBot="1" x14ac:dyDescent="0.25">
      <c r="A19" s="126"/>
      <c r="B19" s="96"/>
      <c r="C19" s="1081"/>
      <c r="D19" s="159" t="s">
        <v>1225</v>
      </c>
      <c r="E19" s="965" t="s">
        <v>857</v>
      </c>
      <c r="F19" s="169"/>
      <c r="H19" s="486" t="s">
        <v>682</v>
      </c>
      <c r="I19" s="485">
        <f>IF(AND(F54="Yes",F56="Yes"),AD15,0)</f>
        <v>0</v>
      </c>
      <c r="O19" s="83" t="s">
        <v>1252</v>
      </c>
      <c r="P19" s="207">
        <f ca="1">IF(F18="Yes",VLOOKUP(E19,INDIRECT("Table_BI_Mos"&amp;F8),E5,FALSE)+P18,1)</f>
        <v>1</v>
      </c>
      <c r="Q19" s="207">
        <f ca="1">IF(F18="Yes",VLOOKUP(E19,INDIRECT("Table_BI_Mos"&amp;F8),E5,FALSE)+Q18,1)</f>
        <v>1</v>
      </c>
      <c r="R19" s="207">
        <v>1</v>
      </c>
      <c r="S19" s="207">
        <v>1</v>
      </c>
      <c r="V19" s="189" t="s">
        <v>1547</v>
      </c>
      <c r="W19" s="207">
        <f>IF(AND(F20="Yes",OR(E21=1,E21=3)),VLOOKUP(F7,Table_BI_Educ,E5,FALSE),1)</f>
        <v>1</v>
      </c>
      <c r="X19" s="207">
        <f>IF(AND(F20="Yes",OR(E21=1,E21=3)),VLOOKUP(F7,Table_BI_Educ,E5,FALSE),1)</f>
        <v>1</v>
      </c>
      <c r="Y19" s="207">
        <v>1</v>
      </c>
      <c r="Z19" s="207">
        <v>1</v>
      </c>
      <c r="AB19" s="266"/>
      <c r="AC19" s="268" t="s">
        <v>1724</v>
      </c>
      <c r="AD19" s="426">
        <f>IF(F29="Yes",B29,0)</f>
        <v>0</v>
      </c>
      <c r="AE19" s="266"/>
      <c r="AF19" s="558"/>
      <c r="AG19" s="755" t="s">
        <v>971</v>
      </c>
      <c r="AH19" s="558">
        <f>HLOOKUP(C11,Table_StateRates,6,FALSE)</f>
        <v>1.9</v>
      </c>
      <c r="AI19" s="558"/>
      <c r="AJ19" s="146"/>
      <c r="AK19" s="545" t="s">
        <v>1049</v>
      </c>
      <c r="AL19" s="146">
        <f>VLOOKUP(2,Table_Time_Utility,2,FALSE)</f>
        <v>4.3999999999999997E-2</v>
      </c>
      <c r="AM19" s="146">
        <f>VLOOKUP(2,Table_Time_Utility,3,FALSE)</f>
        <v>4.3999999999999997E-2</v>
      </c>
      <c r="AN19" s="146">
        <f>VLOOKUP(2,Table_Time_Utility,5,FALSE)</f>
        <v>2.9000000000000001E-2</v>
      </c>
      <c r="AO19" s="563">
        <f>VLOOKUP(2,Table_Time_Utility,4,FALSE)</f>
        <v>0.01</v>
      </c>
      <c r="AQ19" s="138" t="s">
        <v>939</v>
      </c>
      <c r="AR19" s="8"/>
      <c r="AS19" s="8"/>
      <c r="AT19" s="8"/>
      <c r="AU19" s="445" t="s">
        <v>940</v>
      </c>
      <c r="AV19" s="481"/>
    </row>
    <row r="20" spans="1:48" x14ac:dyDescent="0.2">
      <c r="A20" s="88" t="s">
        <v>954</v>
      </c>
      <c r="B20" s="89"/>
      <c r="C20" s="1053"/>
      <c r="D20" s="534" t="s">
        <v>1233</v>
      </c>
      <c r="E20" s="273"/>
      <c r="F20" s="960" t="s">
        <v>857</v>
      </c>
      <c r="H20" s="486" t="s">
        <v>681</v>
      </c>
      <c r="I20" s="485">
        <f>IF(AND(F54="Yes",F59="Yes"),AD29,0)</f>
        <v>0</v>
      </c>
      <c r="N20" s="185"/>
      <c r="O20" s="477" t="s">
        <v>1547</v>
      </c>
      <c r="P20" s="208">
        <f>IF(AND(F20="Yes",OR(E21=1,E21=3)),VLOOKUP(F7,Table_BI_Educ,E5,FALSE),1)</f>
        <v>1</v>
      </c>
      <c r="Q20" s="208">
        <f>IF(AND(F20="Yes",OR(E21=1,E21=3)),VLOOKUP(F7,Table_BI_Educ,E5,FALSE),1)</f>
        <v>1</v>
      </c>
      <c r="R20" s="208">
        <v>1</v>
      </c>
      <c r="S20" s="208">
        <v>1</v>
      </c>
      <c r="V20" s="83" t="s">
        <v>1549</v>
      </c>
      <c r="W20" s="207">
        <f>IF(AND(F20="Yes",E21=2),VLOOKUP(F7,Table_BI_Educ,E5,FALSE)+IF(F21&gt;4,SUM(4*0.02,(F21-4)*0.04),F21*0.02),1)</f>
        <v>1</v>
      </c>
      <c r="X20" s="207">
        <f>IF(AND(F20="Yes",E21=2),VLOOKUP(F7,Table_BI_Educ,E5,FALSE)+IF(F21&gt;4,SUM(4*0.02,(F21-4)*0.04),F21*0.02),1)</f>
        <v>1</v>
      </c>
      <c r="Y20" s="207">
        <v>1</v>
      </c>
      <c r="Z20" s="207">
        <v>1</v>
      </c>
      <c r="AB20" s="757"/>
      <c r="AC20" s="758" t="s">
        <v>971</v>
      </c>
      <c r="AD20" s="279">
        <f>HLOOKUP(C11,Table_StateRates,6,FALSE)</f>
        <v>1.9</v>
      </c>
      <c r="AE20" s="266"/>
      <c r="AF20" s="266"/>
      <c r="AG20" s="268" t="s">
        <v>1019</v>
      </c>
      <c r="AH20" s="423">
        <f>HLOOKUP(C11,Table_StateRates,5,FALSE)</f>
        <v>1.38</v>
      </c>
      <c r="AI20" s="423"/>
      <c r="AK20" s="168" t="s">
        <v>971</v>
      </c>
      <c r="AL20" s="207">
        <f>HLOOKUP(C11,Table_StateRates,6,FALSE)</f>
        <v>1.9</v>
      </c>
      <c r="AM20" s="207">
        <f>HLOOKUP(C11,Table_StateRates,6,FALSE)</f>
        <v>1.9</v>
      </c>
      <c r="AN20" s="207">
        <f>HLOOKUP(C11,Table_StateRates,6,FALSE)</f>
        <v>1.9</v>
      </c>
      <c r="AO20" s="207">
        <f>HLOOKUP(C11,Table_StateRates,6,FALSE)</f>
        <v>1.9</v>
      </c>
      <c r="AQ20" s="138" t="s">
        <v>941</v>
      </c>
      <c r="AR20" s="8"/>
      <c r="AS20" s="8"/>
      <c r="AT20" s="8"/>
      <c r="AU20" s="26"/>
      <c r="AV20" s="481"/>
    </row>
    <row r="21" spans="1:48" x14ac:dyDescent="0.2">
      <c r="A21" s="122" t="s">
        <v>956</v>
      </c>
      <c r="B21" s="319">
        <f>IF(C17=1,1,2)</f>
        <v>1</v>
      </c>
      <c r="C21" s="1082" t="str">
        <f>IF(B3="B",TC6_BLDG1!C21,IF(B3="PP",TC6_PP1!C21,""))</f>
        <v>Yes</v>
      </c>
      <c r="D21" s="535" t="s">
        <v>1550</v>
      </c>
      <c r="E21" s="948"/>
      <c r="F21" s="966"/>
      <c r="H21" s="486" t="s">
        <v>1742</v>
      </c>
      <c r="I21" s="485">
        <f>IF(AND(F54="Yes",F60="Yes"),AH14,0)</f>
        <v>0</v>
      </c>
      <c r="O21" s="83" t="s">
        <v>1420</v>
      </c>
      <c r="P21" s="1315">
        <f ca="1">ROUND(PRODUCT(P8,IF(AND(C31="Yes",B31="Sprinkler",C33&lt;&gt;1),P9-P10,P9),P11:P17,P19:P20),3)</f>
        <v>0.157</v>
      </c>
      <c r="Q21" s="1315">
        <f ca="1">ROUND(PRODUCT(Q8:Q17,Q19:Q20),3)</f>
        <v>3.9E-2</v>
      </c>
      <c r="R21" s="1315">
        <f>ROUND(PRODUCT(R8:R20),3)</f>
        <v>0.115</v>
      </c>
      <c r="S21" s="1315">
        <f>ROUND(PRODUCT(S8:S20),3)</f>
        <v>2.9000000000000001E-2</v>
      </c>
      <c r="V21" s="189" t="s">
        <v>1254</v>
      </c>
      <c r="W21" s="207">
        <f>IF(F27="Yes",VLOOKUP(E5,Table_BI_Seasonal,2,FALSE),1)</f>
        <v>1</v>
      </c>
      <c r="X21" s="207">
        <v>1</v>
      </c>
      <c r="Y21" s="207">
        <v>1</v>
      </c>
      <c r="Z21" s="207">
        <v>1</v>
      </c>
      <c r="AB21" s="266"/>
      <c r="AC21" s="568" t="s">
        <v>685</v>
      </c>
      <c r="AD21" s="266">
        <f>ROUND(PRODUCT(AD19:AD20),3)</f>
        <v>0</v>
      </c>
      <c r="AE21" s="266"/>
      <c r="AF21" s="266"/>
      <c r="AG21" s="268"/>
      <c r="AH21" s="423"/>
      <c r="AI21" s="423"/>
      <c r="AK21" s="168" t="s">
        <v>1019</v>
      </c>
      <c r="AL21" s="207">
        <f>HLOOKUP(C11,Table_StateRates,5,FALSE)</f>
        <v>1.38</v>
      </c>
      <c r="AM21" s="207">
        <f>HLOOKUP(C11,Table_StateRates,5,FALSE)</f>
        <v>1.38</v>
      </c>
      <c r="AN21" s="207">
        <f>HLOOKUP(C11,Table_StateRates,5,FALSE)</f>
        <v>1.38</v>
      </c>
      <c r="AO21" s="207">
        <f>HLOOKUP(C11,Table_StateRates,5,FALSE)</f>
        <v>1.38</v>
      </c>
      <c r="AQ21" s="26"/>
      <c r="AR21" s="8"/>
      <c r="AS21" s="8"/>
      <c r="AT21" s="8"/>
      <c r="AU21" s="727" t="s">
        <v>942</v>
      </c>
      <c r="AV21" s="481"/>
    </row>
    <row r="22" spans="1:48" x14ac:dyDescent="0.2">
      <c r="A22" s="911" t="s">
        <v>958</v>
      </c>
      <c r="B22" s="90"/>
      <c r="C22" s="570" t="str">
        <f>IF(B3="B",TC6_BLDG1!C22,IF(B3="PP",TC6_PP1!C22,""))</f>
        <v>No</v>
      </c>
      <c r="D22" s="536" t="s">
        <v>1228</v>
      </c>
      <c r="E22" s="294"/>
      <c r="F22" s="295"/>
      <c r="H22" s="597" t="s">
        <v>1743</v>
      </c>
      <c r="I22" s="487">
        <f>IF(AND(F54="Yes",F63="Yes"),AH28,0)</f>
        <v>0</v>
      </c>
      <c r="O22" s="83" t="s">
        <v>1549</v>
      </c>
      <c r="P22" s="207">
        <f>IF(AND(F20="Yes",E21=2),VLOOKUP(F7,Table_BI_Educ,E5,FALSE)+IF(F21&gt;4,SUM(4*0.02,(F21-4)*0.04),F21*0.02),1)</f>
        <v>1</v>
      </c>
      <c r="Q22" s="207">
        <f>IF(AND(F20="Yes",E21=2),VLOOKUP(F7,Table_BI_Educ,E5,FALSE)+IF(F21&gt;4,SUM(4*0.02,(F21-4)*0.04),F21*0.02),1)</f>
        <v>1</v>
      </c>
      <c r="R22" s="207">
        <v>1</v>
      </c>
      <c r="S22" s="207">
        <v>1</v>
      </c>
      <c r="V22" s="189" t="s">
        <v>1255</v>
      </c>
      <c r="W22" s="207">
        <f>IF(F15="Yes",VLOOKUP(E16,Table_BI_IndDays,2,FALSE),1)</f>
        <v>1</v>
      </c>
      <c r="X22" s="207">
        <f>IF(F15="Yes",VLOOKUP(E16,Table_BI_IndDays,2,FALSE),1)</f>
        <v>1</v>
      </c>
      <c r="Y22" s="207">
        <v>1</v>
      </c>
      <c r="Z22" s="207">
        <v>1</v>
      </c>
      <c r="AB22" s="542"/>
      <c r="AC22" s="724" t="s">
        <v>1740</v>
      </c>
      <c r="AD22" s="279">
        <f>DF_MoltenMaterial</f>
        <v>0.1</v>
      </c>
      <c r="AE22" s="385"/>
      <c r="AF22" s="266"/>
      <c r="AG22" s="268"/>
      <c r="AH22" s="423"/>
      <c r="AI22" s="423"/>
      <c r="AK22" s="168" t="s">
        <v>180</v>
      </c>
      <c r="AL22" s="207">
        <v>1</v>
      </c>
      <c r="AM22" s="207">
        <v>1</v>
      </c>
      <c r="AN22" s="207">
        <v>1</v>
      </c>
      <c r="AO22" s="207">
        <v>1</v>
      </c>
      <c r="AQ22" s="445" t="s">
        <v>943</v>
      </c>
      <c r="AR22" s="8"/>
      <c r="AS22" s="142" t="s">
        <v>944</v>
      </c>
      <c r="AT22" s="8"/>
      <c r="AU22" s="727" t="s">
        <v>945</v>
      </c>
      <c r="AV22" s="481"/>
    </row>
    <row r="23" spans="1:48" ht="13.5" thickBot="1" x14ac:dyDescent="0.25">
      <c r="A23" s="908" t="s">
        <v>955</v>
      </c>
      <c r="B23" s="910"/>
      <c r="C23" s="1055"/>
      <c r="D23" s="537" t="s">
        <v>1239</v>
      </c>
      <c r="E23" s="296"/>
      <c r="F23" s="295"/>
      <c r="H23" s="568" t="s">
        <v>1744</v>
      </c>
      <c r="I23" s="569">
        <f>SUM(I19:I22)</f>
        <v>0</v>
      </c>
      <c r="O23" s="189" t="s">
        <v>1254</v>
      </c>
      <c r="P23" s="207">
        <f>IF(F27="Yes",VLOOKUP(E5,Table_BI_Seasonal,2,FALSE),1)</f>
        <v>1</v>
      </c>
      <c r="Q23" s="207">
        <v>1</v>
      </c>
      <c r="R23" s="207">
        <v>1</v>
      </c>
      <c r="S23" s="207">
        <v>1</v>
      </c>
      <c r="V23" s="168" t="s">
        <v>1256</v>
      </c>
      <c r="W23" s="207">
        <f>IF(F24="Yes",VLOOKUP(E25,Table_BI_OrdPR,2,FALSE),1)</f>
        <v>1</v>
      </c>
      <c r="X23" s="207">
        <v>1</v>
      </c>
      <c r="Y23" s="207">
        <v>1</v>
      </c>
      <c r="Z23" s="207">
        <v>1</v>
      </c>
      <c r="AB23" s="266"/>
      <c r="AC23" s="568" t="s">
        <v>917</v>
      </c>
      <c r="AD23" s="426">
        <f>ROUND(PRODUCT(AD21:AD22),3)</f>
        <v>0</v>
      </c>
      <c r="AE23" s="423"/>
      <c r="AF23" s="266"/>
      <c r="AG23" s="268" t="s">
        <v>180</v>
      </c>
      <c r="AH23" s="423">
        <f>1+$AU$25</f>
        <v>1</v>
      </c>
      <c r="AI23" s="423"/>
      <c r="AJ23" s="146"/>
      <c r="AK23" s="545" t="s">
        <v>1020</v>
      </c>
      <c r="AL23" s="299">
        <f>IF(C7="PAC",VLOOKUP(B8,Table_PakMods,MATCH(C11,List_Company,0)+1,FALSE),1)</f>
        <v>1</v>
      </c>
      <c r="AM23" s="299">
        <f>IF(C7="PAC",VLOOKUP(B8,Table_PakMods,MATCH(C11,List_Company,0)+1,FALSE),1)</f>
        <v>1</v>
      </c>
      <c r="AN23" s="299">
        <f>IF(C7="PAC",VLOOKUP(B8,Table_PakMods,MATCH(C11,List_Company,0)+1,FALSE),1)</f>
        <v>1</v>
      </c>
      <c r="AO23" s="299">
        <f>IF(C7="PAC",VLOOKUP(B8,Table_PakMods,MATCH(C11,List_Company,0)+1,FALSE),1)</f>
        <v>1</v>
      </c>
      <c r="AQ23" s="140" t="s">
        <v>1715</v>
      </c>
      <c r="AR23" s="8"/>
      <c r="AS23" s="144"/>
      <c r="AT23" s="8"/>
      <c r="AU23" s="727" t="s">
        <v>946</v>
      </c>
      <c r="AV23" s="481"/>
    </row>
    <row r="24" spans="1:48" ht="13.5" thickBot="1" x14ac:dyDescent="0.25">
      <c r="A24" s="108" t="s">
        <v>957</v>
      </c>
      <c r="B24" s="896">
        <f>IF(B3="B",TC6_BLDG1!B24,IF(B3="PP",TC6_PP1!B24,""))</f>
        <v>0</v>
      </c>
      <c r="C24" s="885" t="str">
        <f>IF(B3="B",TC6_BLDG1!C24,IF(B3="PP",TC6_PP1!C24,""))</f>
        <v>Yes</v>
      </c>
      <c r="D24" s="444" t="s">
        <v>1229</v>
      </c>
      <c r="E24" s="103"/>
      <c r="F24" s="967" t="s">
        <v>857</v>
      </c>
      <c r="O24" s="189" t="s">
        <v>1255</v>
      </c>
      <c r="P24" s="207">
        <f>IF(F15="Yes",VLOOKUP(E16,Table_BI_IndDays,2,FALSE),1)</f>
        <v>1</v>
      </c>
      <c r="Q24" s="207">
        <f>IF(F15="Yes",VLOOKUP(E16,Table_BI_IndDays,2,FALSE),1)</f>
        <v>1</v>
      </c>
      <c r="R24" s="207">
        <v>1</v>
      </c>
      <c r="S24" s="207">
        <v>1</v>
      </c>
      <c r="V24" s="168" t="s">
        <v>1257</v>
      </c>
      <c r="W24" s="207">
        <f>IF(F26="Yes",DF_BI_Power,1)</f>
        <v>1</v>
      </c>
      <c r="X24" s="207">
        <v>1</v>
      </c>
      <c r="Y24" s="207">
        <v>1</v>
      </c>
      <c r="Z24" s="207">
        <v>1</v>
      </c>
      <c r="AB24" s="266"/>
      <c r="AC24" s="268" t="s">
        <v>180</v>
      </c>
      <c r="AD24" s="423">
        <f>1+$AU$25</f>
        <v>1</v>
      </c>
      <c r="AE24" s="559"/>
      <c r="AF24" s="266"/>
      <c r="AG24" s="545" t="s">
        <v>1020</v>
      </c>
      <c r="AH24" s="299">
        <f>IF(C7="PAC",VLOOKUP(B8,Table_PakMods,MATCH(C11,List_Company,0)+1,FALSE),1)</f>
        <v>1</v>
      </c>
      <c r="AI24" s="299"/>
      <c r="AJ24" s="542"/>
      <c r="AK24" s="724" t="s">
        <v>1022</v>
      </c>
      <c r="AL24" s="279">
        <v>1</v>
      </c>
      <c r="AM24" s="279">
        <v>1</v>
      </c>
      <c r="AN24" s="279">
        <v>1</v>
      </c>
      <c r="AO24" s="279">
        <v>1</v>
      </c>
      <c r="AQ24" s="141" t="s">
        <v>1714</v>
      </c>
      <c r="AR24" s="139"/>
      <c r="AS24" s="145"/>
      <c r="AT24" s="139"/>
      <c r="AU24" s="445"/>
      <c r="AV24" s="481"/>
    </row>
    <row r="25" spans="1:48" ht="13.5" thickBot="1" x14ac:dyDescent="0.25">
      <c r="A25" s="92"/>
      <c r="B25" s="93"/>
      <c r="C25" s="903"/>
      <c r="D25" s="819" t="s">
        <v>1243</v>
      </c>
      <c r="E25" s="965" t="s">
        <v>857</v>
      </c>
      <c r="F25" s="292"/>
      <c r="O25" s="168" t="s">
        <v>1256</v>
      </c>
      <c r="P25" s="207">
        <f>IF(F24="Yes",VLOOKUP(E25,Table_BI_OrdPR,2,FALSE),1)</f>
        <v>1</v>
      </c>
      <c r="Q25" s="207">
        <v>1</v>
      </c>
      <c r="R25" s="207">
        <f>IF(F24="Yes",VLOOKUP(E25,Table_BI_OrdPR,2,FALSE),1)</f>
        <v>1</v>
      </c>
      <c r="S25" s="207">
        <v>1</v>
      </c>
      <c r="U25" s="266"/>
      <c r="V25" s="268" t="s">
        <v>1259</v>
      </c>
      <c r="W25" s="423">
        <f>IF(F33="Yes",1,IF(F28="Yes",VLOOKUP(E29,Table_CivilAuth,2,FALSE),1))</f>
        <v>1</v>
      </c>
      <c r="X25" s="423">
        <f>IF(F33="Yes",1,IF(F28="Yes",VLOOKUP(E29,Table_CivilAuth,2,FALSE),1))</f>
        <v>1</v>
      </c>
      <c r="Y25" s="423">
        <v>1</v>
      </c>
      <c r="Z25" s="423">
        <v>1</v>
      </c>
      <c r="AB25" s="266"/>
      <c r="AC25" s="545" t="s">
        <v>1020</v>
      </c>
      <c r="AD25" s="299">
        <f>IF(C7="PAC",VLOOKUP(B8,Table_PakMods,MATCH(C11,List_Company,0)+1,FALSE),1)</f>
        <v>1</v>
      </c>
      <c r="AE25" s="426"/>
      <c r="AF25" s="542"/>
      <c r="AG25" s="724" t="s">
        <v>1022</v>
      </c>
      <c r="AH25" s="279">
        <f>1+$AS$14</f>
        <v>1</v>
      </c>
      <c r="AI25" s="559"/>
      <c r="AK25" s="83" t="s">
        <v>1150</v>
      </c>
      <c r="AL25" s="2">
        <f>ROUND(PRODUCT(AL19:AL24),3)</f>
        <v>0.115</v>
      </c>
      <c r="AM25" s="2">
        <f>ROUND(PRODUCT(AM19:AM24),3)</f>
        <v>0.115</v>
      </c>
      <c r="AN25" s="2">
        <f>ROUND(PRODUCT(AN19:AN24),3)</f>
        <v>7.5999999999999998E-2</v>
      </c>
      <c r="AO25" s="2">
        <f>ROUND(PRODUCT(AO19:AO24),3)</f>
        <v>2.5999999999999999E-2</v>
      </c>
      <c r="AQ25" s="141" t="s">
        <v>1716</v>
      </c>
      <c r="AR25" s="139"/>
      <c r="AS25" s="145"/>
      <c r="AT25" s="139"/>
      <c r="AU25" s="1597"/>
      <c r="AV25" s="1598"/>
    </row>
    <row r="26" spans="1:48" ht="13.5" thickBot="1" x14ac:dyDescent="0.25">
      <c r="A26" s="529" t="s">
        <v>1827</v>
      </c>
      <c r="B26" s="531"/>
      <c r="C26" s="904"/>
      <c r="D26" s="444" t="s">
        <v>1230</v>
      </c>
      <c r="E26" s="103"/>
      <c r="F26" s="967" t="s">
        <v>857</v>
      </c>
      <c r="H26" s="60" t="s">
        <v>663</v>
      </c>
      <c r="I26" s="2">
        <f>IF(F3="Yes",IF(AND(C21="Yes",C24="Yes"),AD47,IF(AND(C21="Yes",C24="No"),B24,0)),0)</f>
        <v>0</v>
      </c>
      <c r="O26" s="168" t="s">
        <v>1257</v>
      </c>
      <c r="P26" s="207">
        <f>IF(F26="Yes",DF_BI_Power,1)</f>
        <v>1</v>
      </c>
      <c r="Q26" s="207">
        <v>1</v>
      </c>
      <c r="R26" s="207">
        <v>1</v>
      </c>
      <c r="S26" s="207">
        <v>1</v>
      </c>
      <c r="U26" s="266"/>
      <c r="V26" s="268" t="s">
        <v>821</v>
      </c>
      <c r="W26" s="423">
        <f>IF(AND(F33="Yes",E34="24-HR"),VLOOKUP(E34,Table_BI_Wait,3,FALSE),1)</f>
        <v>1</v>
      </c>
      <c r="X26" s="423">
        <f>IF(AND(F33="Yes",E34="24-HR"),VLOOKUP(E34,Table_BI_Wait,3,FALSE),1)</f>
        <v>1</v>
      </c>
      <c r="Y26" s="423">
        <f>IF(AND(F33="Yes",E34="24-HR"),VLOOKUP(E34,Table_BI_Wait,3,FALSE),1)</f>
        <v>1</v>
      </c>
      <c r="Z26" s="423">
        <f>IF(AND(F33="Yes",E34="24-HR"),VLOOKUP(E34,Table_BI_Wait,3,FALSE),1)</f>
        <v>1</v>
      </c>
      <c r="AB26" s="542"/>
      <c r="AC26" s="724" t="s">
        <v>1022</v>
      </c>
      <c r="AD26" s="279">
        <f>1+$AS$14</f>
        <v>1</v>
      </c>
      <c r="AE26" s="385"/>
      <c r="AF26" s="385"/>
      <c r="AG26" s="685" t="s">
        <v>686</v>
      </c>
      <c r="AH26" s="385">
        <f>ROUND(PRODUCT(AH18:AH25),3)</f>
        <v>0</v>
      </c>
      <c r="AI26" s="385"/>
      <c r="AJ26" s="185"/>
      <c r="AK26" s="186" t="s">
        <v>1025</v>
      </c>
      <c r="AL26" s="238">
        <f>IF(ISNUMBER(E47),E47/100,0)</f>
        <v>0</v>
      </c>
      <c r="AM26" s="238">
        <f>IF(ISNUMBER(E47),E47/100,0)</f>
        <v>0</v>
      </c>
      <c r="AN26" s="238">
        <f>IF(ISNUMBER(E47),E47/100,0)</f>
        <v>0</v>
      </c>
      <c r="AO26" s="238">
        <f>IF(ISNUMBER(E47),E47/100,0)</f>
        <v>0</v>
      </c>
      <c r="AQ26" s="141" t="s">
        <v>1717</v>
      </c>
      <c r="AR26" s="139"/>
      <c r="AS26" s="145"/>
      <c r="AT26" s="139"/>
      <c r="AU26" s="445"/>
      <c r="AV26" s="481"/>
    </row>
    <row r="27" spans="1:48" x14ac:dyDescent="0.2">
      <c r="A27" s="521" t="s">
        <v>899</v>
      </c>
      <c r="B27" s="817" t="str">
        <f>IF(C27="C","Class",IF(C27="S","Specific",IF(C27="T","Tentative","")))</f>
        <v>Class</v>
      </c>
      <c r="C27" s="818" t="str">
        <f>IF(B3="B",IF(TC6_BLDG1!C28&lt;&gt;"SC",TC6_BLDG1!C28,"C"),IF(B3="PP",TC6_PP1!C28,""))</f>
        <v>C</v>
      </c>
      <c r="D27" s="444" t="s">
        <v>1232</v>
      </c>
      <c r="E27" s="103"/>
      <c r="F27" s="967" t="s">
        <v>857</v>
      </c>
      <c r="N27" s="266"/>
      <c r="O27" s="268" t="s">
        <v>1259</v>
      </c>
      <c r="P27" s="423">
        <f>IF(F28="Yes",VLOOKUP(E29,Table_CivilAuth,2,FALSE),1)</f>
        <v>1</v>
      </c>
      <c r="Q27" s="423">
        <f>IF(F28="Yes",VLOOKUP(E29,Table_CivilAuth,2,FALSE),1)</f>
        <v>1</v>
      </c>
      <c r="R27" s="423">
        <f>IF(F28="Yes",VLOOKUP(E29,Table_CivilAuth,2,FALSE),1)</f>
        <v>1</v>
      </c>
      <c r="S27" s="423">
        <f>IF(F28="Yes",VLOOKUP(E29,Table_CivilAuth,2,FALSE),1)</f>
        <v>1</v>
      </c>
      <c r="U27" s="266"/>
      <c r="V27" s="568" t="s">
        <v>822</v>
      </c>
      <c r="W27" s="423">
        <f>IF(AND(F33="Yes",E34="None"),VLOOKUP(E34,Table_BI_Wait,3,FALSE),1)</f>
        <v>1</v>
      </c>
      <c r="X27" s="423">
        <f>IF(AND(F33="Yes",E34="None"),VLOOKUP(E34,Table_BI_Wait,3,FALSE),1)</f>
        <v>1</v>
      </c>
      <c r="Y27" s="423">
        <f>IF(AND(F33="Yes",E34="None"),VLOOKUP(E34,Table_BI_Wait,3,FALSE),1)</f>
        <v>1</v>
      </c>
      <c r="Z27" s="423">
        <f>IF(AND(F33="Yes",E34="None"),VLOOKUP(E34,Table_BI_Wait,3,FALSE),1)</f>
        <v>1</v>
      </c>
      <c r="AB27" s="385"/>
      <c r="AC27" s="685" t="s">
        <v>1741</v>
      </c>
      <c r="AD27" s="558">
        <f>ROUND(PRODUCT(AD23:AD26),3)</f>
        <v>0</v>
      </c>
      <c r="AE27" s="266"/>
      <c r="AF27" s="542"/>
      <c r="AG27" s="724" t="s">
        <v>1572</v>
      </c>
      <c r="AH27" s="238">
        <f>IF(ISNUMBER(F4),F4/100,0)</f>
        <v>5000</v>
      </c>
      <c r="AI27" s="478"/>
      <c r="AK27" s="83" t="s">
        <v>1647</v>
      </c>
      <c r="AL27" s="248">
        <f>ROUND(PRODUCT(AL25:AL26),0)</f>
        <v>0</v>
      </c>
      <c r="AM27" s="248">
        <f>ROUND(PRODUCT(AM25:AM26),0)</f>
        <v>0</v>
      </c>
      <c r="AN27" s="248">
        <f>ROUND(PRODUCT(AN25:AN26),0)</f>
        <v>0</v>
      </c>
      <c r="AO27" s="248">
        <f>ROUND(PRODUCT(AO25:AO26),0)</f>
        <v>0</v>
      </c>
      <c r="AQ27" s="141" t="s">
        <v>1718</v>
      </c>
      <c r="AR27" s="8"/>
      <c r="AS27" s="145"/>
      <c r="AT27" s="8"/>
      <c r="AU27" s="26"/>
      <c r="AV27" s="481"/>
    </row>
    <row r="28" spans="1:48" x14ac:dyDescent="0.2">
      <c r="A28" s="108" t="s">
        <v>953</v>
      </c>
      <c r="B28" s="95"/>
      <c r="C28" s="570" t="str">
        <f>IF(B3="B",TC6_BLDG1!C30,IF(B3="PP",TC6_PP1!C30,0))</f>
        <v>No</v>
      </c>
      <c r="D28" s="538" t="s">
        <v>1545</v>
      </c>
      <c r="E28" s="103"/>
      <c r="F28" s="967" t="s">
        <v>857</v>
      </c>
      <c r="N28" s="266"/>
      <c r="O28" s="268" t="s">
        <v>821</v>
      </c>
      <c r="P28" s="423">
        <f>IF(AND(F33="Yes",E34="24-HR"),VLOOKUP(E34,Table_BI_Wait,3,FALSE),1)</f>
        <v>1</v>
      </c>
      <c r="Q28" s="423">
        <f>IF(AND(F33="Yes",E34="24-HR"),VLOOKUP(E34,Table_BI_Wait,3,FALSE),1)</f>
        <v>1</v>
      </c>
      <c r="R28" s="423">
        <f>IF(AND(F33="Yes",E34="24-HR"),VLOOKUP(E34,Table_BI_Wait,3,FALSE),1)</f>
        <v>1</v>
      </c>
      <c r="S28" s="423">
        <f>IF(AND(F33="Yes",E34="24-HR"),VLOOKUP(E34,Table_BI_Wait,3,FALSE),1)</f>
        <v>1</v>
      </c>
      <c r="V28" s="168" t="s">
        <v>1019</v>
      </c>
      <c r="W28" s="207">
        <f>HLOOKUP(C11,Table_StateRates,5,FALSE)</f>
        <v>1.38</v>
      </c>
      <c r="X28" s="207">
        <f>HLOOKUP(C11,Table_StateRates,5,FALSE)</f>
        <v>1.38</v>
      </c>
      <c r="Y28" s="207">
        <f>HLOOKUP(C11,Table_StateRates,5,FALSE)</f>
        <v>1.38</v>
      </c>
      <c r="Z28" s="207">
        <f>HLOOKUP(C11,Table_StateRates,5,FALSE)</f>
        <v>1.38</v>
      </c>
      <c r="AB28" s="542"/>
      <c r="AC28" s="724" t="s">
        <v>1572</v>
      </c>
      <c r="AD28" s="238">
        <f>IF(ISNUMBER(F4),F4/100,0)</f>
        <v>5000</v>
      </c>
      <c r="AE28" s="266"/>
      <c r="AF28" s="266"/>
      <c r="AG28" s="568" t="s">
        <v>687</v>
      </c>
      <c r="AH28" s="248">
        <f>ROUND(PRODUCT(AH26:AH27),0)</f>
        <v>0</v>
      </c>
      <c r="AI28" s="248"/>
      <c r="AQ28" s="141" t="s">
        <v>181</v>
      </c>
      <c r="AR28" s="8"/>
      <c r="AS28" s="145"/>
      <c r="AT28" s="8"/>
      <c r="AU28" s="26"/>
      <c r="AV28" s="481"/>
    </row>
    <row r="29" spans="1:48" ht="13.5" thickBot="1" x14ac:dyDescent="0.25">
      <c r="A29" s="743" t="str">
        <f>IF(B3="B","80% Bldg LC - Grp I / II",IF(B3="PP","80% Pers. Pty LC - Grp I / II","No Rating Available"))</f>
        <v>80% Bldg LC - Grp I / II</v>
      </c>
      <c r="B29" s="1421">
        <f>IF(B3="B",TC6_BLDG1!P5,IF(B3="PP",TC6_PP1!P5,0))</f>
        <v>0.126</v>
      </c>
      <c r="C29" s="749">
        <f>IF(B3="B",TC6_BLDG1!Q5,IF(B3="PP",TC6_PP1!Q5,0))</f>
        <v>4.2000000000000003E-2</v>
      </c>
      <c r="D29" s="518" t="s">
        <v>1555</v>
      </c>
      <c r="E29" s="948">
        <v>90</v>
      </c>
      <c r="F29" s="169"/>
      <c r="H29" s="60" t="s">
        <v>2288</v>
      </c>
      <c r="I29" s="1468">
        <f>SUM(I5:L5,I15,I23)</f>
        <v>0</v>
      </c>
      <c r="N29" s="542"/>
      <c r="O29" s="1419" t="s">
        <v>822</v>
      </c>
      <c r="P29" s="279">
        <f>IF(AND(F33="Yes",E34="None"),VLOOKUP(E34,Table_BI_Wait,3,FALSE),1)</f>
        <v>1</v>
      </c>
      <c r="Q29" s="279">
        <f>IF(AND(F33="Yes",E34="None"),VLOOKUP(E34,Table_BI_Wait,3,FALSE),1)</f>
        <v>1</v>
      </c>
      <c r="R29" s="279">
        <f>IF(AND(F33="Yes",E34="None"),VLOOKUP(E34,Table_BI_Wait,3,FALSE),1)</f>
        <v>1</v>
      </c>
      <c r="S29" s="279">
        <f>IF(AND(F33="Yes",E34="None"),VLOOKUP(E34,Table_BI_Wait,3,FALSE),1)</f>
        <v>1</v>
      </c>
      <c r="U29" s="266"/>
      <c r="V29" s="268" t="s">
        <v>180</v>
      </c>
      <c r="W29" s="423">
        <f>1+$AU$25</f>
        <v>1</v>
      </c>
      <c r="X29" s="423">
        <f>1+$AU$25</f>
        <v>1</v>
      </c>
      <c r="Y29" s="423">
        <f>1+$AU$25</f>
        <v>1</v>
      </c>
      <c r="Z29" s="423">
        <f>1+$AU$25</f>
        <v>1</v>
      </c>
      <c r="AB29" s="266"/>
      <c r="AC29" s="568" t="s">
        <v>681</v>
      </c>
      <c r="AD29" s="248">
        <f>ROUND(PRODUCT(AD27:AD28),0)</f>
        <v>0</v>
      </c>
      <c r="AE29" s="266"/>
      <c r="AF29" s="266"/>
      <c r="AG29" s="266"/>
      <c r="AH29" s="266"/>
      <c r="AI29" s="266"/>
      <c r="AK29" s="685" t="s">
        <v>549</v>
      </c>
      <c r="AL29" s="907">
        <f>IF(E50="Yes",IF(C12="SP",SUM(AL27:AN27),IF(C12="BR",SUM(AL27:AM27,AO27),SUM(AL27:AM27))),0)</f>
        <v>0</v>
      </c>
      <c r="AQ29" s="141" t="s">
        <v>1720</v>
      </c>
      <c r="AR29" s="8"/>
      <c r="AS29" s="145"/>
      <c r="AT29" s="8"/>
      <c r="AU29" s="26"/>
      <c r="AV29" s="481"/>
    </row>
    <row r="30" spans="1:48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IF(B3="B",TC6_BLDG1!C33,IF(B3="PP",TC6_PP1!C33,""))</f>
        <v>6</v>
      </c>
      <c r="D30" s="538" t="s">
        <v>1246</v>
      </c>
      <c r="E30" s="103"/>
      <c r="F30" s="967" t="s">
        <v>857</v>
      </c>
      <c r="O30" s="83" t="s">
        <v>2239</v>
      </c>
      <c r="P30" s="1315">
        <f ca="1">ROUND(PRODUCT(P21:P29),3)</f>
        <v>0.157</v>
      </c>
      <c r="Q30" s="1315">
        <f ca="1">ROUND(PRODUCT(Q21:Q29),3)</f>
        <v>3.9E-2</v>
      </c>
      <c r="R30" s="1315">
        <f>ROUND(PRODUCT(R21:R29),3)</f>
        <v>0.115</v>
      </c>
      <c r="S30" s="1315">
        <f>ROUND(PRODUCT(S21:S29),3)</f>
        <v>2.9000000000000001E-2</v>
      </c>
      <c r="U30" s="146"/>
      <c r="V30" s="545" t="s">
        <v>1020</v>
      </c>
      <c r="W30" s="299">
        <f>IF(C7="PAC",VLOOKUP(B8,Table_PakMods,MATCH(C11,List_Company,0)+1,FALSE),1)</f>
        <v>1</v>
      </c>
      <c r="X30" s="299">
        <f>IF(C7="PAC",VLOOKUP(B8,Table_PakMods,MATCH(C11,List_Company,0)+1,FALSE),1)</f>
        <v>1</v>
      </c>
      <c r="Y30" s="299">
        <f>IF(C7="PAC",VLOOKUP(B8,Table_PakMods,MATCH(C11,List_Company,0)+1,FALSE),1)</f>
        <v>1</v>
      </c>
      <c r="Z30" s="299">
        <f>IF(C7="PAC",VLOOKUP(B8,Table_PakMods,MATCH(C11,List_Company,0)+1,FALSE),1)</f>
        <v>1</v>
      </c>
      <c r="AC30" s="83"/>
      <c r="AD30" s="248"/>
      <c r="AQ30" s="141" t="s">
        <v>182</v>
      </c>
      <c r="AR30" s="8"/>
      <c r="AS30" s="145"/>
      <c r="AT30" s="8"/>
      <c r="AU30" s="26"/>
      <c r="AV30" s="481"/>
    </row>
    <row r="31" spans="1:48" ht="13.5" thickBot="1" x14ac:dyDescent="0.25">
      <c r="A31" s="108" t="s">
        <v>1813</v>
      </c>
      <c r="B31" s="939" t="str">
        <f>IF(B3="B",TC6_BLDG1!C61,IF(B3="PP",TC6_PP1!C57,0))</f>
        <v>NA</v>
      </c>
      <c r="C31" s="570" t="str">
        <f>IF(B3="B",TC6_BLDG1!C59,IF(B3="PP",TC6_PP1!C55,0))</f>
        <v>No</v>
      </c>
      <c r="D31" s="507" t="s">
        <v>1589</v>
      </c>
      <c r="E31" s="948" t="s">
        <v>857</v>
      </c>
      <c r="F31" s="169"/>
      <c r="H31" s="60" t="s">
        <v>2291</v>
      </c>
      <c r="I31" s="1470">
        <f>SUM(I26,I29)</f>
        <v>0</v>
      </c>
      <c r="N31" s="266"/>
      <c r="O31" s="268" t="s">
        <v>180</v>
      </c>
      <c r="P31" s="423">
        <f>1+$AU$25</f>
        <v>1</v>
      </c>
      <c r="Q31" s="423">
        <f>1+$AU$25</f>
        <v>1</v>
      </c>
      <c r="R31" s="423">
        <f>1+$AU$25</f>
        <v>1</v>
      </c>
      <c r="S31" s="423">
        <f>1+$AU$25</f>
        <v>1</v>
      </c>
      <c r="U31" s="542"/>
      <c r="V31" s="724" t="s">
        <v>1022</v>
      </c>
      <c r="W31" s="279">
        <f>1+$AS$14</f>
        <v>1</v>
      </c>
      <c r="X31" s="279">
        <f>1+$AS$14</f>
        <v>1</v>
      </c>
      <c r="Y31" s="279">
        <f>1+$AS$14</f>
        <v>1</v>
      </c>
      <c r="Z31" s="279">
        <f>1+$AS$14</f>
        <v>1</v>
      </c>
      <c r="AJ31" s="266"/>
      <c r="AK31" s="266"/>
      <c r="AL31" s="266"/>
      <c r="AM31" s="558"/>
      <c r="AN31" s="558"/>
      <c r="AO31" s="558"/>
      <c r="AQ31" s="141" t="s">
        <v>1722</v>
      </c>
      <c r="AR31" s="8"/>
      <c r="AS31" s="145"/>
      <c r="AT31" s="8"/>
      <c r="AU31" s="26"/>
      <c r="AV31" s="481"/>
    </row>
    <row r="32" spans="1:48" ht="13.5" thickBot="1" x14ac:dyDescent="0.25">
      <c r="A32" s="108" t="s">
        <v>1825</v>
      </c>
      <c r="B32" s="747"/>
      <c r="C32" s="570" t="str">
        <f>IF(B3="B",TC6_BLDG1!B60,IF(B3="PP",TC6_PP1!B56,0))</f>
        <v>No</v>
      </c>
      <c r="D32" s="499"/>
      <c r="E32" s="146"/>
      <c r="F32" s="481"/>
      <c r="N32" s="146"/>
      <c r="O32" s="545" t="s">
        <v>1020</v>
      </c>
      <c r="P32" s="299">
        <f>IF(C7="PAC",VLOOKUP(B8,Table_PakMods,MATCH(C11,List_Company,0)+1,FALSE),1)</f>
        <v>1</v>
      </c>
      <c r="Q32" s="299">
        <f>IF(C7="PAC",VLOOKUP(B8,Table_PakMods,MATCH(C11,List_Company,0)+1,FALSE),1)</f>
        <v>1</v>
      </c>
      <c r="R32" s="299">
        <f>IF(C7="PAC",VLOOKUP(B8,Table_PakMods,MATCH(C11,List_Company,0)+1,FALSE),1)</f>
        <v>1</v>
      </c>
      <c r="S32" s="299">
        <f>IF(C7="PAC",VLOOKUP(B8,Table_PakMods,MATCH(C11,List_Company,0)+1,FALSE),1)</f>
        <v>1</v>
      </c>
      <c r="V32" s="83" t="s">
        <v>1150</v>
      </c>
      <c r="W32" s="247">
        <f ca="1">ROUND(PRODUCT(W8:W11,IF(AND(C31="Yes",B31="Sprinkler",C33&lt;&gt;1),W12-W13,W12),W14:W17,W19:W31),3)</f>
        <v>0.17100000000000001</v>
      </c>
      <c r="X32" s="247">
        <f ca="1">ROUND(PRODUCT(X8:X12,X14:X17,X19:X31),3)</f>
        <v>5.8999999999999997E-2</v>
      </c>
      <c r="Y32" s="247">
        <f>ROUND(PRODUCT(Y8:Y31),3)</f>
        <v>0.11600000000000001</v>
      </c>
      <c r="Z32" s="247">
        <f>ROUND(PRODUCT(Z8:Z31),3)</f>
        <v>2.9000000000000001E-2</v>
      </c>
      <c r="AJ32" s="60" t="s">
        <v>552</v>
      </c>
      <c r="AL32" s="235" t="s">
        <v>1012</v>
      </c>
      <c r="AM32" s="235" t="s">
        <v>1013</v>
      </c>
      <c r="AN32" s="235" t="s">
        <v>838</v>
      </c>
      <c r="AO32" s="235" t="s">
        <v>837</v>
      </c>
      <c r="AQ32" s="85"/>
      <c r="AR32" s="86"/>
      <c r="AS32" s="86"/>
      <c r="AT32" s="86"/>
      <c r="AU32" s="85"/>
      <c r="AV32" s="196"/>
    </row>
    <row r="33" spans="1:46" ht="13.5" thickBot="1" x14ac:dyDescent="0.25">
      <c r="A33" s="108" t="s">
        <v>1824</v>
      </c>
      <c r="B33" s="748"/>
      <c r="C33" s="570">
        <f>IF(AND(B3="B",TC6_BLDG1!C62="Yes"),TC6_BLDG1!P14,IF(AND(B3="PP",TC6_PP1!C58="Yes"),TC6_PP1!P14,0))</f>
        <v>0</v>
      </c>
      <c r="D33" s="527" t="s">
        <v>1608</v>
      </c>
      <c r="E33" s="422"/>
      <c r="F33" s="967" t="s">
        <v>857</v>
      </c>
      <c r="N33" s="542"/>
      <c r="O33" s="724" t="s">
        <v>1022</v>
      </c>
      <c r="P33" s="279">
        <f>1+$AS$14</f>
        <v>1</v>
      </c>
      <c r="Q33" s="279">
        <f>1+$AS$14</f>
        <v>1</v>
      </c>
      <c r="R33" s="279">
        <f>1+$AS$14</f>
        <v>1</v>
      </c>
      <c r="S33" s="279">
        <f>1+$AS$14</f>
        <v>1</v>
      </c>
      <c r="U33" s="185"/>
      <c r="V33" s="186" t="s">
        <v>1025</v>
      </c>
      <c r="W33" s="238">
        <f>IF(ISNUMBER(F38),F38/100,0)</f>
        <v>0</v>
      </c>
      <c r="X33" s="238">
        <f>IF(ISNUMBER(F38),F38/100,0)</f>
        <v>0</v>
      </c>
      <c r="Y33" s="238">
        <f>IF(ISNUMBER(F38),F38/100,0)</f>
        <v>0</v>
      </c>
      <c r="Z33" s="238">
        <f>IF(ISNUMBER(F38),F38/100,0)</f>
        <v>0</v>
      </c>
      <c r="AJ33" s="146"/>
      <c r="AK33" s="545" t="s">
        <v>1049</v>
      </c>
      <c r="AL33" s="146">
        <f>VLOOKUP(3,Table_Time_Utility,2,FALSE)</f>
        <v>1.0999999999999999E-2</v>
      </c>
      <c r="AM33" s="146">
        <f>VLOOKUP(3,Table_Time_Utility,3,FALSE)</f>
        <v>2.7E-2</v>
      </c>
      <c r="AN33" s="146">
        <f>VLOOKUP(3,Table_Time_Utility,5,FALSE)</f>
        <v>5.2999999999999999E-2</v>
      </c>
      <c r="AO33" s="563">
        <f>VLOOKUP(3,Table_Time_Utility,4,FALSE)</f>
        <v>0.01</v>
      </c>
      <c r="AQ33" s="742"/>
      <c r="AR33" s="686"/>
      <c r="AS33" s="737"/>
      <c r="AT33" s="737"/>
    </row>
    <row r="34" spans="1:46" ht="13.5" thickBot="1" x14ac:dyDescent="0.25">
      <c r="A34" s="122" t="s">
        <v>1469</v>
      </c>
      <c r="B34" s="747"/>
      <c r="C34" s="571" t="str">
        <f>IF(B3="B",TC6_BLDG1!C64,IF(B3="PP",TC6_PP1!C60,0))</f>
        <v>No</v>
      </c>
      <c r="D34" s="539" t="s">
        <v>1609</v>
      </c>
      <c r="E34" s="968" t="s">
        <v>857</v>
      </c>
      <c r="F34" s="169"/>
      <c r="N34" s="385"/>
      <c r="O34" s="685" t="s">
        <v>2236</v>
      </c>
      <c r="P34" s="1314">
        <f>ROUND(PRODUCT(P31:P33),3)</f>
        <v>1</v>
      </c>
      <c r="Q34" s="1314">
        <f>ROUND(PRODUCT(Q31:Q33),3)</f>
        <v>1</v>
      </c>
      <c r="R34" s="1314">
        <f>ROUND(PRODUCT(R31:R33),3)</f>
        <v>1</v>
      </c>
      <c r="S34" s="1314">
        <f>ROUND(PRODUCT(S31:S33),3)</f>
        <v>1</v>
      </c>
      <c r="V34" s="83" t="s">
        <v>977</v>
      </c>
      <c r="W34" s="248">
        <f ca="1">ROUND(PRODUCT(W32:W33),0)</f>
        <v>0</v>
      </c>
      <c r="X34" s="248">
        <f ca="1">ROUND(PRODUCT(X32:X33),0)</f>
        <v>0</v>
      </c>
      <c r="Y34" s="248">
        <f>ROUND(PRODUCT(Y32:Y33),0)</f>
        <v>0</v>
      </c>
      <c r="Z34" s="248">
        <f>ROUND(PRODUCT(Z32:Z33),0)</f>
        <v>0</v>
      </c>
      <c r="AB34" s="1602" t="s">
        <v>388</v>
      </c>
      <c r="AC34" s="1603"/>
      <c r="AD34" s="1603"/>
      <c r="AE34" s="1603"/>
      <c r="AF34" s="1603"/>
      <c r="AG34" s="1603"/>
      <c r="AH34" s="1604"/>
      <c r="AJ34" s="185"/>
      <c r="AK34" s="186" t="s">
        <v>1050</v>
      </c>
      <c r="AL34" s="238">
        <f>F51</f>
        <v>0</v>
      </c>
      <c r="AM34" s="238">
        <f>F51</f>
        <v>0</v>
      </c>
      <c r="AN34" s="238">
        <f>F51</f>
        <v>0</v>
      </c>
      <c r="AO34" s="785">
        <f>F51</f>
        <v>0</v>
      </c>
      <c r="AQ34" s="742"/>
      <c r="AR34" s="686"/>
      <c r="AS34" s="737"/>
      <c r="AT34" s="737"/>
    </row>
    <row r="35" spans="1:46" ht="13.5" thickBot="1" x14ac:dyDescent="0.25">
      <c r="A35" s="526"/>
      <c r="B35" s="96"/>
      <c r="C35" s="516"/>
      <c r="D35" s="91"/>
      <c r="E35" s="195"/>
      <c r="F35" s="101"/>
      <c r="N35" s="542"/>
      <c r="O35" s="1211" t="s">
        <v>2239</v>
      </c>
      <c r="P35" s="757">
        <f ca="1">P30</f>
        <v>0.157</v>
      </c>
      <c r="Q35" s="757">
        <f ca="1">Q30</f>
        <v>3.9E-2</v>
      </c>
      <c r="R35" s="757">
        <f>R30</f>
        <v>0.115</v>
      </c>
      <c r="S35" s="757">
        <f>S30</f>
        <v>2.9000000000000001E-2</v>
      </c>
      <c r="V35" s="83"/>
      <c r="W35" s="248"/>
      <c r="X35" s="248"/>
      <c r="Y35" s="248"/>
      <c r="Z35" s="248"/>
      <c r="AB35" s="266"/>
      <c r="AC35" s="266"/>
      <c r="AD35" s="266"/>
      <c r="AE35" s="266"/>
      <c r="AF35" s="266"/>
      <c r="AG35" s="266"/>
      <c r="AJ35" s="146"/>
      <c r="AK35" s="301" t="s">
        <v>1051</v>
      </c>
      <c r="AL35" s="146">
        <f>ROUND(PRODUCT(AL33:AL34),3)</f>
        <v>0</v>
      </c>
      <c r="AM35" s="146">
        <f>ROUND(PRODUCT(AM33:AM34),3)</f>
        <v>0</v>
      </c>
      <c r="AN35" s="146">
        <f>ROUND(PRODUCT(AN33:AN34),3)</f>
        <v>0</v>
      </c>
      <c r="AO35" s="146">
        <f>ROUND(PRODUCT(AO33:AO34),3)</f>
        <v>0</v>
      </c>
      <c r="AQ35" s="742"/>
      <c r="AR35" s="686"/>
      <c r="AS35" s="737"/>
      <c r="AT35" s="737"/>
    </row>
    <row r="36" spans="1:46" ht="13.5" thickBot="1" x14ac:dyDescent="0.25">
      <c r="D36" s="529" t="s">
        <v>897</v>
      </c>
      <c r="E36" s="217"/>
      <c r="F36" s="218"/>
      <c r="O36" s="83" t="s">
        <v>1421</v>
      </c>
      <c r="P36" s="1315">
        <f ca="1">ROUND(PRODUCT(P34:P35),3)</f>
        <v>0.157</v>
      </c>
      <c r="Q36" s="1315">
        <f ca="1">ROUND(PRODUCT(Q34:Q35),3)</f>
        <v>3.9E-2</v>
      </c>
      <c r="R36" s="1315">
        <f>ROUND(PRODUCT(R34:R35),3)</f>
        <v>0.115</v>
      </c>
      <c r="S36" s="1315">
        <f>ROUND(PRODUCT(S34:S35),3)</f>
        <v>2.9000000000000001E-2</v>
      </c>
      <c r="V36" s="83"/>
      <c r="W36" s="248"/>
      <c r="X36" s="248"/>
      <c r="Y36" s="248"/>
      <c r="Z36" s="248"/>
      <c r="AA36" s="793"/>
      <c r="AB36" s="566" t="s">
        <v>1172</v>
      </c>
      <c r="AC36" s="266"/>
      <c r="AD36" s="266"/>
      <c r="AE36" s="266"/>
      <c r="AF36" s="566"/>
      <c r="AG36" s="266"/>
      <c r="AK36" s="168" t="s">
        <v>971</v>
      </c>
      <c r="AL36" s="207">
        <f>HLOOKUP(C11,Table_StateRates,6,FALSE)</f>
        <v>1.9</v>
      </c>
      <c r="AM36" s="207">
        <f>HLOOKUP(C11,Table_StateRates,6,FALSE)</f>
        <v>1.9</v>
      </c>
      <c r="AN36" s="207">
        <f>HLOOKUP(C11,Table_StateRates,6,FALSE)</f>
        <v>1.9</v>
      </c>
      <c r="AO36" s="207">
        <f>HLOOKUP(C11,Table_StateRates,6,FALSE)</f>
        <v>1.9</v>
      </c>
      <c r="AQ36" s="742"/>
      <c r="AR36" s="686"/>
      <c r="AS36" s="737"/>
      <c r="AT36" s="737"/>
    </row>
    <row r="37" spans="1:46" x14ac:dyDescent="0.2">
      <c r="D37" s="123" t="s">
        <v>964</v>
      </c>
      <c r="E37" s="474"/>
      <c r="F37" s="956" t="s">
        <v>857</v>
      </c>
      <c r="N37" s="185"/>
      <c r="O37" s="186" t="s">
        <v>1025</v>
      </c>
      <c r="P37" s="238">
        <f>IF(ISNUMBER(F4),F4/100,0)</f>
        <v>5000</v>
      </c>
      <c r="Q37" s="238">
        <f>IF(ISNUMBER(F4),F4/100,0)</f>
        <v>5000</v>
      </c>
      <c r="R37" s="238">
        <f>IF(ISNUMBER(F4),F4/100,0)</f>
        <v>5000</v>
      </c>
      <c r="S37" s="238">
        <f>IF(ISNUMBER(F4),F4/100,0)</f>
        <v>5000</v>
      </c>
      <c r="AA37" s="266"/>
      <c r="AB37" s="266"/>
      <c r="AC37" s="486" t="s">
        <v>228</v>
      </c>
      <c r="AD37" s="426">
        <f>IF(C21="Yes",HLOOKUP(B21,Table_Terrorism,3,FALSE),0)</f>
        <v>1.4999999999999999E-2</v>
      </c>
      <c r="AE37" s="266"/>
      <c r="AF37" s="385"/>
      <c r="AG37" s="702"/>
      <c r="AK37" s="168" t="s">
        <v>1019</v>
      </c>
      <c r="AL37" s="207">
        <f>HLOOKUP(C11,Table_StateRates,5,FALSE)</f>
        <v>1.38</v>
      </c>
      <c r="AM37" s="207">
        <f>HLOOKUP(C11,Table_StateRates,5,FALSE)</f>
        <v>1.38</v>
      </c>
      <c r="AN37" s="207">
        <f>HLOOKUP(C11,Table_StateRates,5,FALSE)</f>
        <v>1.38</v>
      </c>
      <c r="AO37" s="207">
        <f>HLOOKUP(C11,Table_StateRates,5,FALSE)</f>
        <v>1.38</v>
      </c>
      <c r="AP37" s="814"/>
      <c r="AQ37" s="742"/>
      <c r="AR37" s="686"/>
      <c r="AS37" s="737"/>
      <c r="AT37" s="737"/>
    </row>
    <row r="38" spans="1:46" x14ac:dyDescent="0.2">
      <c r="D38" s="107" t="s">
        <v>1242</v>
      </c>
      <c r="E38" s="272"/>
      <c r="F38" s="959"/>
      <c r="O38" s="83" t="s">
        <v>977</v>
      </c>
      <c r="P38" s="248">
        <f ca="1">ROUND(PRODUCT(P36:P37),0)</f>
        <v>785</v>
      </c>
      <c r="Q38" s="248">
        <f ca="1">ROUND(PRODUCT(Q36:Q37),0)</f>
        <v>195</v>
      </c>
      <c r="R38" s="248">
        <f>ROUND(PRODUCT(R36:R37),0)</f>
        <v>575</v>
      </c>
      <c r="S38" s="248">
        <f>ROUND(PRODUCT(S36:S37),0)</f>
        <v>145</v>
      </c>
      <c r="W38" s="235" t="s">
        <v>1012</v>
      </c>
      <c r="X38" s="235" t="s">
        <v>1013</v>
      </c>
      <c r="Y38" s="235" t="s">
        <v>838</v>
      </c>
      <c r="Z38" s="235" t="s">
        <v>837</v>
      </c>
      <c r="AA38" s="266"/>
      <c r="AB38" s="209"/>
      <c r="AC38" s="280" t="s">
        <v>1176</v>
      </c>
      <c r="AD38" s="212">
        <v>1</v>
      </c>
      <c r="AE38" s="385"/>
      <c r="AF38" s="385"/>
      <c r="AG38" s="702"/>
      <c r="AK38" s="168" t="s">
        <v>180</v>
      </c>
      <c r="AL38" s="207">
        <v>1</v>
      </c>
      <c r="AM38" s="207">
        <v>1</v>
      </c>
      <c r="AN38" s="207">
        <v>1</v>
      </c>
      <c r="AO38" s="207">
        <v>1</v>
      </c>
      <c r="AP38" s="266"/>
    </row>
    <row r="39" spans="1:46" x14ac:dyDescent="0.2">
      <c r="D39" s="108" t="s">
        <v>904</v>
      </c>
      <c r="E39" s="319" t="str">
        <f>IF(ISBLANK(F39),"",VLOOKUP(F39,Table_G1_LC,2,FALSE))</f>
        <v/>
      </c>
      <c r="F39" s="942"/>
      <c r="U39" s="60" t="s">
        <v>1053</v>
      </c>
      <c r="AA39" s="558"/>
      <c r="AB39" s="266"/>
      <c r="AC39" s="486" t="s">
        <v>1177</v>
      </c>
      <c r="AD39" s="423">
        <f>IF(C22="Yes",VLOOKUP(B21,Table_TerrorNBC,2,FALSE),1)</f>
        <v>1</v>
      </c>
      <c r="AE39" s="423"/>
      <c r="AF39" s="385"/>
      <c r="AG39" s="702"/>
      <c r="AJ39" s="146"/>
      <c r="AK39" s="545" t="s">
        <v>1020</v>
      </c>
      <c r="AL39" s="299">
        <f>IF(C7="PAC",VLOOKUP(B8,Table_PakMods,MATCH(C11,List_Company,0)+1,FALSE),1)</f>
        <v>1</v>
      </c>
      <c r="AM39" s="299">
        <f>IF(C7="PAC",VLOOKUP(B8,Table_PakMods,MATCH(C11,List_Company,0)+1,FALSE),1)</f>
        <v>1</v>
      </c>
      <c r="AN39" s="299">
        <f>IF(C7="PAC",VLOOKUP(B8,Table_PakMods,MATCH(C11,List_Company,0)+1,FALSE),1)</f>
        <v>1</v>
      </c>
      <c r="AO39" s="299">
        <f>IF(C7="PAC",VLOOKUP(B8,Table_PakMods,MATCH(C11,List_Company,0)+1,FALSE),1)</f>
        <v>1</v>
      </c>
      <c r="AP39" s="266"/>
    </row>
    <row r="40" spans="1:46" x14ac:dyDescent="0.2">
      <c r="D40" s="482" t="str">
        <f>IF(F39="1190","Special Form Class Only - Choose Again",IF(F39="1180","Enter Prior/Intended Occ. Class Code Below",""))</f>
        <v/>
      </c>
      <c r="E40" s="273"/>
      <c r="F40" s="274"/>
      <c r="V40" s="168" t="s">
        <v>1175</v>
      </c>
      <c r="W40" s="247">
        <f ca="1">P36</f>
        <v>0.157</v>
      </c>
      <c r="X40" s="247">
        <f ca="1">Q36</f>
        <v>3.9E-2</v>
      </c>
      <c r="Y40" s="247">
        <f>R36</f>
        <v>0.115</v>
      </c>
      <c r="Z40" s="247">
        <f>S36</f>
        <v>2.9000000000000001E-2</v>
      </c>
      <c r="AA40" s="559"/>
      <c r="AB40" s="266"/>
      <c r="AC40" s="486" t="s">
        <v>971</v>
      </c>
      <c r="AD40" s="423">
        <f>HLOOKUP(C11,Table_StateRates,6,FALSE)</f>
        <v>1.9</v>
      </c>
      <c r="AE40" s="559"/>
      <c r="AF40" s="559"/>
      <c r="AG40" s="877"/>
      <c r="AJ40" s="542"/>
      <c r="AK40" s="724" t="s">
        <v>1022</v>
      </c>
      <c r="AL40" s="279">
        <v>1</v>
      </c>
      <c r="AM40" s="279">
        <v>1</v>
      </c>
      <c r="AN40" s="279">
        <v>1</v>
      </c>
      <c r="AO40" s="279">
        <v>1</v>
      </c>
      <c r="AP40" s="558"/>
    </row>
    <row r="41" spans="1:46" x14ac:dyDescent="0.2">
      <c r="D41" s="108" t="s">
        <v>960</v>
      </c>
      <c r="E41" s="160"/>
      <c r="F41" s="942"/>
      <c r="U41" s="185"/>
      <c r="V41" s="186" t="s">
        <v>108</v>
      </c>
      <c r="W41" s="208">
        <f>DF_Time_Law</f>
        <v>1.2</v>
      </c>
      <c r="X41" s="208">
        <f>DF_Time_Law</f>
        <v>1.2</v>
      </c>
      <c r="Y41" s="208">
        <f>DF_Time_Law</f>
        <v>1.2</v>
      </c>
      <c r="Z41" s="208">
        <f>DF_Time_Law</f>
        <v>1.2</v>
      </c>
      <c r="AA41" s="559"/>
      <c r="AB41" s="542"/>
      <c r="AC41" s="597" t="s">
        <v>1019</v>
      </c>
      <c r="AD41" s="279">
        <f>HLOOKUP(C11,Table_StateRates,5,FALSE)</f>
        <v>1.38</v>
      </c>
      <c r="AE41" s="426"/>
      <c r="AF41" s="559"/>
      <c r="AG41" s="899"/>
      <c r="AK41" s="83" t="s">
        <v>1150</v>
      </c>
      <c r="AL41" s="2">
        <f>ROUND(PRODUCT(AL35:AL40),3)</f>
        <v>0</v>
      </c>
      <c r="AM41" s="2">
        <f>ROUND(PRODUCT(AM35:AM40),3)</f>
        <v>0</v>
      </c>
      <c r="AN41" s="2">
        <f>ROUND(PRODUCT(AN35:AN40),3)</f>
        <v>0</v>
      </c>
      <c r="AO41" s="2">
        <f>ROUND(PRODUCT(AO35:AO40),3)</f>
        <v>0</v>
      </c>
      <c r="AP41" s="559"/>
    </row>
    <row r="42" spans="1:46" ht="13.5" customHeight="1" x14ac:dyDescent="0.2">
      <c r="D42" s="191" t="s">
        <v>1065</v>
      </c>
      <c r="E42" s="456">
        <f>IF(ISBLANK(F41),0,IF(ISERROR(VLOOKUP(F41,List_VacantClasses,1,FALSE)),VLOOKUP(F41,Table_G1_LC,MATCH(C15&amp;"B",List_ClassLC,0)+2),0))</f>
        <v>0</v>
      </c>
      <c r="F42" s="213"/>
      <c r="N42" s="60" t="s">
        <v>554</v>
      </c>
      <c r="Q42" s="60" t="s">
        <v>557</v>
      </c>
      <c r="V42" s="83" t="s">
        <v>109</v>
      </c>
      <c r="W42" s="247">
        <f ca="1">ROUND(PRODUCT(W40:W41),3)</f>
        <v>0.188</v>
      </c>
      <c r="X42" s="247">
        <f ca="1">ROUND(PRODUCT(X40:X41),3)</f>
        <v>4.7E-2</v>
      </c>
      <c r="Y42" s="247">
        <f>ROUND(PRODUCT(Y40:Y41),3)</f>
        <v>0.13800000000000001</v>
      </c>
      <c r="Z42" s="247">
        <f>ROUND(PRODUCT(Z40:Z41),3)</f>
        <v>3.5000000000000003E-2</v>
      </c>
      <c r="AA42" s="558"/>
      <c r="AB42" s="385"/>
      <c r="AC42" s="685" t="s">
        <v>1134</v>
      </c>
      <c r="AD42" s="558">
        <f>ROUND(PRODUCT(AD37:AD41),3)</f>
        <v>3.9E-2</v>
      </c>
      <c r="AE42" s="385"/>
      <c r="AF42" s="559"/>
      <c r="AG42" s="877"/>
      <c r="AJ42" s="185"/>
      <c r="AK42" s="186" t="s">
        <v>1025</v>
      </c>
      <c r="AL42" s="238">
        <f>IF(ISNUMBER(E47),E47/100,0)</f>
        <v>0</v>
      </c>
      <c r="AM42" s="238">
        <f>IF(ISNUMBER(E47),E47/100,0)</f>
        <v>0</v>
      </c>
      <c r="AN42" s="238">
        <f>IF(ISNUMBER(E47),E47/100,0)</f>
        <v>0</v>
      </c>
      <c r="AO42" s="238">
        <f>IF(ISNUMBER(E47),E47/100,0)</f>
        <v>0</v>
      </c>
      <c r="AP42" s="559"/>
    </row>
    <row r="43" spans="1:46" ht="12.75" customHeight="1" thickBot="1" x14ac:dyDescent="0.25">
      <c r="D43" s="91"/>
      <c r="E43" s="195"/>
      <c r="F43" s="101"/>
      <c r="N43" s="2" t="s">
        <v>555</v>
      </c>
      <c r="Q43" s="834">
        <f>IF(OR(C31&lt;&gt;"Yes",AND(C31="Yes",B31&lt;&gt;"Sprinkler")),0,2)</f>
        <v>0</v>
      </c>
      <c r="R43" s="2" t="s">
        <v>558</v>
      </c>
      <c r="AA43" s="558"/>
      <c r="AB43" s="385"/>
      <c r="AC43" s="702" t="s">
        <v>1178</v>
      </c>
      <c r="AD43" s="559">
        <f>IF(OR(C27="S",C27="T"),1,VLOOKUP(C14,Table_ProtClass,IF(C15&lt;=3,2,3),FALSE))</f>
        <v>0.96</v>
      </c>
      <c r="AE43" s="266"/>
      <c r="AF43" s="266"/>
      <c r="AG43" s="266"/>
      <c r="AK43" s="83" t="s">
        <v>1647</v>
      </c>
      <c r="AL43" s="248">
        <f>ROUND(PRODUCT(AL41:AL42),0)</f>
        <v>0</v>
      </c>
      <c r="AM43" s="248">
        <f>ROUND(PRODUCT(AM41:AM42),0)</f>
        <v>0</v>
      </c>
      <c r="AN43" s="248">
        <f>ROUND(PRODUCT(AN41:AN42),0)</f>
        <v>0</v>
      </c>
      <c r="AO43" s="248">
        <f>ROUND(PRODUCT(AO41:AO42),0)</f>
        <v>0</v>
      </c>
      <c r="AP43" s="558"/>
    </row>
    <row r="44" spans="1:46" x14ac:dyDescent="0.2">
      <c r="D44" s="905" t="s">
        <v>1607</v>
      </c>
      <c r="E44" s="902"/>
      <c r="F44" s="969" t="s">
        <v>857</v>
      </c>
      <c r="N44" s="834">
        <f>IF(OR(C27="S",C27="T"),0,2)</f>
        <v>2</v>
      </c>
      <c r="O44" s="2" t="s">
        <v>556</v>
      </c>
      <c r="Q44" s="834">
        <f>IF(OR(C27="S",C27="T"),0,4)</f>
        <v>4</v>
      </c>
      <c r="R44" s="2" t="s">
        <v>556</v>
      </c>
      <c r="V44" s="568" t="s">
        <v>110</v>
      </c>
      <c r="W44" s="893">
        <f ca="1">IF(J12="SP",SUM(W42:Y42),IF(J12="BR",SUM(W42:X42,Z42),SUM(W42:X42)))</f>
        <v>0.23499999999999999</v>
      </c>
      <c r="AA44" s="558"/>
      <c r="AB44" s="542"/>
      <c r="AC44" s="597" t="s">
        <v>229</v>
      </c>
      <c r="AD44" s="279">
        <f>IF(OR(ISBLANK(F7),F7="None"),1,IF(E8="Yes",F14,VLOOKUP(F7,IF(F5="Yes",Table_BI_CoIns_EE,Table_BI_CoIns),F8+1,FALSE)+P18))</f>
        <v>0.54</v>
      </c>
      <c r="AE44" s="558"/>
      <c r="AF44" s="558"/>
      <c r="AG44" s="558"/>
      <c r="AP44" s="558"/>
    </row>
    <row r="45" spans="1:46" ht="13.5" thickBot="1" x14ac:dyDescent="0.25">
      <c r="D45" s="528"/>
      <c r="E45" s="750"/>
      <c r="F45" s="901"/>
      <c r="N45" s="917">
        <f>IF(OR(C27="S",C27="T"),0,4)</f>
        <v>4</v>
      </c>
      <c r="O45" s="185" t="s">
        <v>1161</v>
      </c>
      <c r="Q45" s="917">
        <f>IF(OR(C27="S",C27="T"),0,5)</f>
        <v>5</v>
      </c>
      <c r="R45" s="185" t="s">
        <v>1161</v>
      </c>
      <c r="AA45" s="575"/>
      <c r="AB45" s="423"/>
      <c r="AC45" s="810" t="s">
        <v>1150</v>
      </c>
      <c r="AD45" s="426">
        <f>ROUND(PRODUCT(AD42:AD44),3)</f>
        <v>0.02</v>
      </c>
      <c r="AE45" s="559"/>
      <c r="AF45" s="559"/>
      <c r="AG45" s="559"/>
      <c r="AK45" s="685" t="s">
        <v>549</v>
      </c>
      <c r="AL45" s="907">
        <f>IF(E52="Yes",IF(C12="SP",SUM(AL43:AN43),IF(C12="BR",SUM(AL43:AM43,AO43),SUM(AL43:AM43))),0)</f>
        <v>0</v>
      </c>
      <c r="AP45" s="558"/>
    </row>
    <row r="46" spans="1:46" x14ac:dyDescent="0.2">
      <c r="D46" s="123" t="s">
        <v>1470</v>
      </c>
      <c r="E46" s="474"/>
      <c r="F46" s="956" t="s">
        <v>857</v>
      </c>
      <c r="N46" s="834">
        <f>SUM(N44:N45)</f>
        <v>6</v>
      </c>
      <c r="O46" s="53" t="str">
        <f>"Subtract from the " &amp; IF(OR(N46=6,N46=2),"Terr Mult",IF(N46=4,"Prot Class","Loss Cost"))</f>
        <v>Subtract from the Terr Mult</v>
      </c>
      <c r="Q46" s="834">
        <f>SUM(Q43:Q45)</f>
        <v>9</v>
      </c>
      <c r="R46" s="53" t="str">
        <f>"Subtract from the " &amp; IF(OR(Q46=2,Q46=6,Q46=7,Q46=11),"Sprk Lkg",IF(OR(Q46=4,Q46=9),"Terr Mult",IF(Q46=5,"Prot Class","Loss Cost")))</f>
        <v>Subtract from the Terr Mult</v>
      </c>
      <c r="V46" s="545" t="s">
        <v>184</v>
      </c>
      <c r="W46" s="248">
        <f>F4/100</f>
        <v>5000</v>
      </c>
      <c r="AA46" s="575"/>
      <c r="AB46" s="279"/>
      <c r="AC46" s="809" t="s">
        <v>1174</v>
      </c>
      <c r="AD46" s="487">
        <f>IF(F3="Yes",F4/100,0)</f>
        <v>0</v>
      </c>
      <c r="AE46" s="559"/>
      <c r="AF46" s="559"/>
      <c r="AG46" s="559"/>
      <c r="AP46" s="575"/>
    </row>
    <row r="47" spans="1:46" ht="13.5" thickBot="1" x14ac:dyDescent="0.25">
      <c r="D47" s="677" t="s">
        <v>1646</v>
      </c>
      <c r="E47" s="950"/>
      <c r="F47" s="446"/>
      <c r="N47" s="146"/>
      <c r="U47" s="185"/>
      <c r="V47" s="186" t="s">
        <v>111</v>
      </c>
      <c r="W47" s="455">
        <f>IF(F44="Yes",W44,0)</f>
        <v>0</v>
      </c>
      <c r="AA47" s="266"/>
      <c r="AB47" s="426"/>
      <c r="AC47" s="811" t="s">
        <v>1173</v>
      </c>
      <c r="AD47" s="812">
        <f>ROUND(PRODUCT(AD45:AD46),0)</f>
        <v>0</v>
      </c>
      <c r="AE47" s="558"/>
      <c r="AF47" s="558"/>
      <c r="AG47" s="558"/>
      <c r="AP47" s="575"/>
    </row>
    <row r="48" spans="1:46" ht="13.5" thickBot="1" x14ac:dyDescent="0.25">
      <c r="D48" s="518" t="s">
        <v>317</v>
      </c>
      <c r="E48" s="948" t="s">
        <v>857</v>
      </c>
      <c r="F48" s="891">
        <f>COUNTIF(E48:E49,"Yes")</f>
        <v>0</v>
      </c>
      <c r="N48" s="479" t="str">
        <f>IF(OR(N46=6,N46=2),"TM",IF(N46=4,"PC","LC"))</f>
        <v>TM</v>
      </c>
      <c r="O48" s="919" t="s">
        <v>559</v>
      </c>
      <c r="Q48" s="479" t="str">
        <f>IF(AND(B31="Sprinkler",OR(Q46=2,Q46=6,Q46=7,Q46=11)),"SL",IF(AND(OR(B31="NA",ISNUMBER(B31)),OR(Q46=4,Q46=9)),"TM",IF(AND(OR(B31="NA",ISNUMBER(B31)),Q46=5),"PC","LC")))</f>
        <v>TM</v>
      </c>
      <c r="V48" s="83" t="s">
        <v>1514</v>
      </c>
      <c r="W48" s="248">
        <f>ROUND(PRODUCT(W46:W47),0)</f>
        <v>0</v>
      </c>
      <c r="AA48" s="266"/>
      <c r="AJ48" s="916" t="s">
        <v>553</v>
      </c>
      <c r="AL48" s="734">
        <f>SUM(AL15,AL29,AL45)</f>
        <v>0</v>
      </c>
      <c r="AP48" s="266"/>
    </row>
    <row r="49" spans="4:42" x14ac:dyDescent="0.2">
      <c r="D49" s="518" t="s">
        <v>315</v>
      </c>
      <c r="E49" s="948" t="s">
        <v>857</v>
      </c>
      <c r="F49" s="891"/>
      <c r="V49" s="83"/>
      <c r="W49" s="248"/>
      <c r="AP49" s="266"/>
    </row>
    <row r="50" spans="4:42" x14ac:dyDescent="0.2">
      <c r="D50" s="518" t="s">
        <v>316</v>
      </c>
      <c r="E50" s="948" t="s">
        <v>857</v>
      </c>
      <c r="F50" s="891"/>
      <c r="U50" s="60" t="s">
        <v>1518</v>
      </c>
      <c r="V50" s="83"/>
      <c r="W50" s="248"/>
    </row>
    <row r="51" spans="4:42" x14ac:dyDescent="0.2">
      <c r="D51" s="518" t="s">
        <v>1574</v>
      </c>
      <c r="E51" s="948" t="s">
        <v>857</v>
      </c>
      <c r="F51" s="891">
        <f>COUNTIF(E51:E52,"Yes")</f>
        <v>0</v>
      </c>
      <c r="G51" s="8"/>
      <c r="V51" s="189" t="s">
        <v>1519</v>
      </c>
      <c r="W51" s="248">
        <f ca="1">P38</f>
        <v>785</v>
      </c>
    </row>
    <row r="52" spans="4:42" x14ac:dyDescent="0.2">
      <c r="D52" s="518" t="s">
        <v>1575</v>
      </c>
      <c r="E52" s="948" t="s">
        <v>857</v>
      </c>
      <c r="F52" s="891"/>
      <c r="G52" s="146"/>
      <c r="V52" s="189" t="s">
        <v>1520</v>
      </c>
      <c r="W52" s="248">
        <f ca="1">Q38</f>
        <v>195</v>
      </c>
    </row>
    <row r="53" spans="4:42" ht="13.5" thickBot="1" x14ac:dyDescent="0.25">
      <c r="D53" s="91"/>
      <c r="E53" s="195"/>
      <c r="F53" s="101"/>
      <c r="V53" s="189" t="s">
        <v>1521</v>
      </c>
      <c r="W53" s="248">
        <f>IF(C12="SP",R38,0)</f>
        <v>575</v>
      </c>
    </row>
    <row r="54" spans="4:42" x14ac:dyDescent="0.2">
      <c r="D54" s="980" t="s">
        <v>662</v>
      </c>
      <c r="E54" s="474"/>
      <c r="F54" s="956" t="s">
        <v>857</v>
      </c>
      <c r="U54" s="185"/>
      <c r="V54" s="477" t="s">
        <v>1522</v>
      </c>
      <c r="W54" s="238">
        <f>IF(C12="BR",S38,0)</f>
        <v>0</v>
      </c>
    </row>
    <row r="55" spans="4:42" x14ac:dyDescent="0.2">
      <c r="D55" s="473" t="s">
        <v>1766</v>
      </c>
      <c r="E55" s="216"/>
      <c r="F55" s="763">
        <f>IF(F54="No",0,F4)</f>
        <v>0</v>
      </c>
      <c r="V55" s="83" t="s">
        <v>1523</v>
      </c>
      <c r="W55" s="248">
        <f ca="1">SUM(W51:W54)</f>
        <v>1555</v>
      </c>
      <c r="AB55" s="793"/>
      <c r="AC55" s="793"/>
      <c r="AD55" s="793"/>
      <c r="AE55" s="793"/>
      <c r="AF55" s="793"/>
      <c r="AG55" s="793"/>
      <c r="AH55" s="793"/>
      <c r="AI55" s="793"/>
    </row>
    <row r="56" spans="4:42" x14ac:dyDescent="0.2">
      <c r="D56" s="669" t="s">
        <v>1833</v>
      </c>
      <c r="E56" s="216"/>
      <c r="F56" s="954" t="s">
        <v>833</v>
      </c>
      <c r="V56" s="83"/>
      <c r="W56" s="248"/>
      <c r="AB56" s="266"/>
      <c r="AC56" s="266"/>
      <c r="AD56" s="266"/>
      <c r="AE56" s="266"/>
      <c r="AF56" s="266"/>
      <c r="AG56" s="266"/>
      <c r="AH56" s="266"/>
      <c r="AI56" s="266"/>
    </row>
    <row r="57" spans="4:42" x14ac:dyDescent="0.2">
      <c r="D57" s="507" t="s">
        <v>677</v>
      </c>
      <c r="E57" s="947" t="s">
        <v>459</v>
      </c>
      <c r="F57" s="772" t="str">
        <f>IF(F56="Yes","B","")</f>
        <v>B</v>
      </c>
      <c r="U57" s="82" t="s">
        <v>1515</v>
      </c>
      <c r="V57" s="60"/>
      <c r="W57" s="83"/>
      <c r="AB57" s="266"/>
      <c r="AC57" s="266"/>
      <c r="AD57" s="266"/>
      <c r="AE57" s="266"/>
      <c r="AF57" s="266"/>
      <c r="AG57" s="266"/>
      <c r="AH57" s="266"/>
      <c r="AI57" s="266"/>
    </row>
    <row r="58" spans="4:42" x14ac:dyDescent="0.2">
      <c r="D58" s="507" t="s">
        <v>1748</v>
      </c>
      <c r="E58" s="947">
        <v>25</v>
      </c>
      <c r="F58" s="771" t="str">
        <f>IF(F56="Yes",E58&amp;"_"&amp;E57,"")</f>
        <v>25_5A</v>
      </c>
      <c r="V58" s="168" t="s">
        <v>1165</v>
      </c>
      <c r="W58" s="248">
        <f>W48</f>
        <v>0</v>
      </c>
      <c r="AB58" s="558"/>
      <c r="AC58" s="558"/>
      <c r="AD58" s="558"/>
      <c r="AE58" s="558"/>
      <c r="AF58" s="558"/>
      <c r="AG58" s="558"/>
      <c r="AH58" s="558"/>
      <c r="AI58" s="558"/>
    </row>
    <row r="59" spans="4:42" x14ac:dyDescent="0.2">
      <c r="D59" s="669" t="s">
        <v>1834</v>
      </c>
      <c r="E59" s="261"/>
      <c r="F59" s="954" t="s">
        <v>857</v>
      </c>
      <c r="U59" s="185"/>
      <c r="V59" s="187" t="s">
        <v>1524</v>
      </c>
      <c r="W59" s="238">
        <f ca="1">W55</f>
        <v>1555</v>
      </c>
      <c r="AB59" s="559"/>
      <c r="AC59" s="559"/>
      <c r="AD59" s="559"/>
      <c r="AE59" s="559"/>
      <c r="AF59" s="559"/>
      <c r="AG59" s="559"/>
      <c r="AH59" s="559"/>
      <c r="AI59" s="559"/>
    </row>
    <row r="60" spans="4:42" x14ac:dyDescent="0.2">
      <c r="D60" s="669" t="s">
        <v>1835</v>
      </c>
      <c r="E60" s="261"/>
      <c r="F60" s="954" t="s">
        <v>857</v>
      </c>
      <c r="V60" s="83" t="s">
        <v>1517</v>
      </c>
      <c r="W60" s="260">
        <f ca="1">W58-W59</f>
        <v>-1555</v>
      </c>
      <c r="AB60" s="559"/>
      <c r="AC60" s="559"/>
      <c r="AD60" s="559"/>
      <c r="AE60" s="559"/>
      <c r="AF60" s="559"/>
      <c r="AG60" s="559"/>
      <c r="AH60" s="559"/>
      <c r="AI60" s="559"/>
    </row>
    <row r="61" spans="4:42" x14ac:dyDescent="0.2">
      <c r="D61" s="507" t="s">
        <v>1836</v>
      </c>
      <c r="E61" s="947"/>
      <c r="F61" s="293"/>
      <c r="AB61" s="558"/>
      <c r="AC61" s="558"/>
      <c r="AD61" s="558"/>
      <c r="AE61" s="558"/>
      <c r="AF61" s="558"/>
      <c r="AG61" s="558"/>
      <c r="AH61" s="558"/>
      <c r="AI61" s="558"/>
    </row>
    <row r="62" spans="4:42" x14ac:dyDescent="0.2">
      <c r="D62" s="762"/>
      <c r="E62" s="774"/>
      <c r="F62" s="773"/>
      <c r="AB62" s="558"/>
      <c r="AC62" s="558"/>
      <c r="AD62" s="558"/>
      <c r="AE62" s="558"/>
      <c r="AF62" s="558"/>
      <c r="AG62" s="558"/>
      <c r="AH62" s="558"/>
      <c r="AI62" s="558"/>
    </row>
    <row r="63" spans="4:42" x14ac:dyDescent="0.2">
      <c r="D63" s="669" t="s">
        <v>1234</v>
      </c>
      <c r="E63" s="261"/>
      <c r="F63" s="954" t="s">
        <v>857</v>
      </c>
      <c r="AB63" s="558"/>
      <c r="AC63" s="558"/>
      <c r="AD63" s="558"/>
      <c r="AE63" s="558"/>
      <c r="AF63" s="558"/>
      <c r="AG63" s="558"/>
      <c r="AH63" s="558"/>
      <c r="AI63" s="558"/>
    </row>
    <row r="64" spans="4:42" x14ac:dyDescent="0.2">
      <c r="D64" s="507" t="s">
        <v>1235</v>
      </c>
      <c r="E64" s="947"/>
      <c r="F64" s="293"/>
      <c r="AB64" s="575"/>
      <c r="AC64" s="575"/>
      <c r="AD64" s="575"/>
      <c r="AE64" s="575"/>
      <c r="AF64" s="575"/>
      <c r="AG64" s="575"/>
      <c r="AH64" s="575"/>
      <c r="AI64" s="575"/>
    </row>
    <row r="65" spans="4:35" ht="13.5" thickBot="1" x14ac:dyDescent="0.25">
      <c r="D65" s="514"/>
      <c r="E65" s="515"/>
      <c r="F65" s="516"/>
      <c r="AB65" s="575"/>
      <c r="AC65" s="575"/>
      <c r="AD65" s="575"/>
      <c r="AE65" s="575"/>
      <c r="AF65" s="575"/>
      <c r="AG65" s="575"/>
      <c r="AH65" s="575"/>
      <c r="AI65" s="575"/>
    </row>
    <row r="66" spans="4:35" x14ac:dyDescent="0.2">
      <c r="AB66" s="266"/>
      <c r="AC66" s="266"/>
      <c r="AD66" s="266"/>
      <c r="AE66" s="266"/>
      <c r="AF66" s="266"/>
      <c r="AG66" s="266"/>
      <c r="AH66" s="266"/>
      <c r="AI66" s="266"/>
    </row>
    <row r="67" spans="4:35" x14ac:dyDescent="0.2">
      <c r="AB67" s="266"/>
      <c r="AC67" s="266"/>
      <c r="AD67" s="266"/>
      <c r="AE67" s="266"/>
      <c r="AF67" s="266"/>
      <c r="AG67" s="266"/>
      <c r="AH67" s="266"/>
      <c r="AI67" s="266"/>
    </row>
  </sheetData>
  <mergeCells count="5">
    <mergeCell ref="H1:L1"/>
    <mergeCell ref="AB1:AH1"/>
    <mergeCell ref="AQ1:AS1"/>
    <mergeCell ref="AU25:AV25"/>
    <mergeCell ref="AB34:AH34"/>
  </mergeCells>
  <conditionalFormatting sqref="B24">
    <cfRule type="expression" dxfId="152" priority="2" stopIfTrue="1">
      <formula>IF($C$24="Yes",FALSE,TRUE)</formula>
    </cfRule>
  </conditionalFormatting>
  <conditionalFormatting sqref="A18">
    <cfRule type="expression" dxfId="151" priority="1">
      <formula>IF($C$12="SP",TRUE,FALSE)</formula>
    </cfRule>
  </conditionalFormatting>
  <dataValidations count="77"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sqref="E47">
      <formula1>IF(F46="Yes",TRUE,FALSE)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4">
      <formula1>IF(F63="Yes",OFFSET(Table_Other_WaterBuyback,0,0,,1),List_No)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1">
      <formula1>IF($F60="Yes",OFFSET(Table_Other_PierWharf,0,0,,1),List_No)</formula1>
    </dataValidation>
    <dataValidation type="list" allowBlank="1" showInputMessage="1" showErrorMessage="1" promptTitle="EQ Building Class" prompt="Please Select a class from the drop down list." sqref="E57">
      <formula1>IF(F56="Yes",List_EQBldgClass,List_No)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6">
      <formula1>IF(AND(F54="Yes",C31&lt;&gt;"Yes"),List_YN,List_No)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3">
      <formula1>IF(OR(C12="BR",C12="BA"),List_No,IF(F54="Yes",List_YN,List_No))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60">
      <formula1>IF(C12="SP",List_No,IF(F54="Yes",List_YN,List_No))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9">
      <formula1>IF(C12="SP",List_No,IF(F54="Yes",List_YN,List_No))</formula1>
    </dataValidation>
    <dataValidation type="custom" allowBlank="1" showInputMessage="1" showErrorMessage="1" sqref="O8 A29 E13:F13 F55 D14 B30:B31 C25 O5">
      <formula1>FALSE</formula1>
    </dataValidation>
    <dataValidation type="custom" allowBlank="1" showInputMessage="1" showErrorMessage="1" errorTitle="Do Not Touch" error="This is used to generate the Coinsurance rate." sqref="B34 E63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B5:C5 C7 B8 C4 C24 C10:C11 C14:C15 C21:C22 C17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list" allowBlank="1" showInputMessage="1" showErrorMessage="1" promptTitle="Increased Period of Restoration" prompt="Please Select:_x000a_Yes or No" sqref="F44">
      <formula1>List_YN</formula1>
    </dataValidation>
    <dataValidation type="list" allowBlank="1" showInputMessage="1" showErrorMessage="1" promptTitle="Please Select:" prompt="Yes = Apply Coverage_x000a_No  = Do Not Apply" sqref="F37 F46 F54">
      <formula1>List_YN</formula1>
    </dataValidation>
    <dataValidation type="list" allowBlank="1" showInputMessage="1" showErrorMessage="1" promptTitle="Prior/Intended Building Class:" prompt="Please select your previous or Intended Building Class code for the building type classified." sqref="F41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42">
      <formula1>FALSE</formula1>
    </dataValidation>
    <dataValidation type="custom" allowBlank="1" showInputMessage="1" showErrorMessage="1" promptTitle="Class Rating Group" prompt="Displays Rating Group for Class Code selected." sqref="E39">
      <formula1>FALSE</formula1>
    </dataValidation>
    <dataValidation type="list" allowBlank="1" showInputMessage="1" showErrorMessage="1" promptTitle="Basic Group I - Class Codes" prompt="Please select your building class code" sqref="F39">
      <formula1>OFFSET(Table_G1_LC,0,0,,1)</formula1>
    </dataValidation>
    <dataValidation type="list" allowBlank="1" showInputMessage="1" showErrorMessage="1" promptTitle="Civil Authority Inc. Coverage" prompt="Please Select:_x000a_Yes or No" sqref="F28">
      <formula1>List_YN</formula1>
    </dataValidation>
    <dataValidation type="list" allowBlank="1" showInputMessage="1" showErrorMessage="1" promptTitle="Increased Coverage Period" prompt="Please Select # of Days:_x000a_{ 60, 90, 180 }" sqref="E29">
      <formula1>IF($F$28="Yes",OFFSET(Table_CivilAuth,0,0,,1),List_No)</formula1>
    </dataValidation>
    <dataValidation type="list" allowBlank="1" showInputMessage="1" showErrorMessage="1" promptTitle="Apply Educational Inst Coverage?" prompt="Please Select:_x000a_Yes or No" sqref="F20">
      <formula1>IF($F$7&gt;=50,List_No,List_YN)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Ordinary Payroll Exclusion" prompt="Please Select:_x000a_Yes or No" sqref="F24">
      <formula1>List_YN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6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5">
      <formula1>IF($F$24="Yes",OFFSET(Table_BI_OrdPR,0,0,,1),List_No)</formula1>
    </dataValidation>
    <dataValidation type="list" allowBlank="1" showInputMessage="1" showErrorMessage="1" promptTitle="Apply Mining Property Coverage?" prompt="Please Select:_x000a_Yes or No" sqref="F30">
      <formula1>IF(ISNUMBER($F$7),List_YN,List_No)</formula1>
    </dataValidation>
    <dataValidation type="list" allowBlank="1" showInputMessage="1" showErrorMessage="1" promptTitle="Seasonal Leases:" prompt="Please Select:_x000a_Yes or No_x000a__x000a_* This coverage relates to rental property only." sqref="F27">
      <formula1>IF($F$8&lt;&gt;3,List_No,List_YN)</formula1>
    </dataValidation>
    <dataValidation type="list" allowBlank="1" showInputMessage="1" showErrorMessage="1" promptTitle="Apply Electronic Media &amp; Recs?" prompt="Please Select:_x000a_Yes or No" sqref="F22">
      <formula1>List_YN</formula1>
    </dataValidation>
    <dataValidation type="list" allowBlank="1" showInputMessage="1" showErrorMessage="1" promptTitle="Extension Period" prompt="Please Select:_x000a_1 - 180 Days_x000a_2 - No Limit" sqref="E23">
      <formula1>IF($F$22="Yes",OFFSET(Table_BI_EMR,0,0,,1),List_No)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31">
      <formula1>IF($F$30="Yes",List_BI_Mining,List_No)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3">
      <formula1>List_YN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4">
      <formula1>IF($F$33="Yes", OFFSET(Table_BI_Wait,0,0,,1),List_No)</formula1>
    </dataValidation>
    <dataValidation type="list" allowBlank="1" showInputMessage="1" showErrorMessage="1" promptTitle="Monthly Limitation Period:" prompt="Please Select:_x000a_3rd - 1/3_x000a_4th - 1/4_x000a_6th - 1/6" sqref="E19">
      <formula1>IF($F$18&lt;&gt;"Yes",List_No,List_MosLimit)</formula1>
    </dataValidation>
    <dataValidation type="list" allowBlank="1" showInputMessage="1" showErrorMessage="1" promptTitle="Apply Monthly Limitation?" prompt="Please Select:_x000a_Yes or No" sqref="F18">
      <formula1>IF(ISNUMBER($F$7),List_No,List_YN)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IF($F$15="Yes",OFFSET(Table_BI_IndDays,0,0,,1),List_No)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IF(OR($F$17="Yes"),List_No,List_YN)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promptTitle="Include Extra Expense Coverage" prompt="Please Select:_x000a_Yes or No" sqref="F5">
      <formula1>IF($E$3="Available",List_YN,List_No)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IF($E$8="Yes",List_No,List_BI_OccType)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IF($E$8="No",List_No,List_BI_OccType)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custom" allowBlank="1" showInputMessage="1" showErrorMessage="1" promptTitle="Exclusion Options" prompt="KY does not have exclusion options." sqref="B23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type="custom" allowBlank="1" showInputMessage="1" showErrorMessage="1" prompt="Relates to Special Form Reference" sqref="B15">
      <formula1>FALSE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custom" allowBlank="1" showInputMessage="1" showErrorMessage="1" promptTitle="BI &quot;Special&quot; Col. Reference" prompt="Checks to see if Extra Expense is included within the rating for Business Income.  If so it will give the column reference for &quot;All Other&quot;." sqref="E4">
      <formula1>FALSE</formula1>
    </dataValidation>
    <dataValidation type="custom" allowBlank="1" showInputMessage="1" showErrorMessage="1" promptTitle="BI Availability Indicator:" prompt="EE - indicates that Extra Expense Coverage has already been applied to policy._x000a__x000a_Available - indicates that BI is still available to be added to the policy." sqref="E3">
      <formula1>FALSE</formula1>
    </dataValidation>
    <dataValidation type="list" allowBlank="1" showInputMessage="1" showErrorMessage="1" errorTitle="Coverage Not Available" error="Extra Expense coverage has already been applied to this policy." promptTitle="Please Select:" prompt="Yes = Apply Coverage_x000a_No  = Do Not Apply_x000a__x000a_* Note: If you have EE has an optional coverage already applied to policy, you cannot include EE on BI." sqref="F3">
      <formula1>List_YN</formula1>
    </dataValidation>
    <dataValidation type="list" allowBlank="1" showInputMessage="1" showErrorMessage="1" promptTitle="Power &amp; Water Supply" prompt="Please Select:_x000a_{ Yes or No }" sqref="E48:E49">
      <formula1>IF($F$46="Yes",List_YN, List_No)</formula1>
    </dataValidation>
    <dataValidation type="list" allowBlank="1" showInputMessage="1" showErrorMessage="1" promptTitle="Communications Supply" prompt="Please Select:_x000a_{ Yes or No }" sqref="E50">
      <formula1>IF($F$46="Yes",List_YN, List_No)</formula1>
    </dataValidation>
    <dataValidation type="list" allowBlank="1" showInputMessage="1" showErrorMessage="1" promptTitle="Ovhd Communication Lines" prompt="Please Select:_x000a_{ Yes or No }" sqref="E52">
      <formula1>IF($F$46="Yes",List_YN, List_No)</formula1>
    </dataValidation>
    <dataValidation type="list" allowBlank="1" showInputMessage="1" showErrorMessage="1" promptTitle="OH Power Transmission Lines" prompt="Please Select:_x000a_{ Yes or No }" sqref="E51">
      <formula1>IF($F$46="Yes",List_YN, List_No)</formula1>
    </dataValidation>
    <dataValidation type="custom" allowBlank="1" showInputMessage="1" showErrorMessage="1" promptTitle="P&amp;W Utility Svc Multiplier" prompt="Displays the multiplier for Power &amp; Water Supply premium calculations." sqref="F48">
      <formula1>FALSE</formula1>
    </dataValidation>
    <dataValidation type="custom" allowBlank="1" showInputMessage="1" showErrorMessage="1" promptTitle="OH Lines Utility Svc Multiplier" prompt="Displays the multiplier for the Overhead Power Trans &amp; Comm Lines premium calculations." sqref="F51">
      <formula1>FALSE</formula1>
    </dataValidation>
    <dataValidation type="custom" allowBlank="1" showInputMessage="1" showErrorMessage="1" prompt="EQ Sprinkler Leakage Extension Factor Lookup value." sqref="F57">
      <formula1>FALSE</formula1>
    </dataValidation>
    <dataValidation type="custom" allowBlank="1" showInputMessage="1" showErrorMessage="1" prompt="EQ Table Lookup Value" sqref="F58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58">
      <formula1>OFFSET(Table_EQ_Tiers,0,0,,1)</formula1>
    </dataValidation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6" manualBreakCount="6">
    <brk id="6" max="1048575" man="1"/>
    <brk id="13" max="64" man="1"/>
    <brk id="20" max="64" man="1"/>
    <brk id="27" max="64" man="1"/>
    <brk id="35" max="64" man="1"/>
    <brk id="42" max="64" man="1"/>
  </col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N76"/>
  <sheetViews>
    <sheetView zoomScale="90" zoomScaleNormal="90" workbookViewId="0">
      <selection activeCell="H4" sqref="H4"/>
    </sheetView>
  </sheetViews>
  <sheetFormatPr defaultRowHeight="12.75" x14ac:dyDescent="0.2"/>
  <cols>
    <col min="1" max="1" width="27.7109375" style="2" customWidth="1"/>
    <col min="2" max="2" width="13.42578125" style="2" customWidth="1"/>
    <col min="3" max="3" width="13.85546875" style="2" customWidth="1"/>
    <col min="4" max="4" width="32.140625" style="2" customWidth="1"/>
    <col min="5" max="5" width="13.140625" style="2" customWidth="1"/>
    <col min="6" max="6" width="12.42578125" style="2" customWidth="1"/>
    <col min="7" max="7" width="9.140625" style="2"/>
    <col min="8" max="8" width="39.140625" style="2" customWidth="1"/>
    <col min="9" max="12" width="12.85546875" style="2" customWidth="1"/>
    <col min="13" max="13" width="8.140625" style="2" customWidth="1"/>
    <col min="14" max="14" width="15.140625" style="2" customWidth="1"/>
    <col min="15" max="15" width="27" style="2" customWidth="1"/>
    <col min="16" max="16" width="12.28515625" style="2" customWidth="1"/>
    <col min="17" max="18" width="12.42578125" style="2" customWidth="1"/>
    <col min="19" max="19" width="11.85546875" style="2" customWidth="1"/>
    <col min="20" max="20" width="5.42578125" style="2" customWidth="1"/>
    <col min="21" max="21" width="19.85546875" style="2" customWidth="1"/>
    <col min="22" max="22" width="25.85546875" style="2" customWidth="1"/>
    <col min="23" max="23" width="12.7109375" style="2" customWidth="1"/>
    <col min="24" max="24" width="15.140625" style="2" customWidth="1"/>
    <col min="25" max="25" width="15.42578125" style="2" customWidth="1"/>
    <col min="26" max="26" width="13" style="2" customWidth="1"/>
    <col min="27" max="27" width="5.42578125" style="2" customWidth="1"/>
    <col min="28" max="28" width="25.85546875" style="2" customWidth="1"/>
    <col min="29" max="29" width="13.7109375" style="2" customWidth="1"/>
    <col min="30" max="30" width="11.7109375" style="2" customWidth="1"/>
    <col min="31" max="32" width="13.140625" style="2" customWidth="1"/>
    <col min="33" max="33" width="11.28515625" style="2" customWidth="1"/>
    <col min="34" max="34" width="9.140625" style="2"/>
    <col min="35" max="35" width="34.28515625" style="2" customWidth="1"/>
    <col min="36" max="36" width="23.7109375" style="2" customWidth="1"/>
    <col min="37" max="37" width="14.28515625" style="2" customWidth="1"/>
    <col min="38" max="16384" width="9.140625" style="2"/>
  </cols>
  <sheetData>
    <row r="1" spans="1:37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1757</v>
      </c>
      <c r="I1" s="1595"/>
      <c r="J1" s="1595"/>
      <c r="K1" s="1595"/>
      <c r="L1" s="1596"/>
      <c r="N1" s="60" t="s">
        <v>978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152" t="s">
        <v>949</v>
      </c>
    </row>
    <row r="2" spans="1:37" ht="12.75" customHeight="1" thickBot="1" x14ac:dyDescent="0.25">
      <c r="A2" s="529" t="s">
        <v>832</v>
      </c>
      <c r="B2" s="530"/>
      <c r="C2" s="7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1053</v>
      </c>
      <c r="AB2" s="60" t="s">
        <v>550</v>
      </c>
      <c r="AD2" s="235"/>
      <c r="AE2" s="235"/>
      <c r="AF2" s="235"/>
      <c r="AG2" s="235"/>
    </row>
    <row r="3" spans="1:37" ht="13.5" thickBot="1" x14ac:dyDescent="0.25">
      <c r="A3" s="744" t="s">
        <v>195</v>
      </c>
      <c r="B3" s="745" t="str">
        <f>IF(C3="Building","B",IF(C3="Pers Pty","PP","None"))</f>
        <v>B</v>
      </c>
      <c r="C3" s="746" t="str">
        <f>IF(AND(TC6_BLDG1!C27="Yes",TC6_PP1!C27="Yes"),"Building",IF(AND(TC6_BLDG1!C27="No",TC6_PP1!C27="Yes"),"Pers Pty",IF(AND(TC6_BLDG1!C27="Yes",TC6_PP1!C27="No"),"Building","Neither")))</f>
        <v>Building</v>
      </c>
      <c r="D3" s="521" t="s">
        <v>1419</v>
      </c>
      <c r="E3" s="820" t="str">
        <f>IF(TC6_BI1!F5="Yes","BI","Available")</f>
        <v>Available</v>
      </c>
      <c r="F3" s="1100" t="s">
        <v>833</v>
      </c>
      <c r="H3" s="1273">
        <f>Summary6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107</v>
      </c>
      <c r="W3" s="247">
        <f>P24</f>
        <v>1.014</v>
      </c>
      <c r="X3" s="247">
        <f>Q24</f>
        <v>0.28599999999999998</v>
      </c>
      <c r="Y3" s="247">
        <f>R24</f>
        <v>0.16300000000000001</v>
      </c>
      <c r="Z3" s="247">
        <f>S24</f>
        <v>0.06</v>
      </c>
      <c r="AB3" s="146"/>
      <c r="AC3" s="545" t="s">
        <v>1049</v>
      </c>
      <c r="AD3" s="146">
        <f>VLOOKUP(1,Table_Time_Utility,2,FALSE)</f>
        <v>2.1999999999999999E-2</v>
      </c>
      <c r="AE3" s="146">
        <f>VLOOKUP(1,Table_Time_Utility,3,FALSE)</f>
        <v>1.0999999999999999E-2</v>
      </c>
      <c r="AF3" s="146">
        <f>VLOOKUP(1,Table_Time_Utility,5,FALSE)</f>
        <v>1.9E-2</v>
      </c>
      <c r="AG3" s="563">
        <f>VLOOKUP(1,Table_Time_Utility,4,FALSE)</f>
        <v>6.0000000000000001E-3</v>
      </c>
      <c r="AI3" s="154" t="s">
        <v>950</v>
      </c>
      <c r="AJ3" s="86"/>
      <c r="AK3" s="156" t="s">
        <v>951</v>
      </c>
    </row>
    <row r="4" spans="1:37" x14ac:dyDescent="0.2">
      <c r="A4" s="120" t="s">
        <v>1024</v>
      </c>
      <c r="B4" s="95"/>
      <c r="C4" s="1086" t="str">
        <f>IF(B3="B",TC6_BLDG1!C3,IF(B3="PP",TC6_PP1!C3,""))</f>
        <v>CT</v>
      </c>
      <c r="D4" s="107" t="s">
        <v>1241</v>
      </c>
      <c r="E4" s="272"/>
      <c r="F4" s="704">
        <v>1000000</v>
      </c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85"/>
      <c r="V4" s="186" t="s">
        <v>108</v>
      </c>
      <c r="W4" s="208">
        <f>DF_Time_Law</f>
        <v>1.2</v>
      </c>
      <c r="X4" s="208">
        <f>DF_Time_Law</f>
        <v>1.2</v>
      </c>
      <c r="Y4" s="208">
        <f>DF_Time_Law</f>
        <v>1.2</v>
      </c>
      <c r="Z4" s="208">
        <f>DF_Time_Law</f>
        <v>1.2</v>
      </c>
      <c r="AB4" s="185"/>
      <c r="AC4" s="186" t="s">
        <v>1050</v>
      </c>
      <c r="AD4" s="238">
        <f>F22</f>
        <v>0</v>
      </c>
      <c r="AE4" s="238">
        <f>F22</f>
        <v>0</v>
      </c>
      <c r="AF4" s="238">
        <f>F22</f>
        <v>0</v>
      </c>
      <c r="AG4" s="785">
        <f>F22</f>
        <v>0</v>
      </c>
      <c r="AI4" s="686" t="s">
        <v>1715</v>
      </c>
      <c r="AK4" s="155">
        <f>IF(AK22&lt;-0.05,-0.05,IF(AK22&gt;0.05,0.05,AK22))</f>
        <v>0</v>
      </c>
    </row>
    <row r="5" spans="1:37" x14ac:dyDescent="0.2">
      <c r="A5" s="120" t="s">
        <v>1828</v>
      </c>
      <c r="B5" s="729">
        <f>IF(B3="B",TC6_BLDG1!B4,IF(B3="PP",TC6_PP1!B4,""))</f>
        <v>0</v>
      </c>
      <c r="C5" s="1086">
        <f>IF(B3="B",TC6_BLDG1!C4,IF(B3="PP",TC6_PP1!C4,""))</f>
        <v>0</v>
      </c>
      <c r="D5" s="84" t="s">
        <v>1610</v>
      </c>
      <c r="E5" s="193"/>
      <c r="F5" s="704">
        <v>100</v>
      </c>
      <c r="H5" s="483" t="s">
        <v>978</v>
      </c>
      <c r="I5" s="485">
        <f>IF(F3="Yes",P26,0)</f>
        <v>10140</v>
      </c>
      <c r="J5" s="485">
        <f>IF(F3="Yes",Q26,0)</f>
        <v>2860</v>
      </c>
      <c r="K5" s="485">
        <f>IF(AND(F3="Yes",C12="SP"),R26,0)</f>
        <v>1630</v>
      </c>
      <c r="L5" s="485">
        <f>IF(AND(F3="Yes",C12="BR"),S26,0)</f>
        <v>0</v>
      </c>
      <c r="O5" s="168" t="str">
        <f>C3&amp;" - Loss Cost"</f>
        <v>Building - Loss Cost</v>
      </c>
      <c r="P5" s="247">
        <f>B29</f>
        <v>0.126</v>
      </c>
      <c r="Q5" s="247">
        <f>C29</f>
        <v>4.2000000000000003E-2</v>
      </c>
      <c r="R5" s="247">
        <f>IF(C12="SP",VLOOKUP(B13,Table_Time_Special,3,FALSE),0)</f>
        <v>6.2E-2</v>
      </c>
      <c r="S5" s="247">
        <f>HLOOKUP(B12,Table_BroadTime,3,FALSE)</f>
        <v>2.3E-2</v>
      </c>
      <c r="V5" s="83" t="s">
        <v>109</v>
      </c>
      <c r="W5" s="247">
        <f>ROUND(PRODUCT(W3:W4),3)</f>
        <v>1.2170000000000001</v>
      </c>
      <c r="X5" s="247">
        <f>ROUND(PRODUCT(X3:X4),3)</f>
        <v>0.34300000000000003</v>
      </c>
      <c r="Y5" s="247">
        <f>ROUND(PRODUCT(Y3:Y4),3)</f>
        <v>0.19600000000000001</v>
      </c>
      <c r="Z5" s="247">
        <f>ROUND(PRODUCT(Z3:Z4),3)</f>
        <v>7.1999999999999995E-2</v>
      </c>
      <c r="AB5" s="146"/>
      <c r="AC5" s="301" t="s">
        <v>1051</v>
      </c>
      <c r="AD5" s="146">
        <f>ROUND(PRODUCT(AD3:AD4),3)</f>
        <v>0</v>
      </c>
      <c r="AE5" s="146">
        <f>ROUND(PRODUCT(AE3:AE4),3)</f>
        <v>0</v>
      </c>
      <c r="AF5" s="146">
        <f>ROUND(PRODUCT(AF3:AF4),3)</f>
        <v>0</v>
      </c>
      <c r="AG5" s="146">
        <f>ROUND(PRODUCT(AG3:AG4),3)</f>
        <v>0</v>
      </c>
      <c r="AI5" s="151" t="s">
        <v>1714</v>
      </c>
      <c r="AK5" s="155">
        <f>IF(AK23&lt;-0.06,-0.06,IF(AK23&gt;0.06,0.06,AK23))</f>
        <v>0</v>
      </c>
    </row>
    <row r="6" spans="1:37" x14ac:dyDescent="0.2">
      <c r="A6" s="120"/>
      <c r="B6" s="95"/>
      <c r="C6" s="1039"/>
      <c r="D6" s="499"/>
      <c r="E6" s="146"/>
      <c r="F6" s="1072"/>
      <c r="H6" s="483"/>
      <c r="I6" s="485"/>
      <c r="J6" s="485"/>
      <c r="K6" s="485"/>
      <c r="L6" s="485"/>
      <c r="O6" s="168" t="s">
        <v>972</v>
      </c>
      <c r="P6" s="207">
        <f>IF(OR(C27="S",C27="T"),1,VLOOKUP(C14,Table_ProtClass,IF(C15&lt;=3,2,3),FALSE)) - IF(AND(C33=1,ISNUMBER(B31),P13=1),B31,0)</f>
        <v>0.96</v>
      </c>
      <c r="Q6" s="207">
        <v>1</v>
      </c>
      <c r="R6" s="207">
        <v>1</v>
      </c>
      <c r="S6" s="207">
        <v>1</v>
      </c>
      <c r="AC6" s="168" t="s">
        <v>971</v>
      </c>
      <c r="AD6" s="207">
        <f>HLOOKUP(C11,Table_StateRates,6,FALSE)</f>
        <v>1.9</v>
      </c>
      <c r="AE6" s="207">
        <f>HLOOKUP(C11,Table_StateRates,6,FALSE)</f>
        <v>1.9</v>
      </c>
      <c r="AF6" s="207">
        <f>HLOOKUP(C11,Table_StateRates,6,FALSE)</f>
        <v>1.9</v>
      </c>
      <c r="AG6" s="207">
        <f>HLOOKUP(C11,Table_StateRates,6,FALSE)</f>
        <v>1.9</v>
      </c>
      <c r="AI6" s="8" t="s">
        <v>1716</v>
      </c>
      <c r="AK6" s="155">
        <f>IF(AK24&lt;-0.06,-0.06,IF(AK24&gt;0.06,0.06,AK24))</f>
        <v>0</v>
      </c>
    </row>
    <row r="7" spans="1:37" x14ac:dyDescent="0.2">
      <c r="A7" s="120" t="s">
        <v>969</v>
      </c>
      <c r="B7" s="95"/>
      <c r="C7" s="1087" t="str">
        <f>IF(B3="B",TC6_BLDG1!C6,IF(B3="PP",TC6_PP1!C6,""))</f>
        <v>CPP</v>
      </c>
      <c r="D7" s="538" t="s">
        <v>1545</v>
      </c>
      <c r="E7" s="103"/>
      <c r="F7" s="413" t="s">
        <v>857</v>
      </c>
      <c r="H7" s="168"/>
      <c r="I7" s="485"/>
      <c r="J7" s="485"/>
      <c r="K7" s="485"/>
      <c r="L7" s="485"/>
      <c r="N7" s="185"/>
      <c r="O7" s="186" t="s">
        <v>970</v>
      </c>
      <c r="P7" s="208">
        <f>IF(B30="Yes",DF_Sprinkler50,1)</f>
        <v>1</v>
      </c>
      <c r="Q7" s="208">
        <v>1</v>
      </c>
      <c r="R7" s="208">
        <v>1</v>
      </c>
      <c r="S7" s="208">
        <v>1</v>
      </c>
      <c r="V7" s="568" t="s">
        <v>110</v>
      </c>
      <c r="W7" s="893">
        <f>IF(C12="SP",SUM(W5:Y5),IF(C12="BR",SUM(W5:X5,Z5),SUM(W5:X5)))</f>
        <v>1.756</v>
      </c>
      <c r="AC7" s="168" t="s">
        <v>1019</v>
      </c>
      <c r="AD7" s="207">
        <f>HLOOKUP(C11,Table_StateRates,5,FALSE)</f>
        <v>1.38</v>
      </c>
      <c r="AE7" s="207">
        <f>HLOOKUP(C11,Table_StateRates,5,FALSE)</f>
        <v>1.38</v>
      </c>
      <c r="AF7" s="207">
        <f>HLOOKUP(C11,Table_StateRates,5,FALSE)</f>
        <v>1.38</v>
      </c>
      <c r="AG7" s="207">
        <f>HLOOKUP(C11,Table_StateRates,5,FALSE)</f>
        <v>1.38</v>
      </c>
      <c r="AI7" s="8" t="s">
        <v>1717</v>
      </c>
      <c r="AK7" s="155">
        <f>IF(AK25&lt;-0.1,-0.1,IF(AK25&gt;0.1,0.1,AK25))</f>
        <v>0</v>
      </c>
    </row>
    <row r="8" spans="1:37" x14ac:dyDescent="0.2">
      <c r="A8" s="143" t="s">
        <v>923</v>
      </c>
      <c r="B8" s="1236" t="str">
        <f>IF(B3="B",TC6_BLDG1!B7,IF(B3="PP",TC6_PP1!B7,""))</f>
        <v>No</v>
      </c>
      <c r="C8" s="1039"/>
      <c r="D8" s="518" t="s">
        <v>1555</v>
      </c>
      <c r="E8" s="414" t="s">
        <v>857</v>
      </c>
      <c r="F8" s="1065"/>
      <c r="H8" s="82" t="s">
        <v>1661</v>
      </c>
      <c r="I8" s="485"/>
      <c r="J8" s="485"/>
      <c r="K8" s="485"/>
      <c r="L8" s="485"/>
      <c r="O8" s="83" t="s">
        <v>1134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0.16300000000000001</v>
      </c>
      <c r="S8" s="1315">
        <f>ROUND(PRODUCT(S4:S7),3)</f>
        <v>0.06</v>
      </c>
      <c r="AC8" s="168" t="s">
        <v>180</v>
      </c>
      <c r="AD8" s="207">
        <v>1</v>
      </c>
      <c r="AE8" s="207">
        <v>1</v>
      </c>
      <c r="AF8" s="207">
        <v>1</v>
      </c>
      <c r="AG8" s="207">
        <v>1</v>
      </c>
      <c r="AI8" s="687" t="s">
        <v>1718</v>
      </c>
      <c r="AK8" s="155">
        <f>IF(AK26&lt;-0.06,-0.06,IF(AK26&gt;0.06,0.06,AK26))</f>
        <v>0</v>
      </c>
    </row>
    <row r="9" spans="1:37" ht="13.5" thickBot="1" x14ac:dyDescent="0.25">
      <c r="A9" s="120"/>
      <c r="B9" s="95"/>
      <c r="C9" s="1039"/>
      <c r="D9" s="91"/>
      <c r="E9" s="195"/>
      <c r="F9" s="101"/>
      <c r="H9" s="189" t="s">
        <v>1826</v>
      </c>
      <c r="I9" s="485">
        <f>IF(AND(F3="Yes",F11="Yes"),P49,0)</f>
        <v>0</v>
      </c>
      <c r="J9" s="485">
        <f>IF(AND(F3="Yes",F11="Yes"),Q49,0)</f>
        <v>0</v>
      </c>
      <c r="K9" s="485">
        <f>IF(AND(F11="Yes",C12="SP"),R49,0)</f>
        <v>0</v>
      </c>
      <c r="L9" s="485">
        <f>IF(AND(F11="Yes",C12="BR"),S49,0)</f>
        <v>0</v>
      </c>
      <c r="O9" s="1117" t="s">
        <v>2140</v>
      </c>
      <c r="P9" s="247">
        <f>DF_BI_BRF1</f>
        <v>0.8</v>
      </c>
      <c r="Q9" s="247">
        <f>DF_BI_BRF2</f>
        <v>0.65</v>
      </c>
      <c r="R9" s="247">
        <v>1</v>
      </c>
      <c r="S9" s="247">
        <v>1</v>
      </c>
      <c r="V9" s="545" t="s">
        <v>184</v>
      </c>
      <c r="W9" s="248">
        <f>F4/100</f>
        <v>10000</v>
      </c>
      <c r="AB9" s="146"/>
      <c r="AC9" s="545" t="s">
        <v>1020</v>
      </c>
      <c r="AD9" s="299">
        <f>IF(C7="PAC",VLOOKUP(B8,Table_PakMods,MATCH(C11,List_Company,0)+1,FALSE),1)</f>
        <v>1</v>
      </c>
      <c r="AE9" s="299">
        <f>IF(C7="PAC",VLOOKUP(B8,Table_PakMods,MATCH(C11,List_Company,0)+1,FALSE),1)</f>
        <v>1</v>
      </c>
      <c r="AF9" s="299">
        <f>IF(C7="PAC",VLOOKUP(B8,Table_PakMods,MATCH(C11,List_Company,0)+1,FALSE),1)</f>
        <v>1</v>
      </c>
      <c r="AG9" s="299">
        <f>IF(C7="PAC",VLOOKUP(B8,Table_PakMods,MATCH(C11,List_Company,0)+1,FALSE),1)</f>
        <v>1</v>
      </c>
      <c r="AI9" s="153" t="s">
        <v>1719</v>
      </c>
      <c r="AK9" s="155">
        <f>IF(AK27&lt;-0.025,-0.025,IF(AK27&gt;0.025,0.025,AK27))</f>
        <v>0</v>
      </c>
    </row>
    <row r="10" spans="1:37" ht="13.5" thickBot="1" x14ac:dyDescent="0.25">
      <c r="A10" s="120" t="s">
        <v>1829</v>
      </c>
      <c r="B10" s="95"/>
      <c r="C10" s="1086">
        <f>IF(B3="B",TC6_BLDG1!C9,IF(B3="PP",TC6_PP1!C9,""))</f>
        <v>1</v>
      </c>
      <c r="D10" s="529" t="s">
        <v>897</v>
      </c>
      <c r="E10" s="217"/>
      <c r="F10" s="218"/>
      <c r="H10" s="83"/>
      <c r="I10" s="248"/>
      <c r="J10" s="248"/>
      <c r="K10" s="248"/>
      <c r="L10" s="248"/>
      <c r="N10" s="185"/>
      <c r="O10" s="186" t="s">
        <v>1258</v>
      </c>
      <c r="P10" s="208">
        <f>VLOOKUP(F5,Table_EE_CoIns,3,FALSE)</f>
        <v>4</v>
      </c>
      <c r="Q10" s="208">
        <f>VLOOKUP(F5,Table_EE_CoIns,3,FALSE)</f>
        <v>4</v>
      </c>
      <c r="R10" s="208">
        <v>1</v>
      </c>
      <c r="S10" s="208">
        <v>1</v>
      </c>
      <c r="U10" s="185"/>
      <c r="V10" s="186" t="s">
        <v>111</v>
      </c>
      <c r="W10" s="455">
        <f>IF(F18="Yes",W7,0)</f>
        <v>0</v>
      </c>
      <c r="AB10" s="542"/>
      <c r="AC10" s="724" t="s">
        <v>1022</v>
      </c>
      <c r="AD10" s="279">
        <v>1</v>
      </c>
      <c r="AE10" s="279">
        <v>1</v>
      </c>
      <c r="AF10" s="279">
        <v>1</v>
      </c>
      <c r="AG10" s="279">
        <v>1</v>
      </c>
      <c r="AI10" s="687" t="s">
        <v>1720</v>
      </c>
      <c r="AK10" s="155">
        <f>IF(AK28&lt;-0.025,-0.025,IF(AK28&gt;0.025,0.025,AK28))</f>
        <v>0</v>
      </c>
    </row>
    <row r="11" spans="1:37" x14ac:dyDescent="0.2">
      <c r="A11" s="120" t="s">
        <v>835</v>
      </c>
      <c r="B11" s="95"/>
      <c r="C11" s="1087" t="str">
        <f>IF(B3="B",TC6_BLDG1!C11,IF(B3="PP",TC6_PP1!C11,""))</f>
        <v>GAIC</v>
      </c>
      <c r="D11" s="123" t="s">
        <v>964</v>
      </c>
      <c r="E11" s="474"/>
      <c r="F11" s="475" t="s">
        <v>857</v>
      </c>
      <c r="L11" s="890" t="s">
        <v>1048</v>
      </c>
      <c r="N11" s="266"/>
      <c r="O11" s="568" t="s">
        <v>917</v>
      </c>
      <c r="P11" s="1422">
        <f>ROUND(PRODUCT(P8:P10),3)</f>
        <v>1.014</v>
      </c>
      <c r="Q11" s="1422">
        <f>ROUND(PRODUCT(Q8:Q10),3)</f>
        <v>0.28599999999999998</v>
      </c>
      <c r="R11" s="1422">
        <f>ROUND(PRODUCT(R8:R10),3)</f>
        <v>0.16300000000000001</v>
      </c>
      <c r="S11" s="1422">
        <f>ROUND(PRODUCT(S8:S10),3)</f>
        <v>0.06</v>
      </c>
      <c r="V11" s="83" t="s">
        <v>1514</v>
      </c>
      <c r="W11" s="248">
        <f>ROUND(PRODUCT(W9:W10),0)</f>
        <v>0</v>
      </c>
      <c r="AC11" s="83" t="s">
        <v>1150</v>
      </c>
      <c r="AD11" s="2">
        <f>ROUND(PRODUCT(AD5:AD10),3)</f>
        <v>0</v>
      </c>
      <c r="AE11" s="2">
        <f>ROUND(PRODUCT(AE5:AE10),3)</f>
        <v>0</v>
      </c>
      <c r="AF11" s="2">
        <f>ROUND(PRODUCT(AF5:AF10),3)</f>
        <v>0</v>
      </c>
      <c r="AG11" s="2">
        <f>ROUND(PRODUCT(AG5:AG10),3)</f>
        <v>0</v>
      </c>
      <c r="AI11" s="687" t="s">
        <v>1721</v>
      </c>
      <c r="AK11" s="155">
        <f>IF(AK29&lt;-0.075,-0.075,IF(AK29&gt;0.075,0.075,AK29))</f>
        <v>0</v>
      </c>
    </row>
    <row r="12" spans="1:37" ht="13.5" thickBot="1" x14ac:dyDescent="0.25">
      <c r="A12" s="415" t="s">
        <v>910</v>
      </c>
      <c r="B12" s="493">
        <f>IF(OR(C15=5,C15=6),1,2)</f>
        <v>2</v>
      </c>
      <c r="C12" s="704" t="s">
        <v>894</v>
      </c>
      <c r="D12" s="107" t="s">
        <v>1242</v>
      </c>
      <c r="E12" s="272"/>
      <c r="F12" s="476"/>
      <c r="H12" s="168" t="s">
        <v>1507</v>
      </c>
      <c r="I12" s="248">
        <f>IF(AND(F3="Yes",F18="Yes"),W23,0)</f>
        <v>0</v>
      </c>
      <c r="J12" s="248"/>
      <c r="K12" s="248"/>
      <c r="L12" s="248"/>
      <c r="O12" s="189" t="s">
        <v>1496</v>
      </c>
      <c r="P12" s="207">
        <v>1</v>
      </c>
      <c r="Q12" s="207">
        <f>IF(C32="Yes",VLOOKUP(C15,Table_Construction,3,FALSE),1)</f>
        <v>1</v>
      </c>
      <c r="R12" s="207">
        <v>1</v>
      </c>
      <c r="S12" s="207">
        <v>1</v>
      </c>
      <c r="V12" s="83"/>
      <c r="W12" s="248"/>
      <c r="Y12" s="168"/>
      <c r="AB12" s="185"/>
      <c r="AC12" s="186" t="s">
        <v>1025</v>
      </c>
      <c r="AD12" s="238">
        <f>IF(ISNUMBER(E21),E21/100,0)</f>
        <v>0</v>
      </c>
      <c r="AE12" s="238">
        <f>IF(ISNUMBER(E21),E21/100,0)</f>
        <v>0</v>
      </c>
      <c r="AF12" s="238">
        <f>IF(ISNUMBER(E21),E21/100,0)</f>
        <v>0</v>
      </c>
      <c r="AG12" s="238">
        <f>IF(ISNUMBER(E21),E21/100,0)</f>
        <v>0</v>
      </c>
      <c r="AI12" s="8" t="s">
        <v>1722</v>
      </c>
      <c r="AK12" s="155">
        <f>IF(AK30&lt;-0.05,-0.05,IF(AK30&gt;0.05,0.05,AK30))</f>
        <v>0</v>
      </c>
    </row>
    <row r="13" spans="1:37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88">
        <v>2</v>
      </c>
      <c r="D13" s="108" t="s">
        <v>904</v>
      </c>
      <c r="E13" s="319" t="str">
        <f>IF(ISBLANK(F13),"",VLOOKUP(F13,Table_G1_LC,2,FALSE))</f>
        <v/>
      </c>
      <c r="F13" s="188"/>
      <c r="H13" s="168" t="s">
        <v>1047</v>
      </c>
      <c r="I13" s="248">
        <f>IF(AND(F3="Yes",F20="Yes"),AD48,0)</f>
        <v>0</v>
      </c>
      <c r="J13" s="248"/>
      <c r="K13" s="248"/>
      <c r="L13" s="248"/>
      <c r="O13" s="168" t="s">
        <v>1199</v>
      </c>
      <c r="P13" s="247">
        <f>IF(OR(C27="S",C27="T"),1,VLOOKUP(C17,Table_TerrMult,2,FALSE)) - IF(AND((C31)="Yes",ISNUMBER(B31)),B31,0)</f>
        <v>1</v>
      </c>
      <c r="Q13" s="207">
        <v>1</v>
      </c>
      <c r="R13" s="207">
        <v>1</v>
      </c>
      <c r="S13" s="207">
        <v>1</v>
      </c>
      <c r="U13" s="60" t="s">
        <v>1508</v>
      </c>
      <c r="V13" s="83"/>
      <c r="W13" s="248"/>
      <c r="AC13" s="83" t="s">
        <v>1647</v>
      </c>
      <c r="AD13" s="248">
        <f>ROUND(PRODUCT(AD11:AD12),0)</f>
        <v>0</v>
      </c>
      <c r="AE13" s="248">
        <f>ROUND(PRODUCT(AE11:AE12),0)</f>
        <v>0</v>
      </c>
      <c r="AF13" s="248">
        <f>ROUND(PRODUCT(AF11:AF12),0)</f>
        <v>0</v>
      </c>
      <c r="AG13" s="248">
        <f>ROUND(PRODUCT(AG11:AG12),0)</f>
        <v>0</v>
      </c>
      <c r="AI13" s="8"/>
      <c r="AK13" s="155"/>
    </row>
    <row r="14" spans="1:37" x14ac:dyDescent="0.2">
      <c r="A14" s="108" t="s">
        <v>898</v>
      </c>
      <c r="B14" s="95"/>
      <c r="C14" s="1087">
        <f>IF(B3="B",TC6_BLDG1!C14,IF(B3="PP",TC6_PP1!C14,""))</f>
        <v>3</v>
      </c>
      <c r="D14" s="482" t="str">
        <f>IF(F13="1190","Special Form Class Only - Choose Again",IF(F13="1180","Enter Prior/Intended Occ. Class Code Below",""))</f>
        <v/>
      </c>
      <c r="E14" s="273"/>
      <c r="F14" s="274"/>
      <c r="I14" s="248"/>
      <c r="J14" s="248"/>
      <c r="K14" s="248"/>
      <c r="L14" s="248"/>
      <c r="O14" s="168" t="s">
        <v>1100</v>
      </c>
      <c r="P14" s="207">
        <f>IF(C31="Yes",IF(ISNUMBER(B31),1,VLOOKUP(C15,Table_SprLkg,IF(B3="B",2,3),FALSE)),1)</f>
        <v>1</v>
      </c>
      <c r="Q14" s="207">
        <v>1</v>
      </c>
      <c r="R14" s="207">
        <v>1</v>
      </c>
      <c r="S14" s="207">
        <v>1</v>
      </c>
      <c r="V14" s="189" t="s">
        <v>1510</v>
      </c>
      <c r="W14" s="248">
        <f>P26</f>
        <v>10140</v>
      </c>
      <c r="AJ14" s="60" t="s">
        <v>952</v>
      </c>
      <c r="AK14" s="157">
        <f>IF(SUM(AK4:AK13)&lt;-0.4,-0.4,IF(SUM(AK4:AK13)&gt;0.4,0.4,SUM(AK4:AK13)))</f>
        <v>0</v>
      </c>
    </row>
    <row r="15" spans="1:37" ht="13.5" customHeight="1" x14ac:dyDescent="0.2">
      <c r="A15" s="108" t="s">
        <v>1073</v>
      </c>
      <c r="B15" s="319" t="str">
        <f>IF(C15&lt;=4,"B","A")</f>
        <v>B</v>
      </c>
      <c r="C15" s="1089">
        <f>IF(B3="B",TC6_BLDG1!C15,IF(B3="PP",TC6_PP1!C15,""))</f>
        <v>1</v>
      </c>
      <c r="D15" s="108" t="s">
        <v>960</v>
      </c>
      <c r="E15" s="160"/>
      <c r="F15" s="188"/>
      <c r="H15" s="990" t="s">
        <v>244</v>
      </c>
      <c r="I15" s="797">
        <f>SUM(I12:I13,I9:L9)</f>
        <v>0</v>
      </c>
      <c r="O15" s="236" t="s">
        <v>1099</v>
      </c>
      <c r="P15" s="281">
        <f>C33</f>
        <v>0</v>
      </c>
      <c r="Q15" s="211">
        <v>1</v>
      </c>
      <c r="R15" s="211">
        <v>1</v>
      </c>
      <c r="S15" s="211">
        <v>1</v>
      </c>
      <c r="V15" s="189" t="s">
        <v>1511</v>
      </c>
      <c r="W15" s="248">
        <f>Q26</f>
        <v>2860</v>
      </c>
      <c r="AC15" s="685" t="s">
        <v>549</v>
      </c>
      <c r="AD15" s="907">
        <f>IF(F20="Yes",IF(C12="SP",SUM(AD13:AF13),IF(C12="BR",SUM(AD13:AE13,AG13),SUM(AD13:AE13))),0)</f>
        <v>0</v>
      </c>
    </row>
    <row r="16" spans="1:37" ht="13.5" thickBot="1" x14ac:dyDescent="0.25">
      <c r="A16" s="84" t="s">
        <v>975</v>
      </c>
      <c r="B16" s="160"/>
      <c r="C16" s="1080" t="str">
        <f>IF(B3="B",TC6_BLDG1!C16,IF(B3="PP",TC6_PP1!C16,""))</f>
        <v>A</v>
      </c>
      <c r="D16" s="191" t="s">
        <v>1065</v>
      </c>
      <c r="E16" s="456">
        <f>IF(ISBLANK(F15),0,IF(ISERROR(VLOOKUP(F15,List_VacantClasses,1,FALSE)),VLOOKUP(F15,Table_G1_LC,MATCH(C15&amp;"B",List_ClassLC,0)+2),0))</f>
        <v>0</v>
      </c>
      <c r="F16" s="213"/>
      <c r="N16" s="209"/>
      <c r="O16" s="210" t="s">
        <v>1016</v>
      </c>
      <c r="P16" s="212">
        <v>1</v>
      </c>
      <c r="Q16" s="212">
        <v>1</v>
      </c>
      <c r="R16" s="212">
        <v>1</v>
      </c>
      <c r="S16" s="212">
        <v>1</v>
      </c>
      <c r="V16" s="189" t="s">
        <v>1509</v>
      </c>
      <c r="W16" s="248">
        <f>IF(C12="SP",R26,0)</f>
        <v>1630</v>
      </c>
      <c r="AC16" s="685"/>
      <c r="AD16" s="701"/>
    </row>
    <row r="17" spans="1:40" ht="15" customHeight="1" thickBot="1" x14ac:dyDescent="0.25">
      <c r="A17" s="122" t="s">
        <v>974</v>
      </c>
      <c r="B17" s="95"/>
      <c r="C17" s="1087">
        <f>IF(B3="B",TC6_BLDG1!C17,IF(B3="PP",TC6_PP1!C17,""))</f>
        <v>1</v>
      </c>
      <c r="D17" s="91"/>
      <c r="E17" s="195"/>
      <c r="F17" s="101"/>
      <c r="N17" s="185"/>
      <c r="O17" s="186" t="s">
        <v>1259</v>
      </c>
      <c r="P17" s="208">
        <f>IF(F7="Yes",VLOOKUP(E8,Table_CivilAuth,2,FALSE),1)</f>
        <v>1</v>
      </c>
      <c r="Q17" s="208">
        <f>IF(F7="Yes",VLOOKUP(E8,Table_CivilAuth,2,FALSE),1)</f>
        <v>1</v>
      </c>
      <c r="R17" s="208">
        <f>IF(F7="Yes",VLOOKUP(E8,Table_CivilAuth,2,FALSE),1)</f>
        <v>1</v>
      </c>
      <c r="S17" s="208">
        <f>IF(F7="Yes",VLOOKUP(E8,Table_CivilAuth,2,FALSE),1)</f>
        <v>1</v>
      </c>
      <c r="U17" s="185"/>
      <c r="V17" s="477" t="s">
        <v>1512</v>
      </c>
      <c r="W17" s="238">
        <f>IF(C12="BR",S26,0)</f>
        <v>0</v>
      </c>
      <c r="AI17" s="136" t="s">
        <v>947</v>
      </c>
      <c r="AJ17" s="137"/>
      <c r="AK17" s="137"/>
      <c r="AL17" s="137"/>
      <c r="AM17" s="136" t="s">
        <v>938</v>
      </c>
      <c r="AN17" s="517"/>
    </row>
    <row r="18" spans="1:40" x14ac:dyDescent="0.2">
      <c r="A18" s="1195" t="s">
        <v>2097</v>
      </c>
      <c r="B18" s="95"/>
      <c r="C18" s="1238">
        <v>2</v>
      </c>
      <c r="D18" s="872" t="s">
        <v>1052</v>
      </c>
      <c r="E18" s="422"/>
      <c r="F18" s="892" t="s">
        <v>857</v>
      </c>
      <c r="H18" s="566" t="s">
        <v>663</v>
      </c>
      <c r="I18" s="2">
        <f>IF(AND(C21="Yes",C24="Yes"),W51,IF(AND(C21="Yes",C24="No"),B24,0))</f>
        <v>1500</v>
      </c>
      <c r="O18" s="83" t="s">
        <v>2167</v>
      </c>
      <c r="P18" s="1312">
        <f>ROUND(PRODUCT(P11:P13,IF(AND(C31="Yes",B31="Sprinkler",C33&lt;&gt;1),P14-P15,P14),P16:P17),3)</f>
        <v>1.014</v>
      </c>
      <c r="Q18" s="1312">
        <f>ROUND(PRODUCT(Q11:Q17),3)</f>
        <v>0.28599999999999998</v>
      </c>
      <c r="R18" s="1312">
        <f>ROUND(PRODUCT(R11:R17),3)</f>
        <v>0.16300000000000001</v>
      </c>
      <c r="S18" s="1312">
        <f>ROUND(PRODUCT(S11:S17),3)</f>
        <v>0.06</v>
      </c>
      <c r="V18" s="83" t="s">
        <v>1513</v>
      </c>
      <c r="W18" s="248">
        <f>SUM(W14:W17)</f>
        <v>14630</v>
      </c>
      <c r="AB18" s="60" t="s">
        <v>551</v>
      </c>
      <c r="AD18" s="235" t="s">
        <v>1012</v>
      </c>
      <c r="AE18" s="235" t="s">
        <v>1013</v>
      </c>
      <c r="AF18" s="235" t="s">
        <v>838</v>
      </c>
      <c r="AG18" s="235" t="s">
        <v>837</v>
      </c>
      <c r="AI18" s="138" t="s">
        <v>939</v>
      </c>
      <c r="AJ18" s="8"/>
      <c r="AK18" s="8"/>
      <c r="AL18" s="8"/>
      <c r="AM18" s="445" t="s">
        <v>940</v>
      </c>
      <c r="AN18" s="481"/>
    </row>
    <row r="19" spans="1:40" ht="13.5" thickBot="1" x14ac:dyDescent="0.25">
      <c r="A19" s="126"/>
      <c r="B19" s="96"/>
      <c r="C19" s="192"/>
      <c r="D19" s="91"/>
      <c r="E19" s="195"/>
      <c r="F19" s="101"/>
      <c r="O19" s="168" t="s">
        <v>180</v>
      </c>
      <c r="P19" s="207">
        <v>1</v>
      </c>
      <c r="Q19" s="207">
        <v>1</v>
      </c>
      <c r="R19" s="207">
        <v>1</v>
      </c>
      <c r="S19" s="207">
        <v>1</v>
      </c>
      <c r="V19" s="83"/>
      <c r="W19" s="248"/>
      <c r="AB19" s="146"/>
      <c r="AC19" s="545" t="s">
        <v>1049</v>
      </c>
      <c r="AD19" s="146">
        <f>VLOOKUP(2,Table_Time_Utility,2,FALSE)</f>
        <v>4.3999999999999997E-2</v>
      </c>
      <c r="AE19" s="146">
        <f>VLOOKUP(2,Table_Time_Utility,3,FALSE)</f>
        <v>4.3999999999999997E-2</v>
      </c>
      <c r="AF19" s="146">
        <f>VLOOKUP(2,Table_Time_Utility,5,FALSE)</f>
        <v>2.9000000000000001E-2</v>
      </c>
      <c r="AG19" s="563">
        <f>VLOOKUP(2,Table_Time_Utility,4,FALSE)</f>
        <v>0.01</v>
      </c>
      <c r="AI19" s="138" t="s">
        <v>941</v>
      </c>
      <c r="AJ19" s="8"/>
      <c r="AK19" s="8"/>
      <c r="AL19" s="8"/>
      <c r="AM19" s="26"/>
      <c r="AN19" s="481"/>
    </row>
    <row r="20" spans="1:40" x14ac:dyDescent="0.2">
      <c r="A20" s="88" t="s">
        <v>954</v>
      </c>
      <c r="B20" s="89"/>
      <c r="C20" s="118"/>
      <c r="D20" s="897" t="s">
        <v>1668</v>
      </c>
      <c r="E20" s="447"/>
      <c r="F20" s="873" t="s">
        <v>857</v>
      </c>
      <c r="N20" s="146"/>
      <c r="O20" s="545" t="s">
        <v>1020</v>
      </c>
      <c r="P20" s="299">
        <f>IF(C7="PAC",VLOOKUP(B8,Table_PakMods,MATCH(C11,List_Company,0)+1,FALSE),1)</f>
        <v>1</v>
      </c>
      <c r="Q20" s="299">
        <f>IF(C7="PAC",VLOOKUP(B8,Table_PakMods,MATCH(C11,List_Company,0)+1,FALSE),1)</f>
        <v>1</v>
      </c>
      <c r="R20" s="299">
        <f>IF(C7="PAC",VLOOKUP(B8,Table_PakMods,MATCH(C11,List_Company,0)+1,FALSE),1)</f>
        <v>1</v>
      </c>
      <c r="S20" s="299">
        <f>IF(C7="PAC",VLOOKUP(B8,Table_PakMods,MATCH(C11,List_Company,0)+1,FALSE),1)</f>
        <v>1</v>
      </c>
      <c r="U20" s="82" t="s">
        <v>1515</v>
      </c>
      <c r="V20" s="60"/>
      <c r="W20" s="83"/>
      <c r="AC20" s="168" t="s">
        <v>971</v>
      </c>
      <c r="AD20" s="207">
        <f>HLOOKUP(C11,Table_StateRates,6,FALSE)</f>
        <v>1.9</v>
      </c>
      <c r="AE20" s="207">
        <f>HLOOKUP(C11,Table_StateRates,6,FALSE)</f>
        <v>1.9</v>
      </c>
      <c r="AF20" s="207">
        <f>HLOOKUP(C11,Table_StateRates,6,FALSE)</f>
        <v>1.9</v>
      </c>
      <c r="AG20" s="207">
        <f>HLOOKUP(C11,Table_StateRates,6,FALSE)</f>
        <v>1.9</v>
      </c>
      <c r="AI20" s="26"/>
      <c r="AJ20" s="8"/>
      <c r="AK20" s="8"/>
      <c r="AL20" s="8"/>
      <c r="AM20" s="140" t="s">
        <v>942</v>
      </c>
      <c r="AN20" s="481"/>
    </row>
    <row r="21" spans="1:40" x14ac:dyDescent="0.2">
      <c r="A21" s="122" t="s">
        <v>956</v>
      </c>
      <c r="B21" s="319">
        <f>IF(C17=1,1,2)</f>
        <v>1</v>
      </c>
      <c r="C21" s="1090" t="str">
        <f>IF(B3="B",TC6_BLDG1!C21,IF(B3="PP",TC6_PP1!C21,""))</f>
        <v>Yes</v>
      </c>
      <c r="D21" s="898" t="s">
        <v>1646</v>
      </c>
      <c r="E21" s="519"/>
      <c r="F21" s="446"/>
      <c r="H21" s="60" t="s">
        <v>2288</v>
      </c>
      <c r="I21" s="1468">
        <f>SUM(I5:L5,I15)</f>
        <v>14630</v>
      </c>
      <c r="N21" s="542"/>
      <c r="O21" s="724" t="s">
        <v>1022</v>
      </c>
      <c r="P21" s="279">
        <v>1</v>
      </c>
      <c r="Q21" s="279">
        <v>1</v>
      </c>
      <c r="R21" s="279">
        <v>1</v>
      </c>
      <c r="S21" s="279">
        <v>1</v>
      </c>
      <c r="V21" s="168" t="s">
        <v>1165</v>
      </c>
      <c r="W21" s="248">
        <f>W11</f>
        <v>0</v>
      </c>
      <c r="AC21" s="168" t="s">
        <v>1019</v>
      </c>
      <c r="AD21" s="207">
        <f>HLOOKUP(C11,Table_StateRates,5,FALSE)</f>
        <v>1.38</v>
      </c>
      <c r="AE21" s="207">
        <f>HLOOKUP(C11,Table_StateRates,5,FALSE)</f>
        <v>1.38</v>
      </c>
      <c r="AF21" s="207">
        <f>HLOOKUP(C11,Table_StateRates,5,FALSE)</f>
        <v>1.38</v>
      </c>
      <c r="AG21" s="207">
        <f>HLOOKUP(C11,Table_StateRates,5,FALSE)</f>
        <v>1.38</v>
      </c>
      <c r="AI21" s="445" t="s">
        <v>943</v>
      </c>
      <c r="AJ21" s="8"/>
      <c r="AK21" s="142" t="s">
        <v>944</v>
      </c>
      <c r="AM21" s="140" t="s">
        <v>945</v>
      </c>
      <c r="AN21" s="481"/>
    </row>
    <row r="22" spans="1:40" x14ac:dyDescent="0.2">
      <c r="A22" s="911" t="s">
        <v>958</v>
      </c>
      <c r="B22" s="90"/>
      <c r="C22" s="571" t="str">
        <f>IF(B3="B",TC6_BLDG1!C22,IF(B3="PP",TC6_PP1!C22,""))</f>
        <v>No</v>
      </c>
      <c r="D22" s="518" t="s">
        <v>317</v>
      </c>
      <c r="E22" s="414"/>
      <c r="F22" s="891">
        <f>COUNTIF(E22:E23,"Yes")</f>
        <v>0</v>
      </c>
      <c r="N22" s="385"/>
      <c r="O22" s="685" t="s">
        <v>2236</v>
      </c>
      <c r="P22" s="1314">
        <f>ROUND(PRODUCT(P19:P21),3)</f>
        <v>1</v>
      </c>
      <c r="Q22" s="1314">
        <f>ROUND(PRODUCT(Q19:Q21),3)</f>
        <v>1</v>
      </c>
      <c r="R22" s="1314">
        <f>ROUND(PRODUCT(R19:R21),3)</f>
        <v>1</v>
      </c>
      <c r="S22" s="1314">
        <f>ROUND(PRODUCT(S19:S21),3)</f>
        <v>1</v>
      </c>
      <c r="U22" s="185"/>
      <c r="V22" s="187" t="s">
        <v>1516</v>
      </c>
      <c r="W22" s="238">
        <f>W18</f>
        <v>14630</v>
      </c>
      <c r="AC22" s="168" t="s">
        <v>180</v>
      </c>
      <c r="AD22" s="207">
        <v>1</v>
      </c>
      <c r="AE22" s="207">
        <v>1</v>
      </c>
      <c r="AF22" s="207">
        <v>1</v>
      </c>
      <c r="AG22" s="207">
        <v>1</v>
      </c>
      <c r="AI22" s="140" t="s">
        <v>1715</v>
      </c>
      <c r="AJ22" s="8"/>
      <c r="AK22" s="144"/>
      <c r="AM22" s="140" t="s">
        <v>946</v>
      </c>
      <c r="AN22" s="481"/>
    </row>
    <row r="23" spans="1:40" ht="13.5" thickBot="1" x14ac:dyDescent="0.25">
      <c r="A23" s="908" t="s">
        <v>955</v>
      </c>
      <c r="B23" s="910"/>
      <c r="C23" s="1091"/>
      <c r="D23" s="518" t="s">
        <v>315</v>
      </c>
      <c r="E23" s="414"/>
      <c r="F23" s="891"/>
      <c r="H23" s="60" t="s">
        <v>2291</v>
      </c>
      <c r="I23" s="1469">
        <f>SUM(I21,I18)</f>
        <v>16130</v>
      </c>
      <c r="N23" s="542"/>
      <c r="O23" s="1211" t="s">
        <v>2167</v>
      </c>
      <c r="P23" s="757">
        <f>P18</f>
        <v>1.014</v>
      </c>
      <c r="Q23" s="757">
        <f>Q18</f>
        <v>0.28599999999999998</v>
      </c>
      <c r="R23" s="757">
        <f>R18</f>
        <v>0.16300000000000001</v>
      </c>
      <c r="S23" s="757">
        <f>S18</f>
        <v>0.06</v>
      </c>
      <c r="V23" s="83" t="s">
        <v>1517</v>
      </c>
      <c r="W23" s="260">
        <f>W21-W22</f>
        <v>-14630</v>
      </c>
      <c r="AB23" s="146"/>
      <c r="AC23" s="545" t="s">
        <v>1020</v>
      </c>
      <c r="AD23" s="299">
        <f>IF(C7="PAC",VLOOKUP(B8,Table_PakMods,MATCH(C11,List_Company,0)+1,FALSE),1)</f>
        <v>1</v>
      </c>
      <c r="AE23" s="299">
        <f>IF(C7="PAC",VLOOKUP(B8,Table_PakMods,MATCH(C11,List_Company,0)+1,FALSE),1)</f>
        <v>1</v>
      </c>
      <c r="AF23" s="299">
        <f>IF(C7="PAC",VLOOKUP(B8,Table_PakMods,MATCH(C11,List_Company,0)+1,FALSE),1)</f>
        <v>1</v>
      </c>
      <c r="AG23" s="299">
        <f>IF(C7="PAC",VLOOKUP(B8,Table_PakMods,MATCH(C11,List_Company,0)+1,FALSE),1)</f>
        <v>1</v>
      </c>
      <c r="AI23" s="141" t="s">
        <v>1714</v>
      </c>
      <c r="AJ23" s="139"/>
      <c r="AK23" s="145"/>
      <c r="AM23" s="445"/>
      <c r="AN23" s="481"/>
    </row>
    <row r="24" spans="1:40" ht="13.5" thickBot="1" x14ac:dyDescent="0.25">
      <c r="A24" s="108" t="s">
        <v>957</v>
      </c>
      <c r="B24" s="896"/>
      <c r="C24" s="889" t="str">
        <f>IF(B3="B",TC6_BLDG1!C24,IF(B3="PP",TC6_PP1!C24,""))</f>
        <v>Yes</v>
      </c>
      <c r="D24" s="518" t="s">
        <v>316</v>
      </c>
      <c r="E24" s="414"/>
      <c r="F24" s="891"/>
      <c r="O24" s="83" t="s">
        <v>2242</v>
      </c>
      <c r="P24" s="1315">
        <f>ROUND(PRODUCT(P22:P23),3)</f>
        <v>1.014</v>
      </c>
      <c r="Q24" s="1315">
        <f>ROUND(PRODUCT(Q22:Q23),3)</f>
        <v>0.28599999999999998</v>
      </c>
      <c r="R24" s="1315">
        <f>ROUND(PRODUCT(R22:R23),3)</f>
        <v>0.16300000000000001</v>
      </c>
      <c r="S24" s="1315">
        <f>ROUND(PRODUCT(S22:S23),3)</f>
        <v>0.06</v>
      </c>
      <c r="V24" s="83"/>
      <c r="AB24" s="542"/>
      <c r="AC24" s="724" t="s">
        <v>1022</v>
      </c>
      <c r="AD24" s="279">
        <v>1</v>
      </c>
      <c r="AE24" s="279">
        <v>1</v>
      </c>
      <c r="AF24" s="279">
        <v>1</v>
      </c>
      <c r="AG24" s="279">
        <v>1</v>
      </c>
      <c r="AI24" s="141" t="s">
        <v>1716</v>
      </c>
      <c r="AJ24" s="139"/>
      <c r="AK24" s="145"/>
      <c r="AM24" s="1618"/>
      <c r="AN24" s="1619"/>
    </row>
    <row r="25" spans="1:40" ht="13.5" thickBot="1" x14ac:dyDescent="0.25">
      <c r="A25" s="92"/>
      <c r="B25" s="93"/>
      <c r="C25" s="119"/>
      <c r="D25" s="518" t="s">
        <v>1574</v>
      </c>
      <c r="E25" s="414"/>
      <c r="F25" s="891">
        <f>COUNTIF(E25:E26,"Yes")</f>
        <v>0</v>
      </c>
      <c r="N25" s="185"/>
      <c r="O25" s="186" t="s">
        <v>1025</v>
      </c>
      <c r="P25" s="238">
        <f>IF(ISNUMBER(F4),F4/100,0)</f>
        <v>10000</v>
      </c>
      <c r="Q25" s="238">
        <f>IF(ISNUMBER(F4),F4/100,0)</f>
        <v>10000</v>
      </c>
      <c r="R25" s="238">
        <f>IF(ISNUMBER(F4),F4/100,0)</f>
        <v>10000</v>
      </c>
      <c r="S25" s="238">
        <f>IF(ISNUMBER(F4),F4/100,0)</f>
        <v>10000</v>
      </c>
      <c r="V25" s="83"/>
      <c r="AC25" s="83" t="s">
        <v>1150</v>
      </c>
      <c r="AD25" s="2">
        <f>ROUND(PRODUCT(AD19:AD24),3)</f>
        <v>0.115</v>
      </c>
      <c r="AE25" s="2">
        <f>ROUND(PRODUCT(AE19:AE24),3)</f>
        <v>0.115</v>
      </c>
      <c r="AF25" s="2">
        <f>ROUND(PRODUCT(AF19:AF24),3)</f>
        <v>7.5999999999999998E-2</v>
      </c>
      <c r="AG25" s="2">
        <f>ROUND(PRODUCT(AG19:AG24),3)</f>
        <v>2.5999999999999999E-2</v>
      </c>
      <c r="AI25" s="141" t="s">
        <v>1717</v>
      </c>
      <c r="AJ25" s="139"/>
      <c r="AK25" s="145"/>
      <c r="AM25" s="445"/>
      <c r="AN25" s="481"/>
    </row>
    <row r="26" spans="1:40" x14ac:dyDescent="0.2">
      <c r="A26" s="161" t="s">
        <v>1827</v>
      </c>
      <c r="B26" s="217"/>
      <c r="C26" s="986"/>
      <c r="D26" s="518" t="s">
        <v>1575</v>
      </c>
      <c r="E26" s="414"/>
      <c r="F26" s="891"/>
      <c r="O26" s="83" t="s">
        <v>978</v>
      </c>
      <c r="P26" s="248">
        <f>ROUND(PRODUCT(P24:P25),0)</f>
        <v>10140</v>
      </c>
      <c r="Q26" s="248">
        <f>ROUND(PRODUCT(Q24:Q25),0)</f>
        <v>2860</v>
      </c>
      <c r="R26" s="248">
        <f>ROUND(PRODUCT(R24:R25),0)</f>
        <v>1630</v>
      </c>
      <c r="S26" s="248">
        <f>ROUND(PRODUCT(S24:S25),0)</f>
        <v>600</v>
      </c>
      <c r="AB26" s="185"/>
      <c r="AC26" s="186" t="s">
        <v>1025</v>
      </c>
      <c r="AD26" s="238">
        <f>IF(ISNUMBER(E21),E21/100,0)</f>
        <v>0</v>
      </c>
      <c r="AE26" s="238">
        <f>IF(ISNUMBER(E21),E21/100,0)</f>
        <v>0</v>
      </c>
      <c r="AF26" s="238">
        <f>IF(ISNUMBER(E21),E21/100,0)</f>
        <v>0</v>
      </c>
      <c r="AG26" s="238">
        <f>IF(ISNUMBER(E21),E21/100,0)</f>
        <v>0</v>
      </c>
      <c r="AI26" s="141" t="s">
        <v>1718</v>
      </c>
      <c r="AJ26" s="8"/>
      <c r="AK26" s="145"/>
      <c r="AM26" s="26"/>
      <c r="AN26" s="481"/>
    </row>
    <row r="27" spans="1:40" ht="13.5" thickBot="1" x14ac:dyDescent="0.25">
      <c r="A27" s="521" t="s">
        <v>899</v>
      </c>
      <c r="B27" s="817" t="str">
        <f>IF(C27="C","Class",IF(C27="S","Specific",IF(C27="T","Tentative","")))</f>
        <v>Class</v>
      </c>
      <c r="C27" s="818" t="str">
        <f>IF(B3="B",IF(TC6_BLDG1!C28&lt;&gt;"SC",TC6_BLDG1!C28,"C"),IF(B3="PP",TC6_PP1!C28,""))</f>
        <v>C</v>
      </c>
      <c r="D27" s="91"/>
      <c r="E27" s="195"/>
      <c r="F27" s="101"/>
      <c r="N27" s="146"/>
      <c r="O27" s="300"/>
      <c r="P27" s="299"/>
      <c r="Q27" s="146"/>
      <c r="R27" s="146"/>
      <c r="S27" s="146"/>
      <c r="U27" s="60" t="s">
        <v>554</v>
      </c>
      <c r="X27" s="60" t="s">
        <v>557</v>
      </c>
      <c r="AC27" s="83" t="s">
        <v>1647</v>
      </c>
      <c r="AD27" s="248">
        <f>ROUND(PRODUCT(AD25:AD26),0)</f>
        <v>0</v>
      </c>
      <c r="AE27" s="248">
        <f>ROUND(PRODUCT(AE25:AE26),0)</f>
        <v>0</v>
      </c>
      <c r="AF27" s="248">
        <f>ROUND(PRODUCT(AF25:AF26),0)</f>
        <v>0</v>
      </c>
      <c r="AG27" s="248">
        <f>ROUND(PRODUCT(AG25:AG26),0)</f>
        <v>0</v>
      </c>
      <c r="AI27" s="141" t="s">
        <v>1719</v>
      </c>
      <c r="AJ27" s="8"/>
      <c r="AK27" s="145"/>
      <c r="AM27" s="26"/>
      <c r="AN27" s="481"/>
    </row>
    <row r="28" spans="1:40" x14ac:dyDescent="0.2">
      <c r="A28" s="108" t="s">
        <v>953</v>
      </c>
      <c r="B28" s="95"/>
      <c r="C28" s="570" t="str">
        <f>IF(B3="B",TC6_BLDG1!C30,IF(B3="PP",TC6_PP1!C30,0))</f>
        <v>No</v>
      </c>
      <c r="D28" s="980" t="s">
        <v>662</v>
      </c>
      <c r="E28" s="474"/>
      <c r="F28" s="956" t="s">
        <v>857</v>
      </c>
      <c r="N28" s="146"/>
      <c r="O28" s="301"/>
      <c r="P28" s="299"/>
      <c r="Q28" s="146"/>
      <c r="R28" s="146"/>
      <c r="S28" s="146"/>
      <c r="U28" s="2" t="s">
        <v>555</v>
      </c>
      <c r="X28" s="834">
        <f>IF(P14=1,0,2)</f>
        <v>0</v>
      </c>
      <c r="Y28" s="2" t="s">
        <v>558</v>
      </c>
      <c r="AI28" s="141" t="s">
        <v>1720</v>
      </c>
      <c r="AJ28" s="8"/>
      <c r="AK28" s="145"/>
      <c r="AM28" s="26"/>
      <c r="AN28" s="481"/>
    </row>
    <row r="29" spans="1:40" ht="13.5" thickBot="1" x14ac:dyDescent="0.25">
      <c r="A29" s="743" t="str">
        <f>IF(B3="B","80% Bldg LC - Grp I / II",IF(B3="PP","80% Pers. Pty LC - Grp I / II","No Rating Available"))</f>
        <v>80% Bldg LC - Grp I / II</v>
      </c>
      <c r="B29" s="749">
        <f>IF(B3="B",TC6_BLDG1!P5,IF(B3="PP",TC6_PP1!P5,0))</f>
        <v>0.126</v>
      </c>
      <c r="C29" s="749">
        <f>IF(B3="B",TC6_BLDG1!Q5,IF(B3="PP",TC6_PP1!Q5,0))</f>
        <v>4.2000000000000003E-2</v>
      </c>
      <c r="D29" s="473" t="s">
        <v>1766</v>
      </c>
      <c r="E29" s="216"/>
      <c r="F29" s="763">
        <f>IF(F28="No",0,F4)</f>
        <v>0</v>
      </c>
      <c r="N29" s="60" t="s">
        <v>1612</v>
      </c>
      <c r="P29" s="235" t="s">
        <v>1012</v>
      </c>
      <c r="Q29" s="235" t="s">
        <v>1013</v>
      </c>
      <c r="R29" s="235" t="s">
        <v>838</v>
      </c>
      <c r="S29" s="235" t="s">
        <v>837</v>
      </c>
      <c r="U29" s="834">
        <f>IF(P13=1,0,2)</f>
        <v>0</v>
      </c>
      <c r="V29" s="2" t="s">
        <v>556</v>
      </c>
      <c r="X29" s="834">
        <f>IF(P13=1,0,4)</f>
        <v>0</v>
      </c>
      <c r="Y29" s="2" t="s">
        <v>556</v>
      </c>
      <c r="AC29" s="685" t="s">
        <v>1433</v>
      </c>
      <c r="AD29" s="907">
        <f>IF(F20="Yes",IF(C12="SP",SUM(AD27:AF27),IF(C12="BR",SUM(AD27:AE27,AG27),SUM(AD27:AE27))),0)</f>
        <v>0</v>
      </c>
      <c r="AI29" s="141" t="s">
        <v>1721</v>
      </c>
      <c r="AJ29" s="8"/>
      <c r="AK29" s="145"/>
      <c r="AM29" s="26"/>
      <c r="AN29" s="481"/>
    </row>
    <row r="30" spans="1:40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IF(B3="B",TC6_BLDG1!C33,IF(B3="PP",TC6_PP1!C33,""))</f>
        <v>6</v>
      </c>
      <c r="D30" s="669" t="s">
        <v>1833</v>
      </c>
      <c r="E30" s="216"/>
      <c r="F30" s="954" t="s">
        <v>857</v>
      </c>
      <c r="O30" s="168" t="str">
        <f>C3&amp;" - Loss Cost"</f>
        <v>Building - Loss Cost</v>
      </c>
      <c r="P30" s="247">
        <f>B29</f>
        <v>0.126</v>
      </c>
      <c r="Q30" s="247">
        <f>C29</f>
        <v>4.2000000000000003E-2</v>
      </c>
      <c r="R30" s="247">
        <f>IF(C12="SP",VLOOKUP(B13,Table_Time_Special,3,FALSE),0)</f>
        <v>6.2E-2</v>
      </c>
      <c r="S30" s="247">
        <f>HLOOKUP(B12,Table_BroadTime,3,FALSE)</f>
        <v>2.3E-2</v>
      </c>
      <c r="U30" s="917">
        <f>IF(P6=1,0,4)</f>
        <v>4</v>
      </c>
      <c r="V30" s="185" t="s">
        <v>1161</v>
      </c>
      <c r="X30" s="917">
        <f>IF(P6=1,0,5)</f>
        <v>5</v>
      </c>
      <c r="Y30" s="185" t="s">
        <v>1161</v>
      </c>
      <c r="AI30" s="141" t="s">
        <v>1722</v>
      </c>
      <c r="AJ30" s="8"/>
      <c r="AK30" s="145"/>
      <c r="AM30" s="26"/>
      <c r="AN30" s="481"/>
    </row>
    <row r="31" spans="1:40" ht="13.5" thickBot="1" x14ac:dyDescent="0.25">
      <c r="A31" s="108" t="s">
        <v>1813</v>
      </c>
      <c r="B31" s="939" t="str">
        <f>IF(B3="B",TC6_BLDG1!C61,IF(B3="PP",TC6_PP1!C57,0))</f>
        <v>NA</v>
      </c>
      <c r="C31" s="570" t="str">
        <f>IF(B3="B",TC6_BLDG1!C59,IF(B3="PP",TC6_PP1!C55,0))</f>
        <v>No</v>
      </c>
      <c r="D31" s="507" t="s">
        <v>677</v>
      </c>
      <c r="E31" s="947" t="s">
        <v>459</v>
      </c>
      <c r="F31" s="772" t="str">
        <f>IF(F30="Yes","B","")</f>
        <v/>
      </c>
      <c r="O31" s="168" t="s">
        <v>970</v>
      </c>
      <c r="P31" s="207">
        <f>IF(C30="Yes",DF_Sprinkler50,1)</f>
        <v>1</v>
      </c>
      <c r="Q31" s="207">
        <v>1</v>
      </c>
      <c r="R31" s="207">
        <v>1</v>
      </c>
      <c r="S31" s="299">
        <v>1</v>
      </c>
      <c r="U31" s="834">
        <f>SUM(U29:U30)</f>
        <v>4</v>
      </c>
      <c r="V31" s="53" t="str">
        <f>"Subtract from the " &amp; IF(OR(U31=6,U31=2),"Terr Mult",IF(U31=4,"Prot Class","Loss Cost"))</f>
        <v>Subtract from the Prot Class</v>
      </c>
      <c r="X31" s="834">
        <f>SUM(X28:X30)</f>
        <v>5</v>
      </c>
      <c r="Y31" s="53" t="str">
        <f>"Subtract from the " &amp; IF(OR(X31=2,X31=6,X31=7,X31=11),"Sprk Lkg",IF(OR(X31=4,X31=9),"Terr Mult",IF(X31=5,"Prot Class","Loss Cost")))</f>
        <v>Subtract from the Prot Class</v>
      </c>
      <c r="AB31" s="266"/>
      <c r="AC31" s="266"/>
      <c r="AD31" s="266"/>
      <c r="AE31" s="558"/>
      <c r="AF31" s="558"/>
      <c r="AG31" s="558"/>
      <c r="AI31" s="85"/>
      <c r="AJ31" s="86"/>
      <c r="AK31" s="86"/>
      <c r="AL31" s="86"/>
      <c r="AM31" s="85"/>
      <c r="AN31" s="196"/>
    </row>
    <row r="32" spans="1:40" ht="13.5" thickBot="1" x14ac:dyDescent="0.25">
      <c r="A32" s="108" t="s">
        <v>1825</v>
      </c>
      <c r="B32" s="747"/>
      <c r="C32" s="570" t="str">
        <f>IF(B3="B",TC6_BLDG1!B60,IF(B3="PP",TC6_PP1!B56,0))</f>
        <v>No</v>
      </c>
      <c r="D32" s="507" t="s">
        <v>1748</v>
      </c>
      <c r="E32" s="947">
        <v>25</v>
      </c>
      <c r="F32" s="771" t="str">
        <f>IF(F30="Yes",E32&amp;"_"&amp;E31,"")</f>
        <v/>
      </c>
      <c r="N32" s="185"/>
      <c r="O32" s="186" t="s">
        <v>971</v>
      </c>
      <c r="P32" s="208">
        <f>HLOOKUP(C11,Table_StateRates,6,FALSE)</f>
        <v>1.9</v>
      </c>
      <c r="Q32" s="208">
        <f>HLOOKUP(C11,Table_StateRates,6,FALSE)</f>
        <v>1.9</v>
      </c>
      <c r="R32" s="208">
        <f>HLOOKUP(C11,Table_StateRates,6,FALSE)</f>
        <v>1.9</v>
      </c>
      <c r="S32" s="208">
        <f>HLOOKUP(C11,Table_StateRates,6,FALSE)</f>
        <v>1.9</v>
      </c>
      <c r="U32" s="146"/>
      <c r="AB32" s="60" t="s">
        <v>552</v>
      </c>
      <c r="AD32" s="235" t="s">
        <v>1012</v>
      </c>
      <c r="AE32" s="235" t="s">
        <v>1013</v>
      </c>
      <c r="AF32" s="235" t="s">
        <v>838</v>
      </c>
      <c r="AG32" s="235" t="s">
        <v>837</v>
      </c>
    </row>
    <row r="33" spans="1:33" ht="13.5" thickBot="1" x14ac:dyDescent="0.25">
      <c r="A33" s="108" t="s">
        <v>1824</v>
      </c>
      <c r="B33" s="748"/>
      <c r="C33" s="570">
        <f>IF(AND(B3="B",TC6_BLDG1!C62="Yes"),TC6_BLDG1!P14,IF(AND(B3="PP",TC6_PP1!C58="Yes"),TC6_PP1!P14,0))</f>
        <v>0</v>
      </c>
      <c r="D33" s="669" t="s">
        <v>1834</v>
      </c>
      <c r="E33" s="261"/>
      <c r="F33" s="954" t="s">
        <v>857</v>
      </c>
      <c r="O33" s="83" t="s">
        <v>1134</v>
      </c>
      <c r="P33" s="247">
        <f>ROUND(PRODUCT(P30:P32),3)</f>
        <v>0.23899999999999999</v>
      </c>
      <c r="Q33" s="247">
        <f>ROUND(PRODUCT(Q30:Q32),3)</f>
        <v>0.08</v>
      </c>
      <c r="R33" s="247">
        <f>ROUND(PRODUCT(R30:R32),3)</f>
        <v>0.11799999999999999</v>
      </c>
      <c r="S33" s="247">
        <f>ROUND(PRODUCT(S30:S32),3)</f>
        <v>4.3999999999999997E-2</v>
      </c>
      <c r="U33" s="479" t="str">
        <f>IF(OR(U31=6,U31=2),"TM",IF(U31=4,"PC","LC"))</f>
        <v>PC</v>
      </c>
      <c r="V33" s="919" t="s">
        <v>559</v>
      </c>
      <c r="X33" s="479" t="str">
        <f>IF(AND(B31="Sprinkler",OR(X31=2,X31=6,X31=7,X31=11)),"SL",IF(AND(OR(B31="NA",ISNUMBER(B31)),OR(X31=4,X31=9)),"TM",IF(AND(OR(B31="NA",ISNUMBER(B31)),X31=5),"PC","LC")))</f>
        <v>PC</v>
      </c>
      <c r="AB33" s="146"/>
      <c r="AC33" s="545" t="s">
        <v>1049</v>
      </c>
      <c r="AD33" s="146">
        <f>VLOOKUP(3,Table_Time_Utility,2,FALSE)</f>
        <v>1.0999999999999999E-2</v>
      </c>
      <c r="AE33" s="146">
        <f>VLOOKUP(3,Table_Time_Utility,3,FALSE)</f>
        <v>2.7E-2</v>
      </c>
      <c r="AF33" s="146">
        <f>VLOOKUP(3,Table_Time_Utility,5,FALSE)</f>
        <v>5.2999999999999999E-2</v>
      </c>
      <c r="AG33" s="563">
        <f>VLOOKUP(3,Table_Time_Utility,4,FALSE)</f>
        <v>0.01</v>
      </c>
    </row>
    <row r="34" spans="1:33" x14ac:dyDescent="0.2">
      <c r="A34" s="122" t="s">
        <v>1469</v>
      </c>
      <c r="B34" s="747"/>
      <c r="C34" s="570" t="str">
        <f>IF(B3="B",TC6_BLDG1!C64,IF(B3="PP",TC6_PP1!C60,0))</f>
        <v>No</v>
      </c>
      <c r="D34" s="669" t="s">
        <v>1835</v>
      </c>
      <c r="E34" s="261"/>
      <c r="F34" s="954" t="s">
        <v>857</v>
      </c>
      <c r="N34" s="185"/>
      <c r="O34" s="186" t="s">
        <v>1258</v>
      </c>
      <c r="P34" s="208">
        <f>VLOOKUP(F5,Table_EE_CoIns,3,FALSE)</f>
        <v>4</v>
      </c>
      <c r="Q34" s="208">
        <f>VLOOKUP(F5,Table_EE_CoIns,3,FALSE)</f>
        <v>4</v>
      </c>
      <c r="R34" s="208">
        <v>1</v>
      </c>
      <c r="S34" s="208">
        <v>1</v>
      </c>
      <c r="AB34" s="185"/>
      <c r="AC34" s="186" t="s">
        <v>1050</v>
      </c>
      <c r="AD34" s="238">
        <f>F25</f>
        <v>0</v>
      </c>
      <c r="AE34" s="238">
        <f>F25</f>
        <v>0</v>
      </c>
      <c r="AF34" s="238">
        <f>F25</f>
        <v>0</v>
      </c>
      <c r="AG34" s="785">
        <f>F25</f>
        <v>0</v>
      </c>
    </row>
    <row r="35" spans="1:33" ht="13.5" thickBot="1" x14ac:dyDescent="0.25">
      <c r="A35" s="526"/>
      <c r="B35" s="96"/>
      <c r="C35" s="987"/>
      <c r="D35" s="507" t="s">
        <v>1836</v>
      </c>
      <c r="E35" s="947"/>
      <c r="F35" s="293"/>
      <c r="O35" s="83" t="s">
        <v>917</v>
      </c>
      <c r="P35" s="247">
        <f>ROUND(PRODUCT(P33:P34),3)</f>
        <v>0.95599999999999996</v>
      </c>
      <c r="Q35" s="247">
        <f>ROUND(PRODUCT(Q33:Q34),3)</f>
        <v>0.32</v>
      </c>
      <c r="R35" s="247">
        <f>ROUND(PRODUCT(R33:R34),3)</f>
        <v>0.11799999999999999</v>
      </c>
      <c r="S35" s="247">
        <f>ROUND(PRODUCT(S33:S34),3)</f>
        <v>4.3999999999999997E-2</v>
      </c>
      <c r="AB35" s="146"/>
      <c r="AC35" s="301" t="s">
        <v>1051</v>
      </c>
      <c r="AD35" s="146">
        <f>ROUND(PRODUCT(AD33:AD34),3)</f>
        <v>0</v>
      </c>
      <c r="AE35" s="146">
        <f>ROUND(PRODUCT(AE33:AE34),3)</f>
        <v>0</v>
      </c>
      <c r="AF35" s="146">
        <f>ROUND(PRODUCT(AF33:AF34),3)</f>
        <v>0</v>
      </c>
      <c r="AG35" s="146">
        <f>ROUND(PRODUCT(AG33:AG34),3)</f>
        <v>0</v>
      </c>
    </row>
    <row r="36" spans="1:33" x14ac:dyDescent="0.2">
      <c r="D36" s="762"/>
      <c r="E36" s="774"/>
      <c r="F36" s="773"/>
      <c r="O36" s="189" t="s">
        <v>1496</v>
      </c>
      <c r="P36" s="247">
        <v>1</v>
      </c>
      <c r="Q36" s="207">
        <f>IF(C32="Yes",VLOOKUP(C15,Table_Construction,3,FALSE),1)</f>
        <v>1</v>
      </c>
      <c r="R36" s="207">
        <v>1</v>
      </c>
      <c r="S36" s="207">
        <v>1</v>
      </c>
      <c r="AC36" s="168" t="s">
        <v>971</v>
      </c>
      <c r="AD36" s="207">
        <f>HLOOKUP(C11,Table_StateRates,6,FALSE)</f>
        <v>1.9</v>
      </c>
      <c r="AE36" s="207">
        <f>HLOOKUP(C11,Table_StateRates,6,FALSE)</f>
        <v>1.9</v>
      </c>
      <c r="AF36" s="207">
        <f>HLOOKUP(C11,Table_StateRates,6,FALSE)</f>
        <v>1.9</v>
      </c>
      <c r="AG36" s="207">
        <f>HLOOKUP(C11,Table_StateRates,6,FALSE)</f>
        <v>1.9</v>
      </c>
    </row>
    <row r="37" spans="1:33" ht="13.5" thickBot="1" x14ac:dyDescent="0.25">
      <c r="A37" s="739"/>
      <c r="B37" s="686"/>
      <c r="C37" s="686"/>
      <c r="D37" s="669" t="s">
        <v>1234</v>
      </c>
      <c r="E37" s="261"/>
      <c r="F37" s="954" t="s">
        <v>857</v>
      </c>
      <c r="O37" s="168" t="s">
        <v>972</v>
      </c>
      <c r="P37" s="207">
        <f>IF(OR(C27="S",C27="T"),1,VLOOKUP(C14,Table_ProtClass,IF(C15&lt;=3,2,3),FALSE)) - IF(AND(C33=1,ISNUMBER(B31),P13=1),B31,0)</f>
        <v>0.96</v>
      </c>
      <c r="Q37" s="207">
        <v>1</v>
      </c>
      <c r="R37" s="207">
        <v>1</v>
      </c>
      <c r="S37" s="207">
        <v>1</v>
      </c>
      <c r="AC37" s="168" t="s">
        <v>1019</v>
      </c>
      <c r="AD37" s="207">
        <f>HLOOKUP(C11,Table_StateRates,5,FALSE)</f>
        <v>1.38</v>
      </c>
      <c r="AE37" s="207">
        <f>HLOOKUP(C11,Table_StateRates,5,FALSE)</f>
        <v>1.38</v>
      </c>
      <c r="AF37" s="207">
        <f>HLOOKUP(C11,Table_StateRates,5,FALSE)</f>
        <v>1.38</v>
      </c>
      <c r="AG37" s="207">
        <f>HLOOKUP(C11,Table_StateRates,5,FALSE)</f>
        <v>1.38</v>
      </c>
    </row>
    <row r="38" spans="1:33" ht="13.5" thickBot="1" x14ac:dyDescent="0.25">
      <c r="A38" s="740"/>
      <c r="B38" s="686"/>
      <c r="C38" s="686"/>
      <c r="D38" s="507" t="s">
        <v>1235</v>
      </c>
      <c r="E38" s="947"/>
      <c r="F38" s="293"/>
      <c r="G38" s="385"/>
      <c r="O38" s="168" t="s">
        <v>1199</v>
      </c>
      <c r="P38" s="247">
        <f>IF(OR(C27="S",C27="T"),1,VLOOKUP(C17,Table_TerrMult,2,FALSE)) - IF(AND((C31)="Yes",ISNUMBER(B31)),B31,0)</f>
        <v>1</v>
      </c>
      <c r="Q38" s="207">
        <v>1</v>
      </c>
      <c r="R38" s="207">
        <v>1</v>
      </c>
      <c r="S38" s="207">
        <v>1</v>
      </c>
      <c r="U38" s="1602" t="s">
        <v>388</v>
      </c>
      <c r="V38" s="1603"/>
      <c r="W38" s="1603"/>
      <c r="X38" s="1603"/>
      <c r="Y38" s="1603"/>
      <c r="Z38" s="1604"/>
      <c r="AC38" s="168" t="s">
        <v>180</v>
      </c>
      <c r="AD38" s="207">
        <v>1</v>
      </c>
      <c r="AE38" s="207">
        <v>1</v>
      </c>
      <c r="AF38" s="207">
        <v>1</v>
      </c>
      <c r="AG38" s="207">
        <v>1</v>
      </c>
    </row>
    <row r="39" spans="1:33" ht="13.5" thickBot="1" x14ac:dyDescent="0.25">
      <c r="A39" s="740"/>
      <c r="B39" s="686"/>
      <c r="C39" s="686"/>
      <c r="D39" s="514"/>
      <c r="E39" s="515"/>
      <c r="F39" s="516"/>
      <c r="G39" s="385"/>
      <c r="O39" s="168" t="s">
        <v>1100</v>
      </c>
      <c r="P39" s="207">
        <f>IF(C31="Yes",IF(ISNUMBER(B31),1,VLOOKUP(C15,Table_SprLkg,IF(B3="B",2,3),FALSE)),1)</f>
        <v>1</v>
      </c>
      <c r="Q39" s="207">
        <v>1</v>
      </c>
      <c r="R39" s="207">
        <v>1</v>
      </c>
      <c r="S39" s="207">
        <v>1</v>
      </c>
      <c r="U39" s="266"/>
      <c r="V39" s="266"/>
      <c r="W39" s="266"/>
      <c r="X39" s="266"/>
      <c r="Y39" s="266"/>
      <c r="Z39" s="266"/>
      <c r="AB39" s="146"/>
      <c r="AC39" s="545" t="s">
        <v>1020</v>
      </c>
      <c r="AD39" s="299">
        <f>IF(C7="PAC",VLOOKUP(B8,Table_PakMods,MATCH(C11,List_Company,0)+1,FALSE),1)</f>
        <v>1</v>
      </c>
      <c r="AE39" s="299">
        <f>IF(C7="PAC",VLOOKUP(B8,Table_PakMods,MATCH(C11,List_Company,0)+1,FALSE),1)</f>
        <v>1</v>
      </c>
      <c r="AF39" s="299">
        <f>IF(C7="PAC",VLOOKUP(B8,Table_PakMods,MATCH(C11,List_Company,0)+1,FALSE),1)</f>
        <v>1</v>
      </c>
      <c r="AG39" s="299">
        <f>IF(C7="PAC",VLOOKUP(B8,Table_PakMods,MATCH(C11,List_Company,0)+1,FALSE),1)</f>
        <v>1</v>
      </c>
    </row>
    <row r="40" spans="1:33" x14ac:dyDescent="0.2">
      <c r="A40" s="686"/>
      <c r="B40" s="686"/>
      <c r="C40" s="686"/>
      <c r="D40" s="737"/>
      <c r="E40" s="686"/>
      <c r="F40" s="385"/>
      <c r="G40" s="385"/>
      <c r="O40" s="236" t="s">
        <v>1099</v>
      </c>
      <c r="P40" s="281">
        <f>C33</f>
        <v>0</v>
      </c>
      <c r="Q40" s="211">
        <v>1</v>
      </c>
      <c r="R40" s="211">
        <v>1</v>
      </c>
      <c r="S40" s="211">
        <v>1</v>
      </c>
      <c r="U40" s="566" t="s">
        <v>1172</v>
      </c>
      <c r="V40" s="266"/>
      <c r="W40" s="266"/>
      <c r="X40" s="266"/>
      <c r="Y40" s="566"/>
      <c r="Z40" s="266"/>
      <c r="AB40" s="542"/>
      <c r="AC40" s="724" t="s">
        <v>1022</v>
      </c>
      <c r="AD40" s="279">
        <v>1</v>
      </c>
      <c r="AE40" s="279">
        <v>1</v>
      </c>
      <c r="AF40" s="279">
        <v>1</v>
      </c>
      <c r="AG40" s="279">
        <v>1</v>
      </c>
    </row>
    <row r="41" spans="1:33" x14ac:dyDescent="0.2">
      <c r="A41" s="739"/>
      <c r="B41" s="686"/>
      <c r="C41" s="686"/>
      <c r="D41" s="737"/>
      <c r="E41" s="686"/>
      <c r="F41" s="385"/>
      <c r="G41" s="385"/>
      <c r="N41" s="209"/>
      <c r="O41" s="210" t="s">
        <v>1016</v>
      </c>
      <c r="P41" s="212">
        <v>1</v>
      </c>
      <c r="Q41" s="212">
        <v>1</v>
      </c>
      <c r="R41" s="212">
        <v>1</v>
      </c>
      <c r="S41" s="212">
        <v>1</v>
      </c>
      <c r="U41" s="266"/>
      <c r="V41" s="486" t="s">
        <v>228</v>
      </c>
      <c r="W41" s="426">
        <f>IF(C21="Yes",HLOOKUP(B21,Table_Terrorism,3,FALSE),0)</f>
        <v>1.4999999999999999E-2</v>
      </c>
      <c r="X41" s="266"/>
      <c r="Y41" s="385"/>
      <c r="Z41" s="702"/>
      <c r="AC41" s="83" t="s">
        <v>1150</v>
      </c>
      <c r="AD41" s="2">
        <f>ROUND(PRODUCT(AD35:AD40),3)</f>
        <v>0</v>
      </c>
      <c r="AE41" s="2">
        <f>ROUND(PRODUCT(AE35:AE40),3)</f>
        <v>0</v>
      </c>
      <c r="AF41" s="2">
        <f>ROUND(PRODUCT(AF35:AF40),3)</f>
        <v>0</v>
      </c>
      <c r="AG41" s="2">
        <f>ROUND(PRODUCT(AG35:AG40),3)</f>
        <v>0</v>
      </c>
    </row>
    <row r="42" spans="1:33" ht="13.5" customHeight="1" x14ac:dyDescent="0.2">
      <c r="A42" s="741"/>
      <c r="B42" s="686"/>
      <c r="C42" s="686"/>
      <c r="D42" s="737"/>
      <c r="E42" s="686"/>
      <c r="F42" s="385"/>
      <c r="G42" s="385"/>
      <c r="O42" s="168" t="s">
        <v>1259</v>
      </c>
      <c r="P42" s="207">
        <f>IF(F7="Yes",VLOOKUP(E8,Table_CivilAuth,2,FALSE),1)</f>
        <v>1</v>
      </c>
      <c r="Q42" s="207">
        <f>IF(F7="Yes",VLOOKUP(E8,Table_CivilAuth,2,FALSE),1)</f>
        <v>1</v>
      </c>
      <c r="R42" s="207">
        <f>IF(F7="Yes",VLOOKUP(E8,Table_CivilAuth,2,FALSE),1)</f>
        <v>1</v>
      </c>
      <c r="S42" s="207">
        <f>IF(F7="Yes",VLOOKUP(E8,Table_CivilAuth,2,FALSE),1)</f>
        <v>1</v>
      </c>
      <c r="U42" s="209"/>
      <c r="V42" s="280" t="s">
        <v>1176</v>
      </c>
      <c r="W42" s="212">
        <v>1</v>
      </c>
      <c r="X42" s="385"/>
      <c r="Y42" s="385"/>
      <c r="Z42" s="702"/>
      <c r="AB42" s="185"/>
      <c r="AC42" s="186" t="s">
        <v>1025</v>
      </c>
      <c r="AD42" s="238">
        <f>IF(ISNUMBER(E21),E21/100,0)</f>
        <v>0</v>
      </c>
      <c r="AE42" s="238">
        <f>IF(ISNUMBER(E21),E21/100,0)</f>
        <v>0</v>
      </c>
      <c r="AF42" s="238">
        <f>IF(ISNUMBER(E21),E21/100,0)</f>
        <v>0</v>
      </c>
      <c r="AG42" s="238">
        <f>IF(ISNUMBER(E21),E21/100,0)</f>
        <v>0</v>
      </c>
    </row>
    <row r="43" spans="1:33" ht="12.75" customHeight="1" x14ac:dyDescent="0.2">
      <c r="A43" s="742"/>
      <c r="B43" s="739"/>
      <c r="C43" s="739"/>
      <c r="D43" s="737"/>
      <c r="E43" s="686"/>
      <c r="F43" s="385"/>
      <c r="G43" s="385"/>
      <c r="O43" s="168" t="s">
        <v>1019</v>
      </c>
      <c r="P43" s="207">
        <f>HLOOKUP(C11,Table_StateRates,5,FALSE)</f>
        <v>1.38</v>
      </c>
      <c r="Q43" s="207">
        <f>HLOOKUP(C11,Table_StateRates,5,FALSE)</f>
        <v>1.38</v>
      </c>
      <c r="R43" s="207">
        <f>HLOOKUP(C11,Table_StateRates,5,FALSE)</f>
        <v>1.38</v>
      </c>
      <c r="S43" s="207">
        <f>HLOOKUP(C11,Table_StateRates,5,FALSE)</f>
        <v>1.38</v>
      </c>
      <c r="U43" s="266"/>
      <c r="V43" s="486" t="s">
        <v>1177</v>
      </c>
      <c r="W43" s="423">
        <f>IF(C22="Yes",VLOOKUP(B21,Table_TerrorNBC,2,FALSE),1)</f>
        <v>1</v>
      </c>
      <c r="X43" s="423"/>
      <c r="Y43" s="385"/>
      <c r="Z43" s="702"/>
      <c r="AC43" s="83" t="s">
        <v>1647</v>
      </c>
      <c r="AD43" s="248">
        <f>ROUND(PRODUCT(AD41:AD42),0)</f>
        <v>0</v>
      </c>
      <c r="AE43" s="248">
        <f>ROUND(PRODUCT(AE41:AE42),0)</f>
        <v>0</v>
      </c>
      <c r="AF43" s="248">
        <f>ROUND(PRODUCT(AF41:AF42),0)</f>
        <v>0</v>
      </c>
      <c r="AG43" s="248">
        <f>ROUND(PRODUCT(AG41:AG42),0)</f>
        <v>0</v>
      </c>
    </row>
    <row r="44" spans="1:33" x14ac:dyDescent="0.2">
      <c r="A44" s="742"/>
      <c r="B44" s="739"/>
      <c r="C44" s="739"/>
      <c r="D44" s="737"/>
      <c r="E44" s="686"/>
      <c r="F44" s="385"/>
      <c r="G44" s="385"/>
      <c r="O44" s="168" t="s">
        <v>180</v>
      </c>
      <c r="P44" s="207">
        <v>1</v>
      </c>
      <c r="Q44" s="207">
        <v>1</v>
      </c>
      <c r="R44" s="207">
        <v>1</v>
      </c>
      <c r="S44" s="207">
        <v>1</v>
      </c>
      <c r="U44" s="266"/>
      <c r="V44" s="486" t="s">
        <v>971</v>
      </c>
      <c r="W44" s="423">
        <f>HLOOKUP(C11,Table_StateRates,6,FALSE)</f>
        <v>1.9</v>
      </c>
      <c r="X44" s="559"/>
      <c r="Y44" s="559"/>
      <c r="Z44" s="877"/>
    </row>
    <row r="45" spans="1:33" x14ac:dyDescent="0.2">
      <c r="A45" s="742"/>
      <c r="B45" s="739"/>
      <c r="C45" s="739"/>
      <c r="D45" s="737"/>
      <c r="E45" s="686"/>
      <c r="F45" s="385"/>
      <c r="G45" s="385"/>
      <c r="N45" s="146"/>
      <c r="O45" s="545" t="s">
        <v>1020</v>
      </c>
      <c r="P45" s="299">
        <f>IF(C7="PAC",VLOOKUP(B8,Table_PakMods,MATCH(C11,List_Company,0)+1,FALSE),1)</f>
        <v>1</v>
      </c>
      <c r="Q45" s="299">
        <f>IF(C7="PAC",VLOOKUP(B8,Table_PakMods,MATCH(C11,List_Company,0)+1,FALSE),1)</f>
        <v>1</v>
      </c>
      <c r="R45" s="299">
        <f>IF(C7="PAC",VLOOKUP(B8,Table_PakMods,MATCH(C11,List_Company,0)+1,FALSE),1)</f>
        <v>1</v>
      </c>
      <c r="S45" s="299">
        <f>IF(C7="PAC",VLOOKUP(B8,Table_PakMods,MATCH(C11,List_Company,0)+1,FALSE),1)</f>
        <v>1</v>
      </c>
      <c r="U45" s="542"/>
      <c r="V45" s="597" t="s">
        <v>1019</v>
      </c>
      <c r="W45" s="279">
        <f>HLOOKUP(C11,Table_StateRates,5,FALSE)</f>
        <v>1.38</v>
      </c>
      <c r="X45" s="426"/>
      <c r="Y45" s="559"/>
      <c r="Z45" s="899"/>
      <c r="AC45" s="685" t="s">
        <v>1434</v>
      </c>
      <c r="AD45" s="907">
        <f>IF(F20="Yes",IF(C12="SP",SUM(AD43:AF43),IF(C12="BR",SUM(AD43:AE43,AG43),SUM(AD43:AE43))),0)</f>
        <v>0</v>
      </c>
    </row>
    <row r="46" spans="1:33" x14ac:dyDescent="0.2">
      <c r="A46" s="742"/>
      <c r="B46" s="686"/>
      <c r="C46" s="686"/>
      <c r="D46" s="737"/>
      <c r="E46" s="686"/>
      <c r="F46" s="385"/>
      <c r="G46" s="385"/>
      <c r="N46" s="542"/>
      <c r="O46" s="724" t="s">
        <v>1022</v>
      </c>
      <c r="P46" s="279">
        <v>1</v>
      </c>
      <c r="Q46" s="279">
        <v>1</v>
      </c>
      <c r="R46" s="279">
        <v>1</v>
      </c>
      <c r="S46" s="279">
        <v>1</v>
      </c>
      <c r="U46" s="385"/>
      <c r="V46" s="685" t="s">
        <v>1134</v>
      </c>
      <c r="W46" s="558">
        <f>ROUND(PRODUCT(W41:W45),3)</f>
        <v>3.9E-2</v>
      </c>
      <c r="X46" s="385"/>
      <c r="Y46" s="559"/>
      <c r="Z46" s="877"/>
    </row>
    <row r="47" spans="1:33" ht="13.5" thickBot="1" x14ac:dyDescent="0.25">
      <c r="A47" s="742"/>
      <c r="B47" s="686"/>
      <c r="C47" s="686"/>
      <c r="D47" s="385"/>
      <c r="E47" s="385"/>
      <c r="F47" s="385"/>
      <c r="G47" s="385"/>
      <c r="O47" s="83" t="s">
        <v>1150</v>
      </c>
      <c r="P47" s="247">
        <f>ROUND(PRODUCT(P35:P38,IF(AND(C31="Yes",B31="Sprinkler",C33&lt;&gt;1),P39-P40,P39),P41:P46),3)</f>
        <v>1.2669999999999999</v>
      </c>
      <c r="Q47" s="247">
        <f>ROUND(PRODUCT(Q35:Q46),3)</f>
        <v>0.442</v>
      </c>
      <c r="R47" s="247">
        <f>ROUND(PRODUCT(R35:R46),3)</f>
        <v>0.16300000000000001</v>
      </c>
      <c r="S47" s="247">
        <f>ROUND(PRODUCT(S35:S46),3)</f>
        <v>6.0999999999999999E-2</v>
      </c>
      <c r="U47" s="385"/>
      <c r="V47" s="702" t="s">
        <v>1178</v>
      </c>
      <c r="W47" s="559">
        <f>VLOOKUP(C14,Table_ProtClass,IF(C15&lt;=3,2,3),FALSE)</f>
        <v>0.96</v>
      </c>
      <c r="X47" s="266"/>
      <c r="Y47" s="266"/>
      <c r="Z47" s="266"/>
    </row>
    <row r="48" spans="1:33" ht="13.5" thickBot="1" x14ac:dyDescent="0.25">
      <c r="A48" s="742"/>
      <c r="B48" s="686"/>
      <c r="C48" s="686"/>
      <c r="D48" s="385"/>
      <c r="E48" s="385"/>
      <c r="F48" s="385"/>
      <c r="G48" s="385"/>
      <c r="N48" s="185"/>
      <c r="O48" s="186" t="s">
        <v>1025</v>
      </c>
      <c r="P48" s="238">
        <f>IF(ISNUMBER(F12),F12/100,0)</f>
        <v>0</v>
      </c>
      <c r="Q48" s="238">
        <f>IF(ISNUMBER(F12),F12/100,0)</f>
        <v>0</v>
      </c>
      <c r="R48" s="238">
        <f>IF(ISNUMBER(F12),F12/100,0)</f>
        <v>0</v>
      </c>
      <c r="S48" s="238">
        <f>IF(ISNUMBER(F12),F12/100,0)</f>
        <v>0</v>
      </c>
      <c r="U48" s="542"/>
      <c r="V48" s="597" t="s">
        <v>1475</v>
      </c>
      <c r="W48" s="279">
        <f>VLOOKUP(F5,Table_EE_CoIns,3,FALSE)</f>
        <v>4</v>
      </c>
      <c r="X48" s="558"/>
      <c r="Y48" s="558"/>
      <c r="Z48" s="558"/>
      <c r="AB48" s="916" t="s">
        <v>553</v>
      </c>
      <c r="AD48" s="734">
        <f>SUM(AD15,AD29,AD45)</f>
        <v>0</v>
      </c>
    </row>
    <row r="49" spans="1:26" x14ac:dyDescent="0.2">
      <c r="A49" s="742"/>
      <c r="B49" s="686"/>
      <c r="C49" s="686"/>
      <c r="D49" s="385"/>
      <c r="E49" s="385"/>
      <c r="F49" s="385"/>
      <c r="G49" s="385"/>
      <c r="O49" s="83" t="s">
        <v>978</v>
      </c>
      <c r="P49" s="248">
        <f>ROUND(PRODUCT(P47:P48),0)</f>
        <v>0</v>
      </c>
      <c r="Q49" s="248">
        <f>ROUND(PRODUCT(Q47:Q48),0)</f>
        <v>0</v>
      </c>
      <c r="R49" s="248">
        <f>ROUND(PRODUCT(R47:R48),0)</f>
        <v>0</v>
      </c>
      <c r="S49" s="248">
        <f>ROUND(PRODUCT(S47:S48),0)</f>
        <v>0</v>
      </c>
      <c r="U49" s="423"/>
      <c r="V49" s="810" t="s">
        <v>1150</v>
      </c>
      <c r="W49" s="426">
        <f>ROUND(PRODUCT(W46:W48),3)</f>
        <v>0.15</v>
      </c>
      <c r="X49" s="559"/>
      <c r="Y49" s="559"/>
      <c r="Z49" s="559"/>
    </row>
    <row r="50" spans="1:26" x14ac:dyDescent="0.2">
      <c r="A50" s="742"/>
      <c r="B50" s="686"/>
      <c r="C50" s="686"/>
      <c r="G50" s="385"/>
      <c r="U50" s="279"/>
      <c r="V50" s="809" t="s">
        <v>1473</v>
      </c>
      <c r="W50" s="487">
        <f>IF(ISNUMBER(F4),F4/100,0)</f>
        <v>10000</v>
      </c>
      <c r="X50" s="559"/>
      <c r="Y50" s="559"/>
      <c r="Z50" s="559"/>
    </row>
    <row r="51" spans="1:26" x14ac:dyDescent="0.2">
      <c r="A51" s="742"/>
      <c r="B51" s="686"/>
      <c r="C51" s="686"/>
      <c r="G51" s="385"/>
      <c r="U51" s="426"/>
      <c r="V51" s="811" t="s">
        <v>1474</v>
      </c>
      <c r="W51" s="812">
        <f>ROUND(PRODUCT(W49:W50),0)</f>
        <v>1500</v>
      </c>
      <c r="X51" s="558"/>
      <c r="Y51" s="558"/>
      <c r="Z51" s="558"/>
    </row>
    <row r="52" spans="1:26" x14ac:dyDescent="0.2">
      <c r="A52" s="742"/>
      <c r="B52" s="686"/>
      <c r="C52" s="686"/>
      <c r="G52" s="385"/>
    </row>
    <row r="53" spans="1:26" x14ac:dyDescent="0.2">
      <c r="A53" s="742"/>
      <c r="B53" s="686"/>
      <c r="C53" s="686"/>
      <c r="G53" s="385"/>
    </row>
    <row r="54" spans="1:26" x14ac:dyDescent="0.2">
      <c r="A54" s="385"/>
      <c r="B54" s="385"/>
      <c r="C54" s="385"/>
      <c r="G54" s="385"/>
      <c r="U54" s="566" t="s">
        <v>1732</v>
      </c>
      <c r="V54" s="266"/>
      <c r="W54" s="266"/>
    </row>
    <row r="55" spans="1:26" x14ac:dyDescent="0.2">
      <c r="A55" s="385"/>
      <c r="B55" s="385"/>
      <c r="C55" s="385"/>
      <c r="F55" s="8"/>
      <c r="G55" s="385"/>
      <c r="U55" s="266"/>
      <c r="V55" s="268" t="s">
        <v>1693</v>
      </c>
      <c r="W55" s="426">
        <f>B29</f>
        <v>0.126</v>
      </c>
    </row>
    <row r="56" spans="1:26" x14ac:dyDescent="0.2">
      <c r="A56" s="385"/>
      <c r="B56" s="385"/>
      <c r="C56" s="385"/>
      <c r="F56" s="139"/>
      <c r="G56" s="385"/>
      <c r="U56" s="266"/>
      <c r="V56" s="268" t="s">
        <v>1695</v>
      </c>
      <c r="W56" s="423" t="e">
        <f>IF(#REF!="Yes",DF_TerrorDT,1)</f>
        <v>#REF!</v>
      </c>
    </row>
    <row r="57" spans="1:26" x14ac:dyDescent="0.2">
      <c r="F57" s="139"/>
      <c r="G57" s="385"/>
      <c r="U57" s="542"/>
      <c r="V57" s="724" t="s">
        <v>1696</v>
      </c>
      <c r="W57" s="757" t="e">
        <f>IF(#REF!="Yes",DF_TerrorDTnbc,1)</f>
        <v>#REF!</v>
      </c>
    </row>
    <row r="58" spans="1:26" x14ac:dyDescent="0.2">
      <c r="F58" s="139"/>
      <c r="U58" s="266"/>
      <c r="V58" s="568" t="s">
        <v>1694</v>
      </c>
      <c r="W58" s="426" t="e">
        <f>ROUND(PRODUCT(W55:W57),3)</f>
        <v>#REF!</v>
      </c>
    </row>
    <row r="59" spans="1:26" x14ac:dyDescent="0.2">
      <c r="G59" s="8"/>
      <c r="U59" s="542"/>
      <c r="V59" s="809" t="s">
        <v>1473</v>
      </c>
      <c r="W59" s="988">
        <f>IF(ISBLANK(F4),0,F4/100)</f>
        <v>10000</v>
      </c>
    </row>
    <row r="60" spans="1:26" x14ac:dyDescent="0.2">
      <c r="G60" s="8"/>
      <c r="U60" s="385"/>
      <c r="V60" s="568" t="s">
        <v>1733</v>
      </c>
      <c r="W60" s="989" t="e">
        <f>ROUND(PRODUCT(W55:W59),0)</f>
        <v>#REF!</v>
      </c>
    </row>
    <row r="61" spans="1:26" x14ac:dyDescent="0.2">
      <c r="G61" s="8"/>
      <c r="U61" s="385"/>
      <c r="V61" s="702"/>
      <c r="W61" s="559"/>
    </row>
    <row r="62" spans="1:26" x14ac:dyDescent="0.2">
      <c r="G62" s="8"/>
      <c r="U62" s="385"/>
      <c r="V62" s="702"/>
      <c r="W62" s="559"/>
    </row>
    <row r="63" spans="1:26" x14ac:dyDescent="0.2">
      <c r="G63" s="8"/>
      <c r="U63" s="559"/>
      <c r="V63" s="877"/>
      <c r="W63" s="558"/>
    </row>
    <row r="64" spans="1:26" x14ac:dyDescent="0.2">
      <c r="U64" s="559"/>
      <c r="V64" s="899"/>
      <c r="W64" s="575"/>
    </row>
    <row r="65" spans="7:23" x14ac:dyDescent="0.2">
      <c r="U65" s="558"/>
      <c r="V65" s="900"/>
      <c r="W65" s="575"/>
    </row>
    <row r="66" spans="7:23" x14ac:dyDescent="0.2">
      <c r="O66" s="168"/>
    </row>
    <row r="67" spans="7:23" x14ac:dyDescent="0.2">
      <c r="O67" s="168"/>
    </row>
    <row r="68" spans="7:23" x14ac:dyDescent="0.2">
      <c r="G68" s="8"/>
    </row>
    <row r="69" spans="7:23" x14ac:dyDescent="0.2">
      <c r="G69" s="8"/>
    </row>
    <row r="70" spans="7:23" x14ac:dyDescent="0.2">
      <c r="G70" s="8"/>
    </row>
    <row r="71" spans="7:23" x14ac:dyDescent="0.2">
      <c r="G71" s="8"/>
    </row>
    <row r="72" spans="7:23" x14ac:dyDescent="0.2">
      <c r="G72" s="8"/>
    </row>
    <row r="73" spans="7:23" x14ac:dyDescent="0.2">
      <c r="G73" s="8"/>
    </row>
    <row r="74" spans="7:23" x14ac:dyDescent="0.2">
      <c r="G74" s="8"/>
    </row>
    <row r="75" spans="7:23" x14ac:dyDescent="0.2">
      <c r="G75" s="8"/>
    </row>
    <row r="76" spans="7:23" x14ac:dyDescent="0.2">
      <c r="G76" s="146"/>
    </row>
  </sheetData>
  <mergeCells count="3">
    <mergeCell ref="H1:L1"/>
    <mergeCell ref="AM24:AN24"/>
    <mergeCell ref="U38:Z38"/>
  </mergeCells>
  <conditionalFormatting sqref="B24">
    <cfRule type="expression" dxfId="150" priority="2" stopIfTrue="1">
      <formula>IF($C$24="Yes",FALSE,TRUE)</formula>
    </cfRule>
  </conditionalFormatting>
  <conditionalFormatting sqref="A18">
    <cfRule type="expression" dxfId="149" priority="1">
      <formula>IF($C$12="SP",TRUE,FALSE)</formula>
    </cfRule>
  </conditionalFormatting>
  <dataValidations count="47">
    <dataValidation type="custom" allowBlank="1" showInputMessage="1" showErrorMessage="1" sqref="E21">
      <formula1>IF(F20="Yes",TRUE,FALSE)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Increased Coverage Period" prompt="Please Select # of Days:_x000a_{ 60, 90, 180 }" sqref="E8">
      <formula1>IF(F7="Yes",OFFSET(Table_CivilAuth,0,0,,1),List_No)</formula1>
    </dataValidation>
    <dataValidation type="custom" allowBlank="1" showInputMessage="1" showErrorMessage="1" sqref="O30 A29 F29 B30 C25 O5">
      <formula1>FALSE</formula1>
    </dataValidation>
    <dataValidation type="custom" allowBlank="1" showInputMessage="1" showErrorMessage="1" errorTitle="Do Not Touch" error="This is used to generate the Coinsurance rate." sqref="B34 E37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C10:C11 C7 B8 C14:C15 B5:C5 C4 C21:C22 C24 C17">
      <formula1>FALSE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list" allowBlank="1" showInputMessage="1" showErrorMessage="1" promptTitle="Utility Services Coverage" prompt="Please Select:_x000a_Yes or No" sqref="F20">
      <formula1>List_YN</formula1>
    </dataValidation>
    <dataValidation type="list" allowBlank="1" showInputMessage="1" showErrorMessage="1" promptTitle="Increased Period of Restoration" prompt="Please Select:_x000a_Yes or No" sqref="F18">
      <formula1>List_YN</formula1>
    </dataValidation>
    <dataValidation type="list" allowBlank="1" showInputMessage="1" showErrorMessage="1" promptTitle="Please Select:" prompt="Yes = Apply Coverage_x000a_No  = Do Not Apply" sqref="F11 F28">
      <formula1>List_YN</formula1>
    </dataValidation>
    <dataValidation type="list" allowBlank="1" showInputMessage="1" showErrorMessage="1" promptTitle="Prior/Intended Building Class:" prompt="Please select your previous or Intended Building Class code for the building type classified." sqref="F15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16">
      <formula1>FALSE</formula1>
    </dataValidation>
    <dataValidation type="custom" allowBlank="1" showInputMessage="1" showErrorMessage="1" promptTitle="Class Rating Group" prompt="Displays Rating Group for Class Code selected." sqref="E13">
      <formula1>FALSE</formula1>
    </dataValidation>
    <dataValidation type="list" allowBlank="1" showInputMessage="1" showErrorMessage="1" promptTitle="Basic Group I - Class Codes" prompt="Please select your building class code" sqref="F13">
      <formula1>OFFSET(Table_G1_LC,0,0,,1)</formula1>
    </dataValidation>
    <dataValidation type="list" allowBlank="1" showInputMessage="1" showErrorMessage="1" promptTitle="Civil Authority Inc. Coverage" prompt="Please Select:_x000a_Yes or No" sqref="F7">
      <formula1>List_YN</formula1>
    </dataValidation>
    <dataValidation type="list" allowBlank="1" showInputMessage="1" showErrorMessage="1" promptTitle="Limits on Loss Payment" prompt="Please Select:_x000a_  35 = 35%-70%-100%_x000a_  40 = 40%-80%-100%_x000a_100 = 100%-100%-100%" sqref="F5">
      <formula1>OFFSET(Table_EE_CoIns,0,0,,1)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type="list" allowBlank="1" showInputMessage="1" showErrorMessage="1" errorTitle="Coverage Not Allowed" error="Business Income Coverage has already been applied to this policy." promptTitle="Please Select:" prompt="Yes = Apply Coverage_x000a_No  = Do Not Apply_x000a__x000a_* Coverage not available if Business Income Coverage has already been applied to policy." sqref="F3">
      <formula1>IF($E$3="BI",List_No,List_YN)</formula1>
    </dataValidation>
    <dataValidation type="custom" allowBlank="1" showInputMessage="1" showErrorMessage="1" promptTitle="EE Availability Indicator:" prompt="BI - indicates that Business Income Coverage has already been applied to the policy._x000a__x000a_Available - indicates EE is still available to be added to the policy." sqref="E3">
      <formula1>FALSE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custom" allowBlank="1" showInputMessage="1" showErrorMessage="1" promptTitle="OH Lines Utility Svc Multiplier" prompt="Displays the multiplier for the Overhead Power Trans &amp; Comm Lines premium calculations." sqref="F25">
      <formula1>FALSE</formula1>
    </dataValidation>
    <dataValidation type="custom" allowBlank="1" showInputMessage="1" showErrorMessage="1" promptTitle="P&amp;W Utility Svc Multiplier" prompt="Displays the multiplier for Power &amp; Water Supply premium calculations." sqref="F22">
      <formula1>FALSE</formula1>
    </dataValidation>
    <dataValidation type="list" allowBlank="1" showInputMessage="1" showErrorMessage="1" promptTitle="OH Power Transmission Lines" prompt="Please Select:_x000a_{ Yes or No }" sqref="E25">
      <formula1>IF($F$20="Yes",List_YN, List_No)</formula1>
    </dataValidation>
    <dataValidation type="list" allowBlank="1" showInputMessage="1" showErrorMessage="1" promptTitle="Ovhd Communication Lines" prompt="Please Select:_x000a_{ Yes or No }" sqref="E26">
      <formula1>IF($F$20="Yes",List_YN, List_No)</formula1>
    </dataValidation>
    <dataValidation type="list" allowBlank="1" showInputMessage="1" showErrorMessage="1" promptTitle="Communications Supply" prompt="Please Select:_x000a_{ Yes or No }" sqref="E24">
      <formula1>IF($F$20="Yes",List_YN, List_No)</formula1>
    </dataValidation>
    <dataValidation type="list" allowBlank="1" showInputMessage="1" showErrorMessage="1" promptTitle="Power &amp; Water Supply" prompt="Please Select:_x000a_{ Yes or No }" sqref="E22:E23">
      <formula1>IF($F$20="Yes",List_YN, List_No)</formula1>
    </dataValidation>
    <dataValidation type="custom" allowBlank="1" showInputMessage="1" showErrorMessage="1" prompt="Relates to Special Form Reference" sqref="B15">
      <formula1>FALSE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30">
      <formula1>IF(AND($F$45="Yes",$C$56&lt;&gt;"Yes"),List_YN,List_No)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37">
      <formula1>IF(OR($C$12="BR",$C$12="BA"),List_No,IF($F$45="Yes",List_YN,List_No))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34">
      <formula1>IF($C$12="SP",List_No,IF($F$45="Yes",List_YN,List_No))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33">
      <formula1>IF($C$12="SP",List_No,IF($F$45="Yes",List_YN,List_No))</formula1>
    </dataValidation>
    <dataValidation type="custom" allowBlank="1" showInputMessage="1" showErrorMessage="1" prompt="EQ Sprinkler Leakage Extension Factor Lookup value." sqref="F31">
      <formula1>FALSE</formula1>
    </dataValidation>
    <dataValidation type="custom" allowBlank="1" showInputMessage="1" showErrorMessage="1" prompt="EQ Table Lookup Value" sqref="F32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32">
      <formula1>OFFSET(Table_EQ_Tiers,0,0,,1)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8">
      <formula1>IF($F$54="Yes",OFFSET(Table_Other_WaterBuyback,0,0,,1),List_No)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5">
      <formula1>IF($F$51="Yes",OFFSET(Table_Other_PierWharf,0,0,,1),List_No)</formula1>
    </dataValidation>
    <dataValidation type="list" allowBlank="1" showInputMessage="1" showErrorMessage="1" promptTitle="EQ Building Class" prompt="Please Select a class from the drop down list." sqref="E31">
      <formula1>IF($F$47="Yes",List_EQBldgClass,List_No)</formula1>
    </dataValidation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5" manualBreakCount="5">
    <brk id="6" max="1048575" man="1"/>
    <brk id="13" max="52" man="1"/>
    <brk id="20" max="52" man="1"/>
    <brk id="27" max="52" man="1"/>
    <brk id="34" max="52" man="1"/>
  </col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Z57"/>
  <sheetViews>
    <sheetView topLeftCell="A16"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2.5703125" style="2" customWidth="1"/>
    <col min="3" max="3" width="12.85546875" style="2" customWidth="1"/>
    <col min="4" max="4" width="26.85546875" style="2" customWidth="1"/>
    <col min="5" max="5" width="12.5703125" style="2" customWidth="1"/>
    <col min="6" max="6" width="11.85546875" style="2" customWidth="1"/>
    <col min="7" max="7" width="9.140625" style="2"/>
    <col min="8" max="8" width="20.85546875" style="2" customWidth="1"/>
    <col min="9" max="9" width="17.85546875" style="2" customWidth="1"/>
    <col min="10" max="10" width="12.85546875" style="2" customWidth="1"/>
    <col min="11" max="11" width="19.5703125" style="2" customWidth="1"/>
    <col min="12" max="12" width="9.140625" style="2"/>
    <col min="13" max="13" width="14.7109375" style="2" customWidth="1"/>
    <col min="14" max="14" width="25.85546875" style="2" customWidth="1"/>
    <col min="15" max="15" width="14.140625" style="2" customWidth="1"/>
    <col min="16" max="16" width="9.140625" style="2"/>
    <col min="17" max="17" width="14.7109375" style="2" customWidth="1"/>
    <col min="18" max="18" width="23.85546875" style="2" customWidth="1"/>
    <col min="19" max="19" width="14.140625" style="2" customWidth="1"/>
    <col min="20" max="20" width="9.140625" style="2"/>
    <col min="21" max="21" width="34.28515625" style="2" customWidth="1"/>
    <col min="22" max="22" width="23.7109375" style="2" customWidth="1"/>
    <col min="23" max="23" width="14.28515625" style="2" customWidth="1"/>
    <col min="24" max="16384" width="9.140625" style="2"/>
  </cols>
  <sheetData>
    <row r="1" spans="1:23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1723</v>
      </c>
      <c r="I1" s="1595"/>
      <c r="J1" s="1595"/>
      <c r="K1" s="1596"/>
      <c r="U1" s="1617" t="s">
        <v>949</v>
      </c>
      <c r="V1" s="1617"/>
      <c r="W1" s="1617"/>
    </row>
    <row r="2" spans="1:23" ht="12.75" customHeight="1" thickBot="1" x14ac:dyDescent="0.25">
      <c r="A2" s="161" t="s">
        <v>832</v>
      </c>
      <c r="B2" s="162"/>
      <c r="C2" s="163"/>
      <c r="D2" s="529" t="s">
        <v>897</v>
      </c>
      <c r="E2" s="531"/>
      <c r="F2" s="532"/>
      <c r="M2" s="60" t="s">
        <v>1767</v>
      </c>
      <c r="Q2" s="60" t="s">
        <v>1769</v>
      </c>
    </row>
    <row r="3" spans="1:23" ht="13.5" thickBot="1" x14ac:dyDescent="0.25">
      <c r="A3" s="120" t="s">
        <v>1024</v>
      </c>
      <c r="B3" s="95"/>
      <c r="C3" s="1085" t="str">
        <f>DF_State</f>
        <v>CT</v>
      </c>
      <c r="D3" s="203" t="s">
        <v>306</v>
      </c>
      <c r="E3" s="216"/>
      <c r="F3" s="204" t="s">
        <v>857</v>
      </c>
      <c r="H3" s="1273">
        <f>Summary6</f>
        <v>0</v>
      </c>
      <c r="I3" s="557"/>
      <c r="J3" s="557"/>
      <c r="N3" s="168" t="s">
        <v>1761</v>
      </c>
      <c r="O3" s="247">
        <f>IF(C31="Yes",VLOOKUP(B32,Table_EQ_LC,3,FALSE),0)</f>
        <v>5.0000000000000001E-3</v>
      </c>
      <c r="R3" s="168" t="s">
        <v>1761</v>
      </c>
      <c r="S3" s="247">
        <f>IF(C31="Yes",VLOOKUP(B32,Table_EQ_LC,3,FALSE),VLOOKUP(B42,Table_EQ_LC,MATCH(C47,List_PPGrade,0)+3,FALSE))</f>
        <v>5.0000000000000001E-3</v>
      </c>
      <c r="U3" s="154" t="s">
        <v>950</v>
      </c>
      <c r="V3" s="86"/>
      <c r="W3" s="156" t="s">
        <v>951</v>
      </c>
    </row>
    <row r="4" spans="1:23" x14ac:dyDescent="0.2">
      <c r="A4" s="1036" t="s">
        <v>1828</v>
      </c>
      <c r="B4" s="1041"/>
      <c r="C4" s="1098"/>
      <c r="D4" s="107" t="s">
        <v>961</v>
      </c>
      <c r="E4" s="272"/>
      <c r="F4" s="704"/>
      <c r="H4" s="82"/>
      <c r="I4" s="189"/>
      <c r="J4" s="4"/>
      <c r="M4" s="146"/>
      <c r="N4" s="545" t="s">
        <v>971</v>
      </c>
      <c r="O4" s="299" t="e">
        <f>HLOOKUP(C10,Table_StateRates,6,FALSE)</f>
        <v>#N/A</v>
      </c>
      <c r="Q4" s="146"/>
      <c r="R4" s="545" t="s">
        <v>971</v>
      </c>
      <c r="S4" s="299" t="e">
        <f>HLOOKUP(C10,Table_StateRates,6,FALSE)</f>
        <v>#N/A</v>
      </c>
      <c r="U4" s="686" t="s">
        <v>1715</v>
      </c>
      <c r="W4" s="155">
        <f>IF(W22&lt;-0.05,-0.05,IF(W22&gt;0.05,0.05,W22))</f>
        <v>0</v>
      </c>
    </row>
    <row r="5" spans="1:23" x14ac:dyDescent="0.2">
      <c r="A5" s="120"/>
      <c r="B5" s="95"/>
      <c r="C5" s="1039"/>
      <c r="D5" s="124" t="s">
        <v>1218</v>
      </c>
      <c r="E5" s="417">
        <f>IF(F5="Yes",2,3)</f>
        <v>3</v>
      </c>
      <c r="F5" s="704" t="s">
        <v>857</v>
      </c>
      <c r="H5" s="82" t="s">
        <v>1759</v>
      </c>
      <c r="I5" s="258"/>
      <c r="J5" s="259" t="e">
        <f>IF(C31="Yes",O15,0)</f>
        <v>#N/A</v>
      </c>
      <c r="N5" s="189" t="s">
        <v>1497</v>
      </c>
      <c r="O5" s="207">
        <v>1</v>
      </c>
      <c r="R5" s="189" t="s">
        <v>1253</v>
      </c>
      <c r="S5" s="247">
        <f>IF(OR(ISBLANK(F7),F7="None"),1,IF(E8="Yes",F14,VLOOKUP(F7,IF(F5="Yes",Table_BI_CoIns_EE,Table_BI_CoIns),F8+1,FALSE)))</f>
        <v>1</v>
      </c>
      <c r="U5" s="151" t="s">
        <v>1714</v>
      </c>
      <c r="W5" s="155">
        <f>IF(W23&lt;-0.06,-0.06,IF(W23&gt;0.06,0.06,W23))</f>
        <v>0</v>
      </c>
    </row>
    <row r="6" spans="1:23" x14ac:dyDescent="0.2">
      <c r="A6" s="120" t="s">
        <v>969</v>
      </c>
      <c r="B6" s="95"/>
      <c r="C6" s="1093" t="s">
        <v>980</v>
      </c>
      <c r="D6" s="84" t="s">
        <v>1227</v>
      </c>
      <c r="E6" s="193"/>
      <c r="F6" s="704" t="s">
        <v>857</v>
      </c>
      <c r="H6" s="189"/>
      <c r="I6" s="258"/>
      <c r="J6" s="259"/>
      <c r="N6" s="168" t="s">
        <v>1017</v>
      </c>
      <c r="O6" s="247">
        <f>VLOOKUP(C27,Table_EQ_CoIns,2,FALSE)</f>
        <v>1</v>
      </c>
      <c r="R6" s="168" t="s">
        <v>1086</v>
      </c>
      <c r="S6" s="207">
        <f>IF(F6="Yes",DF_BI_AV,1)</f>
        <v>1</v>
      </c>
      <c r="U6" s="8" t="s">
        <v>1716</v>
      </c>
      <c r="W6" s="155">
        <f>IF(W24&lt;-0.06,-0.06,IF(W24&gt;0.06,0.06,W24))</f>
        <v>0</v>
      </c>
    </row>
    <row r="7" spans="1:23" ht="13.5" thickBot="1" x14ac:dyDescent="0.25">
      <c r="A7" s="143" t="s">
        <v>923</v>
      </c>
      <c r="B7" s="940" t="s">
        <v>857</v>
      </c>
      <c r="C7" s="1039"/>
      <c r="D7" s="84" t="s">
        <v>1085</v>
      </c>
      <c r="E7" s="103"/>
      <c r="F7" s="704" t="s">
        <v>1883</v>
      </c>
      <c r="H7" s="82" t="s">
        <v>1758</v>
      </c>
      <c r="I7" s="248"/>
      <c r="N7" s="168" t="s">
        <v>1018</v>
      </c>
      <c r="O7" s="1417" t="str">
        <f>IF(C31="Yes",VLOOKUP(B38,Table_EQ_Deductible,MATCH(IF(B37&gt;C37,B37,C37),List_EQDeductibles,0)+1,FALSE),0)</f>
        <v>NA</v>
      </c>
      <c r="R7" s="168" t="s">
        <v>1088</v>
      </c>
      <c r="S7" s="207">
        <f>IF(OR(C20="S",C20="T"),VLOOKUP(IF(C31="Yes",C39,C51),Table_EQ_OptStory,3,FALSE),1)</f>
        <v>1</v>
      </c>
      <c r="U7" s="8" t="s">
        <v>1717</v>
      </c>
      <c r="W7" s="155">
        <f>IF(W25&lt;-0.1,-0.1,IF(W25&gt;0.1,0.1,W25))</f>
        <v>0</v>
      </c>
    </row>
    <row r="8" spans="1:23" ht="13.5" thickBot="1" x14ac:dyDescent="0.25">
      <c r="A8" s="120"/>
      <c r="B8" s="95"/>
      <c r="C8" s="1039"/>
      <c r="D8" s="84" t="s">
        <v>1205</v>
      </c>
      <c r="E8" s="479" t="s">
        <v>857</v>
      </c>
      <c r="F8" s="706"/>
      <c r="H8" s="82"/>
      <c r="I8" s="972" t="s">
        <v>1797</v>
      </c>
      <c r="J8" s="259">
        <f>IF(C41="Yes",O30,0)</f>
        <v>0</v>
      </c>
      <c r="N8" s="168" t="s">
        <v>1086</v>
      </c>
      <c r="O8" s="207">
        <f>IF(C28="Yes",DF_AgreedFctr,1)</f>
        <v>1.05</v>
      </c>
      <c r="R8" s="83" t="s">
        <v>1251</v>
      </c>
      <c r="S8" s="207">
        <f>IF(F17="Yes",VLOOKUP(F8,Table_BI_MaxInd,E5,FALSE)+S17,1)</f>
        <v>1</v>
      </c>
      <c r="U8" s="687" t="s">
        <v>1718</v>
      </c>
      <c r="W8" s="155">
        <f>IF(W26&lt;-0.06,-0.06,IF(W26&gt;0.06,0.06,W26))</f>
        <v>0</v>
      </c>
    </row>
    <row r="9" spans="1:23" x14ac:dyDescent="0.2">
      <c r="A9" s="120" t="s">
        <v>1829</v>
      </c>
      <c r="B9" s="95"/>
      <c r="C9" s="1094">
        <v>1</v>
      </c>
      <c r="D9" s="695" t="str">
        <f>IF(F3="No","",IF(E8="Yes","Please Select the 2 Occ. Types below","Select 1 Occ. Type in the shaded cell above"))</f>
        <v/>
      </c>
      <c r="E9" s="487"/>
      <c r="F9" s="533"/>
      <c r="H9" s="82"/>
      <c r="I9" s="972" t="s">
        <v>1798</v>
      </c>
      <c r="J9" s="259">
        <f>IF(B54="Yes",O39,0)</f>
        <v>0</v>
      </c>
      <c r="N9" s="168" t="s">
        <v>1768</v>
      </c>
      <c r="O9" s="207">
        <f>IF(OR(C33="1C",C33="1D"),VLOOKUP(B36,Table_EQ_Masonry,3,FALSE),1)</f>
        <v>1</v>
      </c>
      <c r="R9" s="83" t="s">
        <v>1252</v>
      </c>
      <c r="S9" s="207">
        <f ca="1">IF(F18="Yes",VLOOKUP(E19,INDIRECT("Table_BI_Mos"&amp;F8),E5,FALSE)+S17,1)</f>
        <v>1</v>
      </c>
      <c r="U9" s="153" t="s">
        <v>1719</v>
      </c>
      <c r="W9" s="155">
        <f>IF(W27&lt;-0.025,-0.025,IF(W27&gt;0.025,0.025,W27))</f>
        <v>0</v>
      </c>
    </row>
    <row r="10" spans="1:23" x14ac:dyDescent="0.2">
      <c r="A10" s="120" t="s">
        <v>835</v>
      </c>
      <c r="B10" s="95"/>
      <c r="C10" s="1093" t="s">
        <v>1862</v>
      </c>
      <c r="D10" s="159" t="s">
        <v>1662</v>
      </c>
      <c r="E10" s="443"/>
      <c r="F10" s="704"/>
      <c r="H10" s="82"/>
      <c r="I10" s="972" t="s">
        <v>1799</v>
      </c>
      <c r="J10" s="259">
        <f>IF(B55="Yes",O44,0)</f>
        <v>0</v>
      </c>
      <c r="N10" s="168" t="s">
        <v>180</v>
      </c>
      <c r="O10" s="207">
        <f>1+ $Y$24</f>
        <v>1</v>
      </c>
      <c r="R10" s="882" t="s">
        <v>1547</v>
      </c>
      <c r="S10" s="299">
        <f>IF(AND(F20="Yes",OR(E21=1,E21=3)),VLOOKUP(F7,Table_BI_Educ,E5,FALSE),1)</f>
        <v>1</v>
      </c>
      <c r="U10" s="687" t="s">
        <v>1720</v>
      </c>
      <c r="W10" s="155">
        <f>IF(W28&lt;-0.025,-0.025,IF(W28&gt;0.025,0.025,W28))</f>
        <v>0</v>
      </c>
    </row>
    <row r="11" spans="1:23" ht="13.5" thickBot="1" x14ac:dyDescent="0.25">
      <c r="A11" s="415" t="s">
        <v>910</v>
      </c>
      <c r="B11" s="493">
        <f>IF(OR(C14=5,C14=6),1,2)</f>
        <v>2</v>
      </c>
      <c r="C11" s="704" t="s">
        <v>1678</v>
      </c>
      <c r="D11" s="159" t="s">
        <v>1663</v>
      </c>
      <c r="E11" s="442"/>
      <c r="F11" s="704"/>
      <c r="H11" s="82"/>
      <c r="I11" s="972" t="s">
        <v>1795</v>
      </c>
      <c r="J11" s="259">
        <f>IF(B56="Yes",O49,0)</f>
        <v>0</v>
      </c>
      <c r="M11" s="146"/>
      <c r="N11" s="545" t="s">
        <v>1020</v>
      </c>
      <c r="O11" s="299">
        <f>IF(C6="PAC",VLOOKUP(B7,Table_PakMods,MATCH(C11,List_Company,0)+1,FALSE),1)</f>
        <v>1</v>
      </c>
      <c r="R11" s="83" t="s">
        <v>1549</v>
      </c>
      <c r="S11" s="207">
        <f>IF(AND(F20="Yes",E21=2),VLOOKUP(F7,Table_BI_Educ,E5,FALSE)+IF(F21&gt;4,SUM(4*0.02,(F21-4)*0.04),F21*0.02),1)</f>
        <v>1</v>
      </c>
      <c r="U11" s="687" t="s">
        <v>1721</v>
      </c>
      <c r="W11" s="155">
        <f>IF(W29&lt;-0.075,-0.075,IF(W29&gt;0.075,0.075,W29))</f>
        <v>0</v>
      </c>
    </row>
    <row r="12" spans="1:23" ht="13.5" thickBot="1" x14ac:dyDescent="0.25">
      <c r="A12" s="507" t="s">
        <v>1069</v>
      </c>
      <c r="B12" s="498">
        <f>IF(C12=1,2,IF(C14&lt;4,3,4))</f>
        <v>3</v>
      </c>
      <c r="C12" s="1088" t="s">
        <v>857</v>
      </c>
      <c r="D12" s="159" t="s">
        <v>1223</v>
      </c>
      <c r="E12" s="442"/>
      <c r="F12" s="704"/>
      <c r="H12" s="975"/>
      <c r="I12" s="795" t="s">
        <v>1796</v>
      </c>
      <c r="J12" s="884">
        <f>IF(B57="Yes",O54,0)</f>
        <v>0</v>
      </c>
      <c r="M12" s="542"/>
      <c r="N12" s="724" t="s">
        <v>1022</v>
      </c>
      <c r="O12" s="279">
        <f>1+$W$14</f>
        <v>1</v>
      </c>
      <c r="R12" s="189" t="s">
        <v>1254</v>
      </c>
      <c r="S12" s="207">
        <f>IF(F25="Yes",VLOOKUP(E5,Table_BI_Seasonal,2,FALSE),1)</f>
        <v>1</v>
      </c>
      <c r="U12" s="8" t="s">
        <v>1722</v>
      </c>
      <c r="W12" s="155">
        <f>IF(W30&lt;-0.05,-0.05,IF(W30&gt;0.05,0.05,W30))</f>
        <v>0</v>
      </c>
    </row>
    <row r="13" spans="1:23" ht="13.5" thickBot="1" x14ac:dyDescent="0.25">
      <c r="A13" s="108" t="s">
        <v>898</v>
      </c>
      <c r="B13" s="95"/>
      <c r="C13" s="1093">
        <v>3</v>
      </c>
      <c r="D13" s="480"/>
      <c r="E13" s="489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82"/>
      <c r="I13" s="890" t="s">
        <v>1802</v>
      </c>
      <c r="J13" s="259">
        <f>SUM(J8:J12)</f>
        <v>0</v>
      </c>
      <c r="N13" s="83" t="s">
        <v>1150</v>
      </c>
      <c r="O13" s="247" t="e">
        <f>ROUND(PRODUCT(O3:O12),3)</f>
        <v>#N/A</v>
      </c>
      <c r="R13" s="189" t="s">
        <v>1255</v>
      </c>
      <c r="S13" s="207">
        <f>IF(F15="Yes",VLOOKUP(E16,Table_BI_IndDays,2,FALSE),1)</f>
        <v>1</v>
      </c>
      <c r="U13" s="8"/>
      <c r="W13" s="155"/>
    </row>
    <row r="14" spans="1:23" ht="13.5" thickBot="1" x14ac:dyDescent="0.25">
      <c r="A14" s="108" t="s">
        <v>1073</v>
      </c>
      <c r="B14" s="494"/>
      <c r="C14" s="704">
        <v>1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696" t="str">
        <f>IF(AND(E8="Yes",E14="Area"),ROUND(SUM(E13:F13)/SUM(E11:F11),3),IF(AND(E8="Yes",E14="Value"),ROUND(SUM(E12:F12)/SUM(E13:F13),3),""))</f>
        <v/>
      </c>
      <c r="H14" s="82"/>
      <c r="I14" s="248"/>
      <c r="J14" s="259"/>
      <c r="M14" s="185"/>
      <c r="N14" s="186" t="s">
        <v>1025</v>
      </c>
      <c r="O14" s="238">
        <f>IF(ISNUMBER(C32),C32/100,0)</f>
        <v>2500</v>
      </c>
      <c r="R14" s="168" t="s">
        <v>1256</v>
      </c>
      <c r="S14" s="207">
        <f>IF(F22="Yes",VLOOKUP(E23,Table_BI_OrdPR,2,FALSE),1)</f>
        <v>1</v>
      </c>
      <c r="V14" s="60" t="s">
        <v>952</v>
      </c>
      <c r="W14" s="157">
        <f>IF(SUM(W4:W13)&lt;-0.4,-0.4,IF(SUM(W4:W13)&gt;0.4,0.4,SUM(W4:W13)))</f>
        <v>0</v>
      </c>
    </row>
    <row r="15" spans="1:23" ht="13.5" customHeight="1" x14ac:dyDescent="0.2">
      <c r="A15" s="84" t="s">
        <v>975</v>
      </c>
      <c r="B15" s="160"/>
      <c r="C15" s="1116" t="s">
        <v>18</v>
      </c>
      <c r="D15" s="84" t="s">
        <v>1224</v>
      </c>
      <c r="E15" s="193"/>
      <c r="F15" s="1101" t="s">
        <v>857</v>
      </c>
      <c r="H15" s="82"/>
      <c r="I15" s="248"/>
      <c r="J15" s="259"/>
      <c r="N15" s="83" t="s">
        <v>1767</v>
      </c>
      <c r="O15" s="248" t="e">
        <f>ROUND(PRODUCT(O13:O14),0)</f>
        <v>#N/A</v>
      </c>
      <c r="R15" s="168" t="s">
        <v>1257</v>
      </c>
      <c r="S15" s="207">
        <f>IF(F24="Yes",DF_BI_Power,1)</f>
        <v>1</v>
      </c>
    </row>
    <row r="16" spans="1:23" ht="13.5" thickBot="1" x14ac:dyDescent="0.25">
      <c r="A16" s="122" t="s">
        <v>974</v>
      </c>
      <c r="B16" s="95"/>
      <c r="C16" s="1048">
        <v>1</v>
      </c>
      <c r="D16" s="159" t="s">
        <v>1244</v>
      </c>
      <c r="E16" s="963"/>
      <c r="F16" s="277"/>
      <c r="H16" s="576"/>
      <c r="I16" s="248"/>
      <c r="J16" s="248"/>
      <c r="R16" s="268" t="s">
        <v>1259</v>
      </c>
      <c r="S16" s="423">
        <f>IF(F26="Yes",VLOOKUP(E27,Table_CivilAuth,2,FALSE),1)</f>
        <v>1</v>
      </c>
    </row>
    <row r="17" spans="1:26" ht="15" customHeight="1" x14ac:dyDescent="0.2">
      <c r="A17" s="1195" t="s">
        <v>2097</v>
      </c>
      <c r="B17" s="95"/>
      <c r="C17" s="1194"/>
      <c r="D17" s="84" t="s">
        <v>1204</v>
      </c>
      <c r="E17" s="193"/>
      <c r="F17" s="962" t="s">
        <v>857</v>
      </c>
      <c r="H17" s="483" t="s">
        <v>1661</v>
      </c>
      <c r="I17" s="248"/>
      <c r="J17" s="248"/>
      <c r="R17" s="267" t="s">
        <v>1592</v>
      </c>
      <c r="S17" s="426">
        <f>IF(F28="Yes",VLOOKUP(E29,Table_BI_Mining,2,FALSE),0)</f>
        <v>0</v>
      </c>
      <c r="U17" s="136" t="s">
        <v>947</v>
      </c>
      <c r="V17" s="137"/>
      <c r="W17" s="137"/>
      <c r="X17" s="137"/>
      <c r="Y17" s="136" t="s">
        <v>938</v>
      </c>
      <c r="Z17" s="517"/>
    </row>
    <row r="18" spans="1:26" ht="13.5" thickBot="1" x14ac:dyDescent="0.25">
      <c r="A18" s="526"/>
      <c r="B18" s="96"/>
      <c r="C18" s="1099"/>
      <c r="D18" s="84" t="s">
        <v>1203</v>
      </c>
      <c r="E18" s="193"/>
      <c r="F18" s="962" t="s">
        <v>857</v>
      </c>
      <c r="H18" s="486"/>
      <c r="I18" s="486" t="s">
        <v>977</v>
      </c>
      <c r="J18" s="259">
        <f>IF(AND(C31="Yes",F3="Yes"),S25,0)</f>
        <v>0</v>
      </c>
      <c r="M18" s="60" t="s">
        <v>1797</v>
      </c>
      <c r="R18" s="268" t="s">
        <v>821</v>
      </c>
      <c r="S18" s="423">
        <f>IF(AND(F31="Yes",E32="24-HR"),VLOOKUP(E32,Table_BI_Wait,3,FALSE),1)</f>
        <v>1</v>
      </c>
      <c r="U18" s="138" t="s">
        <v>939</v>
      </c>
      <c r="V18" s="8"/>
      <c r="W18" s="8"/>
      <c r="X18" s="8"/>
      <c r="Y18" s="445" t="s">
        <v>940</v>
      </c>
      <c r="Z18" s="481"/>
    </row>
    <row r="19" spans="1:26" ht="15" customHeight="1" thickBot="1" x14ac:dyDescent="0.25">
      <c r="A19" s="529" t="s">
        <v>300</v>
      </c>
      <c r="B19" s="531"/>
      <c r="C19" s="532"/>
      <c r="D19" s="159" t="s">
        <v>1225</v>
      </c>
      <c r="E19" s="965" t="s">
        <v>857</v>
      </c>
      <c r="F19" s="1065"/>
      <c r="H19" s="486"/>
      <c r="I19" s="486" t="s">
        <v>978</v>
      </c>
      <c r="J19" s="259">
        <f>IF(AND(C31="Yes",F34="Yes"),S38,0)</f>
        <v>0</v>
      </c>
      <c r="N19" s="168" t="s">
        <v>1083</v>
      </c>
      <c r="O19" s="247">
        <f>IF(C41="Yes",VLOOKUP(B42,Table_EQ_LC,MATCH(C47,List_PPGrade,0)+3,FALSE),0)</f>
        <v>0</v>
      </c>
      <c r="R19" s="568" t="s">
        <v>822</v>
      </c>
      <c r="S19" s="423">
        <f>IF(AND(F31="Yes",E32="None"),VLOOKUP(E32,Table_BI_Wait,3,FALSE),1)</f>
        <v>1</v>
      </c>
      <c r="U19" s="138" t="s">
        <v>941</v>
      </c>
      <c r="V19" s="8"/>
      <c r="W19" s="8"/>
      <c r="X19" s="8"/>
      <c r="Y19" s="26"/>
      <c r="Z19" s="481"/>
    </row>
    <row r="20" spans="1:26" x14ac:dyDescent="0.2">
      <c r="A20" s="521" t="s">
        <v>899</v>
      </c>
      <c r="B20" s="95"/>
      <c r="C20" s="1094" t="s">
        <v>83</v>
      </c>
      <c r="D20" s="534" t="s">
        <v>1233</v>
      </c>
      <c r="E20" s="273"/>
      <c r="F20" s="962" t="s">
        <v>857</v>
      </c>
      <c r="H20" s="486"/>
      <c r="I20" s="705"/>
      <c r="J20" s="485"/>
      <c r="M20" s="146"/>
      <c r="N20" s="545" t="s">
        <v>971</v>
      </c>
      <c r="O20" s="299" t="e">
        <f>HLOOKUP(C10,Table_StateRates,6,FALSE)</f>
        <v>#N/A</v>
      </c>
      <c r="R20" s="168" t="s">
        <v>180</v>
      </c>
      <c r="S20" s="207">
        <f>1+ $Y$24</f>
        <v>1</v>
      </c>
      <c r="U20" s="26"/>
      <c r="V20" s="8"/>
      <c r="W20" s="8"/>
      <c r="X20" s="8"/>
      <c r="Y20" s="727" t="s">
        <v>942</v>
      </c>
      <c r="Z20" s="481"/>
    </row>
    <row r="21" spans="1:26" x14ac:dyDescent="0.2">
      <c r="A21" s="124" t="s">
        <v>959</v>
      </c>
      <c r="B21" s="496"/>
      <c r="C21" s="1064"/>
      <c r="D21" s="535" t="s">
        <v>1550</v>
      </c>
      <c r="E21" s="948"/>
      <c r="F21" s="966"/>
      <c r="H21" s="189"/>
      <c r="I21" s="705" t="s">
        <v>1084</v>
      </c>
      <c r="J21" s="260">
        <f>SUM(J18:J19)</f>
        <v>0</v>
      </c>
      <c r="N21" s="189" t="s">
        <v>1497</v>
      </c>
      <c r="O21" s="207">
        <v>1</v>
      </c>
      <c r="Q21" s="146"/>
      <c r="R21" s="545" t="s">
        <v>1020</v>
      </c>
      <c r="S21" s="299">
        <f>IF(C6="PAC",VLOOKUP(B7,Table_PakMods,MATCH(C11,List_Company,0)+1,FALSE),1)</f>
        <v>1</v>
      </c>
      <c r="U21" s="445" t="s">
        <v>943</v>
      </c>
      <c r="V21" s="8"/>
      <c r="W21" s="142" t="s">
        <v>944</v>
      </c>
      <c r="X21" s="8"/>
      <c r="Y21" s="727" t="s">
        <v>945</v>
      </c>
      <c r="Z21" s="481"/>
    </row>
    <row r="22" spans="1:26" x14ac:dyDescent="0.2">
      <c r="A22" s="108" t="s">
        <v>953</v>
      </c>
      <c r="B22" s="95"/>
      <c r="C22" s="735" t="s">
        <v>857</v>
      </c>
      <c r="D22" s="444" t="s">
        <v>1229</v>
      </c>
      <c r="E22" s="103"/>
      <c r="F22" s="966" t="s">
        <v>857</v>
      </c>
      <c r="H22" s="486"/>
      <c r="I22" s="485"/>
      <c r="J22" s="485"/>
      <c r="N22" s="168" t="s">
        <v>1017</v>
      </c>
      <c r="O22" s="247">
        <f>VLOOKUP(C27,Table_EQ_CoIns,2,FALSE)</f>
        <v>1</v>
      </c>
      <c r="Q22" s="542"/>
      <c r="R22" s="724" t="s">
        <v>1022</v>
      </c>
      <c r="S22" s="279">
        <f>1+$W$14</f>
        <v>1</v>
      </c>
      <c r="U22" s="140" t="s">
        <v>1715</v>
      </c>
      <c r="V22" s="8"/>
      <c r="W22" s="144"/>
      <c r="X22" s="8"/>
      <c r="Y22" s="727" t="s">
        <v>946</v>
      </c>
      <c r="Z22" s="481"/>
    </row>
    <row r="23" spans="1:26" ht="13.5" thickBot="1" x14ac:dyDescent="0.25">
      <c r="A23" s="120"/>
      <c r="B23" s="95"/>
      <c r="C23" s="1039"/>
      <c r="D23" s="819" t="s">
        <v>1243</v>
      </c>
      <c r="E23" s="965" t="s">
        <v>857</v>
      </c>
      <c r="F23" s="1102"/>
      <c r="H23" s="486"/>
      <c r="I23" s="485"/>
      <c r="J23" s="485"/>
      <c r="N23" s="168" t="s">
        <v>1018</v>
      </c>
      <c r="O23" s="207">
        <f>IF(C41="Yes",VLOOKUP(B50,Table_EQ_Deductible,MATCH(IF(B49&gt;C49,B49,C49),List_EQDeductibles,0)+1,FALSE),0)</f>
        <v>0</v>
      </c>
      <c r="R23" s="83" t="s">
        <v>1150</v>
      </c>
      <c r="S23" s="247" t="e">
        <f>ROUND(PRODUCT(S3:S16,S18:S22),3)</f>
        <v>#N/A</v>
      </c>
      <c r="U23" s="141" t="s">
        <v>1714</v>
      </c>
      <c r="V23" s="139"/>
      <c r="W23" s="145"/>
      <c r="X23" s="139"/>
      <c r="Y23" s="445"/>
      <c r="Z23" s="481"/>
    </row>
    <row r="24" spans="1:26" ht="13.5" thickBot="1" x14ac:dyDescent="0.25">
      <c r="A24" s="670" t="s">
        <v>307</v>
      </c>
      <c r="B24" s="683">
        <v>40502</v>
      </c>
      <c r="C24" s="736">
        <v>1</v>
      </c>
      <c r="D24" s="444" t="s">
        <v>1230</v>
      </c>
      <c r="E24" s="103"/>
      <c r="F24" s="966" t="s">
        <v>857</v>
      </c>
      <c r="H24" s="483" t="s">
        <v>1760</v>
      </c>
      <c r="I24" s="485"/>
      <c r="J24" s="569" t="e">
        <f>SUM(J5,J8,J21)</f>
        <v>#N/A</v>
      </c>
      <c r="N24" s="168" t="s">
        <v>1768</v>
      </c>
      <c r="O24" s="207">
        <f>IF(OR(C43="1C",C43="1D"),VLOOKUP(B46,Table_EQ_Masonry,3,FALSE),1)</f>
        <v>1</v>
      </c>
      <c r="Q24" s="185"/>
      <c r="R24" s="186" t="s">
        <v>1025</v>
      </c>
      <c r="S24" s="238">
        <f>IF(ISNUMBER(F4),F4/100,0)</f>
        <v>0</v>
      </c>
      <c r="U24" s="141" t="s">
        <v>1716</v>
      </c>
      <c r="V24" s="139"/>
      <c r="W24" s="145"/>
      <c r="X24" s="139"/>
      <c r="Y24" s="1597"/>
      <c r="Z24" s="1598"/>
    </row>
    <row r="25" spans="1:26" ht="13.5" thickBot="1" x14ac:dyDescent="0.25">
      <c r="A25" s="671" t="s">
        <v>308</v>
      </c>
      <c r="B25" s="678">
        <f>IF(ISBLANK(C24),"N/A",VLOOKUP(C24,Table_EQ_Tiers,2,FALSE))</f>
        <v>1</v>
      </c>
      <c r="C25" s="1039"/>
      <c r="D25" s="444" t="s">
        <v>1232</v>
      </c>
      <c r="E25" s="103"/>
      <c r="F25" s="966" t="s">
        <v>857</v>
      </c>
      <c r="H25" s="486"/>
      <c r="I25" s="485"/>
      <c r="J25" s="485"/>
      <c r="N25" s="168" t="s">
        <v>180</v>
      </c>
      <c r="O25" s="207">
        <f>1+ $Y$24</f>
        <v>1</v>
      </c>
      <c r="R25" s="83" t="s">
        <v>1769</v>
      </c>
      <c r="S25" s="248" t="e">
        <f>ROUND(PRODUCT(S23:S24),0)</f>
        <v>#N/A</v>
      </c>
      <c r="U25" s="141" t="s">
        <v>1717</v>
      </c>
      <c r="V25" s="139"/>
      <c r="W25" s="145"/>
      <c r="X25" s="139"/>
      <c r="Y25" s="445"/>
      <c r="Z25" s="481"/>
    </row>
    <row r="26" spans="1:26" x14ac:dyDescent="0.2">
      <c r="A26" s="84" t="s">
        <v>310</v>
      </c>
      <c r="B26" s="675"/>
      <c r="C26" s="1093">
        <v>99</v>
      </c>
      <c r="D26" s="538" t="s">
        <v>1545</v>
      </c>
      <c r="E26" s="103"/>
      <c r="F26" s="966" t="s">
        <v>857</v>
      </c>
      <c r="M26" s="146"/>
      <c r="N26" s="545" t="s">
        <v>1020</v>
      </c>
      <c r="O26" s="299">
        <f>IF(C6="PAC",VLOOKUP(B7,Table_PakMods,MATCH(C11,List_Company,0)+1,FALSE),1)</f>
        <v>1</v>
      </c>
      <c r="U26" s="141" t="s">
        <v>1718</v>
      </c>
      <c r="V26" s="8"/>
      <c r="W26" s="145"/>
      <c r="X26" s="8"/>
      <c r="Y26" s="26"/>
      <c r="Z26" s="481"/>
    </row>
    <row r="27" spans="1:26" x14ac:dyDescent="0.2">
      <c r="A27" s="108" t="s">
        <v>309</v>
      </c>
      <c r="B27" s="95"/>
      <c r="C27" s="1093">
        <v>80</v>
      </c>
      <c r="D27" s="518" t="s">
        <v>1555</v>
      </c>
      <c r="E27" s="948">
        <v>180</v>
      </c>
      <c r="F27" s="1065"/>
      <c r="M27" s="542"/>
      <c r="N27" s="724" t="s">
        <v>1022</v>
      </c>
      <c r="O27" s="279">
        <f>1+$W$14</f>
        <v>1</v>
      </c>
      <c r="U27" s="141" t="s">
        <v>181</v>
      </c>
      <c r="V27" s="8"/>
      <c r="W27" s="145"/>
      <c r="X27" s="8"/>
      <c r="Y27" s="26"/>
      <c r="Z27" s="481"/>
    </row>
    <row r="28" spans="1:26" x14ac:dyDescent="0.2">
      <c r="A28" s="108" t="s">
        <v>908</v>
      </c>
      <c r="B28" s="912" t="str">
        <f>IF(OR(TC6_BLDG1!C59="Yes",TC6_PP1!C53="Yes"),"Repl Cost","Available")</f>
        <v>Available</v>
      </c>
      <c r="C28" s="962" t="s">
        <v>833</v>
      </c>
      <c r="D28" s="538" t="s">
        <v>1246</v>
      </c>
      <c r="E28" s="103"/>
      <c r="F28" s="966" t="s">
        <v>857</v>
      </c>
      <c r="N28" s="83" t="s">
        <v>1150</v>
      </c>
      <c r="O28" s="247" t="e">
        <f>ROUND(PRODUCT(O19:O27),3)</f>
        <v>#N/A</v>
      </c>
      <c r="Q28" s="60" t="s">
        <v>1770</v>
      </c>
      <c r="U28" s="141" t="s">
        <v>1720</v>
      </c>
      <c r="V28" s="8"/>
      <c r="W28" s="145"/>
      <c r="X28" s="8"/>
      <c r="Y28" s="26"/>
      <c r="Z28" s="481"/>
    </row>
    <row r="29" spans="1:26" ht="13.5" thickBot="1" x14ac:dyDescent="0.25">
      <c r="A29" s="526"/>
      <c r="B29" s="515"/>
      <c r="C29" s="540"/>
      <c r="D29" s="507" t="s">
        <v>1589</v>
      </c>
      <c r="E29" s="948"/>
      <c r="F29" s="1065"/>
      <c r="M29" s="185"/>
      <c r="N29" s="186" t="s">
        <v>1025</v>
      </c>
      <c r="O29" s="238">
        <f>IF(ISNUMBER(C42),C42/100,0)</f>
        <v>0</v>
      </c>
      <c r="R29" s="168" t="s">
        <v>1761</v>
      </c>
      <c r="S29" s="247">
        <f>IF(C31="Yes",VLOOKUP(B32,Table_EQ_LC,3,FALSE),VLOOKUP(B42,Table_EQ_LC,MATCH(C47,List_PPGrade,0)+3,FALSE))</f>
        <v>5.0000000000000001E-3</v>
      </c>
      <c r="U29" s="141" t="s">
        <v>182</v>
      </c>
      <c r="V29" s="8"/>
      <c r="W29" s="145"/>
      <c r="X29" s="8"/>
      <c r="Y29" s="26"/>
      <c r="Z29" s="481"/>
    </row>
    <row r="30" spans="1:26" ht="13.5" thickBot="1" x14ac:dyDescent="0.25">
      <c r="A30" s="529" t="s">
        <v>1831</v>
      </c>
      <c r="B30" s="531"/>
      <c r="C30" s="532"/>
      <c r="D30" s="499"/>
      <c r="E30" s="146"/>
      <c r="F30" s="1072"/>
      <c r="N30" s="83" t="s">
        <v>1797</v>
      </c>
      <c r="O30" s="248" t="e">
        <f>ROUND(PRODUCT(O28:O29),0)</f>
        <v>#N/A</v>
      </c>
      <c r="Q30" s="146"/>
      <c r="R30" s="545" t="s">
        <v>971</v>
      </c>
      <c r="S30" s="299" t="e">
        <f>HLOOKUP(C10,Table_StateRates,6,FALSE)</f>
        <v>#N/A</v>
      </c>
      <c r="U30" s="141" t="s">
        <v>1722</v>
      </c>
      <c r="V30" s="8"/>
      <c r="W30" s="145"/>
      <c r="X30" s="8"/>
      <c r="Y30" s="26"/>
      <c r="Z30" s="481"/>
    </row>
    <row r="31" spans="1:26" ht="13.5" thickBot="1" x14ac:dyDescent="0.25">
      <c r="A31" s="203" t="s">
        <v>301</v>
      </c>
      <c r="B31" s="216"/>
      <c r="C31" s="1100" t="s">
        <v>833</v>
      </c>
      <c r="D31" s="527" t="s">
        <v>1608</v>
      </c>
      <c r="E31" s="422"/>
      <c r="F31" s="966" t="s">
        <v>857</v>
      </c>
      <c r="R31" s="168" t="s">
        <v>1258</v>
      </c>
      <c r="S31" s="207">
        <f>IF(F34="Yes",VLOOKUP(F36,Table_EE_CoIns,3,FALSE),1)</f>
        <v>1</v>
      </c>
      <c r="U31" s="85"/>
      <c r="V31" s="86"/>
      <c r="W31" s="86"/>
      <c r="X31" s="86"/>
      <c r="Y31" s="85"/>
      <c r="Z31" s="196"/>
    </row>
    <row r="32" spans="1:26" x14ac:dyDescent="0.2">
      <c r="A32" s="107" t="s">
        <v>1242</v>
      </c>
      <c r="B32" s="690" t="str">
        <f>IF(ISBLANK(C33),"",IF(C33=6,"Invalid",C24&amp;"_"&amp;IF(C33=7,B33,C33)))</f>
        <v>1_5C</v>
      </c>
      <c r="C32" s="704">
        <v>250000</v>
      </c>
      <c r="D32" s="539" t="s">
        <v>1609</v>
      </c>
      <c r="E32" s="968" t="s">
        <v>1599</v>
      </c>
      <c r="F32" s="1065"/>
      <c r="R32" s="168" t="s">
        <v>1088</v>
      </c>
      <c r="S32" s="207">
        <f>IF(OR(C20="S",C20="T"),VLOOKUP(IF(C31="Yes",C39,C51),Table_EQ_OptStory,3,FALSE),1)</f>
        <v>1</v>
      </c>
    </row>
    <row r="33" spans="1:19" ht="13.5" thickBot="1" x14ac:dyDescent="0.25">
      <c r="A33" s="81" t="s">
        <v>302</v>
      </c>
      <c r="B33" s="697" t="str">
        <f>IF(C33=7,VLOOKUP(C34,Table_EQ_Class7,2,FALSE),"N/A")</f>
        <v>N/A</v>
      </c>
      <c r="C33" s="735" t="s">
        <v>27</v>
      </c>
      <c r="D33" s="87"/>
      <c r="E33" s="194"/>
      <c r="F33" s="1103"/>
      <c r="N33" s="974" t="s">
        <v>1800</v>
      </c>
      <c r="O33" s="883" t="e">
        <f>O28</f>
        <v>#N/A</v>
      </c>
      <c r="R33" s="168" t="s">
        <v>180</v>
      </c>
      <c r="S33" s="207">
        <f>1+ $Y$24</f>
        <v>1</v>
      </c>
    </row>
    <row r="34" spans="1:19" x14ac:dyDescent="0.2">
      <c r="A34" s="693" t="str">
        <f>IF(C33=6,"Invalid Bldg Class, Choose Again",IF(C33=7, "Select Special Structure Item #","Lookup Value is:"&amp;"  "&amp;B32))</f>
        <v>Lookup Value is:  1_5C</v>
      </c>
      <c r="B34" s="272"/>
      <c r="C34" s="692" t="s">
        <v>857</v>
      </c>
      <c r="D34" s="123" t="s">
        <v>962</v>
      </c>
      <c r="E34" s="474"/>
      <c r="F34" s="1104" t="s">
        <v>857</v>
      </c>
      <c r="Q34" s="146"/>
      <c r="R34" s="545" t="s">
        <v>1020</v>
      </c>
      <c r="S34" s="299">
        <f>IF(C6="PAC",VLOOKUP(B7,Table_PakMods,MATCH(C11,List_Company,0)+1,FALSE),1)</f>
        <v>1</v>
      </c>
    </row>
    <row r="35" spans="1:19" x14ac:dyDescent="0.2">
      <c r="A35" s="694" t="str">
        <f>IF(AND(C33=7,ISBLANK(C34)=FALSE),VLOOKUP(C34,Table_EQ_Class7,4,FALSE),VLOOKUP(C33,Table_EQ_BldgClass,2,FALSE))</f>
        <v>Hollow Load Bearing Walls &amp; Other</v>
      </c>
      <c r="B35" s="193"/>
      <c r="C35" s="691"/>
      <c r="D35" s="107" t="s">
        <v>1241</v>
      </c>
      <c r="E35" s="272"/>
      <c r="F35" s="704"/>
      <c r="Q35" s="542"/>
      <c r="R35" s="724" t="s">
        <v>1022</v>
      </c>
      <c r="S35" s="279">
        <f>1+$W$14</f>
        <v>1</v>
      </c>
    </row>
    <row r="36" spans="1:19" x14ac:dyDescent="0.2">
      <c r="A36" s="81" t="s">
        <v>1377</v>
      </c>
      <c r="B36" s="414" t="s">
        <v>857</v>
      </c>
      <c r="C36" s="169"/>
      <c r="D36" s="81" t="s">
        <v>1610</v>
      </c>
      <c r="E36" s="193"/>
      <c r="F36" s="704"/>
      <c r="M36" s="60" t="s">
        <v>1798</v>
      </c>
      <c r="R36" s="83" t="s">
        <v>1150</v>
      </c>
      <c r="S36" s="247" t="e">
        <f>ROUND(PRODUCT(S29:S35),3)</f>
        <v>#N/A</v>
      </c>
    </row>
    <row r="37" spans="1:19" ht="13.5" thickBot="1" x14ac:dyDescent="0.25">
      <c r="A37" s="669" t="s">
        <v>303</v>
      </c>
      <c r="B37" s="414">
        <v>10</v>
      </c>
      <c r="C37" s="699">
        <f>IF(C31="Yes",VLOOKUP(B32,Table_EQ_LC,2,FALSE),"")</f>
        <v>0.1</v>
      </c>
      <c r="D37" s="87"/>
      <c r="E37" s="194"/>
      <c r="F37" s="100"/>
      <c r="N37" s="168" t="s">
        <v>1801</v>
      </c>
      <c r="O37" s="247" t="e">
        <f>$O$33</f>
        <v>#N/A</v>
      </c>
      <c r="Q37" s="185"/>
      <c r="R37" s="186" t="s">
        <v>1025</v>
      </c>
      <c r="S37" s="238">
        <f>IF(ISNUMBER(F35),F35/100,0)</f>
        <v>0</v>
      </c>
    </row>
    <row r="38" spans="1:19" x14ac:dyDescent="0.2">
      <c r="A38" s="676" t="s">
        <v>1764</v>
      </c>
      <c r="B38" s="355" t="str">
        <f>IF(C31="Yes",B25&amp;"_"&amp;IF(C33=7,B33,C33),"N/A")</f>
        <v>1_5C</v>
      </c>
      <c r="C38" s="698"/>
      <c r="M38" s="185"/>
      <c r="N38" s="186" t="s">
        <v>1025</v>
      </c>
      <c r="O38" s="238">
        <f>IF(B54="Yes",C54/100,0)</f>
        <v>0</v>
      </c>
      <c r="R38" s="83" t="s">
        <v>1770</v>
      </c>
      <c r="S38" s="248" t="e">
        <f>ROUND(PRODUCT(S36:S37),0)</f>
        <v>#N/A</v>
      </c>
    </row>
    <row r="39" spans="1:19" x14ac:dyDescent="0.2">
      <c r="A39" s="676" t="s">
        <v>126</v>
      </c>
      <c r="B39" s="414">
        <v>2</v>
      </c>
      <c r="C39" s="684">
        <f>IF(ISBLANK(B39),"",IF(B39&lt;9,1,IF(B39&lt;21,2,3)))</f>
        <v>1</v>
      </c>
      <c r="N39" s="83" t="s">
        <v>1794</v>
      </c>
      <c r="O39" s="248" t="e">
        <f>ROUND(PRODUCT(O37:O38),0)</f>
        <v>#N/A</v>
      </c>
    </row>
    <row r="40" spans="1:19" ht="13.5" thickBot="1" x14ac:dyDescent="0.25">
      <c r="A40" s="87"/>
      <c r="B40" s="194"/>
      <c r="C40" s="100"/>
    </row>
    <row r="41" spans="1:19" x14ac:dyDescent="0.2">
      <c r="A41" s="203" t="s">
        <v>304</v>
      </c>
      <c r="B41" s="216"/>
      <c r="C41" s="1100" t="s">
        <v>857</v>
      </c>
      <c r="M41" s="60" t="s">
        <v>1799</v>
      </c>
    </row>
    <row r="42" spans="1:19" ht="13.5" customHeight="1" x14ac:dyDescent="0.2">
      <c r="A42" s="107" t="s">
        <v>1242</v>
      </c>
      <c r="B42" s="690" t="str">
        <f>IF(ISBLANK(C43),"",IF(C43=6,"Invalid",C24&amp;"_"&amp;IF(C43=7,B43,C43)))</f>
        <v/>
      </c>
      <c r="C42" s="413"/>
      <c r="N42" s="168" t="s">
        <v>1801</v>
      </c>
      <c r="O42" s="247" t="e">
        <f>$O$33</f>
        <v>#N/A</v>
      </c>
    </row>
    <row r="43" spans="1:19" ht="12.75" customHeight="1" x14ac:dyDescent="0.2">
      <c r="A43" s="81" t="s">
        <v>302</v>
      </c>
      <c r="B43" s="697" t="str">
        <f>IF(C43=7,VLOOKUP(C44,Table_EQ_Class7,2,FALSE),"N/A")</f>
        <v>N/A</v>
      </c>
      <c r="C43" s="735"/>
      <c r="M43" s="185"/>
      <c r="N43" s="186" t="s">
        <v>1025</v>
      </c>
      <c r="O43" s="238">
        <f>IF(B55="Yes",C55/100,0)</f>
        <v>0</v>
      </c>
    </row>
    <row r="44" spans="1:19" x14ac:dyDescent="0.2">
      <c r="A44" s="693" t="str">
        <f>IF(C43=6,"Invalid Bldg Class, Choose Again",IF(C43=7, "Select Special Structure Item #","Lookup Value is:"&amp;"  "&amp;B42))</f>
        <v xml:space="preserve">Lookup Value is:  </v>
      </c>
      <c r="B44" s="272"/>
      <c r="C44" s="692" t="s">
        <v>857</v>
      </c>
      <c r="N44" s="83" t="s">
        <v>1793</v>
      </c>
      <c r="O44" s="248" t="e">
        <f>ROUND(PRODUCT(O42:O43),0)</f>
        <v>#N/A</v>
      </c>
    </row>
    <row r="45" spans="1:19" x14ac:dyDescent="0.2">
      <c r="A45" s="694" t="e">
        <f>IF(AND(C43=7,ISBLANK(C44)=FALSE),VLOOKUP(C44,Table_EQ_Class7,4,FALSE),VLOOKUP(C43,Table_EQ_BldgClass,2,FALSE))</f>
        <v>#N/A</v>
      </c>
      <c r="B45" s="193"/>
      <c r="C45" s="691"/>
    </row>
    <row r="46" spans="1:19" ht="13.5" thickBot="1" x14ac:dyDescent="0.25">
      <c r="A46" s="81" t="s">
        <v>1377</v>
      </c>
      <c r="B46" s="414" t="s">
        <v>857</v>
      </c>
      <c r="C46" s="169"/>
      <c r="M46" s="60" t="s">
        <v>1795</v>
      </c>
    </row>
    <row r="47" spans="1:19" ht="13.5" thickBot="1" x14ac:dyDescent="0.25">
      <c r="A47" s="669" t="s">
        <v>305</v>
      </c>
      <c r="B47" s="273"/>
      <c r="C47" s="703" t="str">
        <f>IF(C41="Yes",VLOOKUP(A48,Table_EQ_PPGrade,2,FALSE),"N/A")</f>
        <v>N/A</v>
      </c>
      <c r="N47" s="168" t="s">
        <v>1801</v>
      </c>
      <c r="O47" s="247" t="e">
        <f>$O$33</f>
        <v>#N/A</v>
      </c>
    </row>
    <row r="48" spans="1:19" x14ac:dyDescent="0.2">
      <c r="A48" s="1620" t="s">
        <v>708</v>
      </c>
      <c r="B48" s="1621"/>
      <c r="C48" s="1622"/>
      <c r="M48" s="185"/>
      <c r="N48" s="186" t="s">
        <v>1025</v>
      </c>
      <c r="O48" s="238">
        <f>IF(B56="Yes",C56/100,0)</f>
        <v>0</v>
      </c>
    </row>
    <row r="49" spans="1:15" x14ac:dyDescent="0.2">
      <c r="A49" s="669" t="s">
        <v>303</v>
      </c>
      <c r="B49" s="414"/>
      <c r="C49" s="699" t="str">
        <f>IF(C41="Yes",VLOOKUP(B42,Table_EQ_LC,2,FALSE),"")</f>
        <v/>
      </c>
      <c r="N49" s="83" t="s">
        <v>1792</v>
      </c>
      <c r="O49" s="248" t="e">
        <f>ROUND(PRODUCT(O47:O48),0)</f>
        <v>#N/A</v>
      </c>
    </row>
    <row r="50" spans="1:15" x14ac:dyDescent="0.2">
      <c r="A50" s="676" t="s">
        <v>1764</v>
      </c>
      <c r="B50" s="355" t="str">
        <f>IF(C41="Yes",B25&amp;"_"&amp;IF(C43=7,B43,C43),"N/A")</f>
        <v>N/A</v>
      </c>
      <c r="C50" s="698"/>
    </row>
    <row r="51" spans="1:15" x14ac:dyDescent="0.2">
      <c r="A51" s="676" t="s">
        <v>126</v>
      </c>
      <c r="B51" s="414"/>
      <c r="C51" s="684" t="str">
        <f>IF(ISBLANK(B51),"",IF(B51&lt;9,1,IF(B51&lt;21,2,3)))</f>
        <v/>
      </c>
      <c r="M51" s="60" t="s">
        <v>1796</v>
      </c>
    </row>
    <row r="52" spans="1:15" ht="13.5" thickBot="1" x14ac:dyDescent="0.25">
      <c r="A52" s="87"/>
      <c r="B52" s="194"/>
      <c r="C52" s="100"/>
      <c r="N52" s="168" t="s">
        <v>1801</v>
      </c>
      <c r="O52" s="247" t="e">
        <f>$O$33</f>
        <v>#N/A</v>
      </c>
    </row>
    <row r="53" spans="1:15" ht="13.5" thickBot="1" x14ac:dyDescent="0.25">
      <c r="A53" s="529" t="s">
        <v>1141</v>
      </c>
      <c r="B53" s="531"/>
      <c r="C53" s="532"/>
      <c r="M53" s="185"/>
      <c r="N53" s="186" t="s">
        <v>1025</v>
      </c>
      <c r="O53" s="238">
        <f>IF(B57="Yes",C57/100,0)</f>
        <v>0</v>
      </c>
    </row>
    <row r="54" spans="1:15" x14ac:dyDescent="0.2">
      <c r="A54" s="783" t="s">
        <v>1142</v>
      </c>
      <c r="B54" s="948" t="s">
        <v>857</v>
      </c>
      <c r="C54" s="1101"/>
      <c r="N54" s="83" t="s">
        <v>1791</v>
      </c>
      <c r="O54" s="248" t="e">
        <f>ROUND(PRODUCT(O52:O53),0)</f>
        <v>#N/A</v>
      </c>
    </row>
    <row r="55" spans="1:15" x14ac:dyDescent="0.2">
      <c r="A55" s="783" t="s">
        <v>1143</v>
      </c>
      <c r="B55" s="948" t="s">
        <v>857</v>
      </c>
      <c r="C55" s="1101"/>
      <c r="M55" s="60"/>
    </row>
    <row r="56" spans="1:15" x14ac:dyDescent="0.2">
      <c r="A56" s="783" t="s">
        <v>1144</v>
      </c>
      <c r="B56" s="948" t="s">
        <v>857</v>
      </c>
      <c r="C56" s="1101"/>
    </row>
    <row r="57" spans="1:15" x14ac:dyDescent="0.2">
      <c r="A57" s="784" t="s">
        <v>1145</v>
      </c>
      <c r="B57" s="948" t="s">
        <v>857</v>
      </c>
      <c r="C57" s="962"/>
    </row>
  </sheetData>
  <mergeCells count="4">
    <mergeCell ref="H1:K1"/>
    <mergeCell ref="U1:W1"/>
    <mergeCell ref="Y24:Z24"/>
    <mergeCell ref="A48:C48"/>
  </mergeCells>
  <conditionalFormatting sqref="C17">
    <cfRule type="expression" dxfId="148" priority="8">
      <formula>IF($C$12="SP",TRUE,FALSE)</formula>
    </cfRule>
    <cfRule type="expression" dxfId="147" priority="9">
      <formula>IF($C$12="SP",TRUE,FALSE)</formula>
    </cfRule>
  </conditionalFormatting>
  <conditionalFormatting sqref="A17">
    <cfRule type="expression" dxfId="146" priority="7">
      <formula>IF($C$12="SP",TRUE,FALSE)</formula>
    </cfRule>
  </conditionalFormatting>
  <conditionalFormatting sqref="C17">
    <cfRule type="expression" dxfId="145" priority="5">
      <formula>IF($C$12="SP",TRUE,FALSE)</formula>
    </cfRule>
    <cfRule type="expression" dxfId="144" priority="6">
      <formula>IF($C$12="SP",TRUE,FALSE)</formula>
    </cfRule>
  </conditionalFormatting>
  <conditionalFormatting sqref="C17">
    <cfRule type="expression" dxfId="143" priority="3">
      <formula>IF($C$12="SP",TRUE,FALSE)</formula>
    </cfRule>
    <cfRule type="expression" dxfId="142" priority="4">
      <formula>IF($C$12="SP",TRUE,FALSE)</formula>
    </cfRule>
  </conditionalFormatting>
  <conditionalFormatting sqref="C17">
    <cfRule type="expression" dxfId="141" priority="1">
      <formula>IF($C$12="SP",TRUE,FALSE)</formula>
    </cfRule>
    <cfRule type="expression" dxfId="140" priority="2">
      <formula>IF($C$12="SP",TRUE,FALSE)</formula>
    </cfRule>
  </conditionalFormatting>
  <dataValidations count="73">
    <dataValidation type="custom" allowBlank="1" showInputMessage="1" showErrorMessage="1" errorTitle="Rating Type Incompatible" error="You have not selected Specific or Tentative Rating Type for this policy." promptTitle="Specific or Tentative Rate Type:" prompt="If you have selected Specific or Tentative Rate type you will need to supply the Loss Cost." sqref="B21">
      <formula1>IF(OR(C20="S",C20="T"),TRUE,FALSE)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54:C57">
      <formula1>IF(B54="Yes",TRUE,FALSE)</formula1>
    </dataValidation>
    <dataValidation type="list" allowBlank="1" showInputMessage="1" showErrorMessage="1" promptTitle="Please Select:" prompt="Yes = Apply Coverage_x000a_No  = Do Not Apply" sqref="F34 F3 C22 C41 C31">
      <formula1>List_YN</formula1>
    </dataValidation>
    <dataValidation type="list" allowBlank="1" showInputMessage="1" showErrorMessage="1" promptTitle="Limits on Loss Payment" prompt="Please Select:_x000a_  35 = 35%-70%-100%_x000a_  40 = 40%-80%-100%_x000a_100 = 100%-100%-100%" sqref="F36">
      <formula1>OFFSET(Table_EE_CoIns,0,0,,1)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IF($B$52="No",List_No,List_BI_OccType)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IF($B$52="Yes",List_No,List_BI_OccType)</formula1>
    </dataValidation>
    <dataValidation type="list" allowBlank="1" showInputMessage="1" showErrorMessage="1" promptTitle="Include Extra Expense Coverage" prompt="Please Select:_x000a_Yes or No" sqref="F5">
      <formula1>List_YN</formula1>
    </dataValidation>
    <dataValidation type="custom" allowBlank="1" showInputMessage="1" showErrorMessage="1" sqref="E13:F13 D14">
      <formula1>FALSE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IF(OR($C$45="Yes"),List_No,List_YN)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IF($C$43="Yes",OFFSET(Table_BI_IndDays,0,0,,1),List_No)</formula1>
    </dataValidation>
    <dataValidation type="list" allowBlank="1" showInputMessage="1" showErrorMessage="1" promptTitle="Apply Monthly Limitation?" prompt="Please Select:_x000a_Yes or No" sqref="F18">
      <formula1>IF(ISNUMBER($C$35),List_No,List_YN)</formula1>
    </dataValidation>
    <dataValidation type="list" allowBlank="1" showInputMessage="1" showErrorMessage="1" promptTitle="Monthly Limitation Period:" prompt="Please Select:_x000a_3rd - 1/3_x000a_4th - 1/4_x000a_6th - 1/6" sqref="E19">
      <formula1>IF($C$46&lt;&gt;"Yes",List_No,List_MosLimit)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Apply Educational Inst Coverage?" prompt="Please Select:_x000a_Yes or No" sqref="F20">
      <formula1>IF($C$35&gt;=50,List_No,List_YN)</formula1>
    </dataValidation>
    <dataValidation type="list" allowBlank="1" showInputMessage="1" showErrorMessage="1" sqref="B49 B37">
      <formula1>List_EQDeductibles</formula1>
    </dataValidation>
    <dataValidation type="custom" allowBlank="1" showInputMessage="1" showErrorMessage="1" promptTitle="Tier / Bldg Class:" prompt="Lookup value for the EQ Deductible Table.  Will generate automatically based upon your selections." sqref="B38 B50">
      <formula1>FALSE</formula1>
    </dataValidation>
    <dataValidation type="custom" allowBlank="1" showInputMessage="1" showErrorMessage="1" prompt="Mandatory Deductible Minimum" sqref="C49 C37">
      <formula1>FALSE</formula1>
    </dataValidation>
    <dataValidation type="list" allowBlank="1" showInputMessage="1" showErrorMessage="1" sqref="C33 C43">
      <formula1>OFFSET(Table_EQ_BldgClass,0,0,,1)</formula1>
    </dataValidation>
    <dataValidation type="list" allowBlank="1" showInputMessage="1" showErrorMessage="1" errorTitle="Selection Not Available" error="Unless the building class specified is Class 7; No entry is allowed." promptTitle="Bldg Class 7: Special Structures" prompt="Please select an Item # from the drop down list, the description of the special structure will be displayed below." sqref="C34 C44">
      <formula1>IF($C$33=7,OFFSET(Table_EQ_Class7,0,0,,1),List_No)</formula1>
    </dataValidation>
    <dataValidation type="custom" allowBlank="1" showInputMessage="1" showErrorMessage="1" promptTitle="Building Class Description" prompt="Displays a description of the Building Class selected whether it be one of the standard building class types or a Class 7 Special Structure type." sqref="A35 A45">
      <formula1>FALSE</formula1>
    </dataValidation>
    <dataValidation type="custom" allowBlank="1" showInputMessage="1" showErrorMessage="1" prompt="Bldg Loss Cost lookup value" sqref="B32 B42">
      <formula1>FALSE</formula1>
    </dataValidation>
    <dataValidation type="custom" allowBlank="1" showInputMessage="1" showErrorMessage="1" promptTitle="Building Class 7" prompt="Displays equivalent Building Class for the Special Structure selected." sqref="B33 B43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A48:C48">
      <formula1>IF($C$41="Yes",OFFSET(Table_EQ_PPGrade,0,0,,1),List_No)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C47">
      <formula1>FALSE</formula1>
    </dataValidation>
    <dataValidation type="list" allowBlank="1" showInputMessage="1" showErrorMessage="1" promptTitle="Masonry Veneer Limitation:" prompt="Please select the % of the Exterior Wall Faced with Masonry Veneer:_x000a_1:  Less Than 10%_x000a_2:  10 - 25%_x000a_3:  25 - 50%_x000a_4:  Over 50%_x000a__x000a_* Applies only to Building Classes 1C or 1D" sqref="B36 B46">
      <formula1>IF(OR($C$33="1C",$C$33="1D"),OFFSET(Table_EQ_Masonry,0,0,,1),List_No)</formula1>
    </dataValidation>
    <dataValidation type="list" allowBlank="1" showInputMessage="1" showErrorMessage="1" promptTitle="Please Select:" prompt="C   = Class_x000a_S   = Specific_x000a_T   = Tentative" sqref="C20">
      <formula1>OFFSET(List_RatingType,0,0,3,1)</formula1>
    </dataValidation>
    <dataValidation allowBlank="1" showInputMessage="1" showErrorMessage="1" promptTitle="Policy Term" prompt="Please Select:_x000a_1 - 1-Yr Policy_x000a_3 - 3-Yr Policy" sqref="C9"/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custom" allowBlank="1" showInputMessage="1" showErrorMessage="1" promptTitle="SPECIAL Form - Column Ref." prompt="This factor is used to determine the which column to use in the SPECIAL Form - Loss Cost table." sqref="B12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list" allowBlank="1" showInputMessage="1" showErrorMessage="1" promptTitle="Special - Cause of Loss" prompt="Please select:_x000a_1 - Excluding Theft (Special)_x000a_2 - Including Theft  (Special)" sqref="C12">
      <formula1>IF($C$11="SP",List_SPTheft,List_No)</formula1>
    </dataValidation>
    <dataValidation type="list" allowBlank="1" showInputMessage="1" showErrorMessage="1" promptTitle="Protection Class:" prompt="Please select a number (1 - 10)" sqref="C13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4">
      <formula1>List_ConstrNum</formula1>
    </dataValidation>
    <dataValidation type="list" allowBlank="1" showInputMessage="1" showErrorMessage="1" promptTitle="Please Select Cause of Loss:" prompt="BA  = Basic_x000a_BR  = Broad_x000a_SP  = Special_x000a_EQ = Earthquake" sqref="C11">
      <formula1>List_CauseBldg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26">
      <formula1>IF(OR($C$20="S",$C$20="T"),OFFSET(Table_BCEG,0,0,,1),List_BCEG99)</formula1>
    </dataValidation>
    <dataValidation allowBlank="1" showInputMessage="1" showErrorMessage="1" promptTitle="Enter EQ Zipcode:" prompt="Please supply the Zipcode for the EQ Building Property." sqref="B24"/>
    <dataValidation type="list" allowBlank="1" showInputMessage="1" showErrorMessage="1" promptTitle="Please Select Territory:" prompt="Select the Territory that corresponds to the Zipcode provided:_x000a_Territories { 21 - 25 }" sqref="C24">
      <formula1>OFFSET(Table_EQ_Tiers,0,0,,1)</formula1>
    </dataValidation>
    <dataValidation type="custom" allowBlank="1" showInputMessage="1" showErrorMessage="1" promptTitle="Earthquake Tier:" prompt="Determined by the Territory supplied." sqref="B25">
      <formula1>FALSE</formula1>
    </dataValidation>
    <dataValidation type="list" allowBlank="1" showInputMessage="1" showErrorMessage="1" sqref="C27">
      <formula1>OFFSET(Table_EQ_CoIns,0,0,,1)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28">
      <formula1>IF($B$28="Available",List_YN,List_No)</formula1>
    </dataValidation>
    <dataValidation type="custom" allowBlank="1" showInputMessage="1" showErrorMessage="1" promptTitle="Replacement Cost on Policy" prompt="If replacement cost is present on the policy, then Agreed Value cannot be applied." sqref="B28">
      <formula1>FALSE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29">
      <formula1>IF($F$33="Yes",List_BI_Mining,List_No)</formula1>
    </dataValidation>
    <dataValidation type="list" allowBlank="1" showInputMessage="1" showErrorMessage="1" promptTitle="Seasonal Leases:" prompt="Please Select:_x000a_Yes or No_x000a__x000a_* This coverage relates to rental property only." sqref="F25">
      <formula1>IF($F$8&lt;&gt;3,List_No,List_YN)</formula1>
    </dataValidation>
    <dataValidation type="list" allowBlank="1" showInputMessage="1" showErrorMessage="1" promptTitle="Apply Mining Property Coverage?" prompt="Please Select:_x000a_Yes or No" sqref="F28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3">
      <formula1>IF($F$24="Yes",OFFSET(Table_BI_OrdPR,0,0,,1),List_No)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4">
      <formula1>IF(ISNUMBER($F$7),List_YN,List_No)</formula1>
    </dataValidation>
    <dataValidation type="list" allowBlank="1" showInputMessage="1" showErrorMessage="1" promptTitle="Ordinary Payroll Exclusion" prompt="Please Select:_x000a_Yes or No" sqref="F22">
      <formula1>List_YN</formula1>
    </dataValidation>
    <dataValidation type="list" allowBlank="1" showInputMessage="1" showErrorMessage="1" promptTitle="Increased Coverage Period" prompt="Please Select # of Days:_x000a_{ 60, 90, 180 }" sqref="E27">
      <formula1>IF($F$28="Yes",OFFSET(Table_CivilAuth,0,0,,1),List_No)</formula1>
    </dataValidation>
    <dataValidation type="list" allowBlank="1" showInputMessage="1" showErrorMessage="1" promptTitle="Civil Authority Inc. Coverage" prompt="Please Select:_x000a_Yes or No" sqref="F26">
      <formula1>List_YN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2">
      <formula1>IF(#REF!="Yes", OFFSET(Table_BI_Wait,0,0,,1),List_No)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1">
      <formula1>List_YN</formula1>
    </dataValidation>
    <dataValidation type="list" allowBlank="1" showInputMessage="1" showErrorMessage="1" promptTitle="Other Personal Property" prompt="If you would like to apply Additional Personal Property:_x000a__x000a_Please Select:_x000a_Yes or No" sqref="B57">
      <formula1>IF($C$29="No",List_No,List_YN)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56">
      <formula1>IF($C$29="No",List_No,List_YN)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55">
      <formula1>IF($C$29="No",List_No,List_YN)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54">
      <formula1>IF($C$29="No",List_No,List_YN)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5">
      <formula1>OFFSET(Table_G2SymLC,0,0,,1)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7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6">
      <formula1>OFFSET(Table_TerrMult,0,0,,1)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2" manualBreakCount="2">
    <brk id="6" max="1048575" man="1"/>
    <brk id="12" max="1048575" man="1"/>
  </col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U80"/>
  <sheetViews>
    <sheetView zoomScale="90" zoomScaleNormal="90" workbookViewId="0"/>
  </sheetViews>
  <sheetFormatPr defaultRowHeight="12.75" x14ac:dyDescent="0.2"/>
  <cols>
    <col min="1" max="1" width="24.7109375" style="2" customWidth="1"/>
    <col min="2" max="2" width="12.28515625" style="2" customWidth="1"/>
    <col min="3" max="3" width="13.7109375" style="2" customWidth="1"/>
    <col min="4" max="4" width="7.5703125" style="2" customWidth="1"/>
    <col min="5" max="5" width="12.7109375" style="2" customWidth="1"/>
    <col min="6" max="6" width="9.85546875" style="2" customWidth="1"/>
    <col min="7" max="7" width="10.28515625" style="2" customWidth="1"/>
    <col min="8" max="8" width="11.42578125" style="2" customWidth="1"/>
    <col min="9" max="9" width="15.7109375" style="2" customWidth="1"/>
    <col min="10" max="10" width="6.7109375" style="2" customWidth="1"/>
    <col min="11" max="11" width="23.5703125" style="2" customWidth="1"/>
    <col min="12" max="15" width="12.85546875" style="2" customWidth="1"/>
    <col min="16" max="16" width="4.85546875" style="2" customWidth="1"/>
    <col min="17" max="17" width="27.28515625" style="2" bestFit="1" customWidth="1"/>
    <col min="18" max="18" width="11.85546875" style="2" customWidth="1"/>
    <col min="19" max="19" width="13.28515625" style="2" customWidth="1"/>
    <col min="20" max="21" width="12" style="2" bestFit="1" customWidth="1"/>
    <col min="22" max="23" width="10.85546875" style="2" bestFit="1" customWidth="1"/>
    <col min="24" max="24" width="3.42578125" style="2" customWidth="1"/>
    <col min="25" max="25" width="15.85546875" style="2" customWidth="1"/>
    <col min="26" max="26" width="24.42578125" style="2" customWidth="1"/>
    <col min="27" max="29" width="11.5703125" style="2" customWidth="1"/>
    <col min="30" max="30" width="10.42578125" style="2" customWidth="1"/>
    <col min="31" max="31" width="9.7109375" style="2" customWidth="1"/>
    <col min="32" max="32" width="4.85546875" style="2" customWidth="1"/>
    <col min="33" max="33" width="27.28515625" style="2" bestFit="1" customWidth="1"/>
    <col min="34" max="34" width="11.85546875" style="2" customWidth="1"/>
    <col min="35" max="35" width="13.28515625" style="2" customWidth="1"/>
    <col min="36" max="37" width="10.85546875" style="2" bestFit="1" customWidth="1"/>
    <col min="38" max="39" width="10.42578125" style="2" bestFit="1" customWidth="1"/>
    <col min="40" max="40" width="3.42578125" style="2" customWidth="1"/>
    <col min="41" max="41" width="15.85546875" style="2" customWidth="1"/>
    <col min="42" max="42" width="24.42578125" style="2" customWidth="1"/>
    <col min="43" max="45" width="11.5703125" style="2" customWidth="1"/>
    <col min="46" max="46" width="10.42578125" style="2" customWidth="1"/>
    <col min="47" max="47" width="9.7109375" style="2" customWidth="1"/>
    <col min="48" max="16384" width="9.140625" style="2"/>
  </cols>
  <sheetData>
    <row r="1" spans="1:47" ht="19.5" customHeight="1" thickBot="1" x14ac:dyDescent="0.25">
      <c r="A1" s="99" t="s">
        <v>834</v>
      </c>
      <c r="B1" s="94"/>
      <c r="C1" s="94"/>
      <c r="D1" s="105"/>
      <c r="E1" s="105"/>
      <c r="F1" s="105"/>
      <c r="G1" s="105"/>
      <c r="H1" s="105"/>
      <c r="I1" s="106" t="s">
        <v>840</v>
      </c>
      <c r="K1" s="1594" t="s">
        <v>2175</v>
      </c>
      <c r="L1" s="1595"/>
      <c r="M1" s="1595"/>
      <c r="N1" s="1595"/>
      <c r="O1" s="1596"/>
      <c r="Q1" s="1612" t="s">
        <v>2224</v>
      </c>
      <c r="R1" s="1613"/>
      <c r="S1" s="1613"/>
      <c r="T1" s="1613"/>
      <c r="U1" s="1613"/>
      <c r="V1" s="1613"/>
      <c r="W1" s="1614"/>
      <c r="Y1" s="1612" t="s">
        <v>2225</v>
      </c>
      <c r="Z1" s="1613"/>
      <c r="AA1" s="1613"/>
      <c r="AB1" s="1613"/>
      <c r="AC1" s="1613"/>
      <c r="AD1" s="1613"/>
      <c r="AE1" s="1614"/>
      <c r="AG1" s="1609" t="s">
        <v>2284</v>
      </c>
      <c r="AH1" s="1610"/>
      <c r="AI1" s="1610"/>
      <c r="AJ1" s="1610"/>
      <c r="AK1" s="1610"/>
      <c r="AL1" s="1610"/>
      <c r="AM1" s="1611"/>
      <c r="AO1" s="1609" t="s">
        <v>2285</v>
      </c>
      <c r="AP1" s="1610"/>
      <c r="AQ1" s="1610"/>
      <c r="AR1" s="1610"/>
      <c r="AS1" s="1610"/>
      <c r="AT1" s="1610"/>
      <c r="AU1" s="1611"/>
    </row>
    <row r="2" spans="1:47" ht="13.5" thickBot="1" x14ac:dyDescent="0.25">
      <c r="A2" s="500" t="s">
        <v>1832</v>
      </c>
      <c r="B2" s="501"/>
      <c r="C2" s="502"/>
      <c r="D2" s="500" t="s">
        <v>2213</v>
      </c>
      <c r="E2" s="508"/>
      <c r="F2" s="508"/>
      <c r="G2" s="508"/>
      <c r="H2" s="508"/>
      <c r="I2" s="509"/>
      <c r="K2" s="1479">
        <f>Summary6</f>
        <v>0</v>
      </c>
      <c r="Q2" s="60" t="s">
        <v>2182</v>
      </c>
      <c r="S2" s="235" t="s">
        <v>2176</v>
      </c>
      <c r="T2" s="235" t="s">
        <v>2177</v>
      </c>
      <c r="U2" s="235" t="s">
        <v>2178</v>
      </c>
      <c r="V2" s="235" t="s">
        <v>2179</v>
      </c>
      <c r="W2" s="235" t="s">
        <v>2180</v>
      </c>
      <c r="Y2" s="60" t="s">
        <v>2182</v>
      </c>
      <c r="AA2" s="235" t="s">
        <v>2176</v>
      </c>
      <c r="AB2" s="235" t="s">
        <v>2177</v>
      </c>
      <c r="AC2" s="235" t="s">
        <v>2178</v>
      </c>
      <c r="AD2" s="235" t="s">
        <v>2179</v>
      </c>
      <c r="AE2" s="235" t="s">
        <v>2180</v>
      </c>
      <c r="AG2" s="60" t="s">
        <v>2182</v>
      </c>
      <c r="AI2" s="235" t="s">
        <v>2176</v>
      </c>
      <c r="AJ2" s="235" t="s">
        <v>2177</v>
      </c>
      <c r="AK2" s="235" t="s">
        <v>2178</v>
      </c>
      <c r="AL2" s="235" t="s">
        <v>2179</v>
      </c>
      <c r="AM2" s="235" t="s">
        <v>2180</v>
      </c>
      <c r="AO2" s="60" t="s">
        <v>2182</v>
      </c>
      <c r="AQ2" s="235" t="s">
        <v>2176</v>
      </c>
      <c r="AR2" s="235" t="s">
        <v>2177</v>
      </c>
      <c r="AS2" s="235" t="s">
        <v>2178</v>
      </c>
      <c r="AT2" s="235" t="s">
        <v>2179</v>
      </c>
      <c r="AU2" s="235" t="s">
        <v>2180</v>
      </c>
    </row>
    <row r="3" spans="1:47" ht="13.5" thickBot="1" x14ac:dyDescent="0.25">
      <c r="A3" s="505" t="s">
        <v>1024</v>
      </c>
      <c r="B3" s="506"/>
      <c r="C3" s="1268" t="str">
        <f>DF_State</f>
        <v>CT</v>
      </c>
      <c r="D3" s="1320" t="s">
        <v>2173</v>
      </c>
      <c r="E3" s="1323" t="s">
        <v>57</v>
      </c>
      <c r="F3" s="1323" t="s">
        <v>2170</v>
      </c>
      <c r="G3" s="1323" t="s">
        <v>2228</v>
      </c>
      <c r="H3" s="1323" t="s">
        <v>2171</v>
      </c>
      <c r="I3" s="1324" t="s">
        <v>2172</v>
      </c>
      <c r="K3" s="1105"/>
      <c r="L3" s="235" t="s">
        <v>1012</v>
      </c>
      <c r="M3" s="235" t="s">
        <v>1013</v>
      </c>
      <c r="N3" s="557" t="s">
        <v>838</v>
      </c>
      <c r="O3" s="557" t="s">
        <v>837</v>
      </c>
      <c r="Q3" s="60"/>
      <c r="R3" s="1117" t="s">
        <v>1197</v>
      </c>
      <c r="S3" s="2">
        <f>IF(ISTEXT($E4),VLOOKUP($E4,Table_G1_LC,MATCH($G4&amp;"B",List_ClassLC,0)+3,FALSE),0)</f>
        <v>0</v>
      </c>
      <c r="T3" s="2">
        <f>IF(ISTEXT($E5),VLOOKUP($E5,Table_G1_LC,MATCH($G5&amp;"B",List_ClassLC,0)+3,FALSE),0)</f>
        <v>0</v>
      </c>
      <c r="U3" s="2">
        <f>IF(ISTEXT($E6),VLOOKUP($E6,Table_G1_LC,MATCH($G6&amp;"B",List_ClassLC,0)+3,FALSE),0)</f>
        <v>0</v>
      </c>
      <c r="V3" s="2">
        <f>IF(ISTEXT($E7),VLOOKUP($E7,Table_G1_LC,MATCH($G7&amp;"B",List_ClassLC,0)+3,FALSE),0)</f>
        <v>0</v>
      </c>
      <c r="W3" s="2">
        <f>IF(ISTEXT($E8),VLOOKUP($E8,Table_G1_LC,MATCH($G8&amp;"B",List_ClassLC,0)+3,FALSE),0)</f>
        <v>0</v>
      </c>
      <c r="Y3" s="60"/>
      <c r="Z3" s="1117" t="s">
        <v>1197</v>
      </c>
      <c r="AA3" s="2">
        <f>IF(ISTEXT($E4),VLOOKUP($H4,Table_G2SymLC,2,FALSE),0)</f>
        <v>0</v>
      </c>
      <c r="AB3" s="2">
        <f>IF(ISTEXT($E5),VLOOKUP($H5,Table_G2SymLC,2,FALSE),0)</f>
        <v>0</v>
      </c>
      <c r="AC3" s="2">
        <f>IF(ISTEXT($E6),VLOOKUP($H6,Table_G2SymLC,2,FALSE),0)</f>
        <v>0</v>
      </c>
      <c r="AD3" s="2">
        <f>IF(ISTEXT($E7),VLOOKUP($H7,Table_G2SymLC,2,FALSE),0)</f>
        <v>0</v>
      </c>
      <c r="AE3" s="2">
        <f>IF(ISTEXT($E8),VLOOKUP($H8,Table_G2SymLC,2,FALSE),0)</f>
        <v>0</v>
      </c>
      <c r="AG3" s="60"/>
      <c r="AH3" s="1117" t="s">
        <v>1198</v>
      </c>
      <c r="AI3" s="2">
        <f>IF(ISTEXT($E13),VLOOKUP($E13,Table_G1_LC,MATCH($G13&amp;"C",List_ClassLC,0)+3,FALSE),0)</f>
        <v>0</v>
      </c>
      <c r="AJ3" s="2">
        <f>IF(ISTEXT($E14),VLOOKUP($E14,Table_G1_LC,MATCH($G14&amp;"C",List_ClassLC,0)+3,FALSE),0)</f>
        <v>0</v>
      </c>
      <c r="AK3" s="2">
        <f>IF(ISTEXT($E15),VLOOKUP($E15,Table_G1_LC,MATCH($G15&amp;"C",List_ClassLC,0)+3,FALSE),0)</f>
        <v>0</v>
      </c>
      <c r="AL3" s="2">
        <f>IF(ISTEXT($E16),VLOOKUP($E16,Table_G1_LC,MATCH($G16&amp;"C",List_ClassLC,0)+3,FALSE),0)</f>
        <v>0</v>
      </c>
      <c r="AM3" s="2">
        <f>IF(ISTEXT($E17),VLOOKUP($E17,Table_G1_LC,MATCH($G17&amp;"C",List_ClassLC,0)+3,FALSE),0)</f>
        <v>0</v>
      </c>
      <c r="AO3" s="60"/>
      <c r="AP3" s="1117" t="s">
        <v>1198</v>
      </c>
      <c r="AQ3" s="2">
        <f>IF(ISTEXT($E13),VLOOKUP($H13,Table_G2SymLC,3,FALSE),0)</f>
        <v>0</v>
      </c>
      <c r="AR3" s="2">
        <f>IF(ISTEXT($E14),VLOOKUP($H14,Table_G2SymLC,3,FALSE),0)</f>
        <v>0</v>
      </c>
      <c r="AS3" s="2">
        <f>IF(ISTEXT($E15),VLOOKUP($H15,Table_G2SymLC,3,FALSE),0)</f>
        <v>0</v>
      </c>
      <c r="AT3" s="2">
        <f>IF(ISTEXT($E16),VLOOKUP($H16,Table_G2SymLC,3,FALSE),0)</f>
        <v>0</v>
      </c>
      <c r="AU3" s="2">
        <f>IF(ISTEXT($E17),VLOOKUP($H17,Table_G2SymLC,3,FALSE),0)</f>
        <v>0</v>
      </c>
    </row>
    <row r="4" spans="1:47" x14ac:dyDescent="0.2">
      <c r="A4" s="1036" t="s">
        <v>1828</v>
      </c>
      <c r="B4" s="1041"/>
      <c r="C4" s="1092"/>
      <c r="D4" s="1321">
        <v>1</v>
      </c>
      <c r="E4" s="1349"/>
      <c r="F4" s="1359"/>
      <c r="G4" s="1351"/>
      <c r="H4" s="1352"/>
      <c r="I4" s="1353"/>
      <c r="K4" s="1340" t="s">
        <v>55</v>
      </c>
      <c r="L4" s="1341"/>
      <c r="M4" s="1342"/>
      <c r="N4" s="1342"/>
      <c r="O4" s="1342"/>
      <c r="Q4" s="60"/>
      <c r="R4" s="1117" t="s">
        <v>1178</v>
      </c>
      <c r="S4" s="207">
        <f>IF(ISNUMBER($F4),VLOOKUP($F4,Table_ProtClass,IF($G4&lt;=3,2,3),FALSE),0)</f>
        <v>0</v>
      </c>
      <c r="T4" s="207">
        <f>IF(ISNUMBER($F5),VLOOKUP($F5,Table_ProtClass,IF($G5&lt;=3,2,3),FALSE),0)</f>
        <v>0</v>
      </c>
      <c r="U4" s="207">
        <f>IF(ISNUMBER($F6),VLOOKUP($F6,Table_ProtClass,IF($G6&lt;=3,2,3),FALSE),0)</f>
        <v>0</v>
      </c>
      <c r="V4" s="207">
        <f>IF(ISNUMBER($F7),VLOOKUP($F7,Table_ProtClass,IF($G7&lt;=3,2,3),FALSE),0)</f>
        <v>0</v>
      </c>
      <c r="W4" s="207">
        <f>IF(ISNUMBER($F8),VLOOKUP($F8,Table_ProtClass,IF($G8&lt;=3,2,3),FALSE),0)</f>
        <v>0</v>
      </c>
      <c r="Y4" s="60"/>
      <c r="Z4" s="1117" t="s">
        <v>1178</v>
      </c>
      <c r="AA4" s="207">
        <v>1</v>
      </c>
      <c r="AB4" s="207">
        <v>1</v>
      </c>
      <c r="AC4" s="207">
        <v>1</v>
      </c>
      <c r="AD4" s="207">
        <v>1</v>
      </c>
      <c r="AE4" s="207">
        <v>1</v>
      </c>
      <c r="AG4" s="60"/>
      <c r="AH4" s="1117" t="s">
        <v>1178</v>
      </c>
      <c r="AI4" s="207">
        <f>IF(ISNUMBER($F13),VLOOKUP($F13,Table_ProtClass,IF($G13&lt;=3,2,3),FALSE),0)</f>
        <v>0</v>
      </c>
      <c r="AJ4" s="207">
        <f>IF(ISNUMBER($F14),VLOOKUP($F14,Table_ProtClass,IF($G14&lt;=3,2,3),FALSE),0)</f>
        <v>0</v>
      </c>
      <c r="AK4" s="207">
        <f>IF(ISNUMBER($F15),VLOOKUP($F15,Table_ProtClass,IF($G15&lt;=3,2,3),FALSE),0)</f>
        <v>0</v>
      </c>
      <c r="AL4" s="207">
        <f>IF(ISNUMBER($F16),VLOOKUP($F16,Table_ProtClass,IF($G16&lt;=3,2,3),FALSE),0)</f>
        <v>0</v>
      </c>
      <c r="AM4" s="207">
        <f>IF(ISNUMBER($F17),VLOOKUP($F17,Table_ProtClass,IF($G17&lt;=3,2,3),FALSE),0)</f>
        <v>0</v>
      </c>
      <c r="AO4" s="60"/>
      <c r="AP4" s="1117" t="s">
        <v>1178</v>
      </c>
      <c r="AQ4" s="207">
        <v>1</v>
      </c>
      <c r="AR4" s="207">
        <v>1</v>
      </c>
      <c r="AS4" s="207">
        <v>1</v>
      </c>
      <c r="AT4" s="207">
        <v>1</v>
      </c>
      <c r="AU4" s="207">
        <v>1</v>
      </c>
    </row>
    <row r="5" spans="1:47" x14ac:dyDescent="0.2">
      <c r="A5" s="120"/>
      <c r="B5" s="95"/>
      <c r="C5" s="125"/>
      <c r="D5" s="1322">
        <v>2</v>
      </c>
      <c r="E5" s="1354"/>
      <c r="F5" s="1360"/>
      <c r="G5" s="1352"/>
      <c r="H5" s="1352"/>
      <c r="I5" s="1353"/>
      <c r="K5" s="1458" t="s">
        <v>2278</v>
      </c>
      <c r="L5" s="1463" t="str">
        <f>IF($C$21="Yes",$S$30, "NA")</f>
        <v>NA</v>
      </c>
      <c r="M5" s="1463" t="str">
        <f>IF($C$21="Yes",$AA$30, "NA")</f>
        <v>NA</v>
      </c>
      <c r="N5" s="1463" t="str">
        <f>IF($C$21="Yes",$S$75, "NA")</f>
        <v>NA</v>
      </c>
      <c r="O5" s="1463" t="str">
        <f>IF($C$21="Yes",$AA$75, "NA")</f>
        <v>NA</v>
      </c>
      <c r="Q5" s="60"/>
      <c r="R5" s="545" t="s">
        <v>971</v>
      </c>
      <c r="S5" s="207">
        <f>HLOOKUP($C$10,Table_StateRates,6,FALSE)</f>
        <v>1.9</v>
      </c>
      <c r="T5" s="207">
        <f>HLOOKUP($C$10,Table_StateRates,6,FALSE)</f>
        <v>1.9</v>
      </c>
      <c r="U5" s="207">
        <f>HLOOKUP($C$10,Table_StateRates,6,FALSE)</f>
        <v>1.9</v>
      </c>
      <c r="V5" s="207">
        <f>HLOOKUP($C$10,Table_StateRates,6,FALSE)</f>
        <v>1.9</v>
      </c>
      <c r="W5" s="207">
        <f>HLOOKUP($C$10,Table_StateRates,6,FALSE)</f>
        <v>1.9</v>
      </c>
      <c r="Y5" s="60"/>
      <c r="Z5" s="545" t="s">
        <v>971</v>
      </c>
      <c r="AA5" s="207">
        <f>HLOOKUP($C$10,Table_StateRates,6,FALSE)</f>
        <v>1.9</v>
      </c>
      <c r="AB5" s="207">
        <f>HLOOKUP($C$10,Table_StateRates,6,FALSE)</f>
        <v>1.9</v>
      </c>
      <c r="AC5" s="207">
        <f>HLOOKUP($C$10,Table_StateRates,6,FALSE)</f>
        <v>1.9</v>
      </c>
      <c r="AD5" s="207">
        <f>HLOOKUP($C$10,Table_StateRates,6,FALSE)</f>
        <v>1.9</v>
      </c>
      <c r="AE5" s="207">
        <f>HLOOKUP($C$10,Table_StateRates,6,FALSE)</f>
        <v>1.9</v>
      </c>
      <c r="AG5" s="60"/>
      <c r="AH5" s="545" t="s">
        <v>971</v>
      </c>
      <c r="AI5" s="207">
        <f>HLOOKUP($C$10,Table_StateRates,6,FALSE)</f>
        <v>1.9</v>
      </c>
      <c r="AJ5" s="207">
        <f>HLOOKUP($C$10,Table_StateRates,6,FALSE)</f>
        <v>1.9</v>
      </c>
      <c r="AK5" s="207">
        <f>HLOOKUP($C$10,Table_StateRates,6,FALSE)</f>
        <v>1.9</v>
      </c>
      <c r="AL5" s="207">
        <f>HLOOKUP($C$10,Table_StateRates,6,FALSE)</f>
        <v>1.9</v>
      </c>
      <c r="AM5" s="207">
        <f>HLOOKUP($C$10,Table_StateRates,6,FALSE)</f>
        <v>1.9</v>
      </c>
      <c r="AO5" s="60"/>
      <c r="AP5" s="545" t="s">
        <v>971</v>
      </c>
      <c r="AQ5" s="207">
        <f>HLOOKUP($C$10,Table_StateRates,6,FALSE)</f>
        <v>1.9</v>
      </c>
      <c r="AR5" s="207">
        <f>HLOOKUP($C$10,Table_StateRates,6,FALSE)</f>
        <v>1.9</v>
      </c>
      <c r="AS5" s="207">
        <f>HLOOKUP($C$10,Table_StateRates,6,FALSE)</f>
        <v>1.9</v>
      </c>
      <c r="AT5" s="207">
        <f>HLOOKUP($C$10,Table_StateRates,6,FALSE)</f>
        <v>1.9</v>
      </c>
      <c r="AU5" s="207">
        <f>HLOOKUP($C$10,Table_StateRates,6,FALSE)</f>
        <v>1.9</v>
      </c>
    </row>
    <row r="6" spans="1:47" x14ac:dyDescent="0.2">
      <c r="A6" s="120" t="s">
        <v>969</v>
      </c>
      <c r="B6" s="95"/>
      <c r="C6" s="1093" t="s">
        <v>980</v>
      </c>
      <c r="D6" s="1322">
        <v>3</v>
      </c>
      <c r="E6" s="1354"/>
      <c r="F6" s="1360"/>
      <c r="G6" s="1352"/>
      <c r="H6" s="1352"/>
      <c r="I6" s="1353"/>
      <c r="K6" s="1344" t="s">
        <v>2204</v>
      </c>
      <c r="L6" s="258">
        <f>IF($C$21="Yes",S$35,0)</f>
        <v>0</v>
      </c>
      <c r="M6" s="258">
        <f>IF($C$21="Yes",AA$35,0)</f>
        <v>0</v>
      </c>
      <c r="N6" s="259">
        <f>IF(AND($C$21="Yes",$C$11="SP"),S$80,0)</f>
        <v>0</v>
      </c>
      <c r="O6" s="259">
        <f>IF(AND($C$21="Yes",$C$11="BR"),AA$80,0)</f>
        <v>0</v>
      </c>
      <c r="Q6" s="60"/>
      <c r="R6" s="545" t="s">
        <v>2331</v>
      </c>
      <c r="S6" s="207">
        <f>$C$13</f>
        <v>1</v>
      </c>
      <c r="T6" s="207">
        <f t="shared" ref="T6:W6" si="0">$C$13</f>
        <v>1</v>
      </c>
      <c r="U6" s="207">
        <f t="shared" si="0"/>
        <v>1</v>
      </c>
      <c r="V6" s="207">
        <f t="shared" si="0"/>
        <v>1</v>
      </c>
      <c r="W6" s="207">
        <f t="shared" si="0"/>
        <v>1</v>
      </c>
      <c r="Y6" s="60"/>
      <c r="Z6" s="545" t="s">
        <v>1199</v>
      </c>
      <c r="AA6" s="207">
        <v>1</v>
      </c>
      <c r="AB6" s="207">
        <v>1</v>
      </c>
      <c r="AC6" s="207">
        <v>1</v>
      </c>
      <c r="AD6" s="207">
        <v>1</v>
      </c>
      <c r="AE6" s="207">
        <v>1</v>
      </c>
      <c r="AG6" s="60"/>
      <c r="AH6" s="1210" t="s">
        <v>1199</v>
      </c>
      <c r="AI6" s="207">
        <f>$C$13</f>
        <v>1</v>
      </c>
      <c r="AJ6" s="207">
        <f t="shared" ref="AJ6:AM6" si="1">$C$13</f>
        <v>1</v>
      </c>
      <c r="AK6" s="207">
        <f t="shared" si="1"/>
        <v>1</v>
      </c>
      <c r="AL6" s="207">
        <f t="shared" si="1"/>
        <v>1</v>
      </c>
      <c r="AM6" s="207">
        <f t="shared" si="1"/>
        <v>1</v>
      </c>
      <c r="AO6" s="60"/>
      <c r="AP6" s="1210" t="s">
        <v>1199</v>
      </c>
      <c r="AQ6" s="207">
        <v>1</v>
      </c>
      <c r="AR6" s="207">
        <v>1</v>
      </c>
      <c r="AS6" s="207">
        <v>1</v>
      </c>
      <c r="AT6" s="207">
        <v>1</v>
      </c>
      <c r="AU6" s="207">
        <v>1</v>
      </c>
    </row>
    <row r="7" spans="1:47" x14ac:dyDescent="0.2">
      <c r="A7" s="143" t="s">
        <v>923</v>
      </c>
      <c r="B7" s="940" t="s">
        <v>857</v>
      </c>
      <c r="C7" s="1039"/>
      <c r="D7" s="1322">
        <v>4</v>
      </c>
      <c r="E7" s="1354"/>
      <c r="F7" s="1360"/>
      <c r="G7" s="1352"/>
      <c r="H7" s="1352"/>
      <c r="I7" s="1356"/>
      <c r="K7" s="1344" t="s">
        <v>2205</v>
      </c>
      <c r="L7" s="258">
        <f>IF($C$21="Yes",T$35,0)</f>
        <v>0</v>
      </c>
      <c r="M7" s="258">
        <f>IF($C21="Yes",AB$35,0)</f>
        <v>0</v>
      </c>
      <c r="N7" s="259">
        <f>IF(AND($C$21="Yes",$C$11="SP"),T$80,0)</f>
        <v>0</v>
      </c>
      <c r="O7" s="259">
        <f>IF(AND($C$21="Yes",$C$11="BR"),AB$80,0)</f>
        <v>0</v>
      </c>
      <c r="Q7" s="60"/>
      <c r="R7" s="1210" t="s">
        <v>1018</v>
      </c>
      <c r="S7" s="207">
        <f>IF($B$16=250,DF_250Deductible,$C$16)</f>
        <v>1</v>
      </c>
      <c r="T7" s="207">
        <f>IF($B$16=250,DF_250Deductible,$C$16)</f>
        <v>1</v>
      </c>
      <c r="U7" s="207">
        <f>IF($B$16=250,DF_250Deductible,$C$16)</f>
        <v>1</v>
      </c>
      <c r="V7" s="207">
        <f>IF($B$16=250,DF_250Deductible,$C$16)</f>
        <v>1</v>
      </c>
      <c r="W7" s="207">
        <f>IF($B$16=250,DF_250Deductible,$C$16)</f>
        <v>1</v>
      </c>
      <c r="Y7" s="60"/>
      <c r="Z7" s="1210" t="s">
        <v>1018</v>
      </c>
      <c r="AA7" s="207">
        <f>IF($B$16=250,DF_250Deductible,$C$16)</f>
        <v>1</v>
      </c>
      <c r="AB7" s="207">
        <f>IF($B$16=250,DF_250Deductible,$C$16)</f>
        <v>1</v>
      </c>
      <c r="AC7" s="207">
        <f>IF($B$16=250,DF_250Deductible,$C$16)</f>
        <v>1</v>
      </c>
      <c r="AD7" s="207">
        <f>IF($B$16=250,DF_250Deductible,$C$16)</f>
        <v>1</v>
      </c>
      <c r="AE7" s="207">
        <f>IF($B$16=250,DF_250Deductible,$C$16)</f>
        <v>1</v>
      </c>
      <c r="AG7" s="60"/>
      <c r="AH7" s="1210" t="s">
        <v>1018</v>
      </c>
      <c r="AI7" s="207">
        <f>IF($B$18=250,DF_250Deductible,$C$18)</f>
        <v>1</v>
      </c>
      <c r="AJ7" s="207">
        <f>IF($B$18=250,DF_250Deductible,$C$18)</f>
        <v>1</v>
      </c>
      <c r="AK7" s="207">
        <f>IF($B$18=250,DF_250Deductible,$C$18)</f>
        <v>1</v>
      </c>
      <c r="AL7" s="207">
        <f>IF($B$18=250,DF_250Deductible,$C$18)</f>
        <v>1</v>
      </c>
      <c r="AM7" s="207">
        <f>IF($B$18=250,DF_250Deductible,$C$18)</f>
        <v>1</v>
      </c>
      <c r="AO7" s="60"/>
      <c r="AP7" s="1210" t="s">
        <v>1018</v>
      </c>
      <c r="AQ7" s="207">
        <f>IF($B$18=250,DF_250Deductible,$C$18)</f>
        <v>1</v>
      </c>
      <c r="AR7" s="207">
        <f>IF($B$18=250,DF_250Deductible,$C$18)</f>
        <v>1</v>
      </c>
      <c r="AS7" s="207">
        <f>IF($B$18=250,DF_250Deductible,$C$18)</f>
        <v>1</v>
      </c>
      <c r="AT7" s="207">
        <f>IF($B$18=250,DF_250Deductible,$C$18)</f>
        <v>1</v>
      </c>
      <c r="AU7" s="207">
        <f>IF($B$18=250,DF_250Deductible,$C$18)</f>
        <v>1</v>
      </c>
    </row>
    <row r="8" spans="1:47" x14ac:dyDescent="0.2">
      <c r="A8" s="120"/>
      <c r="B8" s="95"/>
      <c r="C8" s="1039"/>
      <c r="D8" s="1322">
        <v>5</v>
      </c>
      <c r="E8" s="1354"/>
      <c r="F8" s="1360"/>
      <c r="G8" s="1352"/>
      <c r="H8" s="1352"/>
      <c r="I8" s="1356"/>
      <c r="K8" s="1344" t="s">
        <v>2206</v>
      </c>
      <c r="L8" s="258">
        <f>IF($C$21="Yes",U$35,0)</f>
        <v>0</v>
      </c>
      <c r="M8" s="258">
        <f>IF($C21="Yes",AC$35,0)</f>
        <v>0</v>
      </c>
      <c r="N8" s="259">
        <f>IF(AND($C$21="Yes",$C$11="SP"),U$80,0)</f>
        <v>0</v>
      </c>
      <c r="O8" s="259">
        <f>IF(AND($C$21="Yes",$C$11="BR"),AC$80,0)</f>
        <v>0</v>
      </c>
      <c r="Q8" s="185"/>
      <c r="R8" s="1226" t="s">
        <v>1019</v>
      </c>
      <c r="S8" s="208">
        <f>HLOOKUP($C$10,Table_StateRates,5,FALSE)</f>
        <v>1.38</v>
      </c>
      <c r="T8" s="208">
        <f>HLOOKUP(C10,Table_StateRates,5,FALSE)</f>
        <v>1.38</v>
      </c>
      <c r="U8" s="208">
        <f>HLOOKUP(C10,Table_StateRates,5,FALSE)</f>
        <v>1.38</v>
      </c>
      <c r="V8" s="208">
        <f>HLOOKUP(C10,Table_StateRates,5,FALSE)</f>
        <v>1.38</v>
      </c>
      <c r="W8" s="208">
        <f>HLOOKUP(C10,Table_StateRates,5,FALSE)</f>
        <v>1.38</v>
      </c>
      <c r="Y8" s="185"/>
      <c r="Z8" s="1226" t="s">
        <v>1019</v>
      </c>
      <c r="AA8" s="208">
        <f>HLOOKUP(C10,Table_StateRates,5,FALSE)</f>
        <v>1.38</v>
      </c>
      <c r="AB8" s="208">
        <f>HLOOKUP(C10,Table_StateRates,5,FALSE)</f>
        <v>1.38</v>
      </c>
      <c r="AC8" s="208">
        <f>HLOOKUP(C10,Table_StateRates,5,FALSE)</f>
        <v>1.38</v>
      </c>
      <c r="AD8" s="208">
        <f>HLOOKUP(C10,Table_StateRates,5,FALSE)</f>
        <v>1.38</v>
      </c>
      <c r="AE8" s="208">
        <f>HLOOKUP(C10,Table_StateRates,5,FALSE)</f>
        <v>1.38</v>
      </c>
      <c r="AG8" s="185"/>
      <c r="AH8" s="1226" t="s">
        <v>1019</v>
      </c>
      <c r="AI8" s="208">
        <f>HLOOKUP($C$10,Table_StateRates,5,FALSE)</f>
        <v>1.38</v>
      </c>
      <c r="AJ8" s="208">
        <f>HLOOKUP($C$10,Table_StateRates,5,FALSE)</f>
        <v>1.38</v>
      </c>
      <c r="AK8" s="208">
        <f>HLOOKUP($C$10,Table_StateRates,5,FALSE)</f>
        <v>1.38</v>
      </c>
      <c r="AL8" s="208">
        <f>HLOOKUP($C$10,Table_StateRates,5,FALSE)</f>
        <v>1.38</v>
      </c>
      <c r="AM8" s="208">
        <f>HLOOKUP($C$10,Table_StateRates,5,FALSE)</f>
        <v>1.38</v>
      </c>
      <c r="AO8" s="185"/>
      <c r="AP8" s="1226" t="s">
        <v>1019</v>
      </c>
      <c r="AQ8" s="208">
        <f>HLOOKUP($C$10,Table_StateRates,5,FALSE)</f>
        <v>1.38</v>
      </c>
      <c r="AR8" s="208">
        <f>HLOOKUP($C$10,Table_StateRates,5,FALSE)</f>
        <v>1.38</v>
      </c>
      <c r="AS8" s="208">
        <f>HLOOKUP($C$10,Table_StateRates,5,FALSE)</f>
        <v>1.38</v>
      </c>
      <c r="AT8" s="208">
        <f>HLOOKUP($C$10,Table_StateRates,5,FALSE)</f>
        <v>1.38</v>
      </c>
      <c r="AU8" s="208">
        <f>HLOOKUP($C$10,Table_StateRates,5,FALSE)</f>
        <v>1.38</v>
      </c>
    </row>
    <row r="9" spans="1:47" x14ac:dyDescent="0.2">
      <c r="A9" s="120" t="s">
        <v>1829</v>
      </c>
      <c r="B9" s="95"/>
      <c r="C9" s="1094">
        <v>1</v>
      </c>
      <c r="D9" s="1326"/>
      <c r="E9" s="1327"/>
      <c r="F9" s="1347"/>
      <c r="G9" s="1328"/>
      <c r="H9" s="1329" t="s">
        <v>2174</v>
      </c>
      <c r="I9" s="1325">
        <f>SUM(I4:I8)</f>
        <v>0</v>
      </c>
      <c r="K9" s="1344" t="s">
        <v>2207</v>
      </c>
      <c r="L9" s="258">
        <f>IF($C$21="Yes",V$35,0)</f>
        <v>0</v>
      </c>
      <c r="M9" s="258">
        <f>IF($C21="Yes",AD$35,0)</f>
        <v>0</v>
      </c>
      <c r="N9" s="259">
        <f>IF(AND($C$21="Yes",$C$11="SP"),V$80,0)</f>
        <v>0</v>
      </c>
      <c r="O9" s="259">
        <f>IF(AND($C$21="Yes",$C$11="BR"),AD$80,0)</f>
        <v>0</v>
      </c>
      <c r="Q9" s="60"/>
      <c r="R9" s="83" t="s">
        <v>2181</v>
      </c>
      <c r="S9" s="1315">
        <f>ROUND(PRODUCT(S3:S8),3)</f>
        <v>0</v>
      </c>
      <c r="T9" s="1315">
        <f>ROUND(PRODUCT(T3:T8),3)</f>
        <v>0</v>
      </c>
      <c r="U9" s="1315">
        <f>ROUND(PRODUCT(U3:U8),3)</f>
        <v>0</v>
      </c>
      <c r="V9" s="1315">
        <f>ROUND(PRODUCT(V3:V8),3)</f>
        <v>0</v>
      </c>
      <c r="W9" s="1315">
        <f>ROUND(PRODUCT(W3:W8),3)</f>
        <v>0</v>
      </c>
      <c r="Y9" s="60"/>
      <c r="Z9" s="83" t="s">
        <v>2223</v>
      </c>
      <c r="AA9" s="1315">
        <f>ROUND(PRODUCT(AA3:AA8),3)</f>
        <v>0</v>
      </c>
      <c r="AB9" s="1315">
        <f>ROUND(PRODUCT(AB3:AB8),3)</f>
        <v>0</v>
      </c>
      <c r="AC9" s="1315">
        <f>ROUND(PRODUCT(AC3:AC8),3)</f>
        <v>0</v>
      </c>
      <c r="AD9" s="1315">
        <f>ROUND(PRODUCT(AD3:AD8),3)</f>
        <v>0</v>
      </c>
      <c r="AE9" s="1315">
        <f>ROUND(PRODUCT(AE3:AE8),3)</f>
        <v>0</v>
      </c>
      <c r="AG9" s="60"/>
      <c r="AH9" s="83" t="s">
        <v>2181</v>
      </c>
      <c r="AI9" s="1315">
        <f>ROUND(PRODUCT(AI3:AI8),3)</f>
        <v>0</v>
      </c>
      <c r="AJ9" s="1315">
        <f>ROUND(PRODUCT(AJ3:AJ8),3)</f>
        <v>0</v>
      </c>
      <c r="AK9" s="1315">
        <f>ROUND(PRODUCT(AK3:AK8),3)</f>
        <v>0</v>
      </c>
      <c r="AL9" s="1315">
        <f>ROUND(PRODUCT(AL3:AL8),3)</f>
        <v>0</v>
      </c>
      <c r="AM9" s="1315">
        <f>ROUND(PRODUCT(AM3:AM8),3)</f>
        <v>0</v>
      </c>
      <c r="AO9" s="60"/>
      <c r="AP9" s="83" t="s">
        <v>2223</v>
      </c>
      <c r="AQ9" s="1312">
        <f>ROUND(PRODUCT(AQ3:AQ8),3)</f>
        <v>0</v>
      </c>
      <c r="AR9" s="1312">
        <f>ROUND(PRODUCT(AR3:AR8),3)</f>
        <v>0</v>
      </c>
      <c r="AS9" s="1312">
        <f>ROUND(PRODUCT(AS3:AS8),3)</f>
        <v>0</v>
      </c>
      <c r="AT9" s="1312">
        <f>ROUND(PRODUCT(AT3:AT8),3)</f>
        <v>0</v>
      </c>
      <c r="AU9" s="1312">
        <f>ROUND(PRODUCT(AU3:AU8),3)</f>
        <v>0</v>
      </c>
    </row>
    <row r="10" spans="1:47" ht="13.5" thickBot="1" x14ac:dyDescent="0.25">
      <c r="A10" s="120" t="s">
        <v>835</v>
      </c>
      <c r="B10" s="1317"/>
      <c r="C10" s="1093" t="s">
        <v>1859</v>
      </c>
      <c r="D10" s="126"/>
      <c r="E10" s="541"/>
      <c r="F10" s="541"/>
      <c r="G10" s="96"/>
      <c r="H10" s="96"/>
      <c r="I10" s="1096"/>
      <c r="K10" s="1345" t="s">
        <v>2208</v>
      </c>
      <c r="L10" s="1357">
        <f>IF($C$21="Yes",W$35,0)</f>
        <v>0</v>
      </c>
      <c r="M10" s="1357">
        <f>IF($C21="Yes",AE$35,0)</f>
        <v>0</v>
      </c>
      <c r="N10" s="884">
        <f>IF(AND($C$21="Yes",$C$11="SP"),W$80,0)</f>
        <v>0</v>
      </c>
      <c r="O10" s="884">
        <f>IF(AND($C$21="Yes",$C$11="BR"),AE$80,0)</f>
        <v>0</v>
      </c>
      <c r="Q10" s="60"/>
      <c r="R10" s="83"/>
      <c r="S10" s="1312"/>
      <c r="T10" s="1312"/>
      <c r="U10" s="1312"/>
      <c r="V10" s="1312"/>
      <c r="W10" s="1312"/>
      <c r="AG10" s="60"/>
      <c r="AH10" s="83"/>
      <c r="AI10" s="1312"/>
      <c r="AJ10" s="1312"/>
      <c r="AK10" s="1312"/>
      <c r="AL10" s="1312"/>
      <c r="AM10" s="1312"/>
    </row>
    <row r="11" spans="1:47" x14ac:dyDescent="0.2">
      <c r="A11" s="415" t="s">
        <v>910</v>
      </c>
      <c r="B11" s="1318"/>
      <c r="C11" s="704" t="s">
        <v>894</v>
      </c>
      <c r="D11" s="500" t="s">
        <v>2215</v>
      </c>
      <c r="E11" s="508"/>
      <c r="F11" s="508"/>
      <c r="G11" s="508"/>
      <c r="H11" s="508"/>
      <c r="I11" s="509"/>
      <c r="K11" s="1343" t="s">
        <v>2218</v>
      </c>
      <c r="L11" s="485">
        <f>SUM(L6:L10)</f>
        <v>0</v>
      </c>
      <c r="M11" s="485">
        <f>SUM(M6:M10)</f>
        <v>0</v>
      </c>
      <c r="N11" s="485">
        <f>SUM(N6:N10)</f>
        <v>0</v>
      </c>
      <c r="O11" s="485">
        <f>SUM(O6:O10)</f>
        <v>0</v>
      </c>
      <c r="Q11" s="60" t="s">
        <v>2183</v>
      </c>
      <c r="R11" s="83"/>
      <c r="S11" s="1312"/>
      <c r="T11" s="1312"/>
      <c r="U11" s="1312"/>
      <c r="V11" s="1312"/>
      <c r="W11" s="1312"/>
      <c r="Y11" s="60" t="s">
        <v>2183</v>
      </c>
      <c r="Z11" s="83"/>
      <c r="AA11" s="1312"/>
      <c r="AB11" s="1312"/>
      <c r="AC11" s="1312"/>
      <c r="AD11" s="1312"/>
      <c r="AE11" s="1312"/>
      <c r="AG11" s="60" t="s">
        <v>2183</v>
      </c>
      <c r="AH11" s="83"/>
      <c r="AI11" s="1312"/>
      <c r="AJ11" s="1312"/>
      <c r="AK11" s="1312"/>
      <c r="AL11" s="1312"/>
      <c r="AM11" s="1312"/>
      <c r="AO11" s="60" t="s">
        <v>2183</v>
      </c>
      <c r="AP11" s="83"/>
      <c r="AQ11" s="1312"/>
      <c r="AR11" s="1312"/>
      <c r="AS11" s="1312"/>
      <c r="AT11" s="1312"/>
      <c r="AU11" s="1312"/>
    </row>
    <row r="12" spans="1:47" ht="13.5" thickBot="1" x14ac:dyDescent="0.25">
      <c r="A12" s="507" t="s">
        <v>1069</v>
      </c>
      <c r="B12" s="95"/>
      <c r="C12" s="1319">
        <v>1</v>
      </c>
      <c r="D12" s="1320" t="s">
        <v>2173</v>
      </c>
      <c r="E12" s="1323" t="s">
        <v>57</v>
      </c>
      <c r="F12" s="1323" t="s">
        <v>2170</v>
      </c>
      <c r="G12" s="1323" t="s">
        <v>2228</v>
      </c>
      <c r="H12" s="1323" t="s">
        <v>2171</v>
      </c>
      <c r="I12" s="1324" t="s">
        <v>2172</v>
      </c>
      <c r="K12" s="1206"/>
      <c r="L12" s="485"/>
      <c r="M12" s="485"/>
      <c r="N12" s="485"/>
      <c r="O12" s="485"/>
      <c r="R12" s="1117" t="s">
        <v>2184</v>
      </c>
      <c r="S12" s="478">
        <f>IF(ISNUMBER($I4),$I4,0)</f>
        <v>0</v>
      </c>
      <c r="T12" s="478">
        <f>IF(ISNUMBER($I5),$I5,0)</f>
        <v>0</v>
      </c>
      <c r="U12" s="478">
        <f>IF(ISNUMBER($I6),$I6,0)</f>
        <v>0</v>
      </c>
      <c r="V12" s="478">
        <f>IF(ISNUMBER($I7),$I7,0)</f>
        <v>0</v>
      </c>
      <c r="W12" s="478">
        <f>IF(ISNUMBER($I8),$I8,0)</f>
        <v>0</v>
      </c>
      <c r="Z12" s="1117" t="s">
        <v>2184</v>
      </c>
      <c r="AA12" s="478">
        <f>IF(ISNUMBER($I$4),$I$4,0)</f>
        <v>0</v>
      </c>
      <c r="AB12" s="478">
        <f>IF(ISNUMBER($I$5),$I$5,0)</f>
        <v>0</v>
      </c>
      <c r="AC12" s="478">
        <f>IF(ISNUMBER($I$6),$I$6,0)</f>
        <v>0</v>
      </c>
      <c r="AD12" s="478">
        <f>IF(ISNUMBER($I$7),$I$7,0)</f>
        <v>0</v>
      </c>
      <c r="AE12" s="478">
        <f>IF(ISNUMBER($I$8),$I$8,0)</f>
        <v>0</v>
      </c>
      <c r="AH12" s="1117" t="s">
        <v>2184</v>
      </c>
      <c r="AI12" s="478">
        <f>IF(ISNUMBER($I13),$I13,0)</f>
        <v>0</v>
      </c>
      <c r="AJ12" s="478">
        <f>IF(ISNUMBER($I14),$I14,0)</f>
        <v>0</v>
      </c>
      <c r="AK12" s="478">
        <f>IF(ISNUMBER($I15),$I15,0)</f>
        <v>0</v>
      </c>
      <c r="AL12" s="478">
        <f>IF(ISNUMBER($I16),$I16,0)</f>
        <v>0</v>
      </c>
      <c r="AM12" s="478">
        <f>IF(ISNUMBER($I17),$I17,0)</f>
        <v>0</v>
      </c>
      <c r="AP12" s="1117" t="s">
        <v>2184</v>
      </c>
      <c r="AQ12" s="478">
        <f>IF(ISNUMBER($I$13),$I$13,0)</f>
        <v>0</v>
      </c>
      <c r="AR12" s="478">
        <f>IF(ISNUMBER($I$14),$I$14,0)</f>
        <v>0</v>
      </c>
      <c r="AS12" s="478">
        <f>IF(ISNUMBER($I$15),$I$15,0)</f>
        <v>0</v>
      </c>
      <c r="AT12" s="478">
        <f>IF(ISNUMBER($I$16),$I$16,0)</f>
        <v>0</v>
      </c>
      <c r="AU12" s="478">
        <f>IF(ISNUMBER($I$17),$I$17,0)</f>
        <v>0</v>
      </c>
    </row>
    <row r="13" spans="1:47" x14ac:dyDescent="0.2">
      <c r="A13" s="1485" t="s">
        <v>2333</v>
      </c>
      <c r="B13" s="95"/>
      <c r="C13" s="1486">
        <v>1</v>
      </c>
      <c r="D13" s="1321">
        <v>1</v>
      </c>
      <c r="E13" s="1349"/>
      <c r="F13" s="1359"/>
      <c r="G13" s="1351"/>
      <c r="H13" s="1352"/>
      <c r="I13" s="1353"/>
      <c r="K13" s="1340" t="s">
        <v>2219</v>
      </c>
      <c r="L13" s="1341"/>
      <c r="M13" s="1342"/>
      <c r="N13" s="1342"/>
      <c r="O13" s="1342"/>
      <c r="Q13" s="185"/>
      <c r="R13" s="1226" t="s">
        <v>2185</v>
      </c>
      <c r="S13" s="238">
        <f>$I$9</f>
        <v>0</v>
      </c>
      <c r="T13" s="238">
        <f>$I$9</f>
        <v>0</v>
      </c>
      <c r="U13" s="238">
        <f>$I$9</f>
        <v>0</v>
      </c>
      <c r="V13" s="238">
        <f>$I$9</f>
        <v>0</v>
      </c>
      <c r="W13" s="238">
        <f>$I$9</f>
        <v>0</v>
      </c>
      <c r="Y13" s="185"/>
      <c r="Z13" s="1226" t="s">
        <v>2185</v>
      </c>
      <c r="AA13" s="238">
        <f>$I$9</f>
        <v>0</v>
      </c>
      <c r="AB13" s="238">
        <f t="shared" ref="AB13:AE13" si="2">$I$9</f>
        <v>0</v>
      </c>
      <c r="AC13" s="238">
        <f t="shared" si="2"/>
        <v>0</v>
      </c>
      <c r="AD13" s="238">
        <f t="shared" si="2"/>
        <v>0</v>
      </c>
      <c r="AE13" s="238">
        <f t="shared" si="2"/>
        <v>0</v>
      </c>
      <c r="AG13" s="185"/>
      <c r="AH13" s="1226" t="s">
        <v>2185</v>
      </c>
      <c r="AI13" s="238">
        <f>$I$18</f>
        <v>0</v>
      </c>
      <c r="AJ13" s="238">
        <f t="shared" ref="AJ13:AM13" si="3">$I$18</f>
        <v>0</v>
      </c>
      <c r="AK13" s="238">
        <f t="shared" si="3"/>
        <v>0</v>
      </c>
      <c r="AL13" s="238">
        <f t="shared" si="3"/>
        <v>0</v>
      </c>
      <c r="AM13" s="238">
        <f t="shared" si="3"/>
        <v>0</v>
      </c>
      <c r="AO13" s="185"/>
      <c r="AP13" s="1226" t="s">
        <v>2185</v>
      </c>
      <c r="AQ13" s="238">
        <f>$I$18</f>
        <v>0</v>
      </c>
      <c r="AR13" s="238">
        <f t="shared" ref="AR13:AU13" si="4">$I$18</f>
        <v>0</v>
      </c>
      <c r="AS13" s="238">
        <f t="shared" si="4"/>
        <v>0</v>
      </c>
      <c r="AT13" s="238">
        <f t="shared" si="4"/>
        <v>0</v>
      </c>
      <c r="AU13" s="238">
        <f t="shared" si="4"/>
        <v>0</v>
      </c>
    </row>
    <row r="14" spans="1:47" x14ac:dyDescent="0.2">
      <c r="A14" s="1485" t="s">
        <v>2332</v>
      </c>
      <c r="B14" s="95"/>
      <c r="C14" s="1486">
        <v>1</v>
      </c>
      <c r="D14" s="1322">
        <v>2</v>
      </c>
      <c r="E14" s="1354"/>
      <c r="F14" s="1360"/>
      <c r="G14" s="1352"/>
      <c r="H14" s="1352"/>
      <c r="I14" s="1356"/>
      <c r="K14" s="1458" t="s">
        <v>2278</v>
      </c>
      <c r="L14" s="1463" t="str">
        <f>IF($C$22="Yes",$AI$30,"NA")</f>
        <v>NA</v>
      </c>
      <c r="M14" s="1463" t="str">
        <f>IF($C$22="Yes",$AQ$30,"NA")</f>
        <v>NA</v>
      </c>
      <c r="N14" s="1463" t="str">
        <f>IF($C$22="Yes",$AI$75,"NA")</f>
        <v>NA</v>
      </c>
      <c r="O14" s="1463" t="str">
        <f>IF($C$22="Yes",$AQ$75,"NA")</f>
        <v>NA</v>
      </c>
      <c r="Q14" s="146"/>
      <c r="R14" s="301" t="s">
        <v>2187</v>
      </c>
      <c r="S14" s="1313" t="e">
        <f>ROUND(S12/S13,2)</f>
        <v>#DIV/0!</v>
      </c>
      <c r="T14" s="1313" t="e">
        <f>ROUND(T12/T13,2)</f>
        <v>#DIV/0!</v>
      </c>
      <c r="U14" s="1313" t="e">
        <f>ROUND(U12/U13,2)</f>
        <v>#DIV/0!</v>
      </c>
      <c r="V14" s="1313" t="e">
        <f>ROUND(V12/V13,2)</f>
        <v>#DIV/0!</v>
      </c>
      <c r="W14" s="1313" t="e">
        <f>ROUND(W12/W13,2)</f>
        <v>#DIV/0!</v>
      </c>
      <c r="Y14" s="146"/>
      <c r="Z14" s="301" t="s">
        <v>2187</v>
      </c>
      <c r="AA14" s="1313" t="e">
        <f>ROUND(AA12/AA13,2)</f>
        <v>#DIV/0!</v>
      </c>
      <c r="AB14" s="1313" t="e">
        <f>ROUND(AB12/AB13,2)</f>
        <v>#DIV/0!</v>
      </c>
      <c r="AC14" s="1313" t="e">
        <f>ROUND(AC12/AC13,2)</f>
        <v>#DIV/0!</v>
      </c>
      <c r="AD14" s="1313" t="e">
        <f>ROUND(AD12/AD13,2)</f>
        <v>#DIV/0!</v>
      </c>
      <c r="AE14" s="1313" t="e">
        <f>ROUND(AE12/AE13,2)</f>
        <v>#DIV/0!</v>
      </c>
      <c r="AG14" s="146"/>
      <c r="AH14" s="301" t="s">
        <v>2187</v>
      </c>
      <c r="AI14" s="1313" t="e">
        <f>ROUND(AI12/AI13,2)</f>
        <v>#DIV/0!</v>
      </c>
      <c r="AJ14" s="1313" t="e">
        <f>ROUND(AJ12/AJ13,2)</f>
        <v>#DIV/0!</v>
      </c>
      <c r="AK14" s="1313" t="e">
        <f>ROUND(AK12/AK13,2)</f>
        <v>#DIV/0!</v>
      </c>
      <c r="AL14" s="1313" t="e">
        <f>ROUND(AL12/AL13,2)</f>
        <v>#DIV/0!</v>
      </c>
      <c r="AM14" s="1313" t="e">
        <f>ROUND(AM12/AM13,2)</f>
        <v>#DIV/0!</v>
      </c>
      <c r="AO14" s="146"/>
      <c r="AP14" s="301" t="s">
        <v>2187</v>
      </c>
      <c r="AQ14" s="1313" t="e">
        <f>ROUND(AQ12/AQ13,2)</f>
        <v>#DIV/0!</v>
      </c>
      <c r="AR14" s="1313" t="e">
        <f>ROUND(AR12/AR13,2)</f>
        <v>#DIV/0!</v>
      </c>
      <c r="AS14" s="1313" t="e">
        <f>ROUND(AS12/AS13,2)</f>
        <v>#DIV/0!</v>
      </c>
      <c r="AT14" s="1313" t="e">
        <f>ROUND(AT12/AT13,2)</f>
        <v>#DIV/0!</v>
      </c>
      <c r="AU14" s="1313" t="e">
        <f>ROUND(AU12/AU13,2)</f>
        <v>#DIV/0!</v>
      </c>
    </row>
    <row r="15" spans="1:47" ht="13.5" customHeight="1" x14ac:dyDescent="0.2">
      <c r="A15" s="1316" t="s">
        <v>2226</v>
      </c>
      <c r="B15" s="160"/>
      <c r="C15" s="1330">
        <v>100</v>
      </c>
      <c r="D15" s="1322">
        <v>3</v>
      </c>
      <c r="E15" s="1354"/>
      <c r="F15" s="1360"/>
      <c r="G15" s="1352"/>
      <c r="H15" s="1352"/>
      <c r="I15" s="1356"/>
      <c r="K15" s="1344" t="s">
        <v>2204</v>
      </c>
      <c r="L15" s="258">
        <f>IF($C$22="Yes",AI$35,0)</f>
        <v>0</v>
      </c>
      <c r="M15" s="258">
        <f>IF($C$22="Yes",AQ$35,0)</f>
        <v>0</v>
      </c>
      <c r="N15" s="259">
        <f>IF(AND($C$22="Yes",$C$11="SP"),AI$80,0)</f>
        <v>0</v>
      </c>
      <c r="O15" s="259">
        <f>IF(AND($C$22="Yes",$C$11="BR"),AQ$80,0)</f>
        <v>0</v>
      </c>
      <c r="Q15" s="185"/>
      <c r="R15" s="1226" t="s">
        <v>2188</v>
      </c>
      <c r="S15" s="238">
        <f>PRODUCT(0.9,$I$9)</f>
        <v>0</v>
      </c>
      <c r="T15" s="238">
        <f>PRODUCT(0.9,$I$9)</f>
        <v>0</v>
      </c>
      <c r="U15" s="238">
        <f>PRODUCT(0.9,$I$9)</f>
        <v>0</v>
      </c>
      <c r="V15" s="238">
        <f>PRODUCT(0.9,$I$9)</f>
        <v>0</v>
      </c>
      <c r="W15" s="238">
        <f>PRODUCT(0.9,$I$9)</f>
        <v>0</v>
      </c>
      <c r="Y15" s="185"/>
      <c r="Z15" s="1226" t="s">
        <v>2188</v>
      </c>
      <c r="AA15" s="238">
        <f>PRODUCT(0.9,$I$9)</f>
        <v>0</v>
      </c>
      <c r="AB15" s="238">
        <f>PRODUCT(0.9,$I$9)</f>
        <v>0</v>
      </c>
      <c r="AC15" s="238">
        <f>PRODUCT(0.9,$I$9)</f>
        <v>0</v>
      </c>
      <c r="AD15" s="238">
        <f>PRODUCT(0.9,$I$9)</f>
        <v>0</v>
      </c>
      <c r="AE15" s="238">
        <f>PRODUCT(0.9,$I$9)</f>
        <v>0</v>
      </c>
      <c r="AG15" s="185"/>
      <c r="AH15" s="1226" t="s">
        <v>2188</v>
      </c>
      <c r="AI15" s="238">
        <f>PRODUCT(0.9,$I$18)</f>
        <v>0</v>
      </c>
      <c r="AJ15" s="238">
        <f>PRODUCT(0.9,$I$18)</f>
        <v>0</v>
      </c>
      <c r="AK15" s="238">
        <f>PRODUCT(0.9,$I$18)</f>
        <v>0</v>
      </c>
      <c r="AL15" s="238">
        <f>PRODUCT(0.9,$I$18)</f>
        <v>0</v>
      </c>
      <c r="AM15" s="238">
        <f>PRODUCT(0.9,$I$18)</f>
        <v>0</v>
      </c>
      <c r="AO15" s="185"/>
      <c r="AP15" s="1226" t="s">
        <v>2188</v>
      </c>
      <c r="AQ15" s="238">
        <f>PRODUCT(0.9,$I$18)</f>
        <v>0</v>
      </c>
      <c r="AR15" s="238">
        <f>PRODUCT(0.9,$I$18)</f>
        <v>0</v>
      </c>
      <c r="AS15" s="238">
        <f>PRODUCT(0.9,$I$18)</f>
        <v>0</v>
      </c>
      <c r="AT15" s="238">
        <f>PRODUCT(0.9,$I$18)</f>
        <v>0</v>
      </c>
      <c r="AU15" s="238">
        <f>PRODUCT(0.9,$I$18)</f>
        <v>0</v>
      </c>
    </row>
    <row r="16" spans="1:47" x14ac:dyDescent="0.2">
      <c r="A16" s="1316" t="s">
        <v>2323</v>
      </c>
      <c r="B16" s="1482">
        <v>500</v>
      </c>
      <c r="C16" s="1483">
        <v>1</v>
      </c>
      <c r="D16" s="1322">
        <v>4</v>
      </c>
      <c r="E16" s="1354"/>
      <c r="F16" s="1360"/>
      <c r="G16" s="1352"/>
      <c r="H16" s="1352"/>
      <c r="I16" s="1356"/>
      <c r="K16" s="1344" t="s">
        <v>2205</v>
      </c>
      <c r="L16" s="258">
        <f>IF($C$22="Yes",AJ$35,0)</f>
        <v>0</v>
      </c>
      <c r="M16" s="258">
        <f>IF($C$22="Yes",AR$35,0)</f>
        <v>0</v>
      </c>
      <c r="N16" s="259">
        <f>IF(AND($C$22="Yes",$C$11="SP"),AJ$80,0)</f>
        <v>0</v>
      </c>
      <c r="O16" s="259">
        <f>IF(AND($C$22="Yes",$C$11="BR"),AR$80,0)</f>
        <v>0</v>
      </c>
      <c r="R16" s="83" t="s">
        <v>2189</v>
      </c>
      <c r="S16" s="248" t="e">
        <f>PRODUCT(S14:S15)</f>
        <v>#DIV/0!</v>
      </c>
      <c r="T16" s="248" t="e">
        <f>PRODUCT(T14:T15)</f>
        <v>#DIV/0!</v>
      </c>
      <c r="U16" s="248" t="e">
        <f>PRODUCT(U14:U15)</f>
        <v>#DIV/0!</v>
      </c>
      <c r="V16" s="248" t="e">
        <f>PRODUCT(V14:V15)</f>
        <v>#DIV/0!</v>
      </c>
      <c r="W16" s="248" t="e">
        <f>PRODUCT(W14:W15)</f>
        <v>#DIV/0!</v>
      </c>
      <c r="Z16" s="83" t="s">
        <v>2189</v>
      </c>
      <c r="AA16" s="248" t="e">
        <f>PRODUCT(AA14:AA15)</f>
        <v>#DIV/0!</v>
      </c>
      <c r="AB16" s="248" t="e">
        <f>PRODUCT(AB14:AB15)</f>
        <v>#DIV/0!</v>
      </c>
      <c r="AC16" s="248" t="e">
        <f>PRODUCT(AC14:AC15)</f>
        <v>#DIV/0!</v>
      </c>
      <c r="AD16" s="248" t="e">
        <f>PRODUCT(AD14:AD15)</f>
        <v>#DIV/0!</v>
      </c>
      <c r="AE16" s="248" t="e">
        <f>PRODUCT(AE14:AE15)</f>
        <v>#DIV/0!</v>
      </c>
      <c r="AH16" s="83" t="s">
        <v>2189</v>
      </c>
      <c r="AI16" s="248" t="e">
        <f>PRODUCT(AI14:AI15)</f>
        <v>#DIV/0!</v>
      </c>
      <c r="AJ16" s="248" t="e">
        <f>PRODUCT(AJ14:AJ15)</f>
        <v>#DIV/0!</v>
      </c>
      <c r="AK16" s="248" t="e">
        <f>PRODUCT(AK14:AK15)</f>
        <v>#DIV/0!</v>
      </c>
      <c r="AL16" s="248" t="e">
        <f>PRODUCT(AL14:AL15)</f>
        <v>#DIV/0!</v>
      </c>
      <c r="AM16" s="248" t="e">
        <f>PRODUCT(AM14:AM15)</f>
        <v>#DIV/0!</v>
      </c>
      <c r="AP16" s="83" t="s">
        <v>2189</v>
      </c>
      <c r="AQ16" s="248" t="e">
        <f>PRODUCT(AQ14:AQ15)</f>
        <v>#DIV/0!</v>
      </c>
      <c r="AR16" s="248" t="e">
        <f>PRODUCT(AR14:AR15)</f>
        <v>#DIV/0!</v>
      </c>
      <c r="AS16" s="248" t="e">
        <f>PRODUCT(AS14:AS15)</f>
        <v>#DIV/0!</v>
      </c>
      <c r="AT16" s="248" t="e">
        <f>PRODUCT(AT14:AT15)</f>
        <v>#DIV/0!</v>
      </c>
      <c r="AU16" s="248" t="e">
        <f>PRODUCT(AU14:AU15)</f>
        <v>#DIV/0!</v>
      </c>
    </row>
    <row r="17" spans="1:47" ht="15" customHeight="1" x14ac:dyDescent="0.2">
      <c r="A17" s="1316" t="s">
        <v>2227</v>
      </c>
      <c r="B17" s="160"/>
      <c r="C17" s="1330">
        <v>100</v>
      </c>
      <c r="D17" s="1322">
        <v>5</v>
      </c>
      <c r="E17" s="1354"/>
      <c r="F17" s="1360"/>
      <c r="G17" s="1352"/>
      <c r="H17" s="1352"/>
      <c r="I17" s="1356"/>
      <c r="K17" s="1344" t="s">
        <v>2206</v>
      </c>
      <c r="L17" s="258">
        <f>IF($C$22="Yes",AK$35,0)</f>
        <v>0</v>
      </c>
      <c r="M17" s="258">
        <f>IF($C$22="Yes",AS$35,0)</f>
        <v>0</v>
      </c>
      <c r="N17" s="259">
        <f>IF(AND($C$22="Yes",$C$11="SP"),AK$80,0)</f>
        <v>0</v>
      </c>
      <c r="O17" s="259">
        <f>IF(AND($C$22="Yes",$C$11="BR"),AS$80,0)</f>
        <v>0</v>
      </c>
      <c r="Q17" s="1332"/>
      <c r="R17" s="1333" t="s">
        <v>2193</v>
      </c>
      <c r="S17" s="1334" t="e">
        <f>IF(S16=0,"N/A",IF(ISNA(MATCH(S16,List_LOI_Bldg,0)),VLOOKUP(S16,List_LOI_Bldg,1,TRUE),"N/A"))</f>
        <v>#DIV/0!</v>
      </c>
      <c r="T17" s="1334" t="e">
        <f>IF(T16=0,"N/A",IF(ISNA(MATCH(T16,List_LOI_Bldg,0)),VLOOKUP(T16,List_LOI_Bldg,1,TRUE),"N/A"))</f>
        <v>#DIV/0!</v>
      </c>
      <c r="U17" s="1334" t="e">
        <f>IF(U16=0,"N/A",IF(ISNA(MATCH(U16,List_LOI_Bldg,0)),VLOOKUP(U16,List_LOI_Bldg,1,TRUE),"N/A"))</f>
        <v>#DIV/0!</v>
      </c>
      <c r="V17" s="1335" t="e">
        <f>IF(V16=0,"N/A",IF(ISNA(MATCH(V16,List_LOI_Bldg,0)),VLOOKUP(V16,List_LOI_Bldg,1,TRUE),"N/A"))</f>
        <v>#DIV/0!</v>
      </c>
      <c r="W17" s="1335" t="e">
        <f>IF(W16=0,"N/A",IF(ISNA(MATCH(W16,List_LOI_Bldg,0)),VLOOKUP(W16,List_LOI_Bldg,1,TRUE),"N/A"))</f>
        <v>#DIV/0!</v>
      </c>
      <c r="Y17" s="1332"/>
      <c r="Z17" s="1333" t="s">
        <v>2193</v>
      </c>
      <c r="AA17" s="1334" t="e">
        <f>IF(AA16=0,"N/A",IF(ISNA(MATCH(AA16,List_LOI_Bldg,0)),VLOOKUP(AA16,List_LOI_Bldg,1,TRUE),"N/A"))</f>
        <v>#DIV/0!</v>
      </c>
      <c r="AB17" s="1334" t="e">
        <f>IF(AB16=0,"N/A",IF(ISNA(MATCH(AB16,List_LOI_Bldg,0)),VLOOKUP(AB16,List_LOI_Bldg,1,TRUE),"N/A"))</f>
        <v>#DIV/0!</v>
      </c>
      <c r="AC17" s="1335" t="e">
        <f>IF(AC16=0,"N/A",IF(ISNA(MATCH(AC16,List_LOI_Bldg,0)),VLOOKUP(AC16,List_LOI_Bldg,1,TRUE),"N/A"))</f>
        <v>#DIV/0!</v>
      </c>
      <c r="AD17" s="1335" t="e">
        <f>IF(AD16=0,"N/A",IF(ISNA(MATCH(AD16,List_LOI_Bldg,0)),VLOOKUP(AD16,List_LOI_Bldg,1,TRUE),"N/A"))</f>
        <v>#DIV/0!</v>
      </c>
      <c r="AE17" s="1335" t="e">
        <f>IF(AE16=0,"N/A",IF(ISNA(MATCH(AE16,List_LOI_Bldg,0)),VLOOKUP(AE16,List_LOI_Bldg,1,TRUE),"N/A"))</f>
        <v>#DIV/0!</v>
      </c>
      <c r="AG17" s="1332"/>
      <c r="AH17" s="1333" t="s">
        <v>2193</v>
      </c>
      <c r="AI17" s="1334" t="e">
        <f>IF(AI16=0,"N/A",IF(ISNA(MATCH(AI16,List_LOI_PP,0)),VLOOKUP(AI16,List_LOI_PP,1,TRUE),"N/A"))</f>
        <v>#DIV/0!</v>
      </c>
      <c r="AJ17" s="1334" t="e">
        <f>IF(AJ16=0,"N/A",IF(ISNA(MATCH(AJ16,List_LOI_PP,0)),VLOOKUP(AJ16,List_LOI_PP,1,TRUE),"N/A"))</f>
        <v>#DIV/0!</v>
      </c>
      <c r="AK17" s="1334" t="e">
        <f>IF(AK16=0,"N/A",IF(ISNA(MATCH(AK16,List_LOI_PP,0)),VLOOKUP(AK16,List_LOI_PP,1,TRUE),"N/A"))</f>
        <v>#DIV/0!</v>
      </c>
      <c r="AL17" s="1335" t="e">
        <f>IF(AL16=0,"N/A",IF(ISNA(MATCH(AL16,List_LOI_PP,0)),VLOOKUP(AL16,List_LOI_PP,1,TRUE),"N/A"))</f>
        <v>#DIV/0!</v>
      </c>
      <c r="AM17" s="1335" t="e">
        <f>IF(AM16=0,"N/A",IF(ISNA(MATCH(AM16,List_LOI_PP,0)),VLOOKUP(AM16,List_LOI_PP,1,TRUE),"N/A"))</f>
        <v>#DIV/0!</v>
      </c>
      <c r="AO17" s="1332"/>
      <c r="AP17" s="1333" t="s">
        <v>2193</v>
      </c>
      <c r="AQ17" s="1334" t="e">
        <f>IF(AQ16=0,"N/A",IF(ISNA(MATCH(AQ16,List_LOI_PP,0)),VLOOKUP(AQ16,List_LOI_PP,1,TRUE),"N/A"))</f>
        <v>#DIV/0!</v>
      </c>
      <c r="AR17" s="1334" t="e">
        <f>IF(AR16=0,"N/A",IF(ISNA(MATCH(AR16,List_LOI_PP,0)),VLOOKUP(AR16,List_LOI_PP,1,TRUE),"N/A"))</f>
        <v>#DIV/0!</v>
      </c>
      <c r="AS17" s="1335" t="e">
        <f>IF(AS16=0,"N/A",IF(ISNA(MATCH(AS16,List_LOI_PP,0)),VLOOKUP(AS16,List_LOI_PP,1,TRUE),"N/A"))</f>
        <v>#DIV/0!</v>
      </c>
      <c r="AT17" s="1335" t="e">
        <f>IF(AT16=0,"N/A",IF(ISNA(MATCH(AT16,List_LOI_PP,0)),VLOOKUP(AT16,List_LOI_PP,1,TRUE),"N/A"))</f>
        <v>#DIV/0!</v>
      </c>
      <c r="AU17" s="1335" t="e">
        <f>IF(AU16=0,"N/A",IF(ISNA(MATCH(AU16,List_LOI_PP,0)),VLOOKUP(AU16,List_LOI_PP,1,TRUE),"N/A"))</f>
        <v>#DIV/0!</v>
      </c>
    </row>
    <row r="18" spans="1:47" x14ac:dyDescent="0.2">
      <c r="A18" s="1316" t="s">
        <v>2323</v>
      </c>
      <c r="B18" s="1482">
        <v>500</v>
      </c>
      <c r="C18" s="1483">
        <v>1</v>
      </c>
      <c r="D18" s="1326"/>
      <c r="E18" s="1327"/>
      <c r="F18" s="1347"/>
      <c r="G18" s="1328"/>
      <c r="H18" s="1329" t="s">
        <v>2174</v>
      </c>
      <c r="I18" s="1325">
        <f>SUM(I13:I17)</f>
        <v>0</v>
      </c>
      <c r="K18" s="1344" t="s">
        <v>2207</v>
      </c>
      <c r="L18" s="258">
        <f>IF($C$22="Yes",AL$35,0)</f>
        <v>0</v>
      </c>
      <c r="M18" s="258">
        <f>IF($C$22="Yes",AT$35,0)</f>
        <v>0</v>
      </c>
      <c r="N18" s="259">
        <f>IF(AND($C$22="Yes",$C$11="SP"),AL$80,0)</f>
        <v>0</v>
      </c>
      <c r="O18" s="259">
        <f>IF(AND($C$22="Yes",$C$11="BR"),AT$80,0)</f>
        <v>0</v>
      </c>
      <c r="Q18" s="1336"/>
      <c r="R18" s="1337" t="s">
        <v>2194</v>
      </c>
      <c r="S18" s="1338" t="e">
        <f>IF(S17="N/A",0,INDEX(List_LOI_Bldg,MATCH(S17,List_LOI_Bldg,0)+1,1))</f>
        <v>#DIV/0!</v>
      </c>
      <c r="T18" s="1338" t="e">
        <f>IF(T17="N/A",0,INDEX(List_LOI_Bldg,MATCH(T17,List_LOI_Bldg,0)+1,1))</f>
        <v>#DIV/0!</v>
      </c>
      <c r="U18" s="1338" t="e">
        <f>IF(U17="N/A",0,INDEX(List_LOI_Bldg,MATCH(U17,List_LOI_Bldg,0)+1,1))</f>
        <v>#DIV/0!</v>
      </c>
      <c r="V18" s="1338" t="e">
        <f>IF(V17="N/A",0,INDEX(List_LOI_Bldg,MATCH(V17,List_LOI_Bldg,0)+1,1))</f>
        <v>#DIV/0!</v>
      </c>
      <c r="W18" s="1338" t="e">
        <f>IF(W17="N/A",0,INDEX(List_LOI_Bldg,MATCH(W17,List_LOI_Bldg,0)+1,1))</f>
        <v>#DIV/0!</v>
      </c>
      <c r="Y18" s="1336"/>
      <c r="Z18" s="1337" t="s">
        <v>2194</v>
      </c>
      <c r="AA18" s="1338" t="e">
        <f>IF(AA17="N/A",0,INDEX(List_LOI_Bldg,MATCH(AA17,List_LOI_Bldg,0)+1,1))</f>
        <v>#DIV/0!</v>
      </c>
      <c r="AB18" s="1338" t="e">
        <f>IF(AB17="N/A",0,INDEX(List_LOI_Bldg,MATCH(AB17,List_LOI_Bldg,0)+1,1))</f>
        <v>#DIV/0!</v>
      </c>
      <c r="AC18" s="1338" t="e">
        <f>IF(AC17="N/A",0,INDEX(List_LOI_Bldg,MATCH(AC17,List_LOI_Bldg,0)+1,1))</f>
        <v>#DIV/0!</v>
      </c>
      <c r="AD18" s="1338" t="e">
        <f>IF(AD17="N/A",0,INDEX(List_LOI_Bldg,MATCH(AD17,List_LOI_Bldg,0)+1,1))</f>
        <v>#DIV/0!</v>
      </c>
      <c r="AE18" s="1338" t="e">
        <f>IF(AE17="N/A",0,INDEX(List_LOI_Bldg,MATCH(AE17,List_LOI_Bldg,0)+1,1))</f>
        <v>#DIV/0!</v>
      </c>
      <c r="AG18" s="1336"/>
      <c r="AH18" s="1337" t="s">
        <v>2194</v>
      </c>
      <c r="AI18" s="1338" t="e">
        <f>IF(AI17="N/A",0,INDEX(List_LOI_PP,MATCH(AI17,List_LOI_PP,0)+1,1))</f>
        <v>#DIV/0!</v>
      </c>
      <c r="AJ18" s="1338" t="e">
        <f>IF(AJ17="N/A",0,INDEX(List_LOI_PP,MATCH(AJ17,List_LOI_PP,0)+1,1))</f>
        <v>#DIV/0!</v>
      </c>
      <c r="AK18" s="1338" t="e">
        <f>IF(AK17="N/A",0,INDEX(List_LOI_PP,MATCH(AK17,List_LOI_PP,0)+1,1))</f>
        <v>#DIV/0!</v>
      </c>
      <c r="AL18" s="1338" t="e">
        <f>IF(AL17="N/A",0,INDEX(List_LOI_PP,MATCH(AL17,List_LOI_PP,0)+1,1))</f>
        <v>#DIV/0!</v>
      </c>
      <c r="AM18" s="1338" t="e">
        <f>IF(AM17="N/A",0,INDEX(List_LOI_PP,MATCH(AM17,List_LOI_PP,0)+1,1))</f>
        <v>#DIV/0!</v>
      </c>
      <c r="AO18" s="1336"/>
      <c r="AP18" s="1337" t="s">
        <v>2194</v>
      </c>
      <c r="AQ18" s="1338" t="e">
        <f>IF(AQ17="N/A",0,INDEX(List_LOI_PP,MATCH(AQ17,List_LOI_PP,0)+1,1))</f>
        <v>#DIV/0!</v>
      </c>
      <c r="AR18" s="1338" t="e">
        <f>IF(AR17="N/A",0,INDEX(List_LOI_PP,MATCH(AR17,List_LOI_PP,0)+1,1))</f>
        <v>#DIV/0!</v>
      </c>
      <c r="AS18" s="1338" t="e">
        <f>IF(AS17="N/A",0,INDEX(List_LOI_PP,MATCH(AS17,List_LOI_PP,0)+1,1))</f>
        <v>#DIV/0!</v>
      </c>
      <c r="AT18" s="1338" t="e">
        <f>IF(AT17="N/A",0,INDEX(List_LOI_PP,MATCH(AT17,List_LOI_PP,0)+1,1))</f>
        <v>#DIV/0!</v>
      </c>
      <c r="AU18" s="1338" t="e">
        <f>IF(AU17="N/A",0,INDEX(List_LOI_PP,MATCH(AU17,List_LOI_PP,0)+1,1))</f>
        <v>#DIV/0!</v>
      </c>
    </row>
    <row r="19" spans="1:47" ht="13.5" thickBot="1" x14ac:dyDescent="0.25">
      <c r="A19" s="120"/>
      <c r="B19" s="95"/>
      <c r="C19" s="1039"/>
      <c r="D19" s="126"/>
      <c r="E19" s="541"/>
      <c r="F19" s="541"/>
      <c r="G19" s="96"/>
      <c r="H19" s="96"/>
      <c r="I19" s="1096"/>
      <c r="K19" s="1345" t="s">
        <v>2208</v>
      </c>
      <c r="L19" s="1357">
        <f>IF($C$22="Yes",AM$35,0)</f>
        <v>0</v>
      </c>
      <c r="M19" s="1357">
        <f>IF($C$22="Yes",AU$35,0)</f>
        <v>0</v>
      </c>
      <c r="N19" s="884">
        <f>IF(AND($C$22="Yes",$C$11="SP"),AM$80,0)</f>
        <v>0</v>
      </c>
      <c r="O19" s="884">
        <f>IF(AND($C$22="Yes",$C$11="BR"),AU$80,0)</f>
        <v>0</v>
      </c>
      <c r="Q19" s="185"/>
      <c r="R19" s="1226" t="s">
        <v>2195</v>
      </c>
      <c r="S19" s="1457" t="e">
        <f>IF(S16=0,0,IF(AND(S17="N/A",S16&gt;0),VLOOKUP(S16,Table_LOI_Bldg,MATCH($G4,List_Relatives,0)+1,FALSE),
ROUND(VLOOKUP(S17,Table_LOI_Bldg,MATCH($G4,List_Relatives,0)+1,FALSE) -
ROUND(PRODUCT((VLOOKUP(S17,Table_LOI_Bldg,MATCH($G4,List_Relatives,0)+1,FALSE) - VLOOKUP(S18,Table_LOI_Bldg,MATCH($G4,List_Relatives,0)+1,FALSE)),S16-S17)/(S18-S17),4),4)))</f>
        <v>#DIV/0!</v>
      </c>
      <c r="T19" s="1457" t="e">
        <f>IF(T16=0,0,IF(AND(T17="N/A",T16&gt;0),VLOOKUP(T16,Table_LOI_Bldg,MATCH($G5,List_Relatives,0)+1,FALSE),
ROUND(VLOOKUP(T17,Table_LOI_Bldg,MATCH($G5,List_Relatives,0)+1,FALSE) -
ROUND(PRODUCT((VLOOKUP(T17,Table_LOI_Bldg,MATCH($G5,List_Relatives,0)+1,FALSE) - VLOOKUP(T18,Table_LOI_Bldg,MATCH($G5,List_Relatives,0)+1,FALSE)),T16-T17)/(T18-T17),4),4)))</f>
        <v>#DIV/0!</v>
      </c>
      <c r="U19" s="1457" t="e">
        <f>IF(U16=0,0,IF(AND(U17="N/A",U16&gt;0),VLOOKUP(U16,Table_LOI_Bldg,MATCH($G6,List_Relatives,0)+1,FALSE),
ROUND(VLOOKUP(U17,Table_LOI_Bldg,MATCH($G6,List_Relatives,0)+1,FALSE) -
ROUND(PRODUCT((VLOOKUP(U17,Table_LOI_Bldg,MATCH($G6,List_Relatives,0)+1,FALSE) - VLOOKUP(U18,Table_LOI_Bldg,MATCH($G6,List_Relatives,0)+1,FALSE)),U16-U17)/(U18-U17),4),4)))</f>
        <v>#DIV/0!</v>
      </c>
      <c r="V19" s="1457" t="e">
        <f>IF(V16=0,0,IF(AND(V17="N/A",V16&gt;0),VLOOKUP(V16,Table_LOI_Bldg,MATCH($G7,List_Relatives,0)+1,FALSE),
ROUND(VLOOKUP(V17,Table_LOI_Bldg,MATCH($G7,List_Relatives,0)+1,FALSE) -
ROUND(PRODUCT((VLOOKUP(V17,Table_LOI_Bldg,MATCH($G7,List_Relatives,0)+1,FALSE) - VLOOKUP(V18,Table_LOI_Bldg,MATCH($G7,List_Relatives,0)+1,FALSE)),V16-V17)/(V18-V17),4),4)))</f>
        <v>#DIV/0!</v>
      </c>
      <c r="W19" s="1457" t="e">
        <f>IF(W16=0,0,IF(AND(W17="N/A",W16&gt;0),VLOOKUP(W16,Table_LOI_Bldg,MATCH($G8,List_Relatives,0)+1,FALSE),
ROUND(VLOOKUP(W17,Table_LOI_Bldg,MATCH($G8,List_Relatives,0)+1,FALSE) -
ROUND(PRODUCT((VLOOKUP(W17,Table_LOI_Bldg,MATCH($G8,List_Relatives,0)+1,FALSE) - VLOOKUP(W18,Table_LOI_Bldg,MATCH($G8,List_Relatives,0)+1,FALSE)),W16-W17)/(W18-W17),4),4)))</f>
        <v>#DIV/0!</v>
      </c>
      <c r="Y19" s="185"/>
      <c r="Z19" s="1226" t="s">
        <v>2195</v>
      </c>
      <c r="AA19" s="1457" t="e">
        <f>IF(AA16=0,0,IF(AND(AA17="N/A",AA16&gt;0),VLOOKUP(AA16,Table_LOI_Bldg,MATCH("BA2",List_Relatives,0)+1,FALSE),
ROUND(VLOOKUP(AA17,Table_LOI_Bldg,MATCH("BA2",List_Relatives,0)+1,FALSE) -
ROUND(PRODUCT((VLOOKUP(AA17,Table_LOI_Bldg,MATCH("BA2",List_Relatives,0)+1,FALSE) - VLOOKUP(AA18,Table_LOI_Bldg,MATCH("BA2",List_Relatives,0)+1,FALSE)),AA16-AA17)/(AA18-AA17),4),4)))</f>
        <v>#DIV/0!</v>
      </c>
      <c r="AB19" s="1457" t="e">
        <f>IF(AB16=0,0,IF(AND(AB17="N/A",AB16&gt;0),VLOOKUP(AB16,Table_LOI_Bldg,MATCH("BA2",List_Relatives,0)+1,FALSE),
ROUND(VLOOKUP(AB17,Table_LOI_Bldg,MATCH("BA2",List_Relatives,0)+1,FALSE) -
ROUND(PRODUCT((VLOOKUP(AB17,Table_LOI_Bldg,MATCH("BA2",List_Relatives,0)+1,FALSE) - VLOOKUP(AB18,Table_LOI_Bldg,MATCH("BA2",List_Relatives,0)+1,FALSE)),AB16-AB17)/(AB18-AB17),4),4)))</f>
        <v>#DIV/0!</v>
      </c>
      <c r="AC19" s="1457" t="e">
        <f>IF(AC16=0,0,IF(AND(AC17="N/A",AC16&gt;0),VLOOKUP(AC16,Table_LOI_Bldg,MATCH("BA2",List_Relatives,0)+1,FALSE),
ROUND(VLOOKUP(AC17,Table_LOI_Bldg,MATCH("BA2",List_Relatives,0)+1,FALSE) -
ROUND(PRODUCT((VLOOKUP(AC17,Table_LOI_Bldg,MATCH("BA2",List_Relatives,0)+1,FALSE) - VLOOKUP(AC18,Table_LOI_Bldg,MATCH("BA2",List_Relatives,0)+1,FALSE)),AC16-AC17)/(AC18-AC17),4),4)))</f>
        <v>#DIV/0!</v>
      </c>
      <c r="AD19" s="1457" t="e">
        <f>IF(AD16=0,0,IF(AND(AD17="N/A",AD16&gt;0),VLOOKUP(AD16,Table_LOI_Bldg,MATCH($G7,List_Relatives,0)+1,FALSE),
ROUND(VLOOKUP(AD17,Table_LOI_Bldg,MATCH($G7,List_Relatives,0)+1,FALSE) -
ROUND(PRODUCT((VLOOKUP(AD17,Table_LOI_Bldg,MATCH($G7,List_Relatives,0)+1,FALSE) - VLOOKUP(AD18,Table_LOI_Bldg,MATCH($G7,List_Relatives,0)+1,FALSE)),AD16-AD17)/(AD18-AD17),4),4)))</f>
        <v>#DIV/0!</v>
      </c>
      <c r="AE19" s="1457" t="e">
        <f>IF(AE16=0,0,IF(AND(AE17="N/A",AE16&gt;0),VLOOKUP(AE16,Table_LOI_Bldg,MATCH($G8,List_Relatives,0)+1,FALSE),
ROUND(VLOOKUP(AE17,Table_LOI_Bldg,MATCH($G8,List_Relatives,0)+1,FALSE) -
ROUND(PRODUCT((VLOOKUP(AE17,Table_LOI_Bldg,MATCH($G8,List_Relatives,0)+1,FALSE) - VLOOKUP(AE18,Table_LOI_Bldg,MATCH($G8,List_Relatives,0)+1,FALSE)),AE16-AE17)/(AE18-AE17),4),4)))</f>
        <v>#DIV/0!</v>
      </c>
      <c r="AG19" s="185"/>
      <c r="AH19" s="1226" t="s">
        <v>2195</v>
      </c>
      <c r="AI19" s="1457" t="e">
        <f>IF(AI16=0,0,IF(AND(AI17="N/A",AI16&gt;0),VLOOKUP(AI16,Table_LOI_PP,MATCH($G13,List_Relatives,0)+1,FALSE),
ROUND(VLOOKUP(AI17,Table_LOI_PP,MATCH($G13,List_Relatives,0)+1,FALSE) -
ROUND(PRODUCT((VLOOKUP(AI17,Table_LOI_PP,MATCH($G13,List_Relatives,0)+1,FALSE) - VLOOKUP(AI18,Table_LOI_PP,MATCH($G13,List_Relatives,0)+1,FALSE)),AI16-AI17)/(AI18-AI17),4),4)))</f>
        <v>#DIV/0!</v>
      </c>
      <c r="AJ19" s="1457" t="e">
        <f>IF(AJ16=0,0,IF(AND(AJ17="N/A",AJ16&gt;0),VLOOKUP(AJ16,Table_LOI_PP,MATCH($G14,List_Relatives,0)+1,FALSE),
ROUND(VLOOKUP(AJ17,Table_LOI_PP,MATCH($G14,List_Relatives,0)+1,FALSE) -
ROUND(PRODUCT((VLOOKUP(AJ17,Table_LOI_PP,MATCH($G14,List_Relatives,0)+1,FALSE) - VLOOKUP(AJ18,Table_LOI_PP,MATCH($G14,List_Relatives,0)+1,FALSE)),AJ16-AJ17)/(AJ18-AJ17),4),4)))</f>
        <v>#DIV/0!</v>
      </c>
      <c r="AK19" s="1457" t="e">
        <f>IF(AK16=0,0,IF(AND(AK17="N/A",AK16&gt;0),VLOOKUP(AK16,Table_LOI_PP,MATCH($G15,List_Relatives,0)+1,FALSE),
ROUND(VLOOKUP(AK17,Table_LOI_PP,MATCH($G15,List_Relatives,0)+1,FALSE) -
ROUND(PRODUCT((VLOOKUP(AK17,Table_LOI_PP,MATCH($G15,List_Relatives,0)+1,FALSE) - VLOOKUP(AK18,Table_LOI_PP,MATCH($G15,List_Relatives,0)+1,FALSE)),AK16-AK17)/(AK18-AK17),4),4)))</f>
        <v>#DIV/0!</v>
      </c>
      <c r="AL19" s="1457" t="e">
        <f>IF(AL16=0,0,IF(AND(AL17="N/A",AL16&gt;0),VLOOKUP(AL16,Table_LOI_PP,MATCH($G16,List_Relatives,0)+1,FALSE),
ROUND(VLOOKUP(AL17,Table_LOI_PP,MATCH($G16,List_Relatives,0)+1,FALSE) -
ROUND(PRODUCT((VLOOKUP(AL17,Table_LOI_PP,MATCH($G16,List_Relatives,0)+1,FALSE) - VLOOKUP(AL18,Table_LOI_PP,MATCH($G16,List_Relatives,0)+1,FALSE)),AL16-AL17)/(AL18-AL17),4),4)))</f>
        <v>#DIV/0!</v>
      </c>
      <c r="AM19" s="1457" t="e">
        <f>IF(AM16=0,0,IF(AND(AM17="N/A",AM16&gt;0),VLOOKUP(AM16,Table_LOI_PP,MATCH($G17,List_Relatives,0)+1,FALSE),
ROUND(VLOOKUP(AM17,Table_LOI_PP,MATCH($G17,List_Relatives,0)+1,FALSE) -
ROUND(PRODUCT((VLOOKUP(AM17,Table_LOI_PP,MATCH($G17,List_Relatives,0)+1,FALSE) - VLOOKUP(AM18,Table_LOI_PP,MATCH($G17,List_Relatives,0)+1,FALSE)),AM16-AM17)/(AM18-AM17),4),4)))</f>
        <v>#DIV/0!</v>
      </c>
      <c r="AO19" s="185"/>
      <c r="AP19" s="1226" t="s">
        <v>2195</v>
      </c>
      <c r="AQ19" s="1457" t="e">
        <f>IF(AQ16=0,0,IF(AND(AQ17="N/A",AQ16&gt;0),VLOOKUP(AQ16,Table_LOI_PP,MATCH("BA2",List_Relatives,0)+1,FALSE),
ROUND(VLOOKUP(AQ17,Table_LOI_PP,MATCH("BA2",List_Relatives,0)+1,FALSE) -
ROUND(PRODUCT((VLOOKUP(AQ17,Table_LOI_PP,MATCH("BA2",List_Relatives,0)+1,FALSE) - VLOOKUP(AQ18,Table_LOI_PP,MATCH("BA2",List_Relatives,0)+1,FALSE)),AQ16-AQ17)/(AQ18-AQ17),4),4)))</f>
        <v>#DIV/0!</v>
      </c>
      <c r="AR19" s="1457" t="e">
        <f>IF(AR16=0,0,IF(AND(AR17="N/A",AR16&gt;0),VLOOKUP(AR16,Table_LOI_PP,MATCH("BA2",List_Relatives,0)+1,FALSE),
ROUND(VLOOKUP(AR17,Table_LOI_PP,MATCH("BA2",List_Relatives,0)+1,FALSE) -
ROUND(PRODUCT((VLOOKUP(AR17,Table_LOI_PP,MATCH("BA2",List_Relatives,0)+1,FALSE) - VLOOKUP(AR18,Table_LOI_PP,MATCH("BA2",List_Relatives,0)+1,FALSE)),AR16-AR17)/(AR18-AR17),4),4)))</f>
        <v>#DIV/0!</v>
      </c>
      <c r="AS19" s="1457" t="e">
        <f>IF(AS16=0,0,IF(AND(AS17="N/A",AS16&gt;0),VLOOKUP(AS16,Table_LOI_PP,MATCH("BA2",List_Relatives,0)+1,FALSE),
ROUND(VLOOKUP(AS17,Table_LOI_PP,MATCH("BA2",List_Relatives,0)+1,FALSE) -
ROUND(PRODUCT((VLOOKUP(AS17,Table_LOI_PP,MATCH("BA2",List_Relatives,0)+1,FALSE) - VLOOKUP(AS18,Table_LOI_PP,MATCH("BA2",List_Relatives,0)+1,FALSE)),AS16-AS17)/(AS18-AS17),4),4)))</f>
        <v>#DIV/0!</v>
      </c>
      <c r="AT19" s="1457" t="e">
        <f>IF(AT16=0,0,IF(AND(AT17="N/A",AT16&gt;0),VLOOKUP(AT16,Table_LOI_PP,MATCH($G16,List_Relatives,0)+1,FALSE),
ROUND(VLOOKUP(AT17,Table_LOI_PP,MATCH($G16,List_Relatives,0)+1,FALSE) -
ROUND(PRODUCT((VLOOKUP(AT17,Table_LOI_PP,MATCH($G16,List_Relatives,0)+1,FALSE) - VLOOKUP(AT18,Table_LOI_PP,MATCH($G16,List_Relatives,0)+1,FALSE)),AT16-AT17)/(AT18-AT17),4),4)))</f>
        <v>#DIV/0!</v>
      </c>
      <c r="AU19" s="1457" t="e">
        <f>IF(AU16=0,0,IF(AND(AU17="N/A",AU16&gt;0),VLOOKUP(AU16,Table_LOI_PP,MATCH($G17,List_Relatives,0)+1,FALSE),
ROUND(VLOOKUP(AU17,Table_LOI_PP,MATCH($G17,List_Relatives,0)+1,FALSE) -
ROUND(PRODUCT((VLOOKUP(AU17,Table_LOI_PP,MATCH($G17,List_Relatives,0)+1,FALSE) - VLOOKUP(AU18,Table_LOI_PP,MATCH($G17,List_Relatives,0)+1,FALSE)),AU16-AU17)/(AU18-AU17),4),4)))</f>
        <v>#DIV/0!</v>
      </c>
    </row>
    <row r="20" spans="1:47" ht="13.5" thickBot="1" x14ac:dyDescent="0.25">
      <c r="A20" s="529" t="s">
        <v>2214</v>
      </c>
      <c r="B20" s="531"/>
      <c r="C20" s="532"/>
      <c r="D20" s="500" t="s">
        <v>2216</v>
      </c>
      <c r="E20" s="508"/>
      <c r="F20" s="508"/>
      <c r="G20" s="508"/>
      <c r="H20" s="508"/>
      <c r="I20" s="509"/>
      <c r="K20" s="1343" t="s">
        <v>2218</v>
      </c>
      <c r="L20" s="485">
        <f>SUM(L15:L19)</f>
        <v>0</v>
      </c>
      <c r="M20" s="485">
        <f>SUM(M15:M19)</f>
        <v>0</v>
      </c>
      <c r="N20" s="485">
        <f>SUM(N15:N19)</f>
        <v>0</v>
      </c>
      <c r="O20" s="485">
        <f>SUM(O15:O19)</f>
        <v>0</v>
      </c>
      <c r="R20" s="83" t="s">
        <v>2196</v>
      </c>
      <c r="S20" s="247" t="e">
        <f>PRODUCT(S9,S19)</f>
        <v>#DIV/0!</v>
      </c>
      <c r="T20" s="247" t="e">
        <f>PRODUCT(T9,T19)</f>
        <v>#DIV/0!</v>
      </c>
      <c r="U20" s="2" t="e">
        <f>PRODUCT(U9,U19)</f>
        <v>#DIV/0!</v>
      </c>
      <c r="V20" s="2" t="e">
        <f>PRODUCT(V9,V19)</f>
        <v>#DIV/0!</v>
      </c>
      <c r="W20" s="2" t="e">
        <f>PRODUCT(W9,W19)</f>
        <v>#DIV/0!</v>
      </c>
      <c r="Z20" s="83" t="s">
        <v>2196</v>
      </c>
      <c r="AA20" s="2" t="e">
        <f>PRODUCT(AA9,AA19)</f>
        <v>#DIV/0!</v>
      </c>
      <c r="AB20" s="2" t="e">
        <f>PRODUCT(AB9,AB19)</f>
        <v>#DIV/0!</v>
      </c>
      <c r="AC20" s="2" t="e">
        <f>PRODUCT(AC9,AC19)</f>
        <v>#DIV/0!</v>
      </c>
      <c r="AD20" s="2" t="e">
        <f>PRODUCT(AD9,AD19)</f>
        <v>#DIV/0!</v>
      </c>
      <c r="AE20" s="2" t="e">
        <f>PRODUCT(AE9,AE19)</f>
        <v>#DIV/0!</v>
      </c>
      <c r="AH20" s="83" t="s">
        <v>2196</v>
      </c>
      <c r="AI20" s="247" t="e">
        <f>PRODUCT(AI9,AI19)</f>
        <v>#DIV/0!</v>
      </c>
      <c r="AJ20" s="247" t="e">
        <f>PRODUCT(AJ9,AJ19)</f>
        <v>#DIV/0!</v>
      </c>
      <c r="AK20" s="2" t="e">
        <f>PRODUCT(AK9,AK19)</f>
        <v>#DIV/0!</v>
      </c>
      <c r="AL20" s="2" t="e">
        <f>PRODUCT(AL9,AL19)</f>
        <v>#DIV/0!</v>
      </c>
      <c r="AM20" s="2" t="e">
        <f>PRODUCT(AM9,AM19)</f>
        <v>#DIV/0!</v>
      </c>
      <c r="AP20" s="83" t="s">
        <v>2196</v>
      </c>
      <c r="AQ20" s="2" t="e">
        <f>PRODUCT(AQ9,AQ19)</f>
        <v>#DIV/0!</v>
      </c>
      <c r="AR20" s="2" t="e">
        <f>PRODUCT(AR9,AR19)</f>
        <v>#DIV/0!</v>
      </c>
      <c r="AS20" s="2" t="e">
        <f>PRODUCT(AS9,AS19)</f>
        <v>#DIV/0!</v>
      </c>
      <c r="AT20" s="2" t="e">
        <f>PRODUCT(AT9,AT19)</f>
        <v>#DIV/0!</v>
      </c>
      <c r="AU20" s="2" t="e">
        <f>PRODUCT(AU9,AU19)</f>
        <v>#DIV/0!</v>
      </c>
    </row>
    <row r="21" spans="1:47" ht="13.5" thickBot="1" x14ac:dyDescent="0.25">
      <c r="A21" s="1346" t="s">
        <v>856</v>
      </c>
      <c r="B21" s="95"/>
      <c r="C21" s="1348" t="s">
        <v>857</v>
      </c>
      <c r="D21" s="1320" t="s">
        <v>2173</v>
      </c>
      <c r="E21" s="1323" t="s">
        <v>57</v>
      </c>
      <c r="F21" s="1323"/>
      <c r="G21" s="1323"/>
      <c r="H21" s="1323" t="s">
        <v>2171</v>
      </c>
      <c r="I21" s="1324" t="s">
        <v>2172</v>
      </c>
      <c r="K21" s="685"/>
      <c r="L21" s="726"/>
      <c r="M21" s="726"/>
      <c r="N21" s="726"/>
      <c r="O21" s="726"/>
      <c r="Q21" s="185"/>
      <c r="R21" s="1226" t="s">
        <v>2197</v>
      </c>
      <c r="S21" s="238">
        <f>IF(ISNUMBER($I4),$I4,0)</f>
        <v>0</v>
      </c>
      <c r="T21" s="238">
        <f>IF(ISNUMBER($I5),$I5,0)</f>
        <v>0</v>
      </c>
      <c r="U21" s="238">
        <f>IF(ISNUMBER($I6),$I6,0)</f>
        <v>0</v>
      </c>
      <c r="V21" s="238">
        <f>IF(ISNUMBER($I7),$I7,0)</f>
        <v>0</v>
      </c>
      <c r="W21" s="238">
        <f>IF(ISNUMBER($I8),$I8,0)</f>
        <v>0</v>
      </c>
      <c r="Y21" s="185"/>
      <c r="Z21" s="1226" t="s">
        <v>2197</v>
      </c>
      <c r="AA21" s="238">
        <f>IF(ISNUMBER($I4),$I4,0)</f>
        <v>0</v>
      </c>
      <c r="AB21" s="238">
        <f>IF(ISNUMBER($I5),$I5,0)</f>
        <v>0</v>
      </c>
      <c r="AC21" s="238">
        <f>IF(ISNUMBER($I6),$I6,0)</f>
        <v>0</v>
      </c>
      <c r="AD21" s="238">
        <f>IF(ISNUMBER($I7),$I7,0)</f>
        <v>0</v>
      </c>
      <c r="AE21" s="238">
        <f>IF(ISNUMBER($I8),$I8,0)</f>
        <v>0</v>
      </c>
      <c r="AG21" s="185"/>
      <c r="AH21" s="1226" t="s">
        <v>2197</v>
      </c>
      <c r="AI21" s="238">
        <f>IF(ISNUMBER($I13),$I13,0)</f>
        <v>0</v>
      </c>
      <c r="AJ21" s="238">
        <f>IF(ISNUMBER($I14),$I14,0)</f>
        <v>0</v>
      </c>
      <c r="AK21" s="238">
        <f>IF(ISNUMBER($I15),$I15,0)</f>
        <v>0</v>
      </c>
      <c r="AL21" s="238">
        <f>IF(ISNUMBER($I16),$I16,0)</f>
        <v>0</v>
      </c>
      <c r="AM21" s="238">
        <f>IF(ISNUMBER($I17),$I17,0)</f>
        <v>0</v>
      </c>
      <c r="AO21" s="185"/>
      <c r="AP21" s="1226" t="s">
        <v>2197</v>
      </c>
      <c r="AQ21" s="238">
        <f>IF(ISNUMBER($I13),$I13,0)</f>
        <v>0</v>
      </c>
      <c r="AR21" s="238">
        <f>IF(ISNUMBER($I14),$I14,0)</f>
        <v>0</v>
      </c>
      <c r="AS21" s="238">
        <f>IF(ISNUMBER($I15),$I15,0)</f>
        <v>0</v>
      </c>
      <c r="AT21" s="238">
        <f>IF(ISNUMBER($I16),$I16,0)</f>
        <v>0</v>
      </c>
      <c r="AU21" s="238">
        <f>IF(ISNUMBER($I17),$I17,0)</f>
        <v>0</v>
      </c>
    </row>
    <row r="22" spans="1:47" x14ac:dyDescent="0.2">
      <c r="A22" s="1346" t="s">
        <v>1068</v>
      </c>
      <c r="B22" s="95"/>
      <c r="C22" s="1348" t="s">
        <v>857</v>
      </c>
      <c r="D22" s="1321">
        <v>1</v>
      </c>
      <c r="E22" s="1349"/>
      <c r="F22" s="1350"/>
      <c r="G22" s="1351"/>
      <c r="H22" s="1352"/>
      <c r="I22" s="1353"/>
      <c r="K22" s="1340" t="s">
        <v>2220</v>
      </c>
      <c r="L22" s="1341"/>
      <c r="M22" s="1342"/>
      <c r="N22" s="1342"/>
      <c r="O22" s="1342"/>
      <c r="R22" s="83" t="s">
        <v>2198</v>
      </c>
      <c r="S22" s="1339" t="e">
        <f>PRODUCT(S20:S21)</f>
        <v>#DIV/0!</v>
      </c>
      <c r="T22" s="1339" t="e">
        <f>PRODUCT(T20:T21)</f>
        <v>#DIV/0!</v>
      </c>
      <c r="U22" s="1339" t="e">
        <f>PRODUCT(U20:U21)</f>
        <v>#DIV/0!</v>
      </c>
      <c r="V22" s="1339" t="e">
        <f>PRODUCT(V20:V21)</f>
        <v>#DIV/0!</v>
      </c>
      <c r="W22" s="1339" t="e">
        <f>PRODUCT(W20:W21)</f>
        <v>#DIV/0!</v>
      </c>
      <c r="Z22" s="83" t="s">
        <v>2198</v>
      </c>
      <c r="AA22" s="1339" t="e">
        <f>PRODUCT(AA20:AA21)</f>
        <v>#DIV/0!</v>
      </c>
      <c r="AB22" s="1339" t="e">
        <f>PRODUCT(AB20:AB21)</f>
        <v>#DIV/0!</v>
      </c>
      <c r="AC22" s="1339" t="e">
        <f>PRODUCT(AC20:AC21)</f>
        <v>#DIV/0!</v>
      </c>
      <c r="AD22" s="1339" t="e">
        <f>PRODUCT(AD20:AD21)</f>
        <v>#DIV/0!</v>
      </c>
      <c r="AE22" s="1339" t="e">
        <f>PRODUCT(AE20:AE21)</f>
        <v>#DIV/0!</v>
      </c>
      <c r="AH22" s="83" t="s">
        <v>2198</v>
      </c>
      <c r="AI22" s="1339" t="e">
        <f>PRODUCT(AI20:AI21)</f>
        <v>#DIV/0!</v>
      </c>
      <c r="AJ22" s="1339" t="e">
        <f>PRODUCT(AJ20:AJ21)</f>
        <v>#DIV/0!</v>
      </c>
      <c r="AK22" s="1339" t="e">
        <f>PRODUCT(AK20:AK21)</f>
        <v>#DIV/0!</v>
      </c>
      <c r="AL22" s="1339" t="e">
        <f>PRODUCT(AL20:AL21)</f>
        <v>#DIV/0!</v>
      </c>
      <c r="AM22" s="1339" t="e">
        <f>PRODUCT(AM20:AM21)</f>
        <v>#DIV/0!</v>
      </c>
      <c r="AP22" s="83" t="s">
        <v>2198</v>
      </c>
      <c r="AQ22" s="1339" t="e">
        <f>PRODUCT(AQ20:AQ21)</f>
        <v>#DIV/0!</v>
      </c>
      <c r="AR22" s="1339" t="e">
        <f>PRODUCT(AR20:AR21)</f>
        <v>#DIV/0!</v>
      </c>
      <c r="AS22" s="1339" t="e">
        <f>PRODUCT(AS20:AS21)</f>
        <v>#DIV/0!</v>
      </c>
      <c r="AT22" s="1339" t="e">
        <f>PRODUCT(AT20:AT21)</f>
        <v>#DIV/0!</v>
      </c>
      <c r="AU22" s="1339" t="e">
        <f>PRODUCT(AU20:AU21)</f>
        <v>#DIV/0!</v>
      </c>
    </row>
    <row r="23" spans="1:47" x14ac:dyDescent="0.2">
      <c r="A23" s="1346" t="s">
        <v>306</v>
      </c>
      <c r="B23" s="95"/>
      <c r="C23" s="1348" t="s">
        <v>857</v>
      </c>
      <c r="D23" s="1322">
        <v>2</v>
      </c>
      <c r="E23" s="1354"/>
      <c r="F23" s="1355"/>
      <c r="G23" s="1352"/>
      <c r="H23" s="1352"/>
      <c r="I23" s="1356"/>
      <c r="K23" s="1458" t="s">
        <v>2278</v>
      </c>
      <c r="L23" s="1459"/>
      <c r="M23" s="1460"/>
      <c r="N23" s="1460"/>
      <c r="O23" s="1461"/>
    </row>
    <row r="24" spans="1:47" x14ac:dyDescent="0.2">
      <c r="A24" s="1346" t="s">
        <v>962</v>
      </c>
      <c r="B24" s="95"/>
      <c r="C24" s="1348" t="s">
        <v>857</v>
      </c>
      <c r="D24" s="1322">
        <v>3</v>
      </c>
      <c r="E24" s="1354"/>
      <c r="F24" s="1355"/>
      <c r="G24" s="1352"/>
      <c r="H24" s="1352"/>
      <c r="I24" s="1356"/>
      <c r="K24" s="1344" t="s">
        <v>2204</v>
      </c>
      <c r="L24" s="258"/>
      <c r="M24" s="258"/>
      <c r="N24" s="259"/>
      <c r="O24" s="259"/>
      <c r="Q24" s="60" t="s">
        <v>2199</v>
      </c>
      <c r="Y24" s="60" t="s">
        <v>2199</v>
      </c>
      <c r="AG24" s="60" t="s">
        <v>2199</v>
      </c>
      <c r="AO24" s="60" t="s">
        <v>2199</v>
      </c>
    </row>
    <row r="25" spans="1:47" ht="13.5" thickBot="1" x14ac:dyDescent="0.25">
      <c r="A25" s="526"/>
      <c r="B25" s="96"/>
      <c r="C25" s="1076"/>
      <c r="D25" s="1322">
        <v>4</v>
      </c>
      <c r="E25" s="1354"/>
      <c r="F25" s="1355"/>
      <c r="G25" s="1352"/>
      <c r="H25" s="1352"/>
      <c r="I25" s="1356"/>
      <c r="K25" s="1344" t="s">
        <v>2205</v>
      </c>
      <c r="L25" s="258"/>
      <c r="M25" s="259"/>
      <c r="N25" s="259"/>
      <c r="O25" s="259"/>
      <c r="R25" s="1117" t="s">
        <v>2200</v>
      </c>
      <c r="S25" s="1339" t="e">
        <f>SUM(S22:W22)</f>
        <v>#DIV/0!</v>
      </c>
      <c r="Z25" s="1117" t="s">
        <v>2200</v>
      </c>
      <c r="AA25" s="1339" t="e">
        <f>SUM(AA22:AE22)</f>
        <v>#DIV/0!</v>
      </c>
      <c r="AH25" s="1117" t="s">
        <v>2200</v>
      </c>
      <c r="AI25" s="1339" t="e">
        <f>SUM(AI22:AM22)</f>
        <v>#DIV/0!</v>
      </c>
      <c r="AP25" s="1117" t="s">
        <v>2200</v>
      </c>
      <c r="AQ25" s="1339" t="e">
        <f>SUM(AQ22:AU22)</f>
        <v>#DIV/0!</v>
      </c>
    </row>
    <row r="26" spans="1:47" x14ac:dyDescent="0.2">
      <c r="D26" s="1322">
        <v>5</v>
      </c>
      <c r="E26" s="1354"/>
      <c r="F26" s="1355"/>
      <c r="G26" s="1352"/>
      <c r="H26" s="1352"/>
      <c r="I26" s="1356"/>
      <c r="K26" s="1344" t="s">
        <v>2206</v>
      </c>
      <c r="L26" s="248"/>
      <c r="M26" s="248"/>
      <c r="N26" s="248"/>
      <c r="O26" s="248"/>
      <c r="Q26" s="185"/>
      <c r="R26" s="1226" t="s">
        <v>2186</v>
      </c>
      <c r="S26" s="238">
        <f>$I$9</f>
        <v>0</v>
      </c>
      <c r="Y26" s="185"/>
      <c r="Z26" s="1226" t="s">
        <v>2186</v>
      </c>
      <c r="AA26" s="238">
        <f>$I$9</f>
        <v>0</v>
      </c>
      <c r="AG26" s="185"/>
      <c r="AH26" s="1226" t="s">
        <v>2186</v>
      </c>
      <c r="AI26" s="238">
        <f>$I$18</f>
        <v>0</v>
      </c>
      <c r="AO26" s="185"/>
      <c r="AP26" s="1226" t="s">
        <v>2186</v>
      </c>
      <c r="AQ26" s="238">
        <f>$I$18</f>
        <v>0</v>
      </c>
    </row>
    <row r="27" spans="1:47" x14ac:dyDescent="0.2">
      <c r="D27" s="1326"/>
      <c r="E27" s="1327"/>
      <c r="F27" s="1347"/>
      <c r="G27" s="1328"/>
      <c r="H27" s="1329" t="s">
        <v>2174</v>
      </c>
      <c r="I27" s="1325">
        <f>SUM(I22:I26)</f>
        <v>0</v>
      </c>
      <c r="K27" s="1344" t="s">
        <v>2207</v>
      </c>
      <c r="L27" s="485"/>
      <c r="M27" s="485"/>
      <c r="N27" s="485"/>
      <c r="O27" s="485"/>
      <c r="R27" s="1117" t="s">
        <v>2201</v>
      </c>
      <c r="S27" s="2" t="e">
        <f>ROUND(S25/S26,3)</f>
        <v>#DIV/0!</v>
      </c>
      <c r="Z27" s="1117" t="s">
        <v>2229</v>
      </c>
      <c r="AA27" s="2" t="e">
        <f>ROUND(AA25/AA26,4)</f>
        <v>#DIV/0!</v>
      </c>
      <c r="AH27" s="1117" t="s">
        <v>2201</v>
      </c>
      <c r="AI27" s="2" t="e">
        <f>ROUND(AI25/AI26,3)</f>
        <v>#DIV/0!</v>
      </c>
      <c r="AP27" s="1117" t="s">
        <v>2229</v>
      </c>
      <c r="AQ27" s="2" t="e">
        <f>ROUND(AQ25/AQ26,4)</f>
        <v>#DIV/0!</v>
      </c>
    </row>
    <row r="28" spans="1:47" ht="13.5" thickBot="1" x14ac:dyDescent="0.25">
      <c r="D28" s="126"/>
      <c r="E28" s="541"/>
      <c r="F28" s="541"/>
      <c r="G28" s="96"/>
      <c r="H28" s="96"/>
      <c r="I28" s="1096"/>
      <c r="K28" s="1345" t="s">
        <v>2208</v>
      </c>
      <c r="L28" s="238"/>
      <c r="M28" s="238"/>
      <c r="N28" s="238"/>
      <c r="O28" s="238"/>
      <c r="Q28" s="146"/>
      <c r="R28" s="1210" t="s">
        <v>2202</v>
      </c>
      <c r="S28" s="299">
        <f>VLOOKUP($C$15,Table_CoIns_Blanket,2,0)</f>
        <v>0.95</v>
      </c>
      <c r="Y28" s="146"/>
      <c r="Z28" s="1210" t="s">
        <v>2202</v>
      </c>
      <c r="AA28" s="299">
        <f>VLOOKUP($C$15,Table_CoIns_Blanket,2,0)</f>
        <v>0.95</v>
      </c>
      <c r="AG28" s="146"/>
      <c r="AH28" s="1210" t="s">
        <v>2202</v>
      </c>
      <c r="AI28" s="299">
        <f>VLOOKUP($C$15,Table_CoIns_Blanket,2,0)</f>
        <v>0.95</v>
      </c>
      <c r="AO28" s="146"/>
      <c r="AP28" s="1210" t="s">
        <v>2202</v>
      </c>
      <c r="AQ28" s="299">
        <f>VLOOKUP($C$15,Table_CoIns_Blanket,2,0)</f>
        <v>0.95</v>
      </c>
    </row>
    <row r="29" spans="1:47" x14ac:dyDescent="0.2">
      <c r="D29" s="500" t="s">
        <v>2217</v>
      </c>
      <c r="E29" s="508"/>
      <c r="F29" s="508"/>
      <c r="G29" s="508"/>
      <c r="H29" s="508"/>
      <c r="I29" s="509"/>
      <c r="K29" s="1343" t="s">
        <v>2218</v>
      </c>
      <c r="L29" s="485">
        <f>SUM(L24:L28)</f>
        <v>0</v>
      </c>
      <c r="M29" s="485">
        <f>SUM(M24:M28)</f>
        <v>0</v>
      </c>
      <c r="N29" s="485">
        <f>SUM(N24:N28)</f>
        <v>0</v>
      </c>
      <c r="O29" s="485">
        <f>SUM(O24:O28)</f>
        <v>0</v>
      </c>
      <c r="Q29" s="185"/>
      <c r="R29" s="1226" t="s">
        <v>1020</v>
      </c>
      <c r="S29" s="208">
        <f>IF($C$6="PAC",VLOOKUP(B7,Table_PakMods,MATCH($C$10,List_Company,0)+1,FALSE),1)</f>
        <v>1</v>
      </c>
      <c r="Y29" s="185"/>
      <c r="Z29" s="1226" t="s">
        <v>1020</v>
      </c>
      <c r="AA29" s="208">
        <f>IF($C$6="PAC",VLOOKUP(B7,Table_PakMods,MATCH($C$10,List_Company,0)+1,FALSE),1)</f>
        <v>1</v>
      </c>
      <c r="AG29" s="185"/>
      <c r="AH29" s="1226" t="s">
        <v>1020</v>
      </c>
      <c r="AI29" s="208">
        <f>IF($C$6="PAC",VLOOKUP(B7,Table_PakMods,MATCH($C$10,List_Company,0)+1,FALSE),1)</f>
        <v>1</v>
      </c>
      <c r="AO29" s="185"/>
      <c r="AP29" s="1226" t="s">
        <v>1020</v>
      </c>
      <c r="AQ29" s="208">
        <f>IF($C$6="PAC",VLOOKUP(B7,Table_PakMods,MATCH($C$10,List_Company,0)+1,FALSE),1)</f>
        <v>1</v>
      </c>
    </row>
    <row r="30" spans="1:47" ht="13.5" thickBot="1" x14ac:dyDescent="0.25">
      <c r="D30" s="1320" t="s">
        <v>2173</v>
      </c>
      <c r="E30" s="1323" t="s">
        <v>57</v>
      </c>
      <c r="F30" s="1323"/>
      <c r="G30" s="1323" t="s">
        <v>2222</v>
      </c>
      <c r="H30" s="1323" t="s">
        <v>2171</v>
      </c>
      <c r="I30" s="1324" t="s">
        <v>2172</v>
      </c>
      <c r="K30" s="702"/>
      <c r="L30" s="575"/>
      <c r="M30" s="478"/>
      <c r="N30" s="575"/>
      <c r="O30" s="575"/>
      <c r="R30" s="83" t="s">
        <v>2203</v>
      </c>
      <c r="S30" s="60" t="e">
        <f>ROUND(PRODUCT(S27:S29),3)</f>
        <v>#DIV/0!</v>
      </c>
      <c r="Z30" s="83" t="s">
        <v>2230</v>
      </c>
      <c r="AA30" s="60" t="e">
        <f>ROUND(PRODUCT(AA27:AA29),3)</f>
        <v>#DIV/0!</v>
      </c>
      <c r="AH30" s="83" t="s">
        <v>2203</v>
      </c>
      <c r="AI30" s="60" t="e">
        <f>ROUND(PRODUCT(AI27:AI29),3)</f>
        <v>#DIV/0!</v>
      </c>
      <c r="AP30" s="83" t="s">
        <v>2230</v>
      </c>
      <c r="AQ30" s="60" t="e">
        <f>ROUND(PRODUCT(AQ27:AQ29),3)</f>
        <v>#DIV/0!</v>
      </c>
    </row>
    <row r="31" spans="1:47" x14ac:dyDescent="0.2">
      <c r="D31" s="1321">
        <v>1</v>
      </c>
      <c r="E31" s="1349"/>
      <c r="F31" s="1350"/>
      <c r="G31" s="1351"/>
      <c r="H31" s="1352"/>
      <c r="I31" s="1353"/>
      <c r="K31" s="1340" t="s">
        <v>2221</v>
      </c>
      <c r="L31" s="1341"/>
      <c r="M31" s="1342"/>
      <c r="N31" s="1342"/>
      <c r="O31" s="1342"/>
    </row>
    <row r="32" spans="1:47" x14ac:dyDescent="0.2">
      <c r="D32" s="1322">
        <v>2</v>
      </c>
      <c r="E32" s="1354"/>
      <c r="F32" s="1355"/>
      <c r="G32" s="1352"/>
      <c r="H32" s="1352"/>
      <c r="I32" s="1356"/>
      <c r="K32" s="1458" t="s">
        <v>2278</v>
      </c>
      <c r="L32" s="1459"/>
      <c r="M32" s="1460"/>
      <c r="N32" s="1460"/>
      <c r="O32" s="1461"/>
      <c r="Q32" s="60" t="s">
        <v>2209</v>
      </c>
      <c r="S32" s="235" t="s">
        <v>2176</v>
      </c>
      <c r="T32" s="235" t="s">
        <v>2177</v>
      </c>
      <c r="U32" s="235" t="s">
        <v>2178</v>
      </c>
      <c r="V32" s="235" t="s">
        <v>2179</v>
      </c>
      <c r="W32" s="235" t="s">
        <v>2180</v>
      </c>
      <c r="Y32" s="60" t="s">
        <v>2209</v>
      </c>
      <c r="AA32" s="235" t="s">
        <v>2176</v>
      </c>
      <c r="AB32" s="235" t="s">
        <v>2177</v>
      </c>
      <c r="AC32" s="235" t="s">
        <v>2178</v>
      </c>
      <c r="AD32" s="235" t="s">
        <v>2179</v>
      </c>
      <c r="AE32" s="235" t="s">
        <v>2180</v>
      </c>
      <c r="AG32" s="60" t="s">
        <v>2209</v>
      </c>
      <c r="AI32" s="235" t="s">
        <v>2176</v>
      </c>
      <c r="AJ32" s="235" t="s">
        <v>2177</v>
      </c>
      <c r="AK32" s="235" t="s">
        <v>2178</v>
      </c>
      <c r="AL32" s="235" t="s">
        <v>2179</v>
      </c>
      <c r="AM32" s="235" t="s">
        <v>2180</v>
      </c>
      <c r="AO32" s="60" t="s">
        <v>2209</v>
      </c>
      <c r="AQ32" s="235" t="s">
        <v>2176</v>
      </c>
      <c r="AR32" s="235" t="s">
        <v>2177</v>
      </c>
      <c r="AS32" s="235" t="s">
        <v>2178</v>
      </c>
      <c r="AT32" s="235" t="s">
        <v>2179</v>
      </c>
      <c r="AU32" s="235" t="s">
        <v>2180</v>
      </c>
    </row>
    <row r="33" spans="4:47" x14ac:dyDescent="0.2">
      <c r="D33" s="1322">
        <v>3</v>
      </c>
      <c r="E33" s="1354"/>
      <c r="F33" s="1355"/>
      <c r="G33" s="1352"/>
      <c r="H33" s="1352"/>
      <c r="I33" s="1356"/>
      <c r="K33" s="1344" t="s">
        <v>2204</v>
      </c>
      <c r="L33" s="258"/>
      <c r="M33" s="258"/>
      <c r="N33" s="259"/>
      <c r="O33" s="259"/>
      <c r="Q33" s="1227"/>
      <c r="R33" s="1117" t="s">
        <v>2212</v>
      </c>
      <c r="S33" s="478">
        <f>IF(ISNUMBER($I4),$I4/100,0)</f>
        <v>0</v>
      </c>
      <c r="T33" s="478">
        <f>IF(ISNUMBER($I5),$I5/100,0)</f>
        <v>0</v>
      </c>
      <c r="U33" s="478">
        <f>IF(ISNUMBER($I6),$I6/100,0)</f>
        <v>0</v>
      </c>
      <c r="V33" s="478">
        <f>IF(ISNUMBER($I7),$I7/100,0)</f>
        <v>0</v>
      </c>
      <c r="W33" s="478">
        <f>IF(ISNUMBER($I8),$I8/100,0)</f>
        <v>0</v>
      </c>
      <c r="Y33" s="1227"/>
      <c r="Z33" s="1117" t="s">
        <v>2212</v>
      </c>
      <c r="AA33" s="478">
        <f>IF(ISNUMBER($I4),$I4/100,0)</f>
        <v>0</v>
      </c>
      <c r="AB33" s="478">
        <f>IF(ISNUMBER($I5),$I5/100,0)</f>
        <v>0</v>
      </c>
      <c r="AC33" s="478">
        <f>IF(ISNUMBER($I6),$I6/100,0)</f>
        <v>0</v>
      </c>
      <c r="AD33" s="478">
        <f>IF(ISNUMBER($I7),$I7/100,0)</f>
        <v>0</v>
      </c>
      <c r="AE33" s="478">
        <f>IF(ISNUMBER($I8),$I8/100,0)</f>
        <v>0</v>
      </c>
      <c r="AG33" s="1227"/>
      <c r="AH33" s="1117" t="s">
        <v>2212</v>
      </c>
      <c r="AI33" s="478">
        <f>IF(ISNUMBER($I13),$I13/100,0)</f>
        <v>0</v>
      </c>
      <c r="AJ33" s="478">
        <f>IF(ISNUMBER($I14),$I14/100,0)</f>
        <v>0</v>
      </c>
      <c r="AK33" s="478">
        <f>IF(ISNUMBER($I15),$I15/100,0)</f>
        <v>0</v>
      </c>
      <c r="AL33" s="478">
        <f>IF(ISNUMBER($I16),$I16/100,0)</f>
        <v>0</v>
      </c>
      <c r="AM33" s="478">
        <f>IF(ISNUMBER($I17),$I17/100,0)</f>
        <v>0</v>
      </c>
      <c r="AO33" s="1227"/>
      <c r="AP33" s="1117" t="s">
        <v>2212</v>
      </c>
      <c r="AQ33" s="478">
        <f>IF(ISNUMBER($I13),$I13/100,0)</f>
        <v>0</v>
      </c>
      <c r="AR33" s="478">
        <f>IF(ISNUMBER($I14),$I14/100,0)</f>
        <v>0</v>
      </c>
      <c r="AS33" s="478">
        <f>IF(ISNUMBER($I15),$I15/100,0)</f>
        <v>0</v>
      </c>
      <c r="AT33" s="478">
        <f>IF(ISNUMBER($I16),$I16/100,0)</f>
        <v>0</v>
      </c>
      <c r="AU33" s="478">
        <f>IF(ISNUMBER($I17),$I17/100,0)</f>
        <v>0</v>
      </c>
    </row>
    <row r="34" spans="4:47" x14ac:dyDescent="0.2">
      <c r="D34" s="1322">
        <v>4</v>
      </c>
      <c r="E34" s="1354"/>
      <c r="F34" s="1355"/>
      <c r="G34" s="1352"/>
      <c r="H34" s="1352"/>
      <c r="I34" s="1356"/>
      <c r="K34" s="1344" t="s">
        <v>2205</v>
      </c>
      <c r="L34" s="258"/>
      <c r="M34" s="259"/>
      <c r="N34" s="259"/>
      <c r="O34" s="259"/>
      <c r="Q34" s="185"/>
      <c r="R34" s="1226" t="s">
        <v>2210</v>
      </c>
      <c r="S34" s="185" t="e">
        <f>$S$30</f>
        <v>#DIV/0!</v>
      </c>
      <c r="T34" s="185" t="e">
        <f>$S$30</f>
        <v>#DIV/0!</v>
      </c>
      <c r="U34" s="185" t="e">
        <f>$S$30</f>
        <v>#DIV/0!</v>
      </c>
      <c r="V34" s="185" t="e">
        <f>$S$30</f>
        <v>#DIV/0!</v>
      </c>
      <c r="W34" s="185" t="e">
        <f>$S$30</f>
        <v>#DIV/0!</v>
      </c>
      <c r="Y34" s="185"/>
      <c r="Z34" s="1226" t="s">
        <v>2210</v>
      </c>
      <c r="AA34" s="185" t="e">
        <f>$AA$30</f>
        <v>#DIV/0!</v>
      </c>
      <c r="AB34" s="185" t="e">
        <f>$AA$30</f>
        <v>#DIV/0!</v>
      </c>
      <c r="AC34" s="185" t="e">
        <f>$AA$30</f>
        <v>#DIV/0!</v>
      </c>
      <c r="AD34" s="185" t="e">
        <f>$AA$30</f>
        <v>#DIV/0!</v>
      </c>
      <c r="AE34" s="185" t="e">
        <f>$AA$30</f>
        <v>#DIV/0!</v>
      </c>
      <c r="AG34" s="185"/>
      <c r="AH34" s="1226" t="s">
        <v>2210</v>
      </c>
      <c r="AI34" s="185" t="e">
        <f>$AI$30</f>
        <v>#DIV/0!</v>
      </c>
      <c r="AJ34" s="185" t="e">
        <f t="shared" ref="AJ34:AM34" si="5">$AI$30</f>
        <v>#DIV/0!</v>
      </c>
      <c r="AK34" s="185" t="e">
        <f t="shared" si="5"/>
        <v>#DIV/0!</v>
      </c>
      <c r="AL34" s="185" t="e">
        <f t="shared" si="5"/>
        <v>#DIV/0!</v>
      </c>
      <c r="AM34" s="185" t="e">
        <f t="shared" si="5"/>
        <v>#DIV/0!</v>
      </c>
      <c r="AO34" s="185"/>
      <c r="AP34" s="1226" t="s">
        <v>2210</v>
      </c>
      <c r="AQ34" s="455" t="e">
        <f>$AQ$30</f>
        <v>#DIV/0!</v>
      </c>
      <c r="AR34" s="455" t="e">
        <f t="shared" ref="AR34:AU34" si="6">$AQ$30</f>
        <v>#DIV/0!</v>
      </c>
      <c r="AS34" s="455" t="e">
        <f t="shared" si="6"/>
        <v>#DIV/0!</v>
      </c>
      <c r="AT34" s="455" t="e">
        <f t="shared" si="6"/>
        <v>#DIV/0!</v>
      </c>
      <c r="AU34" s="455" t="e">
        <f t="shared" si="6"/>
        <v>#DIV/0!</v>
      </c>
    </row>
    <row r="35" spans="4:47" x14ac:dyDescent="0.2">
      <c r="D35" s="1322">
        <v>5</v>
      </c>
      <c r="E35" s="1354"/>
      <c r="F35" s="1355"/>
      <c r="G35" s="1352"/>
      <c r="H35" s="1352"/>
      <c r="I35" s="1356"/>
      <c r="K35" s="1344" t="s">
        <v>2206</v>
      </c>
      <c r="L35" s="248"/>
      <c r="M35" s="248"/>
      <c r="N35" s="248"/>
      <c r="O35" s="248"/>
      <c r="R35" s="83" t="s">
        <v>2211</v>
      </c>
      <c r="S35" s="248" t="e">
        <f>ROUND(PRODUCT(S33:S34),0)</f>
        <v>#DIV/0!</v>
      </c>
      <c r="T35" s="248" t="e">
        <f>ROUND(PRODUCT(T33:T34),0)</f>
        <v>#DIV/0!</v>
      </c>
      <c r="U35" s="248" t="e">
        <f>ROUND(PRODUCT(U33:U34),0)</f>
        <v>#DIV/0!</v>
      </c>
      <c r="V35" s="248" t="e">
        <f>ROUND(PRODUCT(V33:V34),0)</f>
        <v>#DIV/0!</v>
      </c>
      <c r="W35" s="248" t="e">
        <f>ROUND(PRODUCT(W33:W34),0)</f>
        <v>#DIV/0!</v>
      </c>
      <c r="Z35" s="83" t="s">
        <v>2231</v>
      </c>
      <c r="AA35" s="248" t="e">
        <f>ROUND(PRODUCT(AA33:AA34),0)</f>
        <v>#DIV/0!</v>
      </c>
      <c r="AB35" s="248" t="e">
        <f>ROUND(PRODUCT(AB33:AB34),0)</f>
        <v>#DIV/0!</v>
      </c>
      <c r="AC35" s="248" t="e">
        <f>ROUND(PRODUCT(AC33:AC34),0)</f>
        <v>#DIV/0!</v>
      </c>
      <c r="AD35" s="248" t="e">
        <f>ROUND(PRODUCT(AD33:AD34),0)</f>
        <v>#DIV/0!</v>
      </c>
      <c r="AE35" s="248" t="e">
        <f>ROUND(PRODUCT(AE33:AE34),0)</f>
        <v>#DIV/0!</v>
      </c>
      <c r="AH35" s="83" t="s">
        <v>2211</v>
      </c>
      <c r="AI35" s="248" t="e">
        <f>ROUND(PRODUCT(AI33:AI34),0)</f>
        <v>#DIV/0!</v>
      </c>
      <c r="AJ35" s="248" t="e">
        <f>ROUND(PRODUCT(AJ33:AJ34),0)</f>
        <v>#DIV/0!</v>
      </c>
      <c r="AK35" s="248" t="e">
        <f>ROUND(PRODUCT(AK33:AK34),0)</f>
        <v>#DIV/0!</v>
      </c>
      <c r="AL35" s="248" t="e">
        <f>ROUND(PRODUCT(AL33:AL34),0)</f>
        <v>#DIV/0!</v>
      </c>
      <c r="AM35" s="248" t="e">
        <f>ROUND(PRODUCT(AM33:AM34),0)</f>
        <v>#DIV/0!</v>
      </c>
      <c r="AP35" s="83" t="s">
        <v>2231</v>
      </c>
      <c r="AQ35" s="248" t="e">
        <f>ROUND(PRODUCT(AQ33:AQ34),0)</f>
        <v>#DIV/0!</v>
      </c>
      <c r="AR35" s="248" t="e">
        <f>ROUND(PRODUCT(AR33:AR34),0)</f>
        <v>#DIV/0!</v>
      </c>
      <c r="AS35" s="248" t="e">
        <f>ROUND(PRODUCT(AS33:AS34),0)</f>
        <v>#DIV/0!</v>
      </c>
      <c r="AT35" s="248" t="e">
        <f>ROUND(PRODUCT(AT33:AT34),0)</f>
        <v>#DIV/0!</v>
      </c>
      <c r="AU35" s="248" t="e">
        <f>ROUND(PRODUCT(AU33:AU34),0)</f>
        <v>#DIV/0!</v>
      </c>
    </row>
    <row r="36" spans="4:47" x14ac:dyDescent="0.2">
      <c r="D36" s="1326"/>
      <c r="E36" s="1327"/>
      <c r="F36" s="1347"/>
      <c r="G36" s="1328"/>
      <c r="H36" s="1329" t="s">
        <v>2174</v>
      </c>
      <c r="I36" s="1325">
        <f>SUM(I31:I35)</f>
        <v>0</v>
      </c>
      <c r="K36" s="1344" t="s">
        <v>2207</v>
      </c>
      <c r="L36" s="485"/>
      <c r="M36" s="485"/>
      <c r="N36" s="485"/>
      <c r="O36" s="485"/>
    </row>
    <row r="37" spans="4:47" ht="13.5" thickBot="1" x14ac:dyDescent="0.25">
      <c r="D37" s="126"/>
      <c r="E37" s="541"/>
      <c r="F37" s="541"/>
      <c r="G37" s="96"/>
      <c r="H37" s="96"/>
      <c r="I37" s="1096"/>
      <c r="K37" s="1345" t="s">
        <v>2208</v>
      </c>
      <c r="L37" s="238"/>
      <c r="M37" s="238"/>
      <c r="N37" s="238"/>
      <c r="O37" s="238"/>
    </row>
    <row r="38" spans="4:47" x14ac:dyDescent="0.2">
      <c r="I38" s="139"/>
      <c r="K38" s="1343" t="s">
        <v>2218</v>
      </c>
      <c r="L38" s="485">
        <f>SUM(L33:L37)</f>
        <v>0</v>
      </c>
      <c r="M38" s="485">
        <f>SUM(M33:M37)</f>
        <v>0</v>
      </c>
      <c r="N38" s="485">
        <f>SUM(N33:N37)</f>
        <v>0</v>
      </c>
      <c r="O38" s="485">
        <f>SUM(O33:O37)</f>
        <v>0</v>
      </c>
    </row>
    <row r="39" spans="4:47" x14ac:dyDescent="0.2">
      <c r="K39" s="793"/>
      <c r="L39" s="478"/>
      <c r="M39" s="146"/>
      <c r="N39" s="146"/>
      <c r="O39" s="146"/>
    </row>
    <row r="40" spans="4:47" x14ac:dyDescent="0.2">
      <c r="K40" s="793"/>
      <c r="L40" s="146"/>
      <c r="M40" s="146"/>
      <c r="N40" s="146"/>
      <c r="O40" s="146"/>
    </row>
    <row r="41" spans="4:47" x14ac:dyDescent="0.2">
      <c r="K41" s="146"/>
      <c r="L41" s="478"/>
      <c r="M41" s="146"/>
      <c r="N41" s="146"/>
      <c r="O41" s="146"/>
    </row>
    <row r="42" spans="4:47" x14ac:dyDescent="0.2">
      <c r="J42" s="8"/>
      <c r="K42" s="146"/>
      <c r="L42" s="478"/>
      <c r="M42" s="146"/>
      <c r="N42" s="146"/>
      <c r="O42" s="146"/>
    </row>
    <row r="43" spans="4:47" x14ac:dyDescent="0.2">
      <c r="J43" s="8"/>
      <c r="K43" s="146"/>
      <c r="L43" s="146"/>
      <c r="M43" s="146"/>
      <c r="N43" s="146"/>
      <c r="O43" s="146"/>
    </row>
    <row r="44" spans="4:47" x14ac:dyDescent="0.2">
      <c r="J44" s="8"/>
      <c r="K44" s="146"/>
      <c r="L44" s="146"/>
      <c r="M44" s="146"/>
      <c r="N44" s="146"/>
      <c r="O44" s="146"/>
    </row>
    <row r="45" spans="4:47" ht="13.5" thickBot="1" x14ac:dyDescent="0.25">
      <c r="J45" s="8"/>
      <c r="K45" s="146"/>
      <c r="L45" s="146"/>
      <c r="M45" s="146"/>
      <c r="N45" s="146"/>
      <c r="O45" s="146"/>
    </row>
    <row r="46" spans="4:47" ht="13.5" thickBot="1" x14ac:dyDescent="0.25">
      <c r="J46" s="8"/>
      <c r="K46" s="146"/>
      <c r="L46" s="146"/>
      <c r="M46" s="146"/>
      <c r="N46" s="146"/>
      <c r="O46" s="146"/>
      <c r="Q46" s="1612" t="s">
        <v>2279</v>
      </c>
      <c r="R46" s="1613"/>
      <c r="S46" s="1613"/>
      <c r="T46" s="1613"/>
      <c r="U46" s="1613"/>
      <c r="V46" s="1613"/>
      <c r="W46" s="1614"/>
      <c r="Y46" s="1612" t="s">
        <v>2280</v>
      </c>
      <c r="Z46" s="1613"/>
      <c r="AA46" s="1613"/>
      <c r="AB46" s="1613"/>
      <c r="AC46" s="1613"/>
      <c r="AD46" s="1613"/>
      <c r="AE46" s="1614"/>
      <c r="AG46" s="1609" t="s">
        <v>2286</v>
      </c>
      <c r="AH46" s="1610"/>
      <c r="AI46" s="1610"/>
      <c r="AJ46" s="1610"/>
      <c r="AK46" s="1610"/>
      <c r="AL46" s="1610"/>
      <c r="AM46" s="1611"/>
      <c r="AO46" s="1609" t="s">
        <v>2287</v>
      </c>
      <c r="AP46" s="1610"/>
      <c r="AQ46" s="1610"/>
      <c r="AR46" s="1610"/>
      <c r="AS46" s="1610"/>
      <c r="AT46" s="1610"/>
      <c r="AU46" s="1611"/>
    </row>
    <row r="47" spans="4:47" x14ac:dyDescent="0.2">
      <c r="K47" s="146"/>
      <c r="L47" s="146"/>
      <c r="M47" s="146"/>
      <c r="N47" s="146"/>
      <c r="O47" s="146"/>
      <c r="Q47" s="60" t="s">
        <v>2182</v>
      </c>
      <c r="S47" s="235" t="s">
        <v>2176</v>
      </c>
      <c r="T47" s="235" t="s">
        <v>2177</v>
      </c>
      <c r="U47" s="235" t="s">
        <v>2178</v>
      </c>
      <c r="V47" s="235" t="s">
        <v>2179</v>
      </c>
      <c r="W47" s="235" t="s">
        <v>2180</v>
      </c>
      <c r="Y47" s="60" t="s">
        <v>2182</v>
      </c>
      <c r="AA47" s="235" t="s">
        <v>2176</v>
      </c>
      <c r="AB47" s="235" t="s">
        <v>2177</v>
      </c>
      <c r="AC47" s="235" t="s">
        <v>2178</v>
      </c>
      <c r="AD47" s="235" t="s">
        <v>2179</v>
      </c>
      <c r="AE47" s="235" t="s">
        <v>2180</v>
      </c>
      <c r="AG47" s="60" t="s">
        <v>2182</v>
      </c>
      <c r="AI47" s="235" t="s">
        <v>2176</v>
      </c>
      <c r="AJ47" s="235" t="s">
        <v>2177</v>
      </c>
      <c r="AK47" s="235" t="s">
        <v>2178</v>
      </c>
      <c r="AL47" s="235" t="s">
        <v>2179</v>
      </c>
      <c r="AM47" s="235" t="s">
        <v>2180</v>
      </c>
      <c r="AO47" s="60" t="s">
        <v>2182</v>
      </c>
      <c r="AQ47" s="235" t="s">
        <v>2176</v>
      </c>
      <c r="AR47" s="235" t="s">
        <v>2177</v>
      </c>
      <c r="AS47" s="235" t="s">
        <v>2178</v>
      </c>
      <c r="AT47" s="235" t="s">
        <v>2179</v>
      </c>
      <c r="AU47" s="235" t="s">
        <v>2180</v>
      </c>
    </row>
    <row r="48" spans="4:47" x14ac:dyDescent="0.2">
      <c r="K48" s="146"/>
      <c r="L48" s="146"/>
      <c r="M48" s="146"/>
      <c r="N48" s="146"/>
      <c r="O48" s="146"/>
      <c r="Q48" s="60"/>
      <c r="R48" s="1117" t="s">
        <v>1197</v>
      </c>
      <c r="S48" s="2">
        <f>IF(OR(ISBLANK($C$12),$C$12="No"),0,IF(ISTEXT($E4),VLOOKUP(1,Table_Special_Bldg,2,FALSE)*IF(AND($C$11="SP",$C$12=2),VLOOKUP(2,Table_Special_Bldg,2,0),1),0))</f>
        <v>0</v>
      </c>
      <c r="T48" s="2">
        <f>IF(OR(ISBLANK($C$12),$C$12="No"),0,IF(ISTEXT($E5),VLOOKUP(1,Table_Special_Bldg,2,FALSE)*IF(AND($C$11="SP",$C$12=2),VLOOKUP(2,Table_Special_Bldg,2,0),1),0))</f>
        <v>0</v>
      </c>
      <c r="U48" s="2">
        <f>IF(OR(ISBLANK($C$12),$C$12="No"),0,IF(ISTEXT($E6),VLOOKUP(1,Table_Special_Bldg,2,FALSE)*IF(AND($C$11="SP",$C$12=2),VLOOKUP(2,Table_Special_Bldg,2,0),1),0))</f>
        <v>0</v>
      </c>
      <c r="V48" s="2">
        <f>IF(OR(ISBLANK($C$12),$C$12="No"),0,IF(ISTEXT($E7),VLOOKUP(1,Table_Special_Bldg,2,FALSE)*IF(AND($C$11="SP",$C$12=2),VLOOKUP(2,Table_Special_Bldg,2,0),1),0))</f>
        <v>0</v>
      </c>
      <c r="W48" s="2">
        <f>IF(OR(ISBLANK($C$12),$C$12="No"),0,IF(ISTEXT($E8),VLOOKUP(1,Table_Special_Bldg,2,FALSE)*IF(AND($C$11="SP",$C$12=2),VLOOKUP(2,Table_Special_Bldg,2,0),1),0))</f>
        <v>0</v>
      </c>
      <c r="Y48" s="60"/>
      <c r="Z48" s="1117" t="s">
        <v>2283</v>
      </c>
      <c r="AA48" s="1462">
        <f>IF(OR($G$4=5,$G$4=6),1,2)</f>
        <v>2</v>
      </c>
      <c r="AB48" s="1462">
        <f>IF(OR($G$5=5,$G$5=6),1,2)</f>
        <v>2</v>
      </c>
      <c r="AC48" s="1462">
        <f>IF(OR($G$6=5,$G$6=6),1,2)</f>
        <v>2</v>
      </c>
      <c r="AD48" s="1462">
        <f>IF(OR($G$7=5,$G$7=6),1,2)</f>
        <v>2</v>
      </c>
      <c r="AE48" s="1462">
        <f>IF(OR($G$8=5,$G$8=6),1,2)</f>
        <v>2</v>
      </c>
      <c r="AH48" s="1117" t="s">
        <v>2315</v>
      </c>
      <c r="AI48" s="168" t="str">
        <f>IF(ISTEXT($E13),VLOOKUP($E13,Table_G1_LC,3,0),"NA")</f>
        <v>NA</v>
      </c>
      <c r="AJ48" s="168" t="str">
        <f>IF(ISTEXT($E14),VLOOKUP($E14,Table_G1_LC,3,0),"NA")</f>
        <v>NA</v>
      </c>
      <c r="AK48" s="168" t="str">
        <f>IF(ISTEXT($E15),VLOOKUP($E15,Table_G1_LC,3,0),"NA")</f>
        <v>NA</v>
      </c>
      <c r="AL48" s="168" t="str">
        <f>IF(ISTEXT($E16),VLOOKUP($E16,Table_G1_LC,3,0),"NA")</f>
        <v>NA</v>
      </c>
      <c r="AM48" s="168" t="str">
        <f>IF(ISTEXT($E17),VLOOKUP($E17,Table_G1_LC,3,0),"NA")</f>
        <v>NA</v>
      </c>
      <c r="AO48" s="60"/>
      <c r="AP48" s="1117" t="s">
        <v>2283</v>
      </c>
      <c r="AQ48" s="1462">
        <f>IF(OR($G$13=5,$G$13=6),1,2)</f>
        <v>2</v>
      </c>
      <c r="AR48" s="1462">
        <f>IF(OR($G$14=5,$G$14=6),1,2)</f>
        <v>2</v>
      </c>
      <c r="AS48" s="1462">
        <f>IF(OR($G$15=5,$G$15=6),1,2)</f>
        <v>2</v>
      </c>
      <c r="AT48" s="1462">
        <f>IF(OR($G$16=5,$G$16=6),1,2)</f>
        <v>2</v>
      </c>
      <c r="AU48" s="1462">
        <f>IF(OR($G$17=5,$G$17=6),1,2)</f>
        <v>2</v>
      </c>
    </row>
    <row r="49" spans="10:47" x14ac:dyDescent="0.2">
      <c r="K49" s="146"/>
      <c r="L49" s="146"/>
      <c r="M49" s="146"/>
      <c r="N49" s="146"/>
      <c r="O49" s="146"/>
      <c r="Q49" s="60"/>
      <c r="R49" s="1117" t="s">
        <v>1178</v>
      </c>
      <c r="S49" s="207">
        <v>1</v>
      </c>
      <c r="T49" s="207">
        <v>1</v>
      </c>
      <c r="U49" s="207">
        <v>1</v>
      </c>
      <c r="V49" s="207">
        <v>1</v>
      </c>
      <c r="W49" s="207">
        <v>1</v>
      </c>
      <c r="Y49" s="60"/>
      <c r="Z49" s="1117" t="s">
        <v>1197</v>
      </c>
      <c r="AA49" s="2">
        <f>IF(ISTEXT($E4),HLOOKUP(AA48,Table_BroadLC,IF($E$4&lt;&gt;"1150",2,4),FALSE),0)</f>
        <v>0</v>
      </c>
      <c r="AB49" s="2">
        <f>IF(ISTEXT($E5),HLOOKUP(AB48,Table_BroadLC,IF($E$5&lt;&gt;"1150",2,4),FALSE),0)</f>
        <v>0</v>
      </c>
      <c r="AC49" s="2">
        <f>IF(ISTEXT($E6),HLOOKUP(AC48,Table_BroadLC,IF($E$6&lt;&gt;"1150",2,4),FALSE),0)</f>
        <v>0</v>
      </c>
      <c r="AD49" s="2">
        <f>IF(ISTEXT($E7),HLOOKUP(AD48,Table_BroadLC,IF($E$7&lt;&gt;"1150",2,4),FALSE),0)</f>
        <v>0</v>
      </c>
      <c r="AE49" s="2">
        <f>IF(ISTEXT($E8),HLOOKUP(AE48,Table_BroadLC,IF($E$8&lt;&gt;"1150",2,4),FALSE),0)</f>
        <v>0</v>
      </c>
      <c r="AG49" s="60"/>
      <c r="AH49" s="1117" t="s">
        <v>1198</v>
      </c>
      <c r="AI49" s="2">
        <f>IF(OR(ISBLANK($C$12),$C$12="No"),0,IF(ISTEXT($E13),VLOOKUP(AI48,Table_Special_PP,3,FALSE)*IF(AND($C$11="SP",$C$12=2),VLOOKUP(AI48,Table_Special_PP,4,0),1),0))</f>
        <v>0</v>
      </c>
      <c r="AJ49" s="2">
        <f>IF(OR(ISBLANK($C$12),$C$12="No"),0,IF(ISTEXT($E14),VLOOKUP(AJ48,Table_Special_PP,3,FALSE)*IF(AND($C$11="SP",$C$12=2),VLOOKUP(AJ48,Table_Special_PP,4,0),1),0))</f>
        <v>0</v>
      </c>
      <c r="AK49" s="2">
        <f>IF(OR(ISBLANK($C$12),$C$12="No"),0,IF(ISTEXT($E15),VLOOKUP(AK48,Table_Special_PP,3,FALSE)*IF(AND($C$11="SP",$C$12=2),VLOOKUP(AK48,Table_Special_PP,4,0),1),0))</f>
        <v>0</v>
      </c>
      <c r="AL49" s="2">
        <f>IF(OR(ISBLANK($C$12),$C$12="No"),0,IF(ISTEXT($E16),VLOOKUP(AL48,Table_Special_PP,3,FALSE)*IF(AND($C$11="SP",$C$12=2),VLOOKUP(AL48,Table_Special_PP,4,0),1),0))</f>
        <v>0</v>
      </c>
      <c r="AM49" s="2">
        <f>IF(OR(ISBLANK($C$12),$C$12="No"),0,IF(ISTEXT($E17),VLOOKUP(AM48,Table_Special_PP,3,FALSE)*IF(AND($C$11="SP",$C$12=2),VLOOKUP(AM48,Table_Special_PP,4,0),1),0))</f>
        <v>0</v>
      </c>
      <c r="AO49" s="60"/>
      <c r="AP49" s="1117" t="s">
        <v>1198</v>
      </c>
      <c r="AQ49" s="2">
        <f>IF(ISTEXT($E13),HLOOKUP(AQ48,Table_BroadLC,IF($E$4&lt;&gt;"1150",3,4),FALSE),0)</f>
        <v>0</v>
      </c>
      <c r="AR49" s="2">
        <f>IF(ISTEXT($E14),HLOOKUP(AR48,Table_BroadLC,IF($E$5&lt;&gt;"1150",3,4),FALSE),0)</f>
        <v>0</v>
      </c>
      <c r="AS49" s="2">
        <f>IF(ISTEXT($E15),HLOOKUP(AS48,Table_BroadLC,IF($E$6&lt;&gt;"1150",3,4),FALSE),0)</f>
        <v>0</v>
      </c>
      <c r="AT49" s="2">
        <f>IF(ISTEXT($E16),HLOOKUP(AT48,Table_BroadLC,IF($E$7&lt;&gt;"1150",3,4),FALSE),0)</f>
        <v>0</v>
      </c>
      <c r="AU49" s="2">
        <f>IF(ISTEXT($E17),HLOOKUP(AU48,Table_BroadLC,IF($E$8&lt;&gt;"1150",3,4),FALSE),0)</f>
        <v>0</v>
      </c>
    </row>
    <row r="50" spans="10:47" x14ac:dyDescent="0.2">
      <c r="K50" s="146"/>
      <c r="L50" s="146"/>
      <c r="M50" s="146"/>
      <c r="N50" s="146"/>
      <c r="O50" s="146"/>
      <c r="Q50" s="60"/>
      <c r="R50" s="545" t="s">
        <v>971</v>
      </c>
      <c r="S50" s="207">
        <f>HLOOKUP($C$10,Table_StateRates,6,FALSE)</f>
        <v>1.9</v>
      </c>
      <c r="T50" s="207">
        <f>HLOOKUP($C$10,Table_StateRates,6,FALSE)</f>
        <v>1.9</v>
      </c>
      <c r="U50" s="207">
        <f>HLOOKUP($C$10,Table_StateRates,6,FALSE)</f>
        <v>1.9</v>
      </c>
      <c r="V50" s="207">
        <f>HLOOKUP($C$10,Table_StateRates,6,FALSE)</f>
        <v>1.9</v>
      </c>
      <c r="W50" s="207">
        <f>HLOOKUP($C$10,Table_StateRates,6,FALSE)</f>
        <v>1.9</v>
      </c>
      <c r="Y50" s="60"/>
      <c r="Z50" s="545" t="s">
        <v>971</v>
      </c>
      <c r="AA50" s="207">
        <f>HLOOKUP($C$10,Table_StateRates,6,FALSE)</f>
        <v>1.9</v>
      </c>
      <c r="AB50" s="207">
        <f>HLOOKUP($C$10,Table_StateRates,6,FALSE)</f>
        <v>1.9</v>
      </c>
      <c r="AC50" s="207">
        <f>HLOOKUP($C$10,Table_StateRates,6,FALSE)</f>
        <v>1.9</v>
      </c>
      <c r="AD50" s="207">
        <f>HLOOKUP($C$10,Table_StateRates,6,FALSE)</f>
        <v>1.9</v>
      </c>
      <c r="AE50" s="207">
        <f>HLOOKUP($C$10,Table_StateRates,6,FALSE)</f>
        <v>1.9</v>
      </c>
      <c r="AG50" s="60"/>
      <c r="AH50" s="545" t="s">
        <v>971</v>
      </c>
      <c r="AI50" s="207">
        <f>HLOOKUP($C$10,Table_StateRates,6,FALSE)</f>
        <v>1.9</v>
      </c>
      <c r="AJ50" s="207">
        <f>HLOOKUP($C$10,Table_StateRates,6,FALSE)</f>
        <v>1.9</v>
      </c>
      <c r="AK50" s="207">
        <f>HLOOKUP($C$10,Table_StateRates,6,FALSE)</f>
        <v>1.9</v>
      </c>
      <c r="AL50" s="207">
        <f>HLOOKUP($C$10,Table_StateRates,6,FALSE)</f>
        <v>1.9</v>
      </c>
      <c r="AM50" s="207">
        <f>HLOOKUP($C$10,Table_StateRates,6,FALSE)</f>
        <v>1.9</v>
      </c>
      <c r="AO50" s="60"/>
      <c r="AP50" s="545" t="s">
        <v>971</v>
      </c>
      <c r="AQ50" s="207">
        <f>HLOOKUP($C$10,Table_StateRates,6,FALSE)</f>
        <v>1.9</v>
      </c>
      <c r="AR50" s="207">
        <f>HLOOKUP($C$10,Table_StateRates,6,FALSE)</f>
        <v>1.9</v>
      </c>
      <c r="AS50" s="207">
        <f>HLOOKUP($C$10,Table_StateRates,6,FALSE)</f>
        <v>1.9</v>
      </c>
      <c r="AT50" s="207">
        <f>HLOOKUP($C$10,Table_StateRates,6,FALSE)</f>
        <v>1.9</v>
      </c>
      <c r="AU50" s="207">
        <f>HLOOKUP($C$10,Table_StateRates,6,FALSE)</f>
        <v>1.9</v>
      </c>
    </row>
    <row r="51" spans="10:47" x14ac:dyDescent="0.2">
      <c r="J51" s="8"/>
      <c r="K51" s="146"/>
      <c r="L51" s="146"/>
      <c r="M51" s="146"/>
      <c r="N51" s="146"/>
      <c r="O51" s="146"/>
      <c r="Q51" s="60"/>
      <c r="R51" s="1210" t="s">
        <v>1018</v>
      </c>
      <c r="S51" s="207">
        <f>IF($B$16=250,DF_250Deductible,$C$16)</f>
        <v>1</v>
      </c>
      <c r="T51" s="207">
        <f>IF($B$16=250,DF_250Deductible,$C$16)</f>
        <v>1</v>
      </c>
      <c r="U51" s="207">
        <f>IF($B$16=250,DF_250Deductible,$C$16)</f>
        <v>1</v>
      </c>
      <c r="V51" s="207">
        <f>IF($B$16=250,DF_250Deductible,$C$16)</f>
        <v>1</v>
      </c>
      <c r="W51" s="207">
        <f>IF($B$16=250,DF_250Deductible,$C$16)</f>
        <v>1</v>
      </c>
      <c r="Y51" s="60"/>
      <c r="Z51" s="1210" t="s">
        <v>1018</v>
      </c>
      <c r="AA51" s="207">
        <f>IF($B$16=250,DF_250Deductible,$C$16)</f>
        <v>1</v>
      </c>
      <c r="AB51" s="207">
        <f>IF($B$16=250,DF_250Deductible,$C$16)</f>
        <v>1</v>
      </c>
      <c r="AC51" s="207">
        <f>IF($B$16=250,DF_250Deductible,$C$16)</f>
        <v>1</v>
      </c>
      <c r="AD51" s="207">
        <f>IF($B$16=250,DF_250Deductible,$C$16)</f>
        <v>1</v>
      </c>
      <c r="AE51" s="207">
        <f>IF($B$16=250,DF_250Deductible,$C$16)</f>
        <v>1</v>
      </c>
      <c r="AG51" s="60"/>
      <c r="AH51" s="1210" t="s">
        <v>1018</v>
      </c>
      <c r="AI51" s="207">
        <f>IF($B$18=250,DF_250Deductible,$C$18)</f>
        <v>1</v>
      </c>
      <c r="AJ51" s="207">
        <f>IF($B$18=250,DF_250Deductible,$C$18)</f>
        <v>1</v>
      </c>
      <c r="AK51" s="207">
        <f>IF($B$18=250,DF_250Deductible,$C$18)</f>
        <v>1</v>
      </c>
      <c r="AL51" s="207">
        <f>IF($B$18=250,DF_250Deductible,$C$18)</f>
        <v>1</v>
      </c>
      <c r="AM51" s="207">
        <f>IF($B$18=250,DF_250Deductible,$C$18)</f>
        <v>1</v>
      </c>
      <c r="AO51" s="60"/>
      <c r="AP51" s="1210" t="s">
        <v>1018</v>
      </c>
      <c r="AQ51" s="207">
        <f>IF($B$18=250,DF_250Deductible,$C$18)</f>
        <v>1</v>
      </c>
      <c r="AR51" s="207">
        <f>IF($B$18=250,DF_250Deductible,$C$18)</f>
        <v>1</v>
      </c>
      <c r="AS51" s="207">
        <f>IF($B$18=250,DF_250Deductible,$C$18)</f>
        <v>1</v>
      </c>
      <c r="AT51" s="207">
        <f>IF($B$18=250,DF_250Deductible,$C$18)</f>
        <v>1</v>
      </c>
      <c r="AU51" s="207">
        <f>IF($B$18=250,DF_250Deductible,$C$18)</f>
        <v>1</v>
      </c>
    </row>
    <row r="52" spans="10:47" x14ac:dyDescent="0.2">
      <c r="J52" s="8"/>
      <c r="K52" s="146"/>
      <c r="L52" s="146"/>
      <c r="M52" s="146"/>
      <c r="N52" s="146"/>
      <c r="O52" s="146"/>
      <c r="Q52" s="185"/>
      <c r="R52" s="1226" t="s">
        <v>1019</v>
      </c>
      <c r="S52" s="208">
        <f>HLOOKUP($C$10,Table_StateRates,5,FALSE)</f>
        <v>1.38</v>
      </c>
      <c r="T52" s="208">
        <f>HLOOKUP($C$10,Table_StateRates,5,FALSE)</f>
        <v>1.38</v>
      </c>
      <c r="U52" s="208">
        <f>HLOOKUP($C$10,Table_StateRates,5,FALSE)</f>
        <v>1.38</v>
      </c>
      <c r="V52" s="208">
        <f>HLOOKUP($C$10,Table_StateRates,5,FALSE)</f>
        <v>1.38</v>
      </c>
      <c r="W52" s="208">
        <f>HLOOKUP($C$10,Table_StateRates,5,FALSE)</f>
        <v>1.38</v>
      </c>
      <c r="Y52" s="185"/>
      <c r="Z52" s="1226" t="s">
        <v>1019</v>
      </c>
      <c r="AA52" s="208">
        <f>HLOOKUP($C$10,Table_StateRates,5,FALSE)</f>
        <v>1.38</v>
      </c>
      <c r="AB52" s="208">
        <f>HLOOKUP($C$10,Table_StateRates,5,FALSE)</f>
        <v>1.38</v>
      </c>
      <c r="AC52" s="208">
        <f>HLOOKUP($C$10,Table_StateRates,5,FALSE)</f>
        <v>1.38</v>
      </c>
      <c r="AD52" s="208">
        <f>HLOOKUP($C$10,Table_StateRates,5,FALSE)</f>
        <v>1.38</v>
      </c>
      <c r="AE52" s="208">
        <f>HLOOKUP($C$10,Table_StateRates,5,FALSE)</f>
        <v>1.38</v>
      </c>
      <c r="AG52" s="185"/>
      <c r="AH52" s="1226" t="s">
        <v>1019</v>
      </c>
      <c r="AI52" s="208">
        <f>HLOOKUP($C$10,Table_StateRates,5,FALSE)</f>
        <v>1.38</v>
      </c>
      <c r="AJ52" s="208">
        <f>HLOOKUP($C$10,Table_StateRates,5,FALSE)</f>
        <v>1.38</v>
      </c>
      <c r="AK52" s="208">
        <f>HLOOKUP($C$10,Table_StateRates,5,FALSE)</f>
        <v>1.38</v>
      </c>
      <c r="AL52" s="208">
        <f>HLOOKUP($C$10,Table_StateRates,5,FALSE)</f>
        <v>1.38</v>
      </c>
      <c r="AM52" s="208">
        <f>HLOOKUP($C$10,Table_StateRates,5,FALSE)</f>
        <v>1.38</v>
      </c>
      <c r="AO52" s="185"/>
      <c r="AP52" s="1226" t="s">
        <v>1019</v>
      </c>
      <c r="AQ52" s="208">
        <f>HLOOKUP($C$10,Table_StateRates,5,FALSE)</f>
        <v>1.38</v>
      </c>
      <c r="AR52" s="208">
        <f>HLOOKUP($C$10,Table_StateRates,5,FALSE)</f>
        <v>1.38</v>
      </c>
      <c r="AS52" s="208">
        <f>HLOOKUP($C$10,Table_StateRates,5,FALSE)</f>
        <v>1.38</v>
      </c>
      <c r="AT52" s="208">
        <f>HLOOKUP($C$10,Table_StateRates,5,FALSE)</f>
        <v>1.38</v>
      </c>
      <c r="AU52" s="208">
        <f>HLOOKUP($C$10,Table_StateRates,5,FALSE)</f>
        <v>1.38</v>
      </c>
    </row>
    <row r="53" spans="10:47" x14ac:dyDescent="0.2">
      <c r="J53" s="8"/>
      <c r="K53" s="146"/>
      <c r="L53" s="146"/>
      <c r="M53" s="146"/>
      <c r="N53" s="146"/>
      <c r="O53" s="146"/>
      <c r="Q53" s="60"/>
      <c r="R53" s="83" t="s">
        <v>2281</v>
      </c>
      <c r="S53" s="1315">
        <f>ROUND(PRODUCT(S48:S52),3)</f>
        <v>0</v>
      </c>
      <c r="T53" s="1315">
        <f>ROUND(PRODUCT(T48:T52),3)</f>
        <v>0</v>
      </c>
      <c r="U53" s="1315">
        <f>ROUND(PRODUCT(U48:U52),3)</f>
        <v>0</v>
      </c>
      <c r="V53" s="1315">
        <f>ROUND(PRODUCT(V48:V52),3)</f>
        <v>0</v>
      </c>
      <c r="W53" s="1315">
        <f>ROUND(PRODUCT(W48:W52),3)</f>
        <v>0</v>
      </c>
      <c r="Y53" s="60"/>
      <c r="Z53" s="83" t="s">
        <v>2282</v>
      </c>
      <c r="AA53" s="1315">
        <f>ROUND(PRODUCT(AA49:AA52),3)</f>
        <v>0</v>
      </c>
      <c r="AB53" s="1315">
        <f>ROUND(PRODUCT(AB49:AB52),3)</f>
        <v>0</v>
      </c>
      <c r="AC53" s="1315">
        <f>ROUND(PRODUCT(AC49:AC52),3)</f>
        <v>0</v>
      </c>
      <c r="AD53" s="1315">
        <f>ROUND(PRODUCT(AD49:AD52),3)</f>
        <v>0</v>
      </c>
      <c r="AE53" s="1315">
        <f>ROUND(PRODUCT(AE49:AE52),3)</f>
        <v>0</v>
      </c>
      <c r="AG53" s="60"/>
      <c r="AH53" s="83" t="s">
        <v>2281</v>
      </c>
      <c r="AI53" s="1315">
        <f>ROUND(PRODUCT(AI49:AI52),3)</f>
        <v>0</v>
      </c>
      <c r="AJ53" s="1315">
        <f>ROUND(PRODUCT(AJ49:AJ52),3)</f>
        <v>0</v>
      </c>
      <c r="AK53" s="1315">
        <f>ROUND(PRODUCT(AK49:AK52),3)</f>
        <v>0</v>
      </c>
      <c r="AL53" s="1315">
        <f>ROUND(PRODUCT(AL49:AL52),3)</f>
        <v>0</v>
      </c>
      <c r="AM53" s="1315">
        <f>ROUND(PRODUCT(AM49:AM52),3)</f>
        <v>0</v>
      </c>
      <c r="AO53" s="60"/>
      <c r="AP53" s="83" t="s">
        <v>2282</v>
      </c>
      <c r="AQ53" s="1315">
        <f>ROUND(PRODUCT(AQ49:AQ52),3)</f>
        <v>0</v>
      </c>
      <c r="AR53" s="1315">
        <f>ROUND(PRODUCT(AR49:AR52),3)</f>
        <v>0</v>
      </c>
      <c r="AS53" s="1315">
        <f>ROUND(PRODUCT(AS49:AS52),3)</f>
        <v>0</v>
      </c>
      <c r="AT53" s="1315">
        <f>ROUND(PRODUCT(AT49:AT52),3)</f>
        <v>0</v>
      </c>
      <c r="AU53" s="1315">
        <f>ROUND(PRODUCT(AU49:AU52),3)</f>
        <v>0</v>
      </c>
    </row>
    <row r="54" spans="10:47" x14ac:dyDescent="0.2">
      <c r="J54" s="8"/>
      <c r="K54" s="146"/>
      <c r="L54" s="146"/>
      <c r="M54" s="146"/>
      <c r="N54" s="146"/>
      <c r="O54" s="146"/>
      <c r="Q54" s="60"/>
      <c r="R54" s="83"/>
      <c r="S54" s="1312"/>
      <c r="T54" s="1312"/>
      <c r="U54" s="1312"/>
      <c r="V54" s="1312"/>
      <c r="W54" s="1312"/>
      <c r="AG54" s="60"/>
      <c r="AH54" s="83"/>
      <c r="AI54" s="1312"/>
      <c r="AJ54" s="1312"/>
      <c r="AK54" s="1312"/>
      <c r="AL54" s="1312"/>
      <c r="AM54" s="1312"/>
    </row>
    <row r="55" spans="10:47" x14ac:dyDescent="0.2">
      <c r="J55" s="8"/>
      <c r="K55" s="146"/>
      <c r="L55" s="146"/>
      <c r="M55" s="146"/>
      <c r="N55" s="146"/>
      <c r="O55" s="146"/>
      <c r="Q55" s="60" t="s">
        <v>2183</v>
      </c>
      <c r="R55" s="83"/>
      <c r="S55" s="1312"/>
      <c r="T55" s="1312"/>
      <c r="U55" s="1312"/>
      <c r="V55" s="1312"/>
      <c r="W55" s="1312"/>
      <c r="Y55" s="60" t="s">
        <v>2183</v>
      </c>
      <c r="Z55" s="83"/>
      <c r="AA55" s="1312"/>
      <c r="AB55" s="1312"/>
      <c r="AC55" s="1312"/>
      <c r="AD55" s="1312"/>
      <c r="AE55" s="1312"/>
      <c r="AG55" s="60" t="s">
        <v>2183</v>
      </c>
      <c r="AH55" s="83"/>
      <c r="AI55" s="1312"/>
      <c r="AJ55" s="1312"/>
      <c r="AK55" s="1312"/>
      <c r="AL55" s="1312"/>
      <c r="AM55" s="1312"/>
      <c r="AO55" s="60" t="s">
        <v>2183</v>
      </c>
      <c r="AP55" s="83"/>
      <c r="AQ55" s="1312"/>
      <c r="AR55" s="1312"/>
      <c r="AS55" s="1312"/>
      <c r="AT55" s="1312"/>
      <c r="AU55" s="1312"/>
    </row>
    <row r="56" spans="10:47" x14ac:dyDescent="0.2">
      <c r="J56" s="8"/>
      <c r="K56" s="146"/>
      <c r="L56" s="146"/>
      <c r="M56" s="146"/>
      <c r="N56" s="146"/>
      <c r="O56" s="146"/>
      <c r="R56" s="1117" t="s">
        <v>2184</v>
      </c>
      <c r="S56" s="478">
        <f>IF(ISNUMBER($I4),$I4,0)</f>
        <v>0</v>
      </c>
      <c r="T56" s="478">
        <f>IF(ISNUMBER($I5),$I5,0)</f>
        <v>0</v>
      </c>
      <c r="U56" s="478">
        <f>IF(ISNUMBER($I6),$I6,0)</f>
        <v>0</v>
      </c>
      <c r="V56" s="478">
        <f>IF(ISNUMBER($I7),$I7,0)</f>
        <v>0</v>
      </c>
      <c r="W56" s="478">
        <f>IF(ISNUMBER($I8),$I8,0)</f>
        <v>0</v>
      </c>
      <c r="Z56" s="1117" t="s">
        <v>2184</v>
      </c>
      <c r="AA56" s="478">
        <f>IF(ISNUMBER($I$4),$I$4,0)</f>
        <v>0</v>
      </c>
      <c r="AB56" s="478">
        <f>IF(ISNUMBER($I$5),$I$5,0)</f>
        <v>0</v>
      </c>
      <c r="AC56" s="478">
        <f>IF(ISNUMBER($I$6),$I$6,0)</f>
        <v>0</v>
      </c>
      <c r="AD56" s="478">
        <f>IF(ISNUMBER($I$7),$I$7,0)</f>
        <v>0</v>
      </c>
      <c r="AE56" s="478">
        <f>IF(ISNUMBER($I$8),$I$8,0)</f>
        <v>0</v>
      </c>
      <c r="AH56" s="1117" t="s">
        <v>2184</v>
      </c>
      <c r="AI56" s="478">
        <f>IF(ISNUMBER($I13),$I13,0)</f>
        <v>0</v>
      </c>
      <c r="AJ56" s="478">
        <f>IF(ISNUMBER($I14),$I14,0)</f>
        <v>0</v>
      </c>
      <c r="AK56" s="478">
        <f>IF(ISNUMBER($I15),$I15,0)</f>
        <v>0</v>
      </c>
      <c r="AL56" s="478">
        <f>IF(ISNUMBER($I16),$I16,0)</f>
        <v>0</v>
      </c>
      <c r="AM56" s="478">
        <f>IF(ISNUMBER($I17),$I17,0)</f>
        <v>0</v>
      </c>
      <c r="AP56" s="1117" t="s">
        <v>2184</v>
      </c>
      <c r="AQ56" s="478">
        <f>IF(ISNUMBER($I$13),$I$13,0)</f>
        <v>0</v>
      </c>
      <c r="AR56" s="478">
        <f>IF(ISNUMBER($I$14),$I$14,0)</f>
        <v>0</v>
      </c>
      <c r="AS56" s="478">
        <f>IF(ISNUMBER($I$15),$I$15,0)</f>
        <v>0</v>
      </c>
      <c r="AT56" s="478">
        <f>IF(ISNUMBER($I$16),$I$16,0)</f>
        <v>0</v>
      </c>
      <c r="AU56" s="478">
        <f>IF(ISNUMBER($I$17),$I$17,0)</f>
        <v>0</v>
      </c>
    </row>
    <row r="57" spans="10:47" x14ac:dyDescent="0.2">
      <c r="J57" s="8"/>
      <c r="K57" s="146"/>
      <c r="L57" s="146"/>
      <c r="M57" s="146"/>
      <c r="N57" s="146"/>
      <c r="O57" s="146"/>
      <c r="Q57" s="185"/>
      <c r="R57" s="1226" t="s">
        <v>2185</v>
      </c>
      <c r="S57" s="238">
        <f>$I$9</f>
        <v>0</v>
      </c>
      <c r="T57" s="238">
        <f>$I$9</f>
        <v>0</v>
      </c>
      <c r="U57" s="238">
        <f>$I$9</f>
        <v>0</v>
      </c>
      <c r="V57" s="238">
        <f>$I$9</f>
        <v>0</v>
      </c>
      <c r="W57" s="238">
        <f>$I$9</f>
        <v>0</v>
      </c>
      <c r="Y57" s="185"/>
      <c r="Z57" s="1226" t="s">
        <v>2185</v>
      </c>
      <c r="AA57" s="238">
        <f>$I$9</f>
        <v>0</v>
      </c>
      <c r="AB57" s="238">
        <f t="shared" ref="AB57:AE57" si="7">$I$9</f>
        <v>0</v>
      </c>
      <c r="AC57" s="238">
        <f t="shared" si="7"/>
        <v>0</v>
      </c>
      <c r="AD57" s="238">
        <f t="shared" si="7"/>
        <v>0</v>
      </c>
      <c r="AE57" s="238">
        <f t="shared" si="7"/>
        <v>0</v>
      </c>
      <c r="AG57" s="185"/>
      <c r="AH57" s="1226" t="s">
        <v>2185</v>
      </c>
      <c r="AI57" s="238">
        <f>$I$18</f>
        <v>0</v>
      </c>
      <c r="AJ57" s="238">
        <f t="shared" ref="AJ57:AM57" si="8">$I$18</f>
        <v>0</v>
      </c>
      <c r="AK57" s="238">
        <f t="shared" si="8"/>
        <v>0</v>
      </c>
      <c r="AL57" s="238">
        <f t="shared" si="8"/>
        <v>0</v>
      </c>
      <c r="AM57" s="238">
        <f t="shared" si="8"/>
        <v>0</v>
      </c>
      <c r="AO57" s="185"/>
      <c r="AP57" s="1226" t="s">
        <v>2185</v>
      </c>
      <c r="AQ57" s="238">
        <f>$I$18</f>
        <v>0</v>
      </c>
      <c r="AR57" s="238">
        <f t="shared" ref="AR57:AU57" si="9">$I$18</f>
        <v>0</v>
      </c>
      <c r="AS57" s="238">
        <f t="shared" si="9"/>
        <v>0</v>
      </c>
      <c r="AT57" s="238">
        <f t="shared" si="9"/>
        <v>0</v>
      </c>
      <c r="AU57" s="238">
        <f t="shared" si="9"/>
        <v>0</v>
      </c>
    </row>
    <row r="58" spans="10:47" x14ac:dyDescent="0.2">
      <c r="J58" s="8"/>
      <c r="K58" s="146"/>
      <c r="L58" s="146"/>
      <c r="M58" s="146"/>
      <c r="N58" s="146"/>
      <c r="O58" s="146"/>
      <c r="Q58" s="146"/>
      <c r="R58" s="301" t="s">
        <v>2187</v>
      </c>
      <c r="S58" s="1313" t="e">
        <f>ROUND(S56/S57,2)</f>
        <v>#DIV/0!</v>
      </c>
      <c r="T58" s="1313" t="e">
        <f>ROUND(T56/T57,2)</f>
        <v>#DIV/0!</v>
      </c>
      <c r="U58" s="1313" t="e">
        <f>ROUND(U56/U57,2)</f>
        <v>#DIV/0!</v>
      </c>
      <c r="V58" s="1313" t="e">
        <f>ROUND(V56/V57,2)</f>
        <v>#DIV/0!</v>
      </c>
      <c r="W58" s="1313" t="e">
        <f>ROUND(W56/W57,2)</f>
        <v>#DIV/0!</v>
      </c>
      <c r="Y58" s="146"/>
      <c r="Z58" s="301" t="s">
        <v>2187</v>
      </c>
      <c r="AA58" s="1313" t="e">
        <f>ROUND(AA56/AA57,2)</f>
        <v>#DIV/0!</v>
      </c>
      <c r="AB58" s="1313" t="e">
        <f>ROUND(AB56/AB57,2)</f>
        <v>#DIV/0!</v>
      </c>
      <c r="AC58" s="1313" t="e">
        <f>ROUND(AC56/AC57,2)</f>
        <v>#DIV/0!</v>
      </c>
      <c r="AD58" s="1313" t="e">
        <f>ROUND(AD56/AD57,2)</f>
        <v>#DIV/0!</v>
      </c>
      <c r="AE58" s="1313" t="e">
        <f>ROUND(AE56/AE57,2)</f>
        <v>#DIV/0!</v>
      </c>
      <c r="AG58" s="146"/>
      <c r="AH58" s="301" t="s">
        <v>2187</v>
      </c>
      <c r="AI58" s="1313" t="e">
        <f>ROUND(AI56/AI57,2)</f>
        <v>#DIV/0!</v>
      </c>
      <c r="AJ58" s="1313" t="e">
        <f>ROUND(AJ56/AJ57,2)</f>
        <v>#DIV/0!</v>
      </c>
      <c r="AK58" s="1313" t="e">
        <f>ROUND(AK56/AK57,2)</f>
        <v>#DIV/0!</v>
      </c>
      <c r="AL58" s="1313" t="e">
        <f>ROUND(AL56/AL57,2)</f>
        <v>#DIV/0!</v>
      </c>
      <c r="AM58" s="1313" t="e">
        <f>ROUND(AM56/AM57,2)</f>
        <v>#DIV/0!</v>
      </c>
      <c r="AO58" s="146"/>
      <c r="AP58" s="301" t="s">
        <v>2187</v>
      </c>
      <c r="AQ58" s="1313" t="e">
        <f>ROUND(AQ56/AQ57,2)</f>
        <v>#DIV/0!</v>
      </c>
      <c r="AR58" s="1313" t="e">
        <f>ROUND(AR56/AR57,2)</f>
        <v>#DIV/0!</v>
      </c>
      <c r="AS58" s="1313" t="e">
        <f>ROUND(AS56/AS57,2)</f>
        <v>#DIV/0!</v>
      </c>
      <c r="AT58" s="1313" t="e">
        <f>ROUND(AT56/AT57,2)</f>
        <v>#DIV/0!</v>
      </c>
      <c r="AU58" s="1313" t="e">
        <f>ROUND(AU56/AU57,2)</f>
        <v>#DIV/0!</v>
      </c>
    </row>
    <row r="59" spans="10:47" x14ac:dyDescent="0.2">
      <c r="J59" s="146"/>
      <c r="K59" s="146"/>
      <c r="L59" s="146"/>
      <c r="M59" s="146"/>
      <c r="N59" s="146"/>
      <c r="O59" s="146"/>
      <c r="Q59" s="185"/>
      <c r="R59" s="1226" t="s">
        <v>2188</v>
      </c>
      <c r="S59" s="238">
        <f>PRODUCT(0.9,$I$9)</f>
        <v>0</v>
      </c>
      <c r="T59" s="238">
        <f>PRODUCT(0.9,$I$9)</f>
        <v>0</v>
      </c>
      <c r="U59" s="238">
        <f>PRODUCT(0.9,$I$9)</f>
        <v>0</v>
      </c>
      <c r="V59" s="238">
        <f>PRODUCT(0.9,$I$9)</f>
        <v>0</v>
      </c>
      <c r="W59" s="238">
        <f>PRODUCT(0.9,$I$9)</f>
        <v>0</v>
      </c>
      <c r="Y59" s="185"/>
      <c r="Z59" s="1226" t="s">
        <v>2188</v>
      </c>
      <c r="AA59" s="238">
        <f>PRODUCT(0.9,$I$9)</f>
        <v>0</v>
      </c>
      <c r="AB59" s="238">
        <f>PRODUCT(0.9,$I$9)</f>
        <v>0</v>
      </c>
      <c r="AC59" s="238">
        <f>PRODUCT(0.9,$I$9)</f>
        <v>0</v>
      </c>
      <c r="AD59" s="238">
        <f>PRODUCT(0.9,$I$9)</f>
        <v>0</v>
      </c>
      <c r="AE59" s="238">
        <f>PRODUCT(0.9,$I$9)</f>
        <v>0</v>
      </c>
      <c r="AG59" s="185"/>
      <c r="AH59" s="1226" t="s">
        <v>2188</v>
      </c>
      <c r="AI59" s="238">
        <f>PRODUCT(0.9,$I$18)</f>
        <v>0</v>
      </c>
      <c r="AJ59" s="238">
        <f>PRODUCT(0.9,$I$18)</f>
        <v>0</v>
      </c>
      <c r="AK59" s="238">
        <f>PRODUCT(0.9,$I$18)</f>
        <v>0</v>
      </c>
      <c r="AL59" s="238">
        <f>PRODUCT(0.9,$I$18)</f>
        <v>0</v>
      </c>
      <c r="AM59" s="238">
        <f>PRODUCT(0.9,$I$18)</f>
        <v>0</v>
      </c>
      <c r="AO59" s="185"/>
      <c r="AP59" s="1226" t="s">
        <v>2188</v>
      </c>
      <c r="AQ59" s="238">
        <f>PRODUCT(0.9,$I$18)</f>
        <v>0</v>
      </c>
      <c r="AR59" s="238">
        <f>PRODUCT(0.9,$I$18)</f>
        <v>0</v>
      </c>
      <c r="AS59" s="238">
        <f>PRODUCT(0.9,$I$18)</f>
        <v>0</v>
      </c>
      <c r="AT59" s="238">
        <f>PRODUCT(0.9,$I$18)</f>
        <v>0</v>
      </c>
      <c r="AU59" s="238">
        <f>PRODUCT(0.9,$I$18)</f>
        <v>0</v>
      </c>
    </row>
    <row r="60" spans="10:47" x14ac:dyDescent="0.2">
      <c r="K60" s="146"/>
      <c r="L60" s="146"/>
      <c r="M60" s="146"/>
      <c r="N60" s="146"/>
      <c r="O60" s="146"/>
      <c r="R60" s="83" t="s">
        <v>2189</v>
      </c>
      <c r="S60" s="248" t="e">
        <f>PRODUCT(S58:S59)</f>
        <v>#DIV/0!</v>
      </c>
      <c r="T60" s="248" t="e">
        <f>PRODUCT(T58:T59)</f>
        <v>#DIV/0!</v>
      </c>
      <c r="U60" s="248" t="e">
        <f>PRODUCT(U58:U59)</f>
        <v>#DIV/0!</v>
      </c>
      <c r="V60" s="248" t="e">
        <f>PRODUCT(V58:V59)</f>
        <v>#DIV/0!</v>
      </c>
      <c r="W60" s="248" t="e">
        <f>PRODUCT(W58:W59)</f>
        <v>#DIV/0!</v>
      </c>
      <c r="Z60" s="83" t="s">
        <v>2189</v>
      </c>
      <c r="AA60" s="248" t="e">
        <f>PRODUCT(AA58:AA59)</f>
        <v>#DIV/0!</v>
      </c>
      <c r="AB60" s="248" t="e">
        <f>PRODUCT(AB58:AB59)</f>
        <v>#DIV/0!</v>
      </c>
      <c r="AC60" s="248" t="e">
        <f>PRODUCT(AC58:AC59)</f>
        <v>#DIV/0!</v>
      </c>
      <c r="AD60" s="248" t="e">
        <f>PRODUCT(AD58:AD59)</f>
        <v>#DIV/0!</v>
      </c>
      <c r="AE60" s="248" t="e">
        <f>PRODUCT(AE58:AE59)</f>
        <v>#DIV/0!</v>
      </c>
      <c r="AH60" s="83" t="s">
        <v>2189</v>
      </c>
      <c r="AI60" s="248" t="e">
        <f>PRODUCT(AI58:AI59)</f>
        <v>#DIV/0!</v>
      </c>
      <c r="AJ60" s="248" t="e">
        <f>PRODUCT(AJ58:AJ59)</f>
        <v>#DIV/0!</v>
      </c>
      <c r="AK60" s="248" t="e">
        <f>PRODUCT(AK58:AK59)</f>
        <v>#DIV/0!</v>
      </c>
      <c r="AL60" s="248" t="e">
        <f>PRODUCT(AL58:AL59)</f>
        <v>#DIV/0!</v>
      </c>
      <c r="AM60" s="248" t="e">
        <f>PRODUCT(AM58:AM59)</f>
        <v>#DIV/0!</v>
      </c>
      <c r="AP60" s="83" t="s">
        <v>2189</v>
      </c>
      <c r="AQ60" s="248" t="e">
        <f>PRODUCT(AQ58:AQ59)</f>
        <v>#DIV/0!</v>
      </c>
      <c r="AR60" s="248" t="e">
        <f>PRODUCT(AR58:AR59)</f>
        <v>#DIV/0!</v>
      </c>
      <c r="AS60" s="248" t="e">
        <f>PRODUCT(AS58:AS59)</f>
        <v>#DIV/0!</v>
      </c>
      <c r="AT60" s="248" t="e">
        <f>PRODUCT(AT58:AT59)</f>
        <v>#DIV/0!</v>
      </c>
      <c r="AU60" s="248" t="e">
        <f>PRODUCT(AU58:AU59)</f>
        <v>#DIV/0!</v>
      </c>
    </row>
    <row r="61" spans="10:47" x14ac:dyDescent="0.2">
      <c r="K61" s="146"/>
      <c r="L61" s="146"/>
      <c r="M61" s="146"/>
      <c r="N61" s="146"/>
      <c r="O61" s="146"/>
      <c r="Q61" s="1332"/>
      <c r="R61" s="1333" t="s">
        <v>2193</v>
      </c>
      <c r="S61" s="1334" t="e">
        <f>IF(S60=0,"N/A",IF(ISNA(MATCH(S60,List_LOI_Bldg,0)),VLOOKUP(S60,List_LOI_Bldg,1,TRUE),"N/A"))</f>
        <v>#DIV/0!</v>
      </c>
      <c r="T61" s="1334" t="e">
        <f>IF(T60=0,"N/A",IF(ISNA(MATCH(T60,List_LOI_Bldg,0)),VLOOKUP(T60,List_LOI_Bldg,1,TRUE),"N/A"))</f>
        <v>#DIV/0!</v>
      </c>
      <c r="U61" s="1334" t="e">
        <f>IF(U60=0,"N/A",IF(ISNA(MATCH(U60,List_LOI_Bldg,0)),VLOOKUP(U60,List_LOI_Bldg,1,TRUE),"N/A"))</f>
        <v>#DIV/0!</v>
      </c>
      <c r="V61" s="1335" t="e">
        <f>IF(V60=0,"N/A",IF(ISNA(MATCH(V60,List_LOI_Bldg,0)),VLOOKUP(V60,List_LOI_Bldg,1,TRUE),"N/A"))</f>
        <v>#DIV/0!</v>
      </c>
      <c r="W61" s="1335" t="e">
        <f>IF(W60=0,"N/A",IF(ISNA(MATCH(W60,List_LOI_Bldg,0)),VLOOKUP(W60,List_LOI_Bldg,1,TRUE),"N/A"))</f>
        <v>#DIV/0!</v>
      </c>
      <c r="Y61" s="1332"/>
      <c r="Z61" s="1333" t="s">
        <v>2193</v>
      </c>
      <c r="AA61" s="1334" t="e">
        <f>IF(AA60=0,"N/A",IF(ISNA(MATCH(AA60,List_LOI_Bldg,0)),VLOOKUP(AA60,List_LOI_Bldg,1,TRUE),"N/A"))</f>
        <v>#DIV/0!</v>
      </c>
      <c r="AB61" s="1334" t="e">
        <f>IF(AB60=0,"N/A",IF(ISNA(MATCH(AB60,List_LOI_Bldg,0)),VLOOKUP(AB60,List_LOI_Bldg,1,TRUE),"N/A"))</f>
        <v>#DIV/0!</v>
      </c>
      <c r="AC61" s="1335" t="e">
        <f>IF(AC60=0,"N/A",IF(ISNA(MATCH(AC60,List_LOI_Bldg,0)),VLOOKUP(AC60,List_LOI_Bldg,1,TRUE),"N/A"))</f>
        <v>#DIV/0!</v>
      </c>
      <c r="AD61" s="1335" t="e">
        <f>IF(AD60=0,"N/A",IF(ISNA(MATCH(AD60,List_LOI_Bldg,0)),VLOOKUP(AD60,List_LOI_Bldg,1,TRUE),"N/A"))</f>
        <v>#DIV/0!</v>
      </c>
      <c r="AE61" s="1335" t="e">
        <f>IF(AE60=0,"N/A",IF(ISNA(MATCH(AE60,List_LOI_Bldg,0)),VLOOKUP(AE60,List_LOI_Bldg,1,TRUE),"N/A"))</f>
        <v>#DIV/0!</v>
      </c>
      <c r="AG61" s="1332"/>
      <c r="AH61" s="1333" t="s">
        <v>2193</v>
      </c>
      <c r="AI61" s="1334" t="e">
        <f>IF(AI60=0,"N/A",IF(ISNA(MATCH(AI60,List_LOI_PP,0)),VLOOKUP(AI60,List_LOI_PP,1,TRUE),"N/A"))</f>
        <v>#DIV/0!</v>
      </c>
      <c r="AJ61" s="1334" t="e">
        <f>IF(AJ60=0,"N/A",IF(ISNA(MATCH(AJ60,List_LOI_PP,0)),VLOOKUP(AJ60,List_LOI_PP,1,TRUE),"N/A"))</f>
        <v>#DIV/0!</v>
      </c>
      <c r="AK61" s="1334" t="e">
        <f>IF(AK60=0,"N/A",IF(ISNA(MATCH(AK60,List_LOI_PP,0)),VLOOKUP(AK60,List_LOI_PP,1,TRUE),"N/A"))</f>
        <v>#DIV/0!</v>
      </c>
      <c r="AL61" s="1335" t="e">
        <f>IF(AL60=0,"N/A",IF(ISNA(MATCH(AL60,List_LOI_PP,0)),VLOOKUP(AL60,List_LOI_PP,1,TRUE),"N/A"))</f>
        <v>#DIV/0!</v>
      </c>
      <c r="AM61" s="1335" t="e">
        <f>IF(AM60=0,"N/A",IF(ISNA(MATCH(AM60,List_LOI_PP,0)),VLOOKUP(AM60,List_LOI_PP,1,TRUE),"N/A"))</f>
        <v>#DIV/0!</v>
      </c>
      <c r="AO61" s="1332"/>
      <c r="AP61" s="1333" t="s">
        <v>2193</v>
      </c>
      <c r="AQ61" s="1334" t="e">
        <f>IF(AQ60=0,"N/A",IF(ISNA(MATCH(AQ60,List_LOI_PP,0)),VLOOKUP(AQ60,List_LOI_PP,1,TRUE),"N/A"))</f>
        <v>#DIV/0!</v>
      </c>
      <c r="AR61" s="1334" t="e">
        <f>IF(AR60=0,"N/A",IF(ISNA(MATCH(AR60,List_LOI_PP,0)),VLOOKUP(AR60,List_LOI_PP,1,TRUE),"N/A"))</f>
        <v>#DIV/0!</v>
      </c>
      <c r="AS61" s="1335" t="e">
        <f>IF(AS60=0,"N/A",IF(ISNA(MATCH(AS60,List_LOI_PP,0)),VLOOKUP(AS60,List_LOI_PP,1,TRUE),"N/A"))</f>
        <v>#DIV/0!</v>
      </c>
      <c r="AT61" s="1335" t="e">
        <f>IF(AT60=0,"N/A",IF(ISNA(MATCH(AT60,List_LOI_PP,0)),VLOOKUP(AT60,List_LOI_PP,1,TRUE),"N/A"))</f>
        <v>#DIV/0!</v>
      </c>
      <c r="AU61" s="1335" t="e">
        <f>IF(AU60=0,"N/A",IF(ISNA(MATCH(AU60,List_LOI_PP,0)),VLOOKUP(AU60,List_LOI_PP,1,TRUE),"N/A"))</f>
        <v>#DIV/0!</v>
      </c>
    </row>
    <row r="62" spans="10:47" x14ac:dyDescent="0.2">
      <c r="K62" s="146"/>
      <c r="L62" s="146"/>
      <c r="M62" s="146"/>
      <c r="N62" s="146"/>
      <c r="O62" s="146"/>
      <c r="Q62" s="1336"/>
      <c r="R62" s="1337" t="s">
        <v>2194</v>
      </c>
      <c r="S62" s="1338" t="e">
        <f>IF(S61="N/A",0,INDEX(List_LOI_Bldg,MATCH(S61,List_LOI_Bldg,0)+1,1))</f>
        <v>#DIV/0!</v>
      </c>
      <c r="T62" s="1338" t="e">
        <f>IF(T61="N/A",0,INDEX(List_LOI_Bldg,MATCH(T61,List_LOI_Bldg,0)+1,1))</f>
        <v>#DIV/0!</v>
      </c>
      <c r="U62" s="1338" t="e">
        <f>IF(U61="N/A",0,INDEX(List_LOI_Bldg,MATCH(U61,List_LOI_Bldg,0)+1,1))</f>
        <v>#DIV/0!</v>
      </c>
      <c r="V62" s="1338" t="e">
        <f>IF(V61="N/A",0,INDEX(List_LOI_Bldg,MATCH(V61,List_LOI_Bldg,0)+1,1))</f>
        <v>#DIV/0!</v>
      </c>
      <c r="W62" s="1338" t="e">
        <f>IF(W61="N/A",0,INDEX(List_LOI_Bldg,MATCH(W61,List_LOI_Bldg,0)+1,1))</f>
        <v>#DIV/0!</v>
      </c>
      <c r="Y62" s="1336"/>
      <c r="Z62" s="1337" t="s">
        <v>2194</v>
      </c>
      <c r="AA62" s="1338" t="e">
        <f>IF(AA61="N/A",0,INDEX(List_LOI_Bldg,MATCH(AA61,List_LOI_Bldg,0)+1,1))</f>
        <v>#DIV/0!</v>
      </c>
      <c r="AB62" s="1338" t="e">
        <f>IF(AB61="N/A",0,INDEX(List_LOI_Bldg,MATCH(AB61,List_LOI_Bldg,0)+1,1))</f>
        <v>#DIV/0!</v>
      </c>
      <c r="AC62" s="1338" t="e">
        <f>IF(AC61="N/A",0,INDEX(List_LOI_Bldg,MATCH(AC61,List_LOI_Bldg,0)+1,1))</f>
        <v>#DIV/0!</v>
      </c>
      <c r="AD62" s="1338" t="e">
        <f>IF(AD61="N/A",0,INDEX(List_LOI_Bldg,MATCH(AD61,List_LOI_Bldg,0)+1,1))</f>
        <v>#DIV/0!</v>
      </c>
      <c r="AE62" s="1338" t="e">
        <f>IF(AE61="N/A",0,INDEX(List_LOI_Bldg,MATCH(AE61,List_LOI_Bldg,0)+1,1))</f>
        <v>#DIV/0!</v>
      </c>
      <c r="AG62" s="1336"/>
      <c r="AH62" s="1337" t="s">
        <v>2194</v>
      </c>
      <c r="AI62" s="1338" t="e">
        <f>IF(AI61="N/A",0,INDEX(List_LOI_PP,MATCH(AI61,List_LOI_PP,0)+1,1))</f>
        <v>#DIV/0!</v>
      </c>
      <c r="AJ62" s="1338" t="e">
        <f>IF(AJ61="N/A",0,INDEX(List_LOI_PP,MATCH(AJ61,List_LOI_PP,0)+1,1))</f>
        <v>#DIV/0!</v>
      </c>
      <c r="AK62" s="1338" t="e">
        <f>IF(AK61="N/A",0,INDEX(List_LOI_PP,MATCH(AK61,List_LOI_PP,0)+1,1))</f>
        <v>#DIV/0!</v>
      </c>
      <c r="AL62" s="1338" t="e">
        <f>IF(AL61="N/A",0,INDEX(List_LOI_PP,MATCH(AL61,List_LOI_PP,0)+1,1))</f>
        <v>#DIV/0!</v>
      </c>
      <c r="AM62" s="1338" t="e">
        <f>IF(AM61="N/A",0,INDEX(List_LOI_PP,MATCH(AM61,List_LOI_PP,0)+1,1))</f>
        <v>#DIV/0!</v>
      </c>
      <c r="AO62" s="1336"/>
      <c r="AP62" s="1337" t="s">
        <v>2194</v>
      </c>
      <c r="AQ62" s="1338" t="e">
        <f>IF(AQ61="N/A",0,INDEX(List_LOI_PP,MATCH(AQ61,List_LOI_PP,0)+1,1))</f>
        <v>#DIV/0!</v>
      </c>
      <c r="AR62" s="1338" t="e">
        <f>IF(AR61="N/A",0,INDEX(List_LOI_PP,MATCH(AR61,List_LOI_PP,0)+1,1))</f>
        <v>#DIV/0!</v>
      </c>
      <c r="AS62" s="1338" t="e">
        <f>IF(AS61="N/A",0,INDEX(List_LOI_PP,MATCH(AS61,List_LOI_PP,0)+1,1))</f>
        <v>#DIV/0!</v>
      </c>
      <c r="AT62" s="1338" t="e">
        <f>IF(AT61="N/A",0,INDEX(List_LOI_PP,MATCH(AT61,List_LOI_PP,0)+1,1))</f>
        <v>#DIV/0!</v>
      </c>
      <c r="AU62" s="1338" t="e">
        <f>IF(AU61="N/A",0,INDEX(List_LOI_PP,MATCH(AU61,List_LOI_PP,0)+1,1))</f>
        <v>#DIV/0!</v>
      </c>
    </row>
    <row r="63" spans="10:47" x14ac:dyDescent="0.2">
      <c r="Q63" s="185"/>
      <c r="R63" s="1226" t="s">
        <v>2195</v>
      </c>
      <c r="S63" s="1457" t="e">
        <f>IF(S60=0,0,IF(AND(S61="N/A",S60&gt;0),VLOOKUP(S60,Table_LOI_Bldg,MATCH("SP",List_Relatives,0)+1,FALSE),
ROUND(VLOOKUP(S61,Table_LOI_Bldg,MATCH("SP",List_Relatives,0)+1,FALSE) -
ROUND(PRODUCT((VLOOKUP(S61,Table_LOI_Bldg,MATCH("SP",List_Relatives,0)+1,FALSE) - VLOOKUP(S62,Table_LOI_Bldg,MATCH("SP",List_Relatives,0)+1,FALSE)),S60-S61)/(S62-S61),4),4)))</f>
        <v>#DIV/0!</v>
      </c>
      <c r="T63" s="1457" t="e">
        <f>IF(T60=0,0,IF(AND(T61="N/A",T60&gt;0),VLOOKUP(T60,Table_LOI_Bldg,MATCH("SP",List_Relatives,0)+1,FALSE),
ROUND(VLOOKUP(T61,Table_LOI_Bldg,MATCH("SP",List_Relatives,0)+1,FALSE) -
ROUND(PRODUCT((VLOOKUP(T61,Table_LOI_Bldg,MATCH("SP",List_Relatives,0)+1,FALSE) - VLOOKUP(T62,Table_LOI_Bldg,MATCH("SP",List_Relatives,0)+1,FALSE)),T60-T61)/(T62-T61),4),4)))</f>
        <v>#DIV/0!</v>
      </c>
      <c r="U63" s="1457" t="e">
        <f>IF(U60=0,0,IF(AND(U61="N/A",U60&gt;0),VLOOKUP(U60,Table_LOI_Bldg,MATCH("SP",List_Relatives,0)+1,FALSE),
ROUND(VLOOKUP(U61,Table_LOI_Bldg,MATCH("SP",List_Relatives,0)+1,FALSE) -
ROUND(PRODUCT((VLOOKUP(U61,Table_LOI_Bldg,MATCH("SP",List_Relatives,0)+1,FALSE) - VLOOKUP(U62,Table_LOI_Bldg,MATCH("SP",List_Relatives,0)+1,FALSE)),U60-U61)/(U62-U61),4),4)))</f>
        <v>#DIV/0!</v>
      </c>
      <c r="V63" s="1457" t="e">
        <f>IF(V60=0,0,IF(AND(V61="N/A",V60&gt;0),VLOOKUP(V60,Table_LOI_Bldg,MATCH("SP",List_Relatives,0)+1,FALSE),
ROUND(VLOOKUP(V61,Table_LOI_Bldg,MATCH("SP",List_Relatives,0)+1,FALSE) -
ROUND(PRODUCT((VLOOKUP(V61,Table_LOI_Bldg,MATCH("SP",List_Relatives,0)+1,FALSE) - VLOOKUP(V62,Table_LOI_Bldg,MATCH("SP",List_Relatives,0)+1,FALSE)),V60-V61)/(V62-V61),4),4)))</f>
        <v>#DIV/0!</v>
      </c>
      <c r="W63" s="1457" t="e">
        <f>IF(W60=0,0,IF(AND(W61="N/A",W60&gt;0),VLOOKUP(W60,Table_LOI_Bldg,MATCH("SP",List_Relatives,0)+1,FALSE),
ROUND(VLOOKUP(W61,Table_LOI_Bldg,MATCH("SP",List_Relatives,0)+1,FALSE) -
ROUND(PRODUCT((VLOOKUP(W61,Table_LOI_Bldg,MATCH("SP",List_Relatives,0)+1,FALSE) - VLOOKUP(W62,Table_LOI_Bldg,MATCH("SP",List_Relatives,0)+1,FALSE)),W60-W61)/(W62-W61),4),4)))</f>
        <v>#DIV/0!</v>
      </c>
      <c r="Y63" s="185"/>
      <c r="Z63" s="1226" t="s">
        <v>2195</v>
      </c>
      <c r="AA63" s="1457" t="e">
        <f>IF(AA60=0,0,IF(AND(AA61="N/A",AA60&gt;0),VLOOKUP(AA60,Table_LOI_Bldg,MATCH("BR",List_Relatives,0)+1,FALSE),
ROUND(VLOOKUP(AA61,Table_LOI_Bldg,MATCH("BR",List_Relatives,0)+1,FALSE) -
ROUND(PRODUCT((VLOOKUP(AA61,Table_LOI_Bldg,MATCH("BR",List_Relatives,0)+1,FALSE) - VLOOKUP(AA62,Table_LOI_Bldg,MATCH("BR",List_Relatives,0)+1,FALSE)),AA60-AA61)/(AA62-AA61),4),4)))</f>
        <v>#DIV/0!</v>
      </c>
      <c r="AB63" s="1457" t="e">
        <f>IF(AB60=0,0,IF(AND(AB61="N/A",AB60&gt;0),VLOOKUP(AB60,Table_LOI_Bldg,MATCH("BR",List_Relatives,0)+1,FALSE),
ROUND(VLOOKUP(AB61,Table_LOI_Bldg,MATCH("BR",List_Relatives,0)+1,FALSE) -
ROUND(PRODUCT((VLOOKUP(AB61,Table_LOI_Bldg,MATCH("BR",List_Relatives,0)+1,FALSE) - VLOOKUP(AB62,Table_LOI_Bldg,MATCH("BR",List_Relatives,0)+1,FALSE)),AB60-AB61)/(AB62-AB61),4),4)))</f>
        <v>#DIV/0!</v>
      </c>
      <c r="AC63" s="1457" t="e">
        <f>IF(AC60=0,0,IF(AND(AC61="N/A",AC60&gt;0),VLOOKUP(AC60,Table_LOI_Bldg,MATCH("BR",List_Relatives,0)+1,FALSE),
ROUND(VLOOKUP(AC61,Table_LOI_Bldg,MATCH("BR",List_Relatives,0)+1,FALSE) -
ROUND(PRODUCT((VLOOKUP(AC61,Table_LOI_Bldg,MATCH("BR",List_Relatives,0)+1,FALSE) - VLOOKUP(AC62,Table_LOI_Bldg,MATCH("BR",List_Relatives,0)+1,FALSE)),AC60-AC61)/(AC62-AC61),4),4)))</f>
        <v>#DIV/0!</v>
      </c>
      <c r="AD63" s="1457" t="e">
        <f>IF(AD60=0,0,IF(AND(AD61="N/A",AD60&gt;0),VLOOKUP(AD60,Table_LOI_Bldg,MATCH($G41,List_Relatives,0)+1,FALSE),
ROUND(VLOOKUP(AD61,Table_LOI_Bldg,MATCH($G41,List_Relatives,0)+1,FALSE) -
ROUND(PRODUCT((VLOOKUP(AD61,Table_LOI_Bldg,MATCH($G41,List_Relatives,0)+1,FALSE) - VLOOKUP(AD62,Table_LOI_Bldg,MATCH($G41,List_Relatives,0)+1,FALSE)),AD60-AD61)/(AD62-AD61),4),4)))</f>
        <v>#DIV/0!</v>
      </c>
      <c r="AE63" s="1457" t="e">
        <f>IF(AE60=0,0,IF(AND(AE61="N/A",AE60&gt;0),VLOOKUP(AE60,Table_LOI_Bldg,MATCH($G42,List_Relatives,0)+1,FALSE),
ROUND(VLOOKUP(AE61,Table_LOI_Bldg,MATCH($G42,List_Relatives,0)+1,FALSE) -
ROUND(PRODUCT((VLOOKUP(AE61,Table_LOI_Bldg,MATCH($G42,List_Relatives,0)+1,FALSE) - VLOOKUP(AE62,Table_LOI_Bldg,MATCH($G42,List_Relatives,0)+1,FALSE)),AE60-AE61)/(AE62-AE61),4),4)))</f>
        <v>#DIV/0!</v>
      </c>
      <c r="AG63" s="185"/>
      <c r="AH63" s="1226" t="s">
        <v>2195</v>
      </c>
      <c r="AI63" s="1457" t="e">
        <f>IF(AI60=0,0,IF(AND(AI61="N/A",AI60&gt;0),VLOOKUP(AI60,Table_LOI_PP,MATCH("SP",List_Relatives,0)+1,FALSE),
ROUND(VLOOKUP(AI61,Table_LOI_PP,MATCH("SP",List_Relatives,0)+1,FALSE) -
ROUND(PRODUCT((VLOOKUP(AI61,Table_LOI_PP,MATCH("SP",List_Relatives,0)+1,FALSE) - VLOOKUP(AI62,Table_LOI_PP,MATCH("SP",List_Relatives,0)+1,FALSE)),AI60-AI61)/(AI62-AI61),4),4)))</f>
        <v>#DIV/0!</v>
      </c>
      <c r="AJ63" s="1457" t="e">
        <f>IF(AJ60=0,0,IF(AND(AJ61="N/A",AJ60&gt;0),VLOOKUP(AJ60,Table_LOI_PP,MATCH("SP",List_Relatives,0)+1,FALSE),
ROUND(VLOOKUP(AJ61,Table_LOI_PP,MATCH("SP",List_Relatives,0)+1,FALSE) -
ROUND(PRODUCT((VLOOKUP(AJ61,Table_LOI_PP,MATCH("SP",List_Relatives,0)+1,FALSE) - VLOOKUP(AJ62,Table_LOI_PP,MATCH("SP",List_Relatives,0)+1,FALSE)),AJ60-AJ61)/(AJ62-AJ61),4),4)))</f>
        <v>#DIV/0!</v>
      </c>
      <c r="AK63" s="1457" t="e">
        <f>IF(AK60=0,0,IF(AND(AK61="N/A",AK60&gt;0),VLOOKUP(AK60,Table_LOI_PP,MATCH("SP",List_Relatives,0)+1,FALSE),
ROUND(VLOOKUP(AK61,Table_LOI_PP,MATCH("SP",List_Relatives,0)+1,FALSE) -
ROUND(PRODUCT((VLOOKUP(AK61,Table_LOI_PP,MATCH("SP",List_Relatives,0)+1,FALSE) - VLOOKUP(AK62,Table_LOI_PP,MATCH("SP",List_Relatives,0)+1,FALSE)),AK60-AK61)/(AK62-AK61),4),4)))</f>
        <v>#DIV/0!</v>
      </c>
      <c r="AL63" s="1457" t="e">
        <f>IF(AL60=0,0,IF(AND(AL61="N/A",AL60&gt;0),VLOOKUP(AL60,Table_LOI_PP,MATCH("SP",List_Relatives,0)+1,FALSE),
ROUND(VLOOKUP(AL61,Table_LOI_PP,MATCH("SP",List_Relatives,0)+1,FALSE) -
ROUND(PRODUCT((VLOOKUP(AL61,Table_LOI_PP,MATCH("SP",List_Relatives,0)+1,FALSE) - VLOOKUP(AL62,Table_LOI_PP,MATCH("SP",List_Relatives,0)+1,FALSE)),AL60-AL61)/(AL62-AL61),4),4)))</f>
        <v>#DIV/0!</v>
      </c>
      <c r="AM63" s="1457" t="e">
        <f>IF(AM60=0,0,IF(AND(AM61="N/A",AM60&gt;0),VLOOKUP(AM60,Table_LOI_PP,MATCH("SP",List_Relatives,0)+1,FALSE),
ROUND(VLOOKUP(AM61,Table_LOI_PP,MATCH("SP",List_Relatives,0)+1,FALSE) -
ROUND(PRODUCT((VLOOKUP(AM61,Table_LOI_PP,MATCH("SP",List_Relatives,0)+1,FALSE) - VLOOKUP(AM62,Table_LOI_PP,MATCH("SP",List_Relatives,0)+1,FALSE)),AM60-AM61)/(AM62-AM61),4),4)))</f>
        <v>#DIV/0!</v>
      </c>
      <c r="AO63" s="185"/>
      <c r="AP63" s="1226" t="s">
        <v>2195</v>
      </c>
      <c r="AQ63" s="1457" t="e">
        <f>IF(AQ60=0,0,IF(AND(AQ61="N/A",AQ60&gt;0),VLOOKUP(AQ60,Table_LOI_PP,MATCH("BR",List_Relatives,0)+1,FALSE),
ROUND(VLOOKUP(AQ61,Table_LOI_PP,MATCH("BR",List_Relatives,0)+1,FALSE) -
ROUND(PRODUCT((VLOOKUP(AQ61,Table_LOI_PP,MATCH("BR",List_Relatives,0)+1,FALSE) - VLOOKUP(AQ62,Table_LOI_PP,MATCH("BR",List_Relatives,0)+1,FALSE)),AQ60-AQ61)/(AQ62-AQ61),4),4)))</f>
        <v>#DIV/0!</v>
      </c>
      <c r="AR63" s="1457" t="e">
        <f>IF(AR60=0,0,IF(AND(AR61="N/A",AR60&gt;0),VLOOKUP(AR60,Table_LOI_PP,MATCH("BR",List_Relatives,0)+1,FALSE),
ROUND(VLOOKUP(AR61,Table_LOI_PP,MATCH("BR",List_Relatives,0)+1,FALSE) -
ROUND(PRODUCT((VLOOKUP(AR61,Table_LOI_PP,MATCH("BR",List_Relatives,0)+1,FALSE) - VLOOKUP(AR62,Table_LOI_PP,MATCH("BR",List_Relatives,0)+1,FALSE)),AR60-AR61)/(AR62-AR61),4),4)))</f>
        <v>#DIV/0!</v>
      </c>
      <c r="AS63" s="1457" t="e">
        <f>IF(AS60=0,0,IF(AND(AS61="N/A",AS60&gt;0),VLOOKUP(AS60,Table_LOI_PP,MATCH("BR",List_Relatives,0)+1,FALSE),
ROUND(VLOOKUP(AS61,Table_LOI_PP,MATCH("BR",List_Relatives,0)+1,FALSE) -
ROUND(PRODUCT((VLOOKUP(AS61,Table_LOI_PP,MATCH("BR",List_Relatives,0)+1,FALSE) - VLOOKUP(AS62,Table_LOI_PP,MATCH("BR",List_Relatives,0)+1,FALSE)),AS60-AS61)/(AS62-AS61),4),4)))</f>
        <v>#DIV/0!</v>
      </c>
      <c r="AT63" s="1457" t="e">
        <f>IF(AT60=0,0,IF(AND(AT61="N/A",AT60&gt;0),VLOOKUP(AT60,Table_LOI_PP,MATCH($G131,List_Relatives,0)+1,FALSE),
ROUND(VLOOKUP(AT61,Table_LOI_PP,MATCH($G131,List_Relatives,0)+1,FALSE) -
ROUND(PRODUCT((VLOOKUP(AT61,Table_LOI_PP,MATCH($G131,List_Relatives,0)+1,FALSE) - VLOOKUP(AT62,Table_LOI_PP,MATCH($G131,List_Relatives,0)+1,FALSE)),AT60-AT61)/(AT62-AT61),4),4)))</f>
        <v>#DIV/0!</v>
      </c>
      <c r="AU63" s="1457" t="e">
        <f>IF(AU60=0,0,IF(AND(AU61="N/A",AU60&gt;0),VLOOKUP(AU60,Table_LOI_PP,MATCH($G132,List_Relatives,0)+1,FALSE),
ROUND(VLOOKUP(AU61,Table_LOI_PP,MATCH($G132,List_Relatives,0)+1,FALSE) -
ROUND(PRODUCT((VLOOKUP(AU61,Table_LOI_PP,MATCH($G132,List_Relatives,0)+1,FALSE) - VLOOKUP(AU62,Table_LOI_PP,MATCH($G132,List_Relatives,0)+1,FALSE)),AU60-AU61)/(AU62-AU61),4),4)))</f>
        <v>#DIV/0!</v>
      </c>
    </row>
    <row r="64" spans="10:47" x14ac:dyDescent="0.2">
      <c r="R64" s="83" t="s">
        <v>2196</v>
      </c>
      <c r="S64" s="247" t="e">
        <f>PRODUCT(S53,S63)</f>
        <v>#DIV/0!</v>
      </c>
      <c r="T64" s="247" t="e">
        <f>PRODUCT(T53,T63)</f>
        <v>#DIV/0!</v>
      </c>
      <c r="U64" s="2" t="e">
        <f>PRODUCT(U53,U63)</f>
        <v>#DIV/0!</v>
      </c>
      <c r="V64" s="2" t="e">
        <f>PRODUCT(V53,V63)</f>
        <v>#DIV/0!</v>
      </c>
      <c r="W64" s="2" t="e">
        <f>PRODUCT(W53,W63)</f>
        <v>#DIV/0!</v>
      </c>
      <c r="Z64" s="83" t="s">
        <v>2196</v>
      </c>
      <c r="AA64" s="2" t="e">
        <f>PRODUCT(AA53,AA63)</f>
        <v>#DIV/0!</v>
      </c>
      <c r="AB64" s="2" t="e">
        <f>PRODUCT(AB53,AB63)</f>
        <v>#DIV/0!</v>
      </c>
      <c r="AC64" s="2" t="e">
        <f>PRODUCT(AC53,AC63)</f>
        <v>#DIV/0!</v>
      </c>
      <c r="AD64" s="2" t="e">
        <f>PRODUCT(AD53,AD63)</f>
        <v>#DIV/0!</v>
      </c>
      <c r="AE64" s="2" t="e">
        <f>PRODUCT(AE53,AE63)</f>
        <v>#DIV/0!</v>
      </c>
      <c r="AH64" s="83" t="s">
        <v>2196</v>
      </c>
      <c r="AI64" s="247" t="e">
        <f>PRODUCT(AI53,AI63)</f>
        <v>#DIV/0!</v>
      </c>
      <c r="AJ64" s="247" t="e">
        <f>PRODUCT(AJ53,AJ63)</f>
        <v>#DIV/0!</v>
      </c>
      <c r="AK64" s="2" t="e">
        <f>PRODUCT(AK53,AK63)</f>
        <v>#DIV/0!</v>
      </c>
      <c r="AL64" s="2" t="e">
        <f>PRODUCT(AL53,AL63)</f>
        <v>#DIV/0!</v>
      </c>
      <c r="AM64" s="2" t="e">
        <f>PRODUCT(AM53,AM63)</f>
        <v>#DIV/0!</v>
      </c>
      <c r="AP64" s="83" t="s">
        <v>2196</v>
      </c>
      <c r="AQ64" s="2" t="e">
        <f>PRODUCT(AQ53,AQ63)</f>
        <v>#DIV/0!</v>
      </c>
      <c r="AR64" s="2" t="e">
        <f>PRODUCT(AR53,AR63)</f>
        <v>#DIV/0!</v>
      </c>
      <c r="AS64" s="2" t="e">
        <f>PRODUCT(AS53,AS63)</f>
        <v>#DIV/0!</v>
      </c>
      <c r="AT64" s="2" t="e">
        <f>PRODUCT(AT53,AT63)</f>
        <v>#DIV/0!</v>
      </c>
      <c r="AU64" s="2" t="e">
        <f>PRODUCT(AU53,AU63)</f>
        <v>#DIV/0!</v>
      </c>
    </row>
    <row r="65" spans="17:47" x14ac:dyDescent="0.2">
      <c r="R65" s="1117" t="s">
        <v>2330</v>
      </c>
      <c r="S65" s="247">
        <f>$C$14</f>
        <v>1</v>
      </c>
      <c r="T65" s="247">
        <f t="shared" ref="T65:W65" si="10">$C$14</f>
        <v>1</v>
      </c>
      <c r="U65" s="247">
        <f t="shared" si="10"/>
        <v>1</v>
      </c>
      <c r="V65" s="247">
        <f t="shared" si="10"/>
        <v>1</v>
      </c>
      <c r="W65" s="247">
        <f t="shared" si="10"/>
        <v>1</v>
      </c>
      <c r="Z65" s="1117" t="s">
        <v>2330</v>
      </c>
      <c r="AA65" s="247">
        <v>1</v>
      </c>
      <c r="AB65" s="247">
        <v>1</v>
      </c>
      <c r="AC65" s="247">
        <v>1</v>
      </c>
      <c r="AD65" s="247">
        <v>1</v>
      </c>
      <c r="AE65" s="247">
        <v>1</v>
      </c>
      <c r="AH65" s="1117" t="s">
        <v>2330</v>
      </c>
      <c r="AI65" s="247">
        <f>$C$14</f>
        <v>1</v>
      </c>
      <c r="AJ65" s="247">
        <f t="shared" ref="AJ65:AM65" si="11">$C$14</f>
        <v>1</v>
      </c>
      <c r="AK65" s="247">
        <f t="shared" si="11"/>
        <v>1</v>
      </c>
      <c r="AL65" s="247">
        <f t="shared" si="11"/>
        <v>1</v>
      </c>
      <c r="AM65" s="247">
        <f t="shared" si="11"/>
        <v>1</v>
      </c>
      <c r="AP65" s="1117" t="s">
        <v>2330</v>
      </c>
      <c r="AQ65" s="247">
        <v>1</v>
      </c>
      <c r="AR65" s="247">
        <v>1</v>
      </c>
      <c r="AS65" s="247">
        <v>1</v>
      </c>
      <c r="AT65" s="247">
        <v>1</v>
      </c>
      <c r="AU65" s="247">
        <v>1</v>
      </c>
    </row>
    <row r="66" spans="17:47" x14ac:dyDescent="0.2">
      <c r="Q66" s="185"/>
      <c r="R66" s="1226" t="s">
        <v>2197</v>
      </c>
      <c r="S66" s="238">
        <f>IF(ISNUMBER($I4),$I4,0)</f>
        <v>0</v>
      </c>
      <c r="T66" s="238">
        <f>IF(ISNUMBER($I5),$I5,0)</f>
        <v>0</v>
      </c>
      <c r="U66" s="238">
        <f>IF(ISNUMBER($I6),$I6,0)</f>
        <v>0</v>
      </c>
      <c r="V66" s="238">
        <f>IF(ISNUMBER($I7),$I7,0)</f>
        <v>0</v>
      </c>
      <c r="W66" s="238">
        <f>IF(ISNUMBER($I8),$I8,0)</f>
        <v>0</v>
      </c>
      <c r="Y66" s="185"/>
      <c r="Z66" s="1226" t="s">
        <v>2197</v>
      </c>
      <c r="AA66" s="238">
        <f>IF(ISNUMBER($I$4),$I$4,0)</f>
        <v>0</v>
      </c>
      <c r="AB66" s="238">
        <f>IF(ISNUMBER($I$5),$I$5,0)</f>
        <v>0</v>
      </c>
      <c r="AC66" s="238">
        <f>IF(ISNUMBER($I$6),$I$6,0)</f>
        <v>0</v>
      </c>
      <c r="AD66" s="238">
        <f>IF(ISNUMBER($I$7),$I$7,0)</f>
        <v>0</v>
      </c>
      <c r="AE66" s="238">
        <f>IF(ISNUMBER($I$8),$I$8,0)</f>
        <v>0</v>
      </c>
      <c r="AG66" s="185"/>
      <c r="AH66" s="1226" t="s">
        <v>2197</v>
      </c>
      <c r="AI66" s="238">
        <f>IF(ISNUMBER($I13),$I13,0)</f>
        <v>0</v>
      </c>
      <c r="AJ66" s="238">
        <f>IF(ISNUMBER($I14),$I14,0)</f>
        <v>0</v>
      </c>
      <c r="AK66" s="238">
        <f>IF(ISNUMBER($I15),$I15,0)</f>
        <v>0</v>
      </c>
      <c r="AL66" s="238">
        <f>IF(ISNUMBER($I16),$I16,0)</f>
        <v>0</v>
      </c>
      <c r="AM66" s="238">
        <f>IF(ISNUMBER($I17),$I17,0)</f>
        <v>0</v>
      </c>
      <c r="AO66" s="185"/>
      <c r="AP66" s="1226" t="s">
        <v>2197</v>
      </c>
      <c r="AQ66" s="238">
        <f>IF(ISNUMBER($I13),$I13,0)</f>
        <v>0</v>
      </c>
      <c r="AR66" s="238">
        <f>IF(ISNUMBER($I14),$I14,0)</f>
        <v>0</v>
      </c>
      <c r="AS66" s="238">
        <f>IF(ISNUMBER($I15),$I15,0)</f>
        <v>0</v>
      </c>
      <c r="AT66" s="238">
        <f>IF(ISNUMBER($I16),$I16,0)</f>
        <v>0</v>
      </c>
      <c r="AU66" s="238">
        <f>IF(ISNUMBER($I17),$I17,0)</f>
        <v>0</v>
      </c>
    </row>
    <row r="67" spans="17:47" x14ac:dyDescent="0.2">
      <c r="R67" s="83" t="s">
        <v>2198</v>
      </c>
      <c r="S67" s="1339" t="e">
        <f>PRODUCT(S64:S66)</f>
        <v>#DIV/0!</v>
      </c>
      <c r="T67" s="1339" t="e">
        <f>PRODUCT(T64:T66)</f>
        <v>#DIV/0!</v>
      </c>
      <c r="U67" s="1339" t="e">
        <f>PRODUCT(U64:U66)</f>
        <v>#DIV/0!</v>
      </c>
      <c r="V67" s="1339" t="e">
        <f>PRODUCT(V64:V66)</f>
        <v>#DIV/0!</v>
      </c>
      <c r="W67" s="1339" t="e">
        <f>PRODUCT(W64:W66)</f>
        <v>#DIV/0!</v>
      </c>
      <c r="Z67" s="83" t="s">
        <v>2198</v>
      </c>
      <c r="AA67" s="1339" t="e">
        <f>PRODUCT(AA64:AA66)</f>
        <v>#DIV/0!</v>
      </c>
      <c r="AB67" s="1339" t="e">
        <f>PRODUCT(AB64:AB66)</f>
        <v>#DIV/0!</v>
      </c>
      <c r="AC67" s="1339" t="e">
        <f>PRODUCT(AC64:AC66)</f>
        <v>#DIV/0!</v>
      </c>
      <c r="AD67" s="1339" t="e">
        <f>PRODUCT(AD64:AD66)</f>
        <v>#DIV/0!</v>
      </c>
      <c r="AE67" s="1339" t="e">
        <f>PRODUCT(AE64:AE66)</f>
        <v>#DIV/0!</v>
      </c>
      <c r="AH67" s="83" t="s">
        <v>2198</v>
      </c>
      <c r="AI67" s="1339" t="e">
        <f>PRODUCT(AI64:AI66)</f>
        <v>#DIV/0!</v>
      </c>
      <c r="AJ67" s="1339" t="e">
        <f>PRODUCT(AJ64:AJ66)</f>
        <v>#DIV/0!</v>
      </c>
      <c r="AK67" s="1339" t="e">
        <f>PRODUCT(AK64:AK66)</f>
        <v>#DIV/0!</v>
      </c>
      <c r="AL67" s="1339" t="e">
        <f>PRODUCT(AL64:AL66)</f>
        <v>#DIV/0!</v>
      </c>
      <c r="AM67" s="1339" t="e">
        <f>PRODUCT(AM64:AM66)</f>
        <v>#DIV/0!</v>
      </c>
      <c r="AP67" s="83" t="s">
        <v>2198</v>
      </c>
      <c r="AQ67" s="1339" t="e">
        <f>PRODUCT(AQ64:AQ66)</f>
        <v>#DIV/0!</v>
      </c>
      <c r="AR67" s="1339" t="e">
        <f>PRODUCT(AR64:AR66)</f>
        <v>#DIV/0!</v>
      </c>
      <c r="AS67" s="1339" t="e">
        <f>PRODUCT(AS64:AS66)</f>
        <v>#DIV/0!</v>
      </c>
      <c r="AT67" s="1339" t="e">
        <f>PRODUCT(AT64:AT66)</f>
        <v>#DIV/0!</v>
      </c>
      <c r="AU67" s="1339" t="e">
        <f>PRODUCT(AU64:AU66)</f>
        <v>#DIV/0!</v>
      </c>
    </row>
    <row r="69" spans="17:47" x14ac:dyDescent="0.2">
      <c r="Q69" s="60" t="s">
        <v>2199</v>
      </c>
      <c r="Y69" s="60" t="s">
        <v>2199</v>
      </c>
      <c r="AG69" s="60" t="s">
        <v>2199</v>
      </c>
      <c r="AO69" s="60" t="s">
        <v>2199</v>
      </c>
    </row>
    <row r="70" spans="17:47" x14ac:dyDescent="0.2">
      <c r="R70" s="1117" t="s">
        <v>2200</v>
      </c>
      <c r="S70" s="1339" t="e">
        <f>SUM(S67:W67)</f>
        <v>#DIV/0!</v>
      </c>
      <c r="Z70" s="1117" t="s">
        <v>2200</v>
      </c>
      <c r="AA70" s="1339" t="e">
        <f>SUM(AA67:AE67)</f>
        <v>#DIV/0!</v>
      </c>
      <c r="AH70" s="1117" t="s">
        <v>2200</v>
      </c>
      <c r="AI70" s="1339" t="e">
        <f>SUM(AI67:AM67)</f>
        <v>#DIV/0!</v>
      </c>
      <c r="AP70" s="1117" t="s">
        <v>2200</v>
      </c>
      <c r="AQ70" s="1339" t="e">
        <f>SUM(AQ67:AU67)</f>
        <v>#DIV/0!</v>
      </c>
    </row>
    <row r="71" spans="17:47" x14ac:dyDescent="0.2">
      <c r="Q71" s="185"/>
      <c r="R71" s="1226" t="s">
        <v>2186</v>
      </c>
      <c r="S71" s="238">
        <f>$I$9</f>
        <v>0</v>
      </c>
      <c r="Y71" s="185"/>
      <c r="Z71" s="1226" t="s">
        <v>2186</v>
      </c>
      <c r="AA71" s="238">
        <f>$I$9</f>
        <v>0</v>
      </c>
      <c r="AG71" s="185"/>
      <c r="AH71" s="1226" t="s">
        <v>2186</v>
      </c>
      <c r="AI71" s="238">
        <f>$I$18</f>
        <v>0</v>
      </c>
      <c r="AO71" s="185"/>
      <c r="AP71" s="1226" t="s">
        <v>2186</v>
      </c>
      <c r="AQ71" s="238">
        <f>$I$18</f>
        <v>0</v>
      </c>
    </row>
    <row r="72" spans="17:47" x14ac:dyDescent="0.2">
      <c r="R72" s="1117" t="s">
        <v>2201</v>
      </c>
      <c r="S72" s="2" t="e">
        <f>ROUND(S70/S71,3)</f>
        <v>#DIV/0!</v>
      </c>
      <c r="Z72" s="1117" t="s">
        <v>2229</v>
      </c>
      <c r="AA72" s="2" t="e">
        <f>ROUND(AA70/AA71,4)</f>
        <v>#DIV/0!</v>
      </c>
      <c r="AH72" s="1117" t="s">
        <v>2201</v>
      </c>
      <c r="AI72" s="2" t="e">
        <f>ROUND(AI70/AI71,3)</f>
        <v>#DIV/0!</v>
      </c>
      <c r="AP72" s="1117" t="s">
        <v>2229</v>
      </c>
      <c r="AQ72" s="2" t="e">
        <f>ROUND(AQ70/AQ71,4)</f>
        <v>#DIV/0!</v>
      </c>
    </row>
    <row r="73" spans="17:47" x14ac:dyDescent="0.2">
      <c r="Q73" s="146"/>
      <c r="R73" s="1210" t="s">
        <v>2202</v>
      </c>
      <c r="S73" s="299">
        <f>VLOOKUP($C$15,Table_CoIns_Blanket,2,0)</f>
        <v>0.95</v>
      </c>
      <c r="Y73" s="146"/>
      <c r="Z73" s="1210" t="s">
        <v>2202</v>
      </c>
      <c r="AA73" s="299">
        <f>VLOOKUP($C$15,Table_CoIns_Blanket,2,0)</f>
        <v>0.95</v>
      </c>
      <c r="AG73" s="146"/>
      <c r="AH73" s="1210" t="s">
        <v>2202</v>
      </c>
      <c r="AI73" s="299">
        <f>VLOOKUP($C$15,Table_CoIns_Blanket,2,0)</f>
        <v>0.95</v>
      </c>
      <c r="AO73" s="146"/>
      <c r="AP73" s="1210" t="s">
        <v>2202</v>
      </c>
      <c r="AQ73" s="299">
        <f>VLOOKUP($C$15,Table_CoIns_Blanket,2,0)</f>
        <v>0.95</v>
      </c>
    </row>
    <row r="74" spans="17:47" x14ac:dyDescent="0.2">
      <c r="Q74" s="185"/>
      <c r="R74" s="1226" t="s">
        <v>1020</v>
      </c>
      <c r="S74" s="208">
        <f>IF($C$6="PAC",VLOOKUP(B7,Table_PakMods,MATCH($C$10,List_Company,0)+1,FALSE),1)</f>
        <v>1</v>
      </c>
      <c r="Y74" s="185"/>
      <c r="Z74" s="1226" t="s">
        <v>1020</v>
      </c>
      <c r="AA74" s="208">
        <f>IF($C$6="PAC",VLOOKUP(B7,Table_PakMods,MATCH($C$10,List_Company,0)+1,FALSE),1)</f>
        <v>1</v>
      </c>
      <c r="AG74" s="185"/>
      <c r="AH74" s="1226" t="s">
        <v>1020</v>
      </c>
      <c r="AI74" s="208">
        <f>IF($C$6="PAC",VLOOKUP(B7,Table_PakMods,MATCH($C$10,List_Company,0)+1,FALSE),1)</f>
        <v>1</v>
      </c>
      <c r="AO74" s="185"/>
      <c r="AP74" s="1226" t="s">
        <v>1020</v>
      </c>
      <c r="AQ74" s="208">
        <f>IF($C$6="PAC",VLOOKUP(B7,Table_PakMods,MATCH($C$10,List_Company,0)+1,FALSE),1)</f>
        <v>1</v>
      </c>
    </row>
    <row r="75" spans="17:47" x14ac:dyDescent="0.2">
      <c r="R75" s="83" t="s">
        <v>2203</v>
      </c>
      <c r="S75" s="60" t="e">
        <f>ROUND(PRODUCT(S72:S74),3)</f>
        <v>#DIV/0!</v>
      </c>
      <c r="Z75" s="83" t="s">
        <v>2230</v>
      </c>
      <c r="AA75" s="60" t="e">
        <f>ROUND(PRODUCT(AA72:AA74),3)</f>
        <v>#DIV/0!</v>
      </c>
      <c r="AH75" s="83" t="s">
        <v>2203</v>
      </c>
      <c r="AI75" s="60" t="e">
        <f>ROUND(PRODUCT(AI72:AI74),3)</f>
        <v>#DIV/0!</v>
      </c>
      <c r="AP75" s="83" t="s">
        <v>2230</v>
      </c>
      <c r="AQ75" s="60" t="e">
        <f>ROUND(PRODUCT(AQ72:AQ74),3)</f>
        <v>#DIV/0!</v>
      </c>
    </row>
    <row r="77" spans="17:47" x14ac:dyDescent="0.2">
      <c r="Q77" s="60" t="s">
        <v>2209</v>
      </c>
      <c r="S77" s="235" t="s">
        <v>2176</v>
      </c>
      <c r="T77" s="235" t="s">
        <v>2177</v>
      </c>
      <c r="U77" s="235" t="s">
        <v>2178</v>
      </c>
      <c r="V77" s="235" t="s">
        <v>2179</v>
      </c>
      <c r="W77" s="235" t="s">
        <v>2180</v>
      </c>
      <c r="Y77" s="60" t="s">
        <v>2209</v>
      </c>
      <c r="AA77" s="235" t="s">
        <v>2176</v>
      </c>
      <c r="AB77" s="235" t="s">
        <v>2177</v>
      </c>
      <c r="AC77" s="235" t="s">
        <v>2178</v>
      </c>
      <c r="AD77" s="235" t="s">
        <v>2179</v>
      </c>
      <c r="AE77" s="235" t="s">
        <v>2180</v>
      </c>
      <c r="AG77" s="60" t="s">
        <v>2209</v>
      </c>
      <c r="AI77" s="235" t="s">
        <v>2176</v>
      </c>
      <c r="AJ77" s="235" t="s">
        <v>2177</v>
      </c>
      <c r="AK77" s="235" t="s">
        <v>2178</v>
      </c>
      <c r="AL77" s="235" t="s">
        <v>2179</v>
      </c>
      <c r="AM77" s="235" t="s">
        <v>2180</v>
      </c>
      <c r="AO77" s="60" t="s">
        <v>2209</v>
      </c>
      <c r="AQ77" s="235" t="s">
        <v>2176</v>
      </c>
      <c r="AR77" s="235" t="s">
        <v>2177</v>
      </c>
      <c r="AS77" s="235" t="s">
        <v>2178</v>
      </c>
      <c r="AT77" s="235" t="s">
        <v>2179</v>
      </c>
      <c r="AU77" s="235" t="s">
        <v>2180</v>
      </c>
    </row>
    <row r="78" spans="17:47" x14ac:dyDescent="0.2">
      <c r="Q78" s="1227"/>
      <c r="R78" s="1117" t="s">
        <v>2212</v>
      </c>
      <c r="S78" s="478">
        <f>IF(ISNUMBER($I$4),$I$4/100,0)</f>
        <v>0</v>
      </c>
      <c r="T78" s="478">
        <f>IF(ISNUMBER($I$5),$I$5/100,0)</f>
        <v>0</v>
      </c>
      <c r="U78" s="478">
        <f>IF(ISNUMBER($I$6),$I$6/100,0)</f>
        <v>0</v>
      </c>
      <c r="V78" s="478">
        <f>IF(ISNUMBER($I$7),$I$7/100,0)</f>
        <v>0</v>
      </c>
      <c r="W78" s="478">
        <f>IF(ISNUMBER($I$8),$I$8/100,0)</f>
        <v>0</v>
      </c>
      <c r="Y78" s="1227"/>
      <c r="Z78" s="1117" t="s">
        <v>2212</v>
      </c>
      <c r="AA78" s="478">
        <f>IF(ISNUMBER($I$4),$I$4/100,0)</f>
        <v>0</v>
      </c>
      <c r="AB78" s="478">
        <f>IF(ISNUMBER($I$5),$I$5/100,0)</f>
        <v>0</v>
      </c>
      <c r="AC78" s="478">
        <f>IF(ISNUMBER($I$6),$I$6/100,0)</f>
        <v>0</v>
      </c>
      <c r="AD78" s="478">
        <f>IF(ISNUMBER($I$7),$I$7/100,0)</f>
        <v>0</v>
      </c>
      <c r="AE78" s="478">
        <f>IF(ISNUMBER($I$8),$I$8/100,0)</f>
        <v>0</v>
      </c>
      <c r="AG78" s="1227"/>
      <c r="AH78" s="1117" t="s">
        <v>2212</v>
      </c>
      <c r="AI78" s="478">
        <f>IF(ISNUMBER($I$13),$I$13/100,0)</f>
        <v>0</v>
      </c>
      <c r="AJ78" s="478">
        <f>IF(ISNUMBER($I$14),$I$14/100,0)</f>
        <v>0</v>
      </c>
      <c r="AK78" s="478">
        <f>IF(ISNUMBER($I$15),$I$15/100,0)</f>
        <v>0</v>
      </c>
      <c r="AL78" s="478">
        <f>IF(ISNUMBER($I$16),$I$16/100,0)</f>
        <v>0</v>
      </c>
      <c r="AM78" s="478">
        <f>IF(ISNUMBER($I$17),$I$17/100,0)</f>
        <v>0</v>
      </c>
      <c r="AO78" s="1227"/>
      <c r="AP78" s="1117" t="s">
        <v>2212</v>
      </c>
      <c r="AQ78" s="478">
        <f>IF(ISNUMBER($I$13),$I$13/100,0)</f>
        <v>0</v>
      </c>
      <c r="AR78" s="478">
        <f>IF(ISNUMBER($I$14),$I$14/100,0)</f>
        <v>0</v>
      </c>
      <c r="AS78" s="478">
        <f>IF(ISNUMBER($I$15),$I$15/100,0)</f>
        <v>0</v>
      </c>
      <c r="AT78" s="478">
        <f>IF(ISNUMBER($I$16),$I$16/100,0)</f>
        <v>0</v>
      </c>
      <c r="AU78" s="478">
        <f>IF(ISNUMBER($I$17),$I$17/100,0)</f>
        <v>0</v>
      </c>
    </row>
    <row r="79" spans="17:47" x14ac:dyDescent="0.2">
      <c r="Q79" s="185"/>
      <c r="R79" s="1226" t="s">
        <v>2210</v>
      </c>
      <c r="S79" s="185" t="e">
        <f>$S$75</f>
        <v>#DIV/0!</v>
      </c>
      <c r="T79" s="185" t="e">
        <f t="shared" ref="T79:W79" si="12">$S$75</f>
        <v>#DIV/0!</v>
      </c>
      <c r="U79" s="185" t="e">
        <f t="shared" si="12"/>
        <v>#DIV/0!</v>
      </c>
      <c r="V79" s="185" t="e">
        <f t="shared" si="12"/>
        <v>#DIV/0!</v>
      </c>
      <c r="W79" s="185" t="e">
        <f t="shared" si="12"/>
        <v>#DIV/0!</v>
      </c>
      <c r="Y79" s="185"/>
      <c r="Z79" s="1226" t="s">
        <v>2210</v>
      </c>
      <c r="AA79" s="455" t="e">
        <f>$AA$75</f>
        <v>#DIV/0!</v>
      </c>
      <c r="AB79" s="455" t="e">
        <f t="shared" ref="AB79:AE79" si="13">$AA$75</f>
        <v>#DIV/0!</v>
      </c>
      <c r="AC79" s="455" t="e">
        <f t="shared" si="13"/>
        <v>#DIV/0!</v>
      </c>
      <c r="AD79" s="455" t="e">
        <f t="shared" si="13"/>
        <v>#DIV/0!</v>
      </c>
      <c r="AE79" s="455" t="e">
        <f t="shared" si="13"/>
        <v>#DIV/0!</v>
      </c>
      <c r="AG79" s="185"/>
      <c r="AH79" s="1226" t="s">
        <v>2210</v>
      </c>
      <c r="AI79" s="185" t="e">
        <f>$AI$75</f>
        <v>#DIV/0!</v>
      </c>
      <c r="AJ79" s="185" t="e">
        <f t="shared" ref="AJ79:AM79" si="14">$AI$75</f>
        <v>#DIV/0!</v>
      </c>
      <c r="AK79" s="185" t="e">
        <f t="shared" si="14"/>
        <v>#DIV/0!</v>
      </c>
      <c r="AL79" s="185" t="e">
        <f t="shared" si="14"/>
        <v>#DIV/0!</v>
      </c>
      <c r="AM79" s="185" t="e">
        <f t="shared" si="14"/>
        <v>#DIV/0!</v>
      </c>
      <c r="AO79" s="185"/>
      <c r="AP79" s="1226" t="s">
        <v>2210</v>
      </c>
      <c r="AQ79" s="455" t="e">
        <f>$AQ$75</f>
        <v>#DIV/0!</v>
      </c>
      <c r="AR79" s="455" t="e">
        <f t="shared" ref="AR79:AU79" si="15">$AQ$75</f>
        <v>#DIV/0!</v>
      </c>
      <c r="AS79" s="455" t="e">
        <f t="shared" si="15"/>
        <v>#DIV/0!</v>
      </c>
      <c r="AT79" s="455" t="e">
        <f t="shared" si="15"/>
        <v>#DIV/0!</v>
      </c>
      <c r="AU79" s="455" t="e">
        <f t="shared" si="15"/>
        <v>#DIV/0!</v>
      </c>
    </row>
    <row r="80" spans="17:47" x14ac:dyDescent="0.2">
      <c r="R80" s="83" t="s">
        <v>2211</v>
      </c>
      <c r="S80" s="248" t="e">
        <f>ROUND(PRODUCT(S78:S79),0)</f>
        <v>#DIV/0!</v>
      </c>
      <c r="T80" s="248" t="e">
        <f>ROUND(PRODUCT(T78:T79),0)</f>
        <v>#DIV/0!</v>
      </c>
      <c r="U80" s="248" t="e">
        <f>ROUND(PRODUCT(U78:U79),0)</f>
        <v>#DIV/0!</v>
      </c>
      <c r="V80" s="248" t="e">
        <f>ROUND(PRODUCT(V78:V79),0)</f>
        <v>#DIV/0!</v>
      </c>
      <c r="W80" s="248" t="e">
        <f>ROUND(PRODUCT(W78:W79),0)</f>
        <v>#DIV/0!</v>
      </c>
      <c r="Z80" s="83" t="s">
        <v>2231</v>
      </c>
      <c r="AA80" s="248" t="e">
        <f>ROUND(PRODUCT(AA78:AA79),0)</f>
        <v>#DIV/0!</v>
      </c>
      <c r="AB80" s="248" t="e">
        <f>ROUND(PRODUCT(AB78:AB79),0)</f>
        <v>#DIV/0!</v>
      </c>
      <c r="AC80" s="248" t="e">
        <f>ROUND(PRODUCT(AC78:AC79),0)</f>
        <v>#DIV/0!</v>
      </c>
      <c r="AD80" s="248" t="e">
        <f>ROUND(PRODUCT(AD78:AD79),0)</f>
        <v>#DIV/0!</v>
      </c>
      <c r="AE80" s="248" t="e">
        <f>ROUND(PRODUCT(AE78:AE79),0)</f>
        <v>#DIV/0!</v>
      </c>
      <c r="AH80" s="83" t="s">
        <v>2211</v>
      </c>
      <c r="AI80" s="248" t="e">
        <f>ROUND(PRODUCT(AI78:AI79),0)</f>
        <v>#DIV/0!</v>
      </c>
      <c r="AJ80" s="248" t="e">
        <f>ROUND(PRODUCT(AJ78:AJ79),0)</f>
        <v>#DIV/0!</v>
      </c>
      <c r="AK80" s="248" t="e">
        <f>ROUND(PRODUCT(AK78:AK79),0)</f>
        <v>#DIV/0!</v>
      </c>
      <c r="AL80" s="248" t="e">
        <f>ROUND(PRODUCT(AL78:AL79),0)</f>
        <v>#DIV/0!</v>
      </c>
      <c r="AM80" s="248" t="e">
        <f>ROUND(PRODUCT(AM78:AM79),0)</f>
        <v>#DIV/0!</v>
      </c>
      <c r="AP80" s="83" t="s">
        <v>2231</v>
      </c>
      <c r="AQ80" s="248" t="e">
        <f>ROUND(PRODUCT(AQ78:AQ79),0)</f>
        <v>#DIV/0!</v>
      </c>
      <c r="AR80" s="248" t="e">
        <f>ROUND(PRODUCT(AR78:AR79),0)</f>
        <v>#DIV/0!</v>
      </c>
      <c r="AS80" s="248" t="e">
        <f>ROUND(PRODUCT(AS78:AS79),0)</f>
        <v>#DIV/0!</v>
      </c>
      <c r="AT80" s="248" t="e">
        <f>ROUND(PRODUCT(AT78:AT79),0)</f>
        <v>#DIV/0!</v>
      </c>
      <c r="AU80" s="248" t="e">
        <f>ROUND(PRODUCT(AU78:AU79),0)</f>
        <v>#DIV/0!</v>
      </c>
    </row>
  </sheetData>
  <mergeCells count="9">
    <mergeCell ref="Q46:W46"/>
    <mergeCell ref="Y46:AE46"/>
    <mergeCell ref="AG46:AM46"/>
    <mergeCell ref="AO46:AU46"/>
    <mergeCell ref="K1:O1"/>
    <mergeCell ref="Q1:W1"/>
    <mergeCell ref="Y1:AE1"/>
    <mergeCell ref="AG1:AM1"/>
    <mergeCell ref="AO1:AU1"/>
  </mergeCells>
  <conditionalFormatting sqref="E22:I26">
    <cfRule type="expression" dxfId="139" priority="4">
      <formula>IF($C$23="Yes",TRUE,FALSE)</formula>
    </cfRule>
  </conditionalFormatting>
  <conditionalFormatting sqref="E31:I35">
    <cfRule type="expression" dxfId="138" priority="3">
      <formula>IF($C$24="Yes",TRUE,FALSE)</formula>
    </cfRule>
  </conditionalFormatting>
  <conditionalFormatting sqref="E13:I17">
    <cfRule type="expression" dxfId="137" priority="2">
      <formula>IF($C$22="Yes",TRUE,FALSE)</formula>
    </cfRule>
  </conditionalFormatting>
  <conditionalFormatting sqref="E4:I8">
    <cfRule type="expression" dxfId="136" priority="1">
      <formula>IF($C$21="Yes",TRUE,FALSE)</formula>
    </cfRule>
  </conditionalFormatting>
  <dataValidations count="15">
    <dataValidation type="list" allowBlank="1" showInputMessage="1" showErrorMessage="1" promptTitle="Protection Class" prompt="Please Select from drop down" sqref="F4:F8">
      <formula1>OFFSET(Table_ProtClass,0,0,,1)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H4:H8 H13:H17 H22:H26 H31:H35">
      <formula1>OFFSET(Table_G2SymLC,0,0,,1)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G4:G8 G13:G17 G22:G26 G31:G35">
      <formula1>List_ConstrNum</formula1>
    </dataValidation>
    <dataValidation type="list" allowBlank="1" showInputMessage="1" showErrorMessage="1" promptTitle="Class Code Selection" prompt="Please select your building class code" sqref="E4:E8 E13:E17 E22:F26 E31:F35">
      <formula1>OFFSET(Table_G1_LC,0,0,,1)</formula1>
    </dataValidation>
    <dataValidation type="list" allowBlank="1" showInputMessage="1" showErrorMessage="1" promptTitle="Protection Class:" prompt="Please select a number (1 - 10)" sqref="F13:F17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2">
      <formula1>IF($C$11="SP",List_SPTheft,List_No)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" sqref="C11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Coverage Selection" prompt="Please Select:_x000a_{ Yes or No }" sqref="C21:C24">
      <formula1>List_YN</formula1>
    </dataValidation>
    <dataValidation type="list" allowBlank="1" showInputMessage="1" showErrorMessage="1" promptTitle="Coinsurance Percent" prompt="Please Select:_x000a_{ 80, 90, 100 }" sqref="C15 C17">
      <formula1>OFFSET(Table_CoIns_Blanket,0,0,,1)</formula1>
    </dataValidation>
    <dataValidation type="list" allowBlank="1" showInputMessage="1" showErrorMessage="1" promptTitle="Deductible Amount:" prompt="Please Select from list:_x000a_(250 - 75,000)" sqref="B16 B18">
      <formula1>List_DedSelect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rowBreaks count="1" manualBreakCount="1">
    <brk id="45" max="46" man="1"/>
  </rowBreaks>
  <colBreaks count="6" manualBreakCount="6">
    <brk id="9" max="1048575" man="1"/>
    <brk id="16" max="44" man="1"/>
    <brk id="24" max="44" man="1"/>
    <brk id="24" min="45" max="81" man="1"/>
    <brk id="40" max="44" man="1"/>
    <brk id="40" min="45" max="81" man="1"/>
  </col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FFFF00"/>
  </sheetPr>
  <dimension ref="A1:G51"/>
  <sheetViews>
    <sheetView zoomScale="90" zoomScaleNormal="90" workbookViewId="0">
      <selection activeCell="C48" sqref="C48:E48"/>
    </sheetView>
  </sheetViews>
  <sheetFormatPr defaultRowHeight="12.75" x14ac:dyDescent="0.2"/>
  <cols>
    <col min="1" max="1" width="18" style="2" customWidth="1"/>
    <col min="2" max="2" width="16.85546875" style="2" customWidth="1"/>
    <col min="3" max="3" width="17" style="2" customWidth="1"/>
    <col min="4" max="4" width="5.42578125" style="2" customWidth="1"/>
    <col min="5" max="5" width="17.85546875" style="2" customWidth="1"/>
    <col min="6" max="6" width="13.7109375" style="2" customWidth="1"/>
    <col min="7" max="7" width="16.85546875" style="2" customWidth="1"/>
    <col min="8" max="16384" width="9.140625" style="2"/>
  </cols>
  <sheetData>
    <row r="1" spans="1:7" ht="15.75" x14ac:dyDescent="0.2">
      <c r="A1" s="1440" t="s">
        <v>2256</v>
      </c>
    </row>
    <row r="2" spans="1:7" x14ac:dyDescent="0.2">
      <c r="A2" s="1227"/>
    </row>
    <row r="3" spans="1:7" ht="14.25" customHeight="1" x14ac:dyDescent="0.2">
      <c r="A3" s="82" t="s">
        <v>1024</v>
      </c>
      <c r="B3" s="917" t="str">
        <f>DF_State</f>
        <v>CT</v>
      </c>
    </row>
    <row r="4" spans="1:7" ht="17.25" customHeight="1" x14ac:dyDescent="0.2">
      <c r="A4" s="82" t="s">
        <v>2104</v>
      </c>
      <c r="B4" s="1441" t="str">
        <f>UI_CustNumber</f>
        <v>0004514584</v>
      </c>
    </row>
    <row r="5" spans="1:7" ht="16.5" customHeight="1" x14ac:dyDescent="0.2">
      <c r="A5" s="82"/>
      <c r="B5" s="984"/>
    </row>
    <row r="6" spans="1:7" x14ac:dyDescent="0.2">
      <c r="A6" s="82" t="s">
        <v>2258</v>
      </c>
      <c r="B6" s="1442"/>
      <c r="F6" s="1443"/>
      <c r="G6" s="1444"/>
    </row>
    <row r="7" spans="1:7" ht="16.5" customHeight="1" x14ac:dyDescent="0.2">
      <c r="A7" s="82"/>
      <c r="B7" s="834"/>
      <c r="F7" s="1443"/>
      <c r="G7" s="1444"/>
    </row>
    <row r="8" spans="1:7" x14ac:dyDescent="0.2">
      <c r="A8" s="82" t="s">
        <v>2259</v>
      </c>
      <c r="B8" s="1442"/>
      <c r="F8" s="1443"/>
      <c r="G8" s="1444"/>
    </row>
    <row r="9" spans="1:7" ht="16.5" customHeight="1" x14ac:dyDescent="0.2">
      <c r="A9" s="82"/>
      <c r="B9" s="984"/>
      <c r="F9" s="1443"/>
      <c r="G9" s="1444"/>
    </row>
    <row r="10" spans="1:7" x14ac:dyDescent="0.2">
      <c r="A10" s="82" t="s">
        <v>2257</v>
      </c>
      <c r="B10" s="1593"/>
      <c r="C10" s="1593"/>
      <c r="D10" s="1593"/>
      <c r="G10" s="834"/>
    </row>
    <row r="13" spans="1:7" ht="13.5" thickBot="1" x14ac:dyDescent="0.25">
      <c r="A13" s="1464" t="s">
        <v>55</v>
      </c>
      <c r="B13" s="1465"/>
      <c r="C13" s="1465"/>
      <c r="D13" s="1465"/>
      <c r="E13" s="1465"/>
    </row>
    <row r="14" spans="1:7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</row>
    <row r="15" spans="1:7" x14ac:dyDescent="0.2">
      <c r="A15" s="1445">
        <v>1</v>
      </c>
      <c r="B15" s="1453"/>
      <c r="C15" s="1446" t="str">
        <f ca="1">IF(ISBLANK(B15),"",INDIRECT($B15&amp;"!"&amp;"$I$47"))</f>
        <v/>
      </c>
      <c r="E15" s="1446" t="str">
        <f ca="1">IF(ISBLANK(B15),"",INDIRECT($B15&amp;"!"&amp;"$I$44"))</f>
        <v/>
      </c>
    </row>
    <row r="16" spans="1:7" x14ac:dyDescent="0.2">
      <c r="A16" s="1453">
        <v>2</v>
      </c>
      <c r="B16" s="1453"/>
      <c r="C16" s="1446" t="str">
        <f t="shared" ref="C16:C19" ca="1" si="0">IF(ISBLANK(B16),"",INDIRECT($B16&amp;"!"&amp;"$I$47"))</f>
        <v/>
      </c>
      <c r="E16" s="1446" t="str">
        <f t="shared" ref="E16:E19" ca="1" si="1">IF(ISBLANK(B16),"",INDIRECT($B16&amp;"!"&amp;"$I$44"))</f>
        <v/>
      </c>
    </row>
    <row r="17" spans="1:5" ht="17.25" customHeight="1" x14ac:dyDescent="0.2">
      <c r="A17" s="1453">
        <v>3</v>
      </c>
      <c r="B17" s="1453"/>
      <c r="C17" s="1446" t="str">
        <f t="shared" ca="1" si="0"/>
        <v/>
      </c>
      <c r="E17" s="1446" t="str">
        <f t="shared" ca="1" si="1"/>
        <v/>
      </c>
    </row>
    <row r="18" spans="1:5" x14ac:dyDescent="0.2">
      <c r="A18" s="1453">
        <v>4</v>
      </c>
      <c r="B18" s="1453"/>
      <c r="C18" s="1446" t="str">
        <f t="shared" ca="1" si="0"/>
        <v/>
      </c>
      <c r="E18" s="1446" t="str">
        <f t="shared" ca="1" si="1"/>
        <v/>
      </c>
    </row>
    <row r="19" spans="1:5" ht="13.5" thickBot="1" x14ac:dyDescent="0.25">
      <c r="A19" s="1084">
        <v>5</v>
      </c>
      <c r="B19" s="1453"/>
      <c r="C19" s="1446" t="str">
        <f t="shared" ca="1" si="0"/>
        <v/>
      </c>
      <c r="E19" s="1446" t="str">
        <f t="shared" ca="1" si="1"/>
        <v/>
      </c>
    </row>
    <row r="20" spans="1:5" x14ac:dyDescent="0.2">
      <c r="A20" s="1450"/>
      <c r="B20" s="1451" t="s">
        <v>2271</v>
      </c>
      <c r="C20" s="1452">
        <f ca="1">SUM(C15:C19)</f>
        <v>0</v>
      </c>
      <c r="D20" s="1450"/>
      <c r="E20" s="1452">
        <f ca="1">SUM(E15:E19)</f>
        <v>0</v>
      </c>
    </row>
    <row r="21" spans="1:5" ht="19.5" customHeight="1" x14ac:dyDescent="0.2"/>
    <row r="22" spans="1:5" ht="19.5" customHeight="1" thickBot="1" x14ac:dyDescent="0.25">
      <c r="A22" s="1464" t="s">
        <v>2219</v>
      </c>
      <c r="B22" s="1465"/>
      <c r="C22" s="1465"/>
      <c r="D22" s="1465"/>
      <c r="E22" s="1465"/>
    </row>
    <row r="23" spans="1:5" ht="18.75" customHeight="1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</row>
    <row r="24" spans="1:5" x14ac:dyDescent="0.2">
      <c r="A24" s="1445">
        <v>1</v>
      </c>
      <c r="B24" s="1445"/>
      <c r="C24" s="1446" t="str">
        <f ca="1">IF(ISBLANK(B24),"",INDIRECT($B24&amp;"!"&amp;"$I$54"))</f>
        <v/>
      </c>
      <c r="E24" s="1446" t="str">
        <f ca="1">IF(ISBLANK(B24),"",INDIRECT($B24&amp;"!"&amp;"$I$49"))</f>
        <v/>
      </c>
    </row>
    <row r="25" spans="1:5" x14ac:dyDescent="0.2">
      <c r="A25" s="1453">
        <v>2</v>
      </c>
      <c r="B25" s="1453"/>
      <c r="C25" s="1446" t="str">
        <f t="shared" ref="C25:C28" ca="1" si="2">IF(ISBLANK(B25),"",INDIRECT($B25&amp;"!"&amp;"$I$54"))</f>
        <v/>
      </c>
      <c r="D25" s="146"/>
      <c r="E25" s="1446" t="str">
        <f t="shared" ref="E25:E28" ca="1" si="3">IF(ISBLANK(B25),"",INDIRECT($B25&amp;"!"&amp;"$I$49"))</f>
        <v/>
      </c>
    </row>
    <row r="26" spans="1:5" x14ac:dyDescent="0.2">
      <c r="A26" s="1445">
        <v>3</v>
      </c>
      <c r="B26" s="1453"/>
      <c r="C26" s="1446" t="str">
        <f t="shared" ca="1" si="2"/>
        <v/>
      </c>
      <c r="D26" s="146"/>
      <c r="E26" s="1446" t="str">
        <f t="shared" ca="1" si="3"/>
        <v/>
      </c>
    </row>
    <row r="27" spans="1:5" x14ac:dyDescent="0.2">
      <c r="A27" s="1453">
        <v>4</v>
      </c>
      <c r="B27" s="1453"/>
      <c r="C27" s="1446" t="str">
        <f t="shared" ca="1" si="2"/>
        <v/>
      </c>
      <c r="D27" s="146"/>
      <c r="E27" s="1446" t="str">
        <f t="shared" ca="1" si="3"/>
        <v/>
      </c>
    </row>
    <row r="28" spans="1:5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</row>
    <row r="29" spans="1:5" x14ac:dyDescent="0.2">
      <c r="A29" s="1450"/>
      <c r="B29" s="1451" t="s">
        <v>2271</v>
      </c>
      <c r="C29" s="1452">
        <f ca="1">SUM(C24:C28)</f>
        <v>0</v>
      </c>
      <c r="D29" s="1450"/>
      <c r="E29" s="1452">
        <f ca="1">SUM(E24:E28)</f>
        <v>0</v>
      </c>
    </row>
    <row r="31" spans="1:5" ht="13.5" thickBot="1" x14ac:dyDescent="0.25">
      <c r="A31" s="1464" t="s">
        <v>2220</v>
      </c>
      <c r="B31" s="1465"/>
      <c r="C31" s="1465"/>
      <c r="D31" s="1465"/>
      <c r="E31" s="1465"/>
    </row>
    <row r="32" spans="1:5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</row>
    <row r="33" spans="1:5" x14ac:dyDescent="0.2">
      <c r="A33" s="1445">
        <v>1</v>
      </c>
      <c r="B33" s="1445"/>
      <c r="C33" s="1446" t="str">
        <f ca="1">IF(ISBLANK(B33),"",INDIRECT($B33&amp;"!"&amp;"$I$29"))</f>
        <v/>
      </c>
      <c r="E33" s="1446" t="str">
        <f ca="1">IF(ISBLANK(B33),"",INDIRECT($B33&amp;"!"&amp;"$I$26"))</f>
        <v/>
      </c>
    </row>
    <row r="34" spans="1:5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E34" s="1446" t="str">
        <f t="shared" ref="E34:E37" ca="1" si="5">IF(ISBLANK(B34),"",INDIRECT($B34&amp;"!"&amp;"$I$26"))</f>
        <v/>
      </c>
    </row>
    <row r="35" spans="1:5" x14ac:dyDescent="0.2">
      <c r="A35" s="1445">
        <v>3</v>
      </c>
      <c r="B35" s="1453"/>
      <c r="C35" s="1446" t="str">
        <f t="shared" ca="1" si="4"/>
        <v/>
      </c>
      <c r="E35" s="1446" t="str">
        <f t="shared" ca="1" si="5"/>
        <v/>
      </c>
    </row>
    <row r="36" spans="1:5" x14ac:dyDescent="0.2">
      <c r="A36" s="1453">
        <v>4</v>
      </c>
      <c r="B36" s="1453"/>
      <c r="C36" s="1446" t="str">
        <f t="shared" ca="1" si="4"/>
        <v/>
      </c>
      <c r="E36" s="1446" t="str">
        <f t="shared" ca="1" si="5"/>
        <v/>
      </c>
    </row>
    <row r="37" spans="1:5" ht="13.5" thickBot="1" x14ac:dyDescent="0.25">
      <c r="A37" s="1084">
        <v>5</v>
      </c>
      <c r="B37" s="1453"/>
      <c r="C37" s="1446" t="str">
        <f t="shared" ca="1" si="4"/>
        <v/>
      </c>
      <c r="E37" s="1446" t="str">
        <f t="shared" ca="1" si="5"/>
        <v/>
      </c>
    </row>
    <row r="38" spans="1:5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</row>
    <row r="41" spans="1:5" ht="13.5" thickBot="1" x14ac:dyDescent="0.25">
      <c r="A41" s="1464" t="s">
        <v>2221</v>
      </c>
      <c r="B41" s="1465"/>
      <c r="C41" s="1465"/>
      <c r="D41" s="1465"/>
      <c r="E41" s="1465"/>
    </row>
    <row r="42" spans="1:5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</row>
    <row r="43" spans="1:5" x14ac:dyDescent="0.2">
      <c r="A43" s="1445">
        <v>1</v>
      </c>
      <c r="B43" s="1445"/>
      <c r="C43" s="1446" t="str">
        <f ca="1">IF(ISBLANK(B43),"",INDIRECT($B43&amp;"!"&amp;"$I$21"))</f>
        <v/>
      </c>
      <c r="E43" s="1446" t="str">
        <f ca="1">IF(ISBLANK(B43),"",INDIRECT($B43&amp;"!"&amp;"$I$18"))</f>
        <v/>
      </c>
    </row>
    <row r="44" spans="1:5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E44" s="1446" t="str">
        <f t="shared" ref="E44:E47" ca="1" si="7">IF(ISBLANK(B44),"",INDIRECT($B44&amp;"!"&amp;"$I$18"))</f>
        <v/>
      </c>
    </row>
    <row r="45" spans="1:5" x14ac:dyDescent="0.2">
      <c r="A45" s="1445">
        <v>3</v>
      </c>
      <c r="B45" s="1453"/>
      <c r="C45" s="1446" t="str">
        <f t="shared" ca="1" si="6"/>
        <v/>
      </c>
      <c r="E45" s="1446" t="str">
        <f t="shared" ca="1" si="7"/>
        <v/>
      </c>
    </row>
    <row r="46" spans="1:5" x14ac:dyDescent="0.2">
      <c r="A46" s="1453">
        <v>4</v>
      </c>
      <c r="B46" s="1453"/>
      <c r="C46" s="1446" t="str">
        <f t="shared" ca="1" si="6"/>
        <v/>
      </c>
      <c r="E46" s="1446" t="str">
        <f t="shared" ca="1" si="7"/>
        <v/>
      </c>
    </row>
    <row r="47" spans="1:5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</row>
    <row r="48" spans="1:5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</row>
    <row r="50" spans="4:5" ht="13.5" thickBot="1" x14ac:dyDescent="0.25"/>
    <row r="51" spans="4:5" ht="13.5" thickBot="1" x14ac:dyDescent="0.25">
      <c r="D51" s="788" t="s">
        <v>2272</v>
      </c>
      <c r="E51" s="1448">
        <f ca="1">SUM(C20:E20,C29:E29,C38:E38,C48:E48)</f>
        <v>0</v>
      </c>
    </row>
  </sheetData>
  <mergeCells count="1">
    <mergeCell ref="B10:D10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BR76"/>
  <sheetViews>
    <sheetView topLeftCell="B1" zoomScale="90" zoomScaleNormal="90" zoomScaleSheetLayoutView="85" workbookViewId="0">
      <selection activeCell="R34" sqref="R34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V2" s="168" t="s">
        <v>1019</v>
      </c>
      <c r="W2" s="207">
        <f>HLOOKUP(C11,Table_StateRates,5,FALSE)</f>
        <v>1.38</v>
      </c>
      <c r="X2" s="207">
        <f>HLOOKUP(C11,Table_StateRates,5,FALSE)</f>
        <v>1.38</v>
      </c>
      <c r="Y2" s="207">
        <f>HLOOKUP(C11,Table_StateRates,5,FALSE)</f>
        <v>1.38</v>
      </c>
      <c r="Z2" s="207">
        <f>HLOOKUP(C11,Table_StateRates,5,FALSE)</f>
        <v>1.38</v>
      </c>
      <c r="AB2" s="546"/>
      <c r="AC2" s="545" t="s">
        <v>1019</v>
      </c>
      <c r="AD2" s="207">
        <f>HLOOKUP(C11,Table_StateRates,5,FALSE)</f>
        <v>1.38</v>
      </c>
      <c r="AE2" s="207">
        <f>HLOOKUP(C11,Table_StateRates,5,FALSE)</f>
        <v>1.38</v>
      </c>
      <c r="AF2" s="207">
        <f>HLOOKUP(C11,Table_StateRates,5,FALSE)</f>
        <v>1.38</v>
      </c>
      <c r="AG2" s="207">
        <f>HLOOKUP(C11,Table_StateRates,5,FALSE)</f>
        <v>1.38</v>
      </c>
      <c r="AJ2" s="1117" t="s">
        <v>916</v>
      </c>
      <c r="AK2" s="207">
        <f>HLOOKUP(C11,Table_StateRates,5,FALSE)</f>
        <v>1.38</v>
      </c>
      <c r="AL2" s="207">
        <f>HLOOKUP(C11,Table_StateRates,5,FALSE)</f>
        <v>1.38</v>
      </c>
      <c r="AM2" s="207">
        <f>HLOOKUP(C11,Table_StateRates,5,FALSE)</f>
        <v>1.38</v>
      </c>
      <c r="AN2" s="207">
        <f>HLOOKUP(C11,Table_StateRates,5,FALSE)</f>
        <v>1.38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>
        <f>Summary7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46"/>
      <c r="V4" s="83" t="s">
        <v>2166</v>
      </c>
      <c r="W4" s="1312">
        <f>PRODUCT(W2:W3)</f>
        <v>2.6219999999999999</v>
      </c>
      <c r="X4" s="1312">
        <f>PRODUCT(X2:X3)</f>
        <v>2.6219999999999999</v>
      </c>
      <c r="Y4" s="1312">
        <f>PRODUCT(Y2:Y3)</f>
        <v>2.6219999999999999</v>
      </c>
      <c r="Z4" s="1312">
        <f>PRODUCT(Z2:Z3)</f>
        <v>2.6219999999999999</v>
      </c>
      <c r="AB4" s="60"/>
      <c r="AC4" s="83" t="s">
        <v>2166</v>
      </c>
      <c r="AD4" s="1312">
        <f>PRODUCT(AD2:AD3)</f>
        <v>2.6219999999999999</v>
      </c>
      <c r="AE4" s="1312">
        <f>PRODUCT(AE2:AE3)</f>
        <v>2.6219999999999999</v>
      </c>
      <c r="AF4" s="1312">
        <f>PRODUCT(AF2:AF3)</f>
        <v>2.6219999999999999</v>
      </c>
      <c r="AG4" s="1312">
        <f>PRODUCT(AG2:AG3)</f>
        <v>2.6219999999999999</v>
      </c>
      <c r="AI4" s="60"/>
      <c r="AJ4" s="83" t="s">
        <v>2166</v>
      </c>
      <c r="AK4" s="1312">
        <f>PRODUCT(AK2:AK3)</f>
        <v>2.6219999999999999</v>
      </c>
      <c r="AL4" s="1312">
        <f>PRODUCT(AL2:AL3)</f>
        <v>2.6219999999999999</v>
      </c>
      <c r="AM4" s="1312">
        <f>PRODUCT(AM2:AM3)</f>
        <v>2.6219999999999999</v>
      </c>
      <c r="AN4" s="1312">
        <f>PRODUCT(AN2:AN3)</f>
        <v>2.6219999999999999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793</v>
      </c>
      <c r="J5" s="258">
        <f>IF(C27="Yes",Q36,0)</f>
        <v>275</v>
      </c>
      <c r="K5" s="259" t="e">
        <f>IF(AND(C27="Yes",C12="SP"),R36,0)</f>
        <v>#N/A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0.126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4.8000000000000001E-2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0.126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4.8000000000000001E-2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0.126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0.126</v>
      </c>
      <c r="AL5" s="247">
        <f>Q5</f>
        <v>4.2000000000000003E-2</v>
      </c>
      <c r="AM5" s="247">
        <f>R5</f>
        <v>4.8000000000000001E-2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980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0.96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0.96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1.38</v>
      </c>
      <c r="AS6" s="299">
        <f>HLOOKUP(C11,Table_StateRates,5,FALSE)</f>
        <v>1.38</v>
      </c>
      <c r="AT6" s="299">
        <f>HLOOKUP(C11,Table_StateRates,5,FALSE)</f>
        <v>1.38</v>
      </c>
      <c r="AU6" s="299">
        <f>HLOOKUP(C11,Table_StateRates,5,FALSE)</f>
        <v>1.38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1.38</v>
      </c>
      <c r="BE6" s="453"/>
      <c r="BF6" s="186" t="s">
        <v>1019</v>
      </c>
      <c r="BG6" s="208">
        <f>HLOOKUP(C11,Table_StateRates,5,FALSE)</f>
        <v>1.38</v>
      </c>
      <c r="BH6" s="146"/>
      <c r="BI6" s="453"/>
      <c r="BJ6" s="186" t="s">
        <v>1019</v>
      </c>
      <c r="BK6" s="208">
        <f>HLOOKUP(C11,Table_StateRates,5,FALSE)</f>
        <v>1.38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0.96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0.96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0.317</v>
      </c>
      <c r="AE7" s="1315">
        <f>ROUND(PRODUCT(AE4:AE6),3)</f>
        <v>0.11</v>
      </c>
      <c r="AF7" s="1315">
        <f>ROUND(PRODUCT(AF4:AF6),3)</f>
        <v>2.5999999999999999E-2</v>
      </c>
      <c r="AG7" s="1315">
        <f>ROUND(PRODUCT(AG4:AG6),3)</f>
        <v>2.5999999999999999E-2</v>
      </c>
      <c r="AH7" s="207"/>
      <c r="AI7" s="146"/>
      <c r="AJ7" s="301" t="s">
        <v>2243</v>
      </c>
      <c r="AK7" s="1315">
        <f>ROUND(PRODUCT(AK4:AK6),3)</f>
        <v>0.317</v>
      </c>
      <c r="AL7" s="1315">
        <f>ROUND(PRODUCT(AL4:AL6),3)</f>
        <v>0.11</v>
      </c>
      <c r="AM7" s="1315">
        <f>ROUND(PRODUCT(AM4:AM6),3)</f>
        <v>0.126</v>
      </c>
      <c r="AN7" s="1315">
        <f>ROUND(PRODUCT(AN4:AN6),3)</f>
        <v>3.9E-2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1</v>
      </c>
      <c r="AS7" s="299">
        <f>IF(F7="Yes",1,IF(C48&gt;=80,VLOOKUP(C48,Table_CoIns1,2,FALSE),1+ IF(P5&lt;B49,VLOOKUP(B62,Table_CIUnder80,5,FALSE),0.5)))</f>
        <v>1</v>
      </c>
      <c r="AT7" s="299">
        <f>IF(F7="Yes",1,IF(C48&gt;=80,VLOOKUP(C48,Table_CoIns1,2,FALSE),1+ IF(P5&lt;B49,VLOOKUP(B62,Table_CIUnder80,5,FALSE),0.5)))</f>
        <v>1</v>
      </c>
      <c r="AU7" s="299">
        <f>IF(F7="Yes",1,IF(C48&gt;=80,VLOOKUP(C48,Table_CoIns1,2,FALSE),1+ IF(P5&lt;B49,VLOOKUP(B62,Table_CIUnder80,5,FALSE),0.5)))</f>
        <v>1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0.317</v>
      </c>
      <c r="X8" s="1315">
        <f>ROUND(PRODUCT(X4:X7),3)</f>
        <v>0.11</v>
      </c>
      <c r="Y8" s="1315">
        <f>ROUND(PRODUCT(Y4:Y7),3)</f>
        <v>0.126</v>
      </c>
      <c r="Z8" s="1315">
        <f>ROUND(PRODUCT(Z4:Z7),3)</f>
        <v>3.9E-2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 t="e">
        <f>IF(C12="SP",VLOOKUP(C18,Table_TerrMult_SP,2,0),1)</f>
        <v>#N/A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1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 t="e">
        <f>IF(OR(AND(C27="No",F41="Yes",F10="Yes",C12="SP"),AND(C27="Yes",F10="Yes",C12="SP")),Y27,0)</f>
        <v>#N/A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0.317</v>
      </c>
      <c r="Q9" s="1313">
        <f>ROUND(PRODUCT(Q4:Q8),3)</f>
        <v>0.11</v>
      </c>
      <c r="R9" s="1313">
        <f>ROUND(PRODUCT(R4:R8),3)</f>
        <v>0.126</v>
      </c>
      <c r="S9" s="1313">
        <f>ROUND(PRODUCT(S4:S8),3)</f>
        <v>3.9E-2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1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833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1859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7.9000000000000001E-2</v>
      </c>
      <c r="X11" s="1315">
        <f>ROUND(PRODUCT(X8:X10),3)</f>
        <v>2.8000000000000001E-2</v>
      </c>
      <c r="Y11" s="1315">
        <f>ROUND(PRODUCT(Y8:Y10),3)</f>
        <v>3.2000000000000001E-2</v>
      </c>
      <c r="Z11" s="1315">
        <f>ROUND(PRODUCT(Z8:Z10),3)</f>
        <v>0.01</v>
      </c>
      <c r="AB11" s="146"/>
      <c r="AC11" s="83" t="s">
        <v>2167</v>
      </c>
      <c r="AD11" s="1313">
        <f>ROUND(PRODUCT(AD7:AD10),3)</f>
        <v>0.159</v>
      </c>
      <c r="AE11" s="1313">
        <f>ROUND(PRODUCT(AE7:AE10),3)</f>
        <v>5.5E-2</v>
      </c>
      <c r="AF11" s="1313" t="e">
        <f>ROUND(PRODUCT(AF7:AF10),3)</f>
        <v>#N/A</v>
      </c>
      <c r="AG11" s="1313">
        <f>ROUND(PRODUCT(AG7:AG10),3)</f>
        <v>2.5999999999999999E-2</v>
      </c>
      <c r="AH11" s="426"/>
      <c r="AI11" s="146"/>
      <c r="AJ11" s="1210" t="s">
        <v>2243</v>
      </c>
      <c r="AK11" s="1424">
        <f>AK7</f>
        <v>0.317</v>
      </c>
      <c r="AL11" s="1424">
        <f>AL7</f>
        <v>0.11</v>
      </c>
      <c r="AM11" s="1424">
        <f>AM7</f>
        <v>0.126</v>
      </c>
      <c r="AN11" s="1424">
        <f>AN7</f>
        <v>3.9E-2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894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2</v>
      </c>
      <c r="C13" s="1106">
        <v>1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 t="e">
        <f t="shared" si="0"/>
        <v>#N/A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4.8000000000000001E-2</v>
      </c>
      <c r="AL13" s="1423">
        <f>ROUND(PRODUCT(AL11:AL12),3)</f>
        <v>1.7000000000000001E-2</v>
      </c>
      <c r="AM13" s="1423">
        <f>ROUND(PRODUCT(AM11:AM12),3)</f>
        <v>1.9E-2</v>
      </c>
      <c r="AN13" s="1423">
        <f>ROUND(PRODUCT(AN11:AN12),3)</f>
        <v>6.0000000000000001E-3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3</v>
      </c>
      <c r="D14" s="577" t="s">
        <v>1850</v>
      </c>
      <c r="E14" s="271"/>
      <c r="F14" s="1068" t="s">
        <v>833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 t="e">
        <f>IF(C12="SP",VLOOKUP(C18,Table_TerrMult_SP,2,0),1)</f>
        <v>#N/A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1.38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1</v>
      </c>
      <c r="D15" s="585" t="s">
        <v>1164</v>
      </c>
      <c r="E15" s="950">
        <v>250000</v>
      </c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0.159</v>
      </c>
      <c r="AE16" s="757">
        <f>AE11</f>
        <v>5.5E-2</v>
      </c>
      <c r="AF16" s="757" t="e">
        <f>AF11</f>
        <v>#N/A</v>
      </c>
      <c r="AG16" s="757">
        <f>AG11</f>
        <v>2.5999999999999999E-2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1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1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1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1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1.38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>
        <v>50000</v>
      </c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0.159</v>
      </c>
      <c r="AE17" s="1315">
        <f>ROUND(PRODUCT(AE15:AE16),3)</f>
        <v>5.5E-2</v>
      </c>
      <c r="AF17" s="1315" t="e">
        <f>ROUND(PRODUCT(AF15:AF16),3)</f>
        <v>#N/A</v>
      </c>
      <c r="AG17" s="1315">
        <f>ROUND(PRODUCT(AG15:AG16),3)</f>
        <v>2.5999999999999999E-2</v>
      </c>
      <c r="AH17" s="266"/>
      <c r="AI17" s="216"/>
      <c r="AJ17" s="1226" t="s">
        <v>2117</v>
      </c>
      <c r="AK17" s="1427">
        <f>IF(F14="Yes",IF(C58="Yes",E15/100,E16/100),0)</f>
        <v>2500</v>
      </c>
      <c r="AL17" s="1427">
        <f>IF(F14="Yes",IF(C58="Yes",E15/100,E16/100),0)</f>
        <v>2500</v>
      </c>
      <c r="AM17" s="1427">
        <f>IF(F14="Yes",IF(C58="Yes",E15/100,E16/100),0)</f>
        <v>2500</v>
      </c>
      <c r="AN17" s="1427">
        <f>IF(F14="Yes",IF(C58="Yes",E15/100,E16/100),0)</f>
        <v>2500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/>
      <c r="D18" s="587" t="s">
        <v>1154</v>
      </c>
      <c r="E18" s="950">
        <v>50000</v>
      </c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120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120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 t="e">
        <f>ROUND(PRODUCT(AF17:AF18),0)</f>
        <v>#N/A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6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IF(TC7_PP1!F26="Yes","PP","Available")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361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1.38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361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0.317</v>
      </c>
      <c r="Q21" s="1312">
        <f>ROUND(PRODUCT(Q9:Q20),3)</f>
        <v>0.11</v>
      </c>
      <c r="R21" s="1312">
        <f>ROUND(PRODUCT(R9:R20),3)</f>
        <v>0.126</v>
      </c>
      <c r="S21" s="1315">
        <f>ROUND(PRODUCT(S9:S20),3)</f>
        <v>3.9E-2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11.4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842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1</v>
      </c>
      <c r="Q22" s="247">
        <f>IF(F7="Yes",1,IF(C48&gt;=80,VLOOKUP(C48,Table_CoIns2,2,FALSE),1+ IF(Q5&lt;B49,VLOOKUP(B62,Table_CIUnder80,5,FALSE),0.5)))</f>
        <v>1</v>
      </c>
      <c r="R22" s="247">
        <f>IF(F7="Yes",1,IF(C48&gt;=80,VLOOKUP(C48,Table_CoIns1,2,FALSE),1+ IF(P5&lt;B49,VLOOKUP(B62,Table_CIUnder80,5,FALSE),0.5)))</f>
        <v>1</v>
      </c>
      <c r="S22" s="247">
        <f>IF(F7="Yes",1,IF(C48&gt;=80,VLOOKUP(C48,Table_CoIns1,2,FALSE),1+ IF(P5&lt;B49,VLOOKUP(B62,Table_CIUnder80,5,FALSE),0.5)))</f>
        <v>1</v>
      </c>
      <c r="V22" s="83" t="s">
        <v>1150</v>
      </c>
      <c r="W22" s="1315">
        <f>ROUND(PRODUCT(W11:W14,IF(AND(C59="Yes",C61="Sprinkler",C62="Yes"),W15-W16,W15),W17:W21),3)</f>
        <v>7.9000000000000001E-2</v>
      </c>
      <c r="X22" s="1315">
        <f>ROUND(PRODUCT(X11:X21),3)</f>
        <v>2.8000000000000001E-2</v>
      </c>
      <c r="Y22" s="1315" t="e">
        <f>ROUND(PRODUCT(Y11:Y21),3)</f>
        <v>#N/A</v>
      </c>
      <c r="Z22" s="1315">
        <f>ROUND(PRODUCT(Z11:Z21),3)</f>
        <v>0.01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1</v>
      </c>
      <c r="BD22" s="423"/>
      <c r="BE22" s="453"/>
      <c r="BF22" s="186" t="s">
        <v>1019</v>
      </c>
      <c r="BG22" s="208">
        <f>HLOOKUP(C11,Table_StateRates,5,FALSE)</f>
        <v>1.38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0.317</v>
      </c>
      <c r="AL23" s="1424">
        <f>AL7</f>
        <v>0.11</v>
      </c>
      <c r="AM23" s="1424">
        <f>AM7</f>
        <v>0.126</v>
      </c>
      <c r="AN23" s="1424">
        <f>AN7</f>
        <v>3.9E-2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1.1399999999999999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4.8000000000000001E-2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1.38</v>
      </c>
      <c r="AS24" s="299">
        <f>HLOOKUP(C11,Table_StateRates,5,FALSE)</f>
        <v>1.38</v>
      </c>
      <c r="AT24" s="299">
        <f>HLOOKUP(C11,Table_StateRates,5,FALSE)</f>
        <v>1.38</v>
      </c>
      <c r="AU24" s="299">
        <f>HLOOKUP(C11,Table_StateRates,5,FALSE)</f>
        <v>1.38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4.8000000000000001E-2</v>
      </c>
      <c r="AL25" s="1423">
        <f>ROUND(PRODUCT(AL23:AL24),3)</f>
        <v>1.7000000000000001E-2</v>
      </c>
      <c r="AM25" s="1423">
        <f>ROUND(PRODUCT(AM23:AM24),3)</f>
        <v>1.9E-2</v>
      </c>
      <c r="AN25" s="1423">
        <f>ROUND(PRODUCT(AN23:AN24),3)</f>
        <v>6.0000000000000001E-3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1</v>
      </c>
      <c r="AS25" s="299">
        <f>IF(F7="Yes",1,IF(C48&gt;=80,VLOOKUP(C48,Table_CoIns1,2,FALSE),1+ IF(P5&lt;B49,VLOOKUP(B62,Table_CIUnder80,5,FALSE),0.5)))</f>
        <v>1</v>
      </c>
      <c r="AT25" s="299">
        <f>IF(F7="Yes",1,IF(C48&gt;=80,VLOOKUP(C48,Table_CoIns1,2,FALSE),1+ IF(P5&lt;B49,VLOOKUP(B62,Table_CIUnder80,5,FALSE),0.5)))</f>
        <v>1</v>
      </c>
      <c r="AU25" s="299">
        <f>IF(F7="Yes",1,IF(C48&gt;=80,VLOOKUP(C48,Table_CoIns1,2,FALSE),1+ IF(P5&lt;B49,VLOOKUP(B62,Table_CIUnder80,5,FALSE),0.5)))</f>
        <v>1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1</v>
      </c>
      <c r="Q26" s="1314">
        <f>ROUND(PRODUCT(Q22:Q25),3)</f>
        <v>1</v>
      </c>
      <c r="R26" s="1314">
        <f>ROUND(PRODUCT(R22:R25),3)</f>
        <v>1</v>
      </c>
      <c r="S26" s="1314">
        <f>ROUND(PRODUCT(S22:S25),3)</f>
        <v>1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4.8000000000000001E-2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1.38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0.317</v>
      </c>
      <c r="Q27" s="757">
        <f>Q21</f>
        <v>0.11</v>
      </c>
      <c r="R27" s="757">
        <f>R21</f>
        <v>0.126</v>
      </c>
      <c r="S27" s="757">
        <f>S21</f>
        <v>3.9E-2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 t="e">
        <f>ROUND(PRODUCT(Y22,Y25:Y26),0)</f>
        <v>#N/A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1.1399999999999999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0.317</v>
      </c>
      <c r="Q28" s="1315">
        <f>IF($C$30="Yes",C31,ROUND(PRODUCT(Q26:Q27),3))</f>
        <v>0.11</v>
      </c>
      <c r="R28" s="1315">
        <f>IF($C$30="Yes",B32,ROUND(PRODUCT(R26:R27),3))</f>
        <v>0.126</v>
      </c>
      <c r="S28" s="1315">
        <f>IF($C$30="Yes",C32,ROUND(PRODUCT(S26:S27),3))</f>
        <v>3.9E-2</v>
      </c>
      <c r="AC28" s="168" t="s">
        <v>1019</v>
      </c>
      <c r="AD28" s="207">
        <f>HLOOKUP(C11,Table_StateRates,5,FALSE)</f>
        <v>1.38</v>
      </c>
      <c r="AE28" s="207">
        <f>HLOOKUP(C11,Table_StateRates,5,FALSE)</f>
        <v>1.38</v>
      </c>
      <c r="AF28" s="207">
        <f>HLOOKUP(C11,Table_StateRates,5,FALSE)</f>
        <v>1.38</v>
      </c>
      <c r="AG28" s="207">
        <f>HLOOKUP(C11,Table_StateRates,5,FALSE)</f>
        <v>1.38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1</v>
      </c>
      <c r="AE29" s="247">
        <f>IF(F7="Yes",1,IF(C48&gt;=80,VLOOKUP(C48,Table_CoIns1,2,FALSE),1+ IF(P5&lt;B49,VLOOKUP(B62,Table_CIUnder80,5,FALSE),0.5)))</f>
        <v>1</v>
      </c>
      <c r="AF29" s="247">
        <f>IF(F7="Yes",1,IF(C48&gt;=80,VLOOKUP(C48,Table_CoIns1,2,FALSE),1+ IF(P5&lt;B49,VLOOKUP(B62,Table_CIUnder80,5,FALSE),0.5)))</f>
        <v>1</v>
      </c>
      <c r="AG29" s="247">
        <f>IF(F7="Yes",1,IF(C48&gt;=80,VLOOKUP(C48,Table_CoIns1,2,FALSE),1+ IF(P5&lt;B49,VLOOKUP(B62,Table_CIUnder80,5,FALSE),0.5)))</f>
        <v>1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857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1.38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 t="e">
        <f>SUM(I13:L13,I16,I22,I27,I29)</f>
        <v>#N/A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1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1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1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1</v>
      </c>
      <c r="V31" s="168" t="s">
        <v>407</v>
      </c>
      <c r="W31" s="247">
        <f>P28</f>
        <v>0.317</v>
      </c>
      <c r="X31" s="247">
        <f>Q28</f>
        <v>0.11</v>
      </c>
      <c r="Y31" s="247">
        <f>R28</f>
        <v>0.126</v>
      </c>
      <c r="Z31" s="247">
        <f>S28</f>
        <v>3.9E-2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2.1000000000000001E-2</v>
      </c>
      <c r="AS31" s="247">
        <f>ROUND(PRODUCT(AS21:AS30),3)</f>
        <v>1.6E-2</v>
      </c>
      <c r="AT31" s="247">
        <f>ROUND(PRODUCT(AT21:AT30),3)</f>
        <v>1.6E-2</v>
      </c>
      <c r="AU31" s="247">
        <f>ROUND(PRODUCT(AU21:AU30),3)</f>
        <v>1.6E-2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 t="e">
        <f>IF(C12="SP",VLOOKUP(C18,Table_TerrMult_SP,2,0),1)</f>
        <v>#N/A</v>
      </c>
      <c r="S32" s="247">
        <v>1</v>
      </c>
      <c r="U32" s="185"/>
      <c r="V32" s="187" t="s">
        <v>408</v>
      </c>
      <c r="W32" s="208">
        <f>IF(C48&gt;80,P22,1)</f>
        <v>1</v>
      </c>
      <c r="X32" s="208">
        <f>IF(C48&gt;80,Q22,1)</f>
        <v>1</v>
      </c>
      <c r="Y32" s="208">
        <f>IF(C48&gt;80,R22,1)</f>
        <v>1</v>
      </c>
      <c r="Z32" s="208">
        <f>IF(C48&gt;80,S22,1)</f>
        <v>1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2500</v>
      </c>
      <c r="Q33" s="238">
        <f>IF(ISNUMBER(C45),C45/100,0)</f>
        <v>2500</v>
      </c>
      <c r="R33" s="238">
        <f>IF(ISNUMBER(C45),C45/100,0)</f>
        <v>2500</v>
      </c>
      <c r="S33" s="238">
        <f>IF(ISNUMBER(C45),C45/100,0)</f>
        <v>2500</v>
      </c>
      <c r="U33" s="546"/>
      <c r="V33" s="301" t="s">
        <v>409</v>
      </c>
      <c r="W33" s="247">
        <f>ROUND(W31/W32,3)</f>
        <v>0.317</v>
      </c>
      <c r="X33" s="247">
        <f>ROUND(X31/X32,3)</f>
        <v>0.11</v>
      </c>
      <c r="Y33" s="247">
        <f>ROUND(Y31/Y32,3)</f>
        <v>0.126</v>
      </c>
      <c r="Z33" s="247">
        <f>ROUND(Z31/Z32,3)</f>
        <v>3.9E-2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793</v>
      </c>
      <c r="Q34" s="1481">
        <f>IF($C$30="Yes",ROUND(PRODUCT(Q28,Q33),0),ROUND(PRODUCT(Q28,Q31:Q33),0))</f>
        <v>275</v>
      </c>
      <c r="R34" s="1481" t="e">
        <f>IF($C$30="Yes",ROUND(PRODUCT(R28,R33),0),ROUND(PRODUCT(R28,R31:R33),0))</f>
        <v>#N/A</v>
      </c>
      <c r="S34" s="1481">
        <f>IF($C$30="Yes",ROUND(PRODUCT(S28,S33),0),ROUND(PRODUCT(S28,S31:S33),0))</f>
        <v>98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0.11</v>
      </c>
      <c r="AF34" s="247">
        <f>ROUND(PRODUCT(AF26:AF33),3)</f>
        <v>0.126</v>
      </c>
      <c r="AG34" s="247">
        <f>ROUND(PRODUCT(AG26:AG33),3)</f>
        <v>3.9E-2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48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 t="e">
        <f>R42</f>
        <v>#N/A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0.317</v>
      </c>
      <c r="AL35" s="247">
        <f>AL7</f>
        <v>0.11</v>
      </c>
      <c r="AM35" s="247">
        <f>AM7</f>
        <v>0.126</v>
      </c>
      <c r="AN35" s="247">
        <f>AN7</f>
        <v>3.9E-2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793</v>
      </c>
      <c r="Q36" s="248">
        <f>SUM(Q34:Q35)</f>
        <v>275</v>
      </c>
      <c r="R36" s="248" t="e">
        <f>SUM(R34:R35)</f>
        <v>#N/A</v>
      </c>
      <c r="S36" s="248">
        <f>SUM(S34:S35)</f>
        <v>98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1.38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1.1719999999999999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1.5129999999999999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1.4530000000000001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1.4530000000000001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1.38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9.5000000000000001E-2</v>
      </c>
      <c r="X39" s="247">
        <f>ROUND(PRODUCT(X33:X38),3)</f>
        <v>3.3000000000000002E-2</v>
      </c>
      <c r="Y39" s="247">
        <f>ROUND(PRODUCT(Y33:Y38),3)</f>
        <v>3.7999999999999999E-2</v>
      </c>
      <c r="Z39" s="247">
        <f>ROUND(PRODUCT(Z33:Z38),3)</f>
        <v>1.2E-2</v>
      </c>
      <c r="AH39" s="266"/>
      <c r="AI39" s="216"/>
      <c r="AJ39" s="1226" t="s">
        <v>2117</v>
      </c>
      <c r="AK39" s="1427">
        <f>IF(F14="Yes",E17/100,0)</f>
        <v>500</v>
      </c>
      <c r="AL39" s="1427">
        <f>IF(F14="Yes",E17/100,0)</f>
        <v>500</v>
      </c>
      <c r="AM39" s="542">
        <f>IF(F14="Yes",E17/100,0)</f>
        <v>500</v>
      </c>
      <c r="AN39" s="1211">
        <f>IF(F14="Yes",E17/100,0)</f>
        <v>500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0.126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1.38</v>
      </c>
      <c r="AZ39" s="423"/>
      <c r="BA39" s="542"/>
      <c r="BB39" s="597" t="s">
        <v>1019</v>
      </c>
      <c r="BC39" s="279">
        <f>HLOOKUP(C11,Table_StateRates,5,FALSE)</f>
        <v>1.38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793</v>
      </c>
      <c r="Q40" s="248">
        <f>Q34</f>
        <v>275</v>
      </c>
      <c r="R40" s="248" t="e">
        <f>R34</f>
        <v>#N/A</v>
      </c>
      <c r="S40" s="248">
        <f>S34</f>
        <v>98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186</v>
      </c>
      <c r="AL40" s="1228">
        <f>ROUND(PRODUCT(AL35,AL38:AL39),0)</f>
        <v>83</v>
      </c>
      <c r="AM40" s="1228">
        <f>ROUND(PRODUCT(AM35,AM38:AM39),0)</f>
        <v>92</v>
      </c>
      <c r="AN40" s="1228">
        <f>ROUND(PRODUCT(AN35,AN38:AN39),0)</f>
        <v>28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3.9E-2</v>
      </c>
      <c r="AZ40" s="559"/>
      <c r="BA40" s="423"/>
      <c r="BB40" s="810" t="s">
        <v>1134</v>
      </c>
      <c r="BC40" s="426">
        <f>ROUND(PRODUCT(BC35:BC39),3)</f>
        <v>3.9E-2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0.96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0.96</v>
      </c>
      <c r="AZ41" s="559"/>
      <c r="BA41" s="423"/>
      <c r="BB41" s="906" t="s">
        <v>1178</v>
      </c>
      <c r="BC41" s="423">
        <f>IF(OR(C28="S",C28="T",C28="SC"),1,VLOOKUP(C14,Table_ProtClass,IF(C15&lt;=3,2,3),FALSE))</f>
        <v>0.96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 t="e">
        <f>ROUND(PRODUCT(R40:R41),0)</f>
        <v>#N/A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 t="e">
        <f>IF(C12="SP",VLOOKUP(C18,Table_TerrMult_SP,2,0),1)</f>
        <v>#N/A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0.16600000000000001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1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93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0.317</v>
      </c>
      <c r="AL44" s="247">
        <f>AL7</f>
        <v>0.11</v>
      </c>
      <c r="AM44" s="247">
        <f>AM7</f>
        <v>0.126</v>
      </c>
      <c r="AN44" s="247">
        <f>AN7</f>
        <v>3.9E-2</v>
      </c>
      <c r="AO44" s="557"/>
      <c r="AP44" s="2"/>
      <c r="AQ44" s="168" t="s">
        <v>1019</v>
      </c>
      <c r="AR44" s="207">
        <f>HLOOKUP(C11,Table_StateRates,5,FALSE)</f>
        <v>1.38</v>
      </c>
      <c r="AS44" s="207">
        <f>HLOOKUP(C11,Table_StateRates,5,FALSE)</f>
        <v>1.38</v>
      </c>
      <c r="AT44" s="207">
        <f>HLOOKUP(C11,Table_StateRates,5,FALSE)</f>
        <v>1.38</v>
      </c>
      <c r="AU44" s="207">
        <f>HLOOKUP(C11,Table_StateRates,5,FALSE)</f>
        <v>1.38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8.9999999999999993E-3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250000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3.6999999999999998E-2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2500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1.38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 t="e">
        <f>SUM(I5:L5,I31,I38,I41)</f>
        <v>#N/A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1.1719999999999999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1.5129999999999999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1.4530000000000001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1.4530000000000001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93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80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500</v>
      </c>
      <c r="AL48" s="1427">
        <f>IF(F14="Yes",E18/100,0)</f>
        <v>500</v>
      </c>
      <c r="AM48" s="542">
        <f>IF(F14="Yes",E18/100,0)</f>
        <v>500</v>
      </c>
      <c r="AN48" s="1211">
        <f>IF(F14="Yes",E18/100,0)</f>
        <v>500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 t="e">
        <f>SUM(I44,I47)</f>
        <v>#N/A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0.126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4.8000000000000001E-2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186</v>
      </c>
      <c r="AL49" s="1228">
        <f>ROUND(PRODUCT(AL44,AL47:AL48),0)</f>
        <v>83</v>
      </c>
      <c r="AM49" s="1228">
        <f>ROUND(PRODUCT(AM44,AM47:AM48),0)</f>
        <v>92</v>
      </c>
      <c r="AN49" s="1228">
        <f>ROUND(PRODUCT(AN44,AN47:AN48),0)</f>
        <v>28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0.159</v>
      </c>
      <c r="AS50" s="247">
        <f>ROUND(PRODUCT(AS39:AS49),3)</f>
        <v>5.5E-2</v>
      </c>
      <c r="AT50" s="247" t="e">
        <f>ROUND(PRODUCT(AT39:AT49),3)</f>
        <v>#N/A</v>
      </c>
      <c r="AU50" s="247">
        <f>ROUND(PRODUCT(AU39:AU49),3)</f>
        <v>1.6E-2</v>
      </c>
      <c r="AW50" s="566"/>
      <c r="AX50" s="990" t="s">
        <v>395</v>
      </c>
      <c r="AY50" s="813">
        <f>SUM(AY47,BC46)</f>
        <v>93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1.38</v>
      </c>
      <c r="X51" s="207">
        <f>HLOOKUP(C11,Table_StateRates,5,FALSE)</f>
        <v>1.38</v>
      </c>
      <c r="Y51" s="207">
        <f>HLOOKUP(C11,Table_StateRates,5,FALSE)</f>
        <v>1.38</v>
      </c>
      <c r="Z51" s="207">
        <f>HLOOKUP(C11,Table_StateRates,5,FALSE)</f>
        <v>1.38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120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361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 t="e">
        <f>ROUND(PRODUCT(AT50:AT51),0)</f>
        <v>#N/A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361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4.2999999999999997E-2</v>
      </c>
      <c r="X56" s="247">
        <f>ROUND(PRODUCT(X49:X55),3)</f>
        <v>1.4E-2</v>
      </c>
      <c r="Y56" s="247">
        <f>ROUND(PRODUCT(Y49:Y55),3)</f>
        <v>0.126</v>
      </c>
      <c r="Z56" s="247">
        <f>ROUND(PRODUCT(Z49:Z55),3)</f>
        <v>3.9E-2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4.2999999999999997E-2</v>
      </c>
      <c r="X59" s="247">
        <f>MAX(X56:X57)</f>
        <v>1.4E-2</v>
      </c>
      <c r="Y59" s="247">
        <f>MAX(Y56:Y57)</f>
        <v>0.126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135" priority="21" stopIfTrue="1">
      <formula>IF($C$24="Yes",FALSE,TRUE)</formula>
    </cfRule>
  </conditionalFormatting>
  <conditionalFormatting sqref="E16">
    <cfRule type="expression" dxfId="134" priority="20" stopIfTrue="1">
      <formula>IF($C$58="Yes",TRUE,FALSE)</formula>
    </cfRule>
  </conditionalFormatting>
  <conditionalFormatting sqref="C18">
    <cfRule type="expression" dxfId="133" priority="18">
      <formula>IF($C$12="SP",TRUE,FALSE)</formula>
    </cfRule>
    <cfRule type="expression" dxfId="132" priority="19">
      <formula>IF($C$12="SP",TRUE,FALSE)</formula>
    </cfRule>
  </conditionalFormatting>
  <conditionalFormatting sqref="A18">
    <cfRule type="expression" dxfId="131" priority="17">
      <formula>IF($C$12="SP",TRUE,FALSE)</formula>
    </cfRule>
  </conditionalFormatting>
  <conditionalFormatting sqref="B21">
    <cfRule type="expression" dxfId="130" priority="14">
      <formula>IF($C$21="Yes",TRUE,FALSE)</formula>
    </cfRule>
  </conditionalFormatting>
  <conditionalFormatting sqref="C18">
    <cfRule type="expression" dxfId="129" priority="10">
      <formula>IF($C$12="SP",TRUE,FALSE)</formula>
    </cfRule>
    <cfRule type="expression" dxfId="128" priority="11">
      <formula>IF($C$12="SP",TRUE,FALSE)</formula>
    </cfRule>
  </conditionalFormatting>
  <conditionalFormatting sqref="C32">
    <cfRule type="expression" dxfId="127" priority="2">
      <formula>IF(AND($C$30="Yes",$C$12="BR"),TRUE,FALSE)</formula>
    </cfRule>
  </conditionalFormatting>
  <conditionalFormatting sqref="B32">
    <cfRule type="expression" dxfId="126" priority="1">
      <formula>IF(AND($C$30="Yes",$C$12="SP"),TRUE,FALSE)</formula>
    </cfRule>
  </conditionalFormatting>
  <conditionalFormatting sqref="B31:C31">
    <cfRule type="expression" dxfId="125" priority="3">
      <formula>IF($C$30="Yes",TRUE,FALSE)</formula>
    </cfRule>
  </conditionalFormatting>
  <dataValidations count="97"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custom" allowBlank="1" showInputMessage="1" showErrorMessage="1" sqref="C25 F46 D23 B10 D43:E43 F33:F35 F38:F39 A38 A43">
      <formula1>FALSE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allowBlank="1" showInputMessage="1" showErrorMessage="1" promptTitle="Occupancy Type Description" prompt="Displays the description of the choice made in the cell to the left.  " sqref="B33 B40"/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="Bldg Lookup Value" sqref="F36">
      <formula1>FALSE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custom" allowBlank="1" showInputMessage="1" showErrorMessage="1" prompt="EQ Table Lookup Value" sqref="F49">
      <formula1>FALSE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allowBlank="1" showInputMessage="1" showErrorMessage="1" promptTitle="Special Class Pty: Grp II Symbol" prompt="Group II Symbol supplied for the Special Class Property selected." sqref="E24"/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A78"/>
  <sheetViews>
    <sheetView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1.38</v>
      </c>
      <c r="Q2" s="423">
        <f>HLOOKUP(C11,Table_StateRates,5,FALSE)</f>
        <v>1.38</v>
      </c>
      <c r="R2" s="423">
        <f>HLOOKUP(C11,Table_StateRates,5,FALSE)</f>
        <v>1.38</v>
      </c>
      <c r="S2" s="423">
        <f>HLOOKUP(C11,Table_StateRates,5,FALSE)</f>
        <v>1.38</v>
      </c>
      <c r="U2" s="1290"/>
      <c r="V2" s="1294" t="s">
        <v>2165</v>
      </c>
      <c r="W2" s="1300">
        <f ca="1">$P$28</f>
        <v>0.32700000000000001</v>
      </c>
      <c r="X2" s="1300">
        <f>$Q$28</f>
        <v>0.14699999999999999</v>
      </c>
      <c r="Y2" s="1300" t="e">
        <f>$R$28</f>
        <v>#N/A</v>
      </c>
      <c r="Z2" s="1300">
        <f>$S$28</f>
        <v>5.5E-2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>
        <f ca="1">P28</f>
        <v>0.32700000000000001</v>
      </c>
      <c r="AU2" s="247">
        <f>Q28</f>
        <v>0.14699999999999999</v>
      </c>
      <c r="AV2" s="247">
        <f>IF(AND(C27="Yes",C12="SP"),VLOOKUP(C33,Table_Special_PP,3,0),0)</f>
        <v>0.113</v>
      </c>
      <c r="AW2" s="247">
        <f>S28</f>
        <v>5.5E-2</v>
      </c>
      <c r="AZ2" s="1117" t="s">
        <v>2154</v>
      </c>
      <c r="BA2" s="247">
        <f ca="1">P28</f>
        <v>0.32700000000000001</v>
      </c>
      <c r="BB2" s="2">
        <f>Q28</f>
        <v>0.14699999999999999</v>
      </c>
      <c r="BC2" s="558" t="e">
        <f>R28</f>
        <v>#N/A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833</v>
      </c>
      <c r="H3" s="1273">
        <f>Summary7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>
        <f>P$31</f>
        <v>0.77800000000000002</v>
      </c>
      <c r="X3" s="247">
        <f t="shared" ref="X3:Z3" si="0">Q$31</f>
        <v>0.67200000000000004</v>
      </c>
      <c r="Y3" s="247">
        <f t="shared" si="0"/>
        <v>0.57899999999999996</v>
      </c>
      <c r="Z3" s="247">
        <f t="shared" si="0"/>
        <v>0.57899999999999996</v>
      </c>
      <c r="AC3" s="168" t="s">
        <v>1198</v>
      </c>
      <c r="AD3" s="247">
        <f ca="1">IF(OR(C28="S",C28="T"),B29,VLOOKUP(C35,IF(C36="Y",INDIRECT("Table_Content"&amp;B35),Table_G1_LC),MATCH(C15&amp;"C",List_ClassLC,0)+IF(C36="Y",-5,3),FALSE))  - IF(AND(P14&lt;&gt;1,AF50="LC"),P14,0)</f>
        <v>0.13</v>
      </c>
      <c r="AE3" s="2">
        <f>IF(OR(C28="S",C28="T"),C29,VLOOKUP(C16,Table_G2SymLC,3,FALSE)*IF(C60&lt;&gt;"Yes",B16,1))</f>
        <v>5.6000000000000001E-2</v>
      </c>
      <c r="AF3" s="247">
        <f>R5</f>
        <v>0.113</v>
      </c>
      <c r="AG3" s="2">
        <f>HLOOKUP(B12,Table_BroadLC,IF(C35&lt;&gt;"1150",3,4),FALSE)</f>
        <v>2.1000000000000001E-2</v>
      </c>
      <c r="AJ3" s="60"/>
      <c r="AK3" s="168" t="s">
        <v>1198</v>
      </c>
      <c r="AL3" s="780">
        <f ca="1">P28</f>
        <v>0.32700000000000001</v>
      </c>
      <c r="AM3" s="4">
        <f>Q28</f>
        <v>0.14699999999999999</v>
      </c>
      <c r="AN3" s="780" t="e">
        <f ca="1">IF(AND(C27="Yes",C12="SP"),IF(C13=1,R28,IF(C13=2,INDIRECT(VLOOKUP(C33,Table_Special_PP,6,FALSE)),"Select Type")),0)</f>
        <v>#N/A</v>
      </c>
      <c r="AO3" s="4">
        <f>S28</f>
        <v>5.5E-2</v>
      </c>
      <c r="AP3" s="4" t="e">
        <f>IF(TC7_EQ1!C31="Yes",TC7_EQ1!O28,0)</f>
        <v>#N/A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>
        <f>IF(F3="Yes",C41,"")</f>
        <v>250000</v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>
        <f ca="1">ROUND(AT2/AT3,3)</f>
        <v>0.32700000000000001</v>
      </c>
      <c r="AU4" s="247">
        <f>ROUND(AU2/AU3,3)</f>
        <v>0.14699999999999999</v>
      </c>
      <c r="AV4" s="247">
        <f>ROUND(AV2/AV3,3)</f>
        <v>0.113</v>
      </c>
      <c r="AW4" s="247">
        <f>ROUND(AW2/AW3,3)</f>
        <v>5.5E-2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>
        <v>500000</v>
      </c>
      <c r="F5" s="1065"/>
      <c r="H5" s="82" t="str">
        <f>LEFT(A41,LEN(A41)-7)&amp;" Coverage"</f>
        <v>PPI - Personal Pty of Insured Coverage</v>
      </c>
      <c r="I5" s="258">
        <f ca="1">IF(C27="Yes",P35,0)</f>
        <v>636</v>
      </c>
      <c r="J5" s="258">
        <f>IF(C27="Yes",Q35,0)</f>
        <v>247</v>
      </c>
      <c r="K5" s="258" t="e">
        <f>IF(AND(C27="Yes",C12="SP"),R35,0)</f>
        <v>#N/A</v>
      </c>
      <c r="L5" s="258">
        <f>IF(AND(C27="Yes",C12="BR"),S35,0)</f>
        <v>0</v>
      </c>
      <c r="O5" s="168" t="s">
        <v>1198</v>
      </c>
      <c r="P5" s="247">
        <f ca="1">IF(OR(C28="S",C28="T"),B29,VLOOKUP(C35,IF(C36="Y",INDIRECT("Table_Content"&amp;B35),Table_G1_LC),MATCH(C15&amp;"C",List_ClassLC,0) + IF(C36="Y",-5,3),FALSE)) + B39 - IF(AND(P14&lt;&gt;1,AF50="LC"),P14,0)</f>
        <v>0.13</v>
      </c>
      <c r="Q5" s="247">
        <f>IF(OR(C28="S",C28="T"),C29,VLOOKUP(C16,Table_G2SymLC,3,FALSE)*IF(C60&lt;&gt;"Yes",B16,1))</f>
        <v>5.6000000000000001E-2</v>
      </c>
      <c r="R5" s="247">
        <f>IF(AND(C27="Yes",C12="SP"),VLOOKUP(C33,Table_Special_PP,3,0),0)</f>
        <v>0.113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>
        <f ca="1">ROUND(PRODUCT(W2:W4),0)</f>
        <v>0</v>
      </c>
      <c r="X5" s="1306">
        <f>ROUND(PRODUCT(X2:X4),0)</f>
        <v>0</v>
      </c>
      <c r="Y5" s="1306" t="e">
        <f>ROUND(PRODUCT(Y2:Y4),0)</f>
        <v>#N/A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>
        <f ca="1">ROUND(PRODUCT(AL3:AL4),3)</f>
        <v>3.3000000000000002E-2</v>
      </c>
      <c r="AM5" s="4">
        <f>ROUND(PRODUCT(AM3:AM4),3)</f>
        <v>1.4999999999999999E-2</v>
      </c>
      <c r="AN5" s="780" t="e">
        <f ca="1">ROUND(PRODUCT(AN3:AN4),3)</f>
        <v>#N/A</v>
      </c>
      <c r="AO5" s="4">
        <f>ROUND(PRODUCT(AO3:AO4),3)</f>
        <v>6.0000000000000001E-3</v>
      </c>
      <c r="AP5" s="4" t="e">
        <f>ROUND(PRODUCT(AP3:AP4),3)</f>
        <v>#N/A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0.627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0.47799999999999998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0.36099999999999999</v>
      </c>
      <c r="BD5" s="1229"/>
      <c r="BG5" s="146"/>
      <c r="BH5" s="545" t="s">
        <v>1019</v>
      </c>
      <c r="BI5" s="299">
        <f>HLOOKUP(C11,Table_StateRates,5,FALSE)</f>
        <v>1.38</v>
      </c>
      <c r="BJ5" s="299">
        <f>HLOOKUP(C11,Table_StateRates,5,FALSE)</f>
        <v>1.38</v>
      </c>
      <c r="BK5" s="299">
        <f>HLOOKUP(C11,Table_StateRates,5,FALSE)</f>
        <v>1.38</v>
      </c>
      <c r="BL5" s="299">
        <f>HLOOKUP(C11,Table_StateRates,5,FALSE)</f>
        <v>1.38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980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>
        <f>IF(OR(C28="S",C28="T"),1,VLOOKUP(C14,Table_ProtClass,IF(C15&lt;=3,2,3),FALSE)) - IF(AND(AB50="PC",ISNUMBER(C57)),C57,0) - IF(AND(C58="Yes",AF50="PC"),P14,0)</f>
        <v>0.96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>
        <f ca="1">ROUND(PRODUCT(AD3:AD5),3)</f>
        <v>0.247</v>
      </c>
      <c r="AE6" s="247">
        <f>ROUND(PRODUCT(AE3:AE5),3)</f>
        <v>0.106</v>
      </c>
      <c r="AF6" s="247">
        <f>ROUND(PRODUCT(AF3:AF5),3)</f>
        <v>0.215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>
        <f ca="1">ROUND(PRODUCT(BA2,BA5),3)</f>
        <v>0.20499999999999999</v>
      </c>
      <c r="BB6" s="1315">
        <f>ROUND(PRODUCT(BB2,BB5),3)</f>
        <v>7.0000000000000007E-2</v>
      </c>
      <c r="BC6" s="1315" t="e">
        <f>ROUND(PRODUCT(BC2,BC5),3)</f>
        <v>#N/A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1.38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>
        <f ca="1">SUM(W5:W6)</f>
        <v>0</v>
      </c>
      <c r="X7" s="1301">
        <f>SUM(X5:X6)</f>
        <v>0</v>
      </c>
      <c r="Y7" s="1301" t="e">
        <f>SUM(Y5:Y6)</f>
        <v>#N/A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#N/A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10000</v>
      </c>
      <c r="BB7" s="238">
        <f>IF(F21="Yes",E22/100,0)</f>
        <v>10000</v>
      </c>
      <c r="BC7" s="238">
        <f>IF(F21="Yes",E22/100,0)</f>
        <v>10000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>
        <f ca="1">ROUND(PRODUCT(P4:P7),3)</f>
        <v>0.32700000000000001</v>
      </c>
      <c r="Q8" s="1315">
        <f>ROUND(PRODUCT(Q4:Q7),3)</f>
        <v>0.14699999999999999</v>
      </c>
      <c r="R8" s="1315">
        <f>ROUND(PRODUCT(R4:R7),3)</f>
        <v>0.29599999999999999</v>
      </c>
      <c r="S8" s="1315">
        <f>ROUND(PRODUCT(S4:S7),3)</f>
        <v>5.5E-2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>
        <f ca="1">ROUND(PRODUCT(BA6:BA7),0)</f>
        <v>2050</v>
      </c>
      <c r="BB8" s="248">
        <f>ROUND(PRODUCT(BB6:BB7),0)</f>
        <v>700</v>
      </c>
      <c r="BC8" s="248" t="e">
        <f>ROUND(PRODUCT(BC6:BC7),0)</f>
        <v>#N/A</v>
      </c>
      <c r="BD8" s="575"/>
      <c r="BE8" s="572" t="e">
        <f ca="1">SUM(BA8:BC8)</f>
        <v>#N/A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>
        <f ca="1">ROUND(PRODUCT(AD6:AD8),3)</f>
        <v>0.124</v>
      </c>
      <c r="AE9" s="247">
        <f>ROUND(PRODUCT(AE6:AE8),3)</f>
        <v>5.2999999999999999E-2</v>
      </c>
      <c r="AF9" s="247">
        <f>ROUND(PRODUCT(AF6:AF8),3)</f>
        <v>0.108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>
        <f ca="1">ROUND(PRODUCT(AT4:AT7),3)</f>
        <v>0.40899999999999997</v>
      </c>
      <c r="AU9" s="247">
        <f>ROUND(PRODUCT(AU4:AU7),3)</f>
        <v>0.184</v>
      </c>
      <c r="AV9" s="247">
        <f>ROUND(PRODUCT(AV4:AV7),3)</f>
        <v>0.14099999999999999</v>
      </c>
      <c r="AW9" s="247">
        <f>ROUND(PRODUCT(AW4:AW7),3)</f>
        <v>6.9000000000000006E-2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>
        <f ca="1">W5</f>
        <v>0</v>
      </c>
      <c r="X10" s="1301">
        <f>X5</f>
        <v>0</v>
      </c>
      <c r="Y10" s="1301" t="e">
        <f>Y5</f>
        <v>#N/A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2500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2500</v>
      </c>
      <c r="AU10" s="238">
        <f>IF(F13="Yes",E14/100,C41/100)</f>
        <v>2500</v>
      </c>
      <c r="AV10" s="238">
        <f>IF(F13="Yes",E14/100,C41/100)</f>
        <v>2500</v>
      </c>
      <c r="AW10" s="238">
        <f>IF(F13="Yes",E14/100,C41/100)</f>
        <v>2500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1859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#N/A</v>
      </c>
      <c r="AM11" s="146"/>
      <c r="AN11" s="146"/>
      <c r="AO11" s="301"/>
      <c r="AP11" s="976"/>
      <c r="AS11" s="301"/>
      <c r="AT11" s="248">
        <f ca="1">ROUND(PRODUCT(AT9:AT10),0)</f>
        <v>1023</v>
      </c>
      <c r="AU11" s="248">
        <f>ROUND(PRODUCT(AU9:AU10),0)</f>
        <v>460</v>
      </c>
      <c r="AV11" s="248">
        <f>ROUND(PRODUCT(AV9:AV10),0)</f>
        <v>353</v>
      </c>
      <c r="AW11" s="248">
        <f>ROUND(PRODUCT(AW9:AW10),0)</f>
        <v>173</v>
      </c>
      <c r="AZ11" s="1117" t="s">
        <v>2154</v>
      </c>
      <c r="BA11" s="247">
        <f ca="1">P28</f>
        <v>0.32700000000000001</v>
      </c>
      <c r="BB11" s="2">
        <f>Q28</f>
        <v>0.14699999999999999</v>
      </c>
      <c r="BC11" s="558" t="e">
        <f>R28</f>
        <v>#N/A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 t="s">
        <v>894</v>
      </c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#N/A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>
        <f>IF(C13="No","NA",C13+2)</f>
        <v>3</v>
      </c>
      <c r="C13" s="1106">
        <v>1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>
        <f>IF(OR(C28="S",C28="T"),1,VLOOKUP(C14,Table_ProtClass,IF(C15&lt;=3,2,3),FALSE)) - IF(AND(AB50="PC",ISNUMBER(C57)),C57,0) - IF(AND(C58="Yes",AF50="PC"),P14,0)</f>
        <v>0.96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>
        <f ca="1">IF(C12="SP",SUM(AT11:AV11),IF(C12="BR",SUM(AT11:AU11,AW11),AT11:AU11))</f>
        <v>1836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>
        <v>3</v>
      </c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 t="e">
        <f>IF(C12="SP",VLOOKUP(C18,Table_TerrMult_SP,2,0),1)</f>
        <v>#N/A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0.77800000000000002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0.67200000000000004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0.57899999999999996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>
        <v>1</v>
      </c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>
        <f ca="1">ROUND(PRODUCT(BA11,BA14),3)</f>
        <v>0.254</v>
      </c>
      <c r="BB15" s="1315">
        <f>ROUND(PRODUCT(BB11,BB14),3)</f>
        <v>9.9000000000000005E-2</v>
      </c>
      <c r="BC15" s="1315" t="e">
        <f>ROUND(PRODUCT(BC11,BC14),3)</f>
        <v>#N/A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 t="s">
        <v>18</v>
      </c>
      <c r="D16" s="195"/>
      <c r="E16" s="195"/>
      <c r="F16" s="1067"/>
      <c r="H16" s="788" t="s">
        <v>1289</v>
      </c>
      <c r="I16" s="248">
        <f ca="1">SUM(I5:I15)</f>
        <v>636</v>
      </c>
      <c r="J16" s="248">
        <f>SUM(J5:J15)</f>
        <v>247</v>
      </c>
      <c r="K16" s="248" t="e">
        <f>SUM(K5:K15)</f>
        <v>#N/A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>
        <f ca="1">$P$28</f>
        <v>0.32700000000000001</v>
      </c>
      <c r="X16" s="1300">
        <f>$Q$28</f>
        <v>0.14699999999999999</v>
      </c>
      <c r="Y16" s="1300" t="e">
        <f>$R$28</f>
        <v>#N/A</v>
      </c>
      <c r="Z16" s="1300">
        <f>$S$28</f>
        <v>5.5E-2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2500</v>
      </c>
      <c r="BB16" s="238">
        <f>IF(F21="Yes",C41/100,0)</f>
        <v>2500</v>
      </c>
      <c r="BC16" s="238">
        <f>IF(F21="Yes",C41/100,0)</f>
        <v>2500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>
        <f>P$31</f>
        <v>0.77800000000000002</v>
      </c>
      <c r="X17" s="247">
        <f t="shared" ref="X17:Z17" si="1">Q$31</f>
        <v>0.67200000000000004</v>
      </c>
      <c r="Y17" s="247">
        <f t="shared" si="1"/>
        <v>0.57899999999999996</v>
      </c>
      <c r="Z17" s="247">
        <f t="shared" si="1"/>
        <v>0.57899999999999996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0.29599999999999999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>
        <f ca="1">ROUND(PRODUCT(BA15:BA16),0)</f>
        <v>635</v>
      </c>
      <c r="BB17" s="248">
        <f>ROUND(PRODUCT(BB15:BB16),0)</f>
        <v>248</v>
      </c>
      <c r="BC17" s="248" t="e">
        <f>ROUND(PRODUCT(BC15:BC16),0)</f>
        <v>#N/A</v>
      </c>
      <c r="BD17" s="575"/>
      <c r="BE17" s="572" t="e">
        <f ca="1">SUM(BA17:BC17)</f>
        <v>#N/A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/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1.38</v>
      </c>
      <c r="AE18" s="423">
        <f>HLOOKUP(C11,Table_StateRates,5,FALSE)</f>
        <v>1.38</v>
      </c>
      <c r="AF18" s="423">
        <f>HLOOKUP(C11,Table_StateRates,5,FALSE)</f>
        <v>1.38</v>
      </c>
      <c r="AG18" s="423">
        <f>HLOOKUP(C11,Table_StateRates,5,FALSE)</f>
        <v>1.38</v>
      </c>
      <c r="AI18" s="266"/>
      <c r="AJ18" s="266"/>
      <c r="AK18" s="268" t="s">
        <v>1019</v>
      </c>
      <c r="AL18" s="423">
        <f>HLOOKUP(C11,Table_StateRates,5,FALSE)</f>
        <v>1.38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>
        <f>Q28</f>
        <v>0.14699999999999999</v>
      </c>
      <c r="AV18" s="247">
        <f>IF(AND(C27="Yes",C12="SP"),VLOOKUP(C33,Table_Special_PP,3,0),0)</f>
        <v>0.113</v>
      </c>
      <c r="AW18" s="2">
        <f>S28</f>
        <v>5.5E-2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>
        <f ca="1">ROUND(PRODUCT(W16:W18),0)</f>
        <v>0</v>
      </c>
      <c r="X19" s="1306">
        <f>ROUND(PRODUCT(X16:X18),0)</f>
        <v>0</v>
      </c>
      <c r="Y19" s="1306" t="e">
        <f>ROUND(PRODUCT(Y16:Y18),0)</f>
        <v>#N/A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>
        <f ca="1">IF(OR(C28="S",C28="T"),B29,VLOOKUP(C35,IF(C36="Y",INDIRECT("Table_Content"&amp;B35),Table_G1_LC),MATCH(C15&amp;"C",List_ClassLC,0)+IF(C36="Y",-5,2),FALSE)*IF(C60&lt;&gt;"Yes",B16,1))</f>
        <v>7.4999999999999997E-2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>
        <f ca="1">ROUND(PRODUCT(P8:P12,IF(AND(C55="Yes",C57="Sprinkler",C58="Yes"),P13-P14,P13),P15:P19),3)</f>
        <v>0.32700000000000001</v>
      </c>
      <c r="Q20" s="1312">
        <f>ROUND(PRODUCT(Q8:Q19),3)</f>
        <v>0.14699999999999999</v>
      </c>
      <c r="R20" s="1312">
        <f>ROUND(PRODUCT(R8:R19),3)</f>
        <v>0.29599999999999999</v>
      </c>
      <c r="S20" s="1312">
        <f>ROUND(PRODUCT(S8:S19),3)</f>
        <v>5.5E-2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2.6219999999999999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0.57899999999999996</v>
      </c>
      <c r="AS20" s="83" t="s">
        <v>115</v>
      </c>
      <c r="AT20" s="247">
        <f>PRODUCT(AT18:AT19)</f>
        <v>0</v>
      </c>
      <c r="AU20" s="247">
        <f>PRODUCT(AU18:AU19)</f>
        <v>0.14699999999999999</v>
      </c>
      <c r="AV20" s="247">
        <f>PRODUCT(AV18:AV19)</f>
        <v>0.113</v>
      </c>
      <c r="AW20" s="247">
        <f>PRODUCT(AW18:AW19)</f>
        <v>5.5E-2</v>
      </c>
      <c r="AZ20" s="168" t="s">
        <v>1335</v>
      </c>
      <c r="BA20" s="248">
        <f>F24</f>
        <v>59</v>
      </c>
      <c r="BD20" s="168" t="s">
        <v>1337</v>
      </c>
      <c r="BE20" s="248" t="e">
        <f ca="1">BE8</f>
        <v>#N/A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1.38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833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>
        <f ca="1">SUM(W19:W20)</f>
        <v>0</v>
      </c>
      <c r="X21" s="1301">
        <f>SUM(X19:X20)</f>
        <v>0</v>
      </c>
      <c r="Y21" s="1301" t="e">
        <f>SUM(Y19:Y20)</f>
        <v>#N/A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0.113</v>
      </c>
      <c r="AN21" s="1429"/>
      <c r="AO21" s="1226" t="s">
        <v>2253</v>
      </c>
      <c r="AP21" s="238">
        <f>IF(F3="Yes",E4/100,0)</f>
        <v>2500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 t="e">
        <f ca="1">BE17</f>
        <v>#N/A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>
        <f ca="1">ROUND(PRODUCT(BP19:BP20),3)</f>
        <v>0.14299999999999999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>
        <v>1000000</v>
      </c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>
        <f ca="1">ROUND(PRODUCT(AD9:AD14,IF(AND(C55="Yes",C57="Sprinkler",C58="Yes"),AD15-AD16,AD15),AD17:AD21),3)</f>
        <v>0.16400000000000001</v>
      </c>
      <c r="AE22" s="247">
        <f>ROUND(PRODUCT(AE9:AE21),3)</f>
        <v>7.2999999999999995E-2</v>
      </c>
      <c r="AF22" s="247" t="e">
        <f>ROUND(PRODUCT(AF9:AF21),3)</f>
        <v>#N/A</v>
      </c>
      <c r="AG22" s="247">
        <f>ROUND(PRODUCT(AG9:AG21),3)</f>
        <v>2.8000000000000001E-2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428</v>
      </c>
      <c r="AS22" s="168" t="s">
        <v>1019</v>
      </c>
      <c r="AT22" s="207">
        <f>HLOOKUP(C11,Table_StateRates,5,FALSE)</f>
        <v>1.38</v>
      </c>
      <c r="AU22" s="207">
        <f>HLOOKUP(C11,Table_StateRates,5,FALSE)</f>
        <v>1.38</v>
      </c>
      <c r="AV22" s="207">
        <f>HLOOKUP(C11,Table_StateRates,5,FALSE)</f>
        <v>1.38</v>
      </c>
      <c r="AW22" s="207">
        <f>HLOOKUP(C11,Table_StateRates,5,FALSE)</f>
        <v>1.38</v>
      </c>
      <c r="AZ22" s="83" t="s">
        <v>1334</v>
      </c>
      <c r="BA22" s="2">
        <f>ROUND(BA20/BA21,3)</f>
        <v>0.16200000000000001</v>
      </c>
      <c r="BD22" s="83" t="s">
        <v>1339</v>
      </c>
      <c r="BE22" s="248" t="e">
        <f ca="1">IF(BE20=0,0,BE20-BE21)</f>
        <v>#N/A</v>
      </c>
      <c r="BG22" s="146"/>
      <c r="BH22" s="545" t="s">
        <v>1019</v>
      </c>
      <c r="BI22" s="299">
        <f>HLOOKUP(C11,Table_StateRates,5,FALSE)</f>
        <v>1.38</v>
      </c>
      <c r="BJ22" s="299">
        <f>HLOOKUP(C11,Table_StateRates,5,FALSE)</f>
        <v>1.38</v>
      </c>
      <c r="BK22" s="299">
        <f>HLOOKUP(C11,Table_StateRates,5,FALSE)</f>
        <v>1.38</v>
      </c>
      <c r="BL22" s="299">
        <f>HLOOKUP(C11,Table_StateRates,5,FALSE)</f>
        <v>1.38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>
        <v>40562</v>
      </c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0.29599999999999999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0.16200000000000001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>
        <f ca="1">ROUND(PRODUCT(BP21:BP22),3)</f>
        <v>1.4E-2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>
        <v>40621</v>
      </c>
      <c r="F24" s="875">
        <f>IF(OR(ISBLANK(E24),ISBLANK(E23)),0,E24-E23)</f>
        <v>59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>
        <f ca="1">W19</f>
        <v>0</v>
      </c>
      <c r="X24" s="1301">
        <f>X19</f>
        <v>0</v>
      </c>
      <c r="Y24" s="1301" t="e">
        <f>Y19</f>
        <v>#N/A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 t="e">
        <f ca="1">ROUND(PRODUCT(BE22:BE23),0)</f>
        <v>#N/A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429</v>
      </c>
      <c r="J25" s="248"/>
      <c r="K25" s="976"/>
      <c r="L25" s="478"/>
      <c r="N25" s="385"/>
      <c r="O25" s="685" t="s">
        <v>2236</v>
      </c>
      <c r="P25" s="1314">
        <f>ROUND(PRODUCT(P21:P24),3)</f>
        <v>1</v>
      </c>
      <c r="Q25" s="1314">
        <f>ROUND(PRODUCT(Q21:Q24),3)</f>
        <v>1</v>
      </c>
      <c r="R25" s="1314">
        <f>ROUND(PRODUCT(R21:R24),3)</f>
        <v>1</v>
      </c>
      <c r="S25" s="1314">
        <f>ROUND(PRODUCT(S21:S24),3)</f>
        <v>1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>
        <f ca="1">ROUND(PRODUCT(AD22:AD24),0)</f>
        <v>0</v>
      </c>
      <c r="AE25" s="248">
        <f>ROUND(PRODUCT(AE22:AE24),0)</f>
        <v>0</v>
      </c>
      <c r="AF25" s="248" t="e">
        <f>ROUND(PRODUCT(AF22:AF24),0)</f>
        <v>#N/A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IF(TC7_BLDG1!F20="Yes","Bldg","Available")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 t="e">
        <f>IF($C$12="SP",VLOOKUP($C$18,Table_TerrMult_SP,2,0),1)</f>
        <v>#N/A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0.29599999999999999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>
        <f ca="1">P20</f>
        <v>0.32700000000000001</v>
      </c>
      <c r="Q27" s="757">
        <f>Q20</f>
        <v>0.14699999999999999</v>
      </c>
      <c r="R27" s="757">
        <f>R20</f>
        <v>0.29599999999999999</v>
      </c>
      <c r="S27" s="757">
        <f>S20</f>
        <v>5.5E-2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>
        <f ca="1">ROUND(PRODUCT(BP23:BP26),3)</f>
        <v>1.4E-2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>
        <f ca="1">IF($C$30="Yes",B31,ROUND(PRODUCT(P25:P27),3))</f>
        <v>0.32700000000000001</v>
      </c>
      <c r="Q28" s="1315">
        <f>IF($C$30="Yes",C31,ROUND(PRODUCT(Q25:Q27),3))</f>
        <v>0.14699999999999999</v>
      </c>
      <c r="R28" s="1484" t="e">
        <f>IF($C$30="Yes",B32,ROUND(PRODUCT(R25:R27),4))</f>
        <v>#N/A</v>
      </c>
      <c r="S28" s="1315">
        <f>IF($C$30="Yes",C32,ROUND(PRODUCT(S25:S27),3))</f>
        <v>5.5E-2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>
        <f>ROUND(PRODUCT(AU20:AU27),3)</f>
        <v>0.38500000000000001</v>
      </c>
      <c r="AV28" s="247">
        <f>ROUND(PRODUCT(AV20:AV27),3)</f>
        <v>0.29599999999999999</v>
      </c>
      <c r="AW28" s="247">
        <f>ROUND(PRODUCT(AW20:AW27),3)</f>
        <v>0.14399999999999999</v>
      </c>
      <c r="AY28" s="60" t="s">
        <v>1583</v>
      </c>
      <c r="BH28" s="301" t="s">
        <v>1389</v>
      </c>
      <c r="BI28" s="247">
        <f>ROUND(PRODUCT(BI19:BI27),3)</f>
        <v>2.1000000000000001E-2</v>
      </c>
      <c r="BJ28" s="247">
        <f>ROUND(PRODUCT(BJ19:BJ27),3)</f>
        <v>1.6E-2</v>
      </c>
      <c r="BK28" s="247">
        <f>ROUND(PRODUCT(BK19:BK27),3)</f>
        <v>5.5E-2</v>
      </c>
      <c r="BL28" s="247">
        <f>ROUND(PRODUCT(BL19:BL27),3)</f>
        <v>1.6E-2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857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0.57899999999999996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>
        <f ca="1">ROUND(PRODUCT(BP27:BP28),0)</f>
        <v>0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 t="e">
        <f ca="1">IF(AND(C27="Yes",F21="Yes"),BE24,0)</f>
        <v>#N/A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>
        <f ca="1">$P$28</f>
        <v>0.32700000000000001</v>
      </c>
      <c r="X30" s="1300">
        <f>$Q$28</f>
        <v>0.14699999999999999</v>
      </c>
      <c r="Y30" s="1300" t="e">
        <f>$R$28</f>
        <v>#N/A</v>
      </c>
      <c r="Z30" s="1300">
        <f>$S$28</f>
        <v>5.5E-2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428</v>
      </c>
      <c r="AN30" s="1430"/>
      <c r="AO30" s="1226" t="s">
        <v>2254</v>
      </c>
      <c r="AP30" s="238">
        <f>IF(F3="Yes",E5/100,0)</f>
        <v>5000</v>
      </c>
      <c r="AS30" s="301" t="s">
        <v>1060</v>
      </c>
      <c r="AT30" s="248">
        <f>ROUND(PRODUCT(AT28:AT29),0)</f>
        <v>0</v>
      </c>
      <c r="AU30" s="248">
        <f>ROUND(PRODUCT(AU28:AU29),0)</f>
        <v>0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0.21299999999999999</v>
      </c>
      <c r="C31" s="1455">
        <v>0.09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0.77800000000000002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0.67200000000000004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0.57899999999999996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0.57899999999999996</v>
      </c>
      <c r="T31" s="299"/>
      <c r="U31" s="1288"/>
      <c r="V31" s="1117" t="s">
        <v>2152</v>
      </c>
      <c r="W31" s="247">
        <f>P$31</f>
        <v>0.77800000000000002</v>
      </c>
      <c r="X31" s="247">
        <f t="shared" ref="X31:Z31" si="2">Q$31</f>
        <v>0.67200000000000004</v>
      </c>
      <c r="Y31" s="247">
        <f t="shared" si="2"/>
        <v>0.57899999999999996</v>
      </c>
      <c r="Z31" s="247">
        <f t="shared" si="2"/>
        <v>0.57899999999999996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429</v>
      </c>
      <c r="AN31" s="796"/>
      <c r="AO31" s="301" t="s">
        <v>2132</v>
      </c>
      <c r="AP31" s="1228">
        <f>ROUND(PRODUCT(AP26,AP29:AP30),0)</f>
        <v>857</v>
      </c>
      <c r="AR31" s="185"/>
      <c r="AS31" s="187" t="s">
        <v>1021</v>
      </c>
      <c r="AT31" s="238">
        <f>AT38</f>
        <v>0</v>
      </c>
      <c r="AU31" s="185">
        <f>AU38</f>
        <v>0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8.8999999999999996E-2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2500</v>
      </c>
      <c r="Q32" s="238">
        <f>IF(ISBLANK(C41),0,C41/100)</f>
        <v>2500</v>
      </c>
      <c r="R32" s="238">
        <f>IF(ISBLANK(C41),0,C41/100)</f>
        <v>2500</v>
      </c>
      <c r="S32" s="238">
        <f>IF(ISBLANK(C41),0,C41/100)</f>
        <v>2500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>
        <f>SUM(AU30:AU31)</f>
        <v>0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1.38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0" t="s">
        <v>1242</v>
      </c>
      <c r="E33" s="950">
        <v>500000</v>
      </c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>
        <f ca="1">IF($C$30="Yes",ROUND(PRODUCT(P28,P32),0),ROUND(PRODUCT(P28,P31:P32),0))</f>
        <v>636</v>
      </c>
      <c r="Q33" s="1481">
        <f>IF($C$30="Yes",ROUND(PRODUCT(Q28,Q32),0),ROUND(PRODUCT(Q28,Q31:Q32),0))</f>
        <v>247</v>
      </c>
      <c r="R33" s="1481" t="e">
        <f>IF($C$30="Yes",ROUND(PRODUCT(R28,R32),0),ROUND(PRODUCT(R28,R31:R32),0))</f>
        <v>#N/A</v>
      </c>
      <c r="S33" s="1481">
        <f>IF($C$30="Yes",ROUND(PRODUCT(S28,S32),0),ROUND(PRODUCT(S28,S31:S32),0))</f>
        <v>80</v>
      </c>
      <c r="U33" s="1293"/>
      <c r="V33" s="1303" t="s">
        <v>2161</v>
      </c>
      <c r="W33" s="1306">
        <f ca="1">ROUND(PRODUCT(W30:W32),0)</f>
        <v>0</v>
      </c>
      <c r="X33" s="1306">
        <f>ROUND(PRODUCT(X30:X32),0)</f>
        <v>0</v>
      </c>
      <c r="Y33" s="1306" t="e">
        <f>ROUND(PRODUCT(Y30:Y32),0)</f>
        <v>#N/A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1.38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 t="s">
        <v>742</v>
      </c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>
        <f ca="1">P41</f>
        <v>0</v>
      </c>
      <c r="Q34" s="185">
        <f>Q41</f>
        <v>0</v>
      </c>
      <c r="R34" s="185" t="e">
        <f>R41</f>
        <v>#N/A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>A</v>
      </c>
      <c r="C35" s="1114" t="s">
        <v>48</v>
      </c>
      <c r="D35" s="930" t="s">
        <v>910</v>
      </c>
      <c r="E35" s="958">
        <v>2</v>
      </c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>
        <f ca="1">SUM(P33:P34)</f>
        <v>636</v>
      </c>
      <c r="Q35" s="248">
        <f>SUM(Q33:Q34)</f>
        <v>247</v>
      </c>
      <c r="R35" s="248" t="e">
        <f>SUM(R33:R34)</f>
        <v>#N/A</v>
      </c>
      <c r="S35" s="248">
        <f>SUM(S33:S34)</f>
        <v>80</v>
      </c>
      <c r="T35" s="235"/>
      <c r="U35" s="1288"/>
      <c r="V35" s="1291" t="s">
        <v>2162</v>
      </c>
      <c r="W35" s="1301">
        <f ca="1">SUM(W33:W34)</f>
        <v>0</v>
      </c>
      <c r="X35" s="1301">
        <f>SUM(X33:X34)</f>
        <v>0</v>
      </c>
      <c r="Y35" s="1301" t="e">
        <f>SUM(Y33:Y34)</f>
        <v>#N/A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1.38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/>
      </c>
      <c r="D36" s="930" t="s">
        <v>1615</v>
      </c>
      <c r="E36" s="958" t="s">
        <v>857</v>
      </c>
      <c r="F36" s="855">
        <f>IF(ISBLANK(E34),"",VLOOKUP(E34,Table_SpoilTypes,3,FALSE))</f>
        <v>1</v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>
        <f>AU30</f>
        <v>0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5000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 t="e">
        <f ca="1">SUM(I25:I31,I36)</f>
        <v>#N/A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>
        <f ca="1">W33</f>
        <v>0</v>
      </c>
      <c r="X38" s="1301">
        <f>X33</f>
        <v>0</v>
      </c>
      <c r="Y38" s="1301" t="e">
        <f>Y33</f>
        <v>#N/A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>
        <f>ROUND(PRODUCT(AU36:AU37),0)</f>
        <v>0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>
        <f ca="1">P33</f>
        <v>636</v>
      </c>
      <c r="Q39" s="248">
        <f>Q33</f>
        <v>247</v>
      </c>
      <c r="R39" s="248" t="e">
        <f>R33</f>
        <v>#N/A</v>
      </c>
      <c r="S39" s="248">
        <f>S33</f>
        <v>80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1.38</v>
      </c>
      <c r="BQ39" s="423"/>
      <c r="BR39" s="542"/>
      <c r="BS39" s="597" t="s">
        <v>1019</v>
      </c>
      <c r="BT39" s="279">
        <f>HLOOKUP(C11,Table_StateRates,5,FALSE)</f>
        <v>1.38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3.9E-2</v>
      </c>
      <c r="BQ40" s="559"/>
      <c r="BR40" s="423"/>
      <c r="BS40" s="810" t="s">
        <v>1134</v>
      </c>
      <c r="BT40" s="426">
        <f>ROUND(PRODUCT(BT35:BT39),3)</f>
        <v>3.9E-2</v>
      </c>
    </row>
    <row r="41" spans="1:72" ht="13.5" thickBot="1" x14ac:dyDescent="0.25">
      <c r="A41" s="203" t="s">
        <v>2112</v>
      </c>
      <c r="B41" s="104"/>
      <c r="C41" s="943">
        <v>250000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>
        <f ca="1">ROUND(PRODUCT(P39:P40),0)</f>
        <v>0</v>
      </c>
      <c r="Q41" s="248">
        <f>ROUND(PRODUCT(Q39:Q40),0)</f>
        <v>0</v>
      </c>
      <c r="R41" s="248" t="e">
        <f>ROUND(PRODUCT(R39:R40),0)</f>
        <v>#N/A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>
        <f>IF(OR(C28="S",C28="T"),1,VLOOKUP(C14,Table_ProtClass,IF(C15&lt;=3,2,3),FALSE))</f>
        <v>0.96</v>
      </c>
      <c r="BQ41" s="426"/>
      <c r="BR41" s="423"/>
      <c r="BS41" s="906" t="s">
        <v>1178</v>
      </c>
      <c r="BT41" s="423">
        <f>IF(OR(C28="S",C28="T"),1,VLOOKUP(C14,Table_ProtClass,IF(C15&lt;=3,2,3),FALSE))</f>
        <v>0.96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>
        <f>ROUND(PRODUCT(BT40:BT42),3)</f>
        <v>1.9E-2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>
        <f ca="1">$P$28</f>
        <v>0.32700000000000001</v>
      </c>
      <c r="X44" s="1300">
        <f>$Q$28</f>
        <v>0.14699999999999999</v>
      </c>
      <c r="Y44" s="1300" t="e">
        <f>$R$28</f>
        <v>#N/A</v>
      </c>
      <c r="Z44" s="1300">
        <f>$S$28</f>
        <v>5.5E-2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>
        <f>P$31</f>
        <v>0.77800000000000002</v>
      </c>
      <c r="X45" s="247">
        <f t="shared" ref="X45:Z45" si="3">Q$31</f>
        <v>0.67200000000000004</v>
      </c>
      <c r="Y45" s="247">
        <f t="shared" si="3"/>
        <v>0.57899999999999996</v>
      </c>
      <c r="Z45" s="247">
        <f t="shared" si="3"/>
        <v>0.57899999999999996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>
        <f>ROUND(PRODUCT(BP40:BP44),3)</f>
        <v>3.6999999999999998E-2</v>
      </c>
      <c r="BQ45" s="266"/>
      <c r="BR45" s="426"/>
      <c r="BS45" s="811" t="s">
        <v>1418</v>
      </c>
      <c r="BT45" s="812">
        <f>ROUND(PRODUCT(BT43:BT44),0)</f>
        <v>0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2500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>
        <f ca="1">ROUND(PRODUCT(W44:W46),0)</f>
        <v>0</v>
      </c>
      <c r="X47" s="1306">
        <f>ROUND(PRODUCT(X44:X46),0)</f>
        <v>0</v>
      </c>
      <c r="Y47" s="1306" t="e">
        <f>ROUND(PRODUCT(Y44:Y46),0)</f>
        <v>#N/A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>
        <f>ROUND(PRODUCT(BP45:BP46),0)</f>
        <v>93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>
        <f>IF(AND(C21="Yes",C24="Yes"),BP49,IF(AND(C21="Yes",C24="No"),B24,0))</f>
        <v>93</v>
      </c>
      <c r="T49" s="266"/>
      <c r="U49" s="1288"/>
      <c r="V49" s="1291" t="s">
        <v>2164</v>
      </c>
      <c r="W49" s="1301">
        <f ca="1">SUM(W47:W48)</f>
        <v>0</v>
      </c>
      <c r="X49" s="1301">
        <f>SUM(X47:X48)</f>
        <v>0</v>
      </c>
      <c r="Y49" s="1301" t="e">
        <f>SUM(Y47:Y48)</f>
        <v>#N/A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>
        <f>SUM(BP47,BT45)</f>
        <v>93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>
        <f ca="1">W47</f>
        <v>0</v>
      </c>
      <c r="X52" s="1301">
        <f>X47</f>
        <v>0</v>
      </c>
      <c r="Y52" s="1301" t="e">
        <f>Y47</f>
        <v>#N/A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 t="e">
        <f ca="1">SUM(I16:L16,I38,I46,I52)</f>
        <v>#N/A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 t="e">
        <f ca="1">SUM(I54,I49)</f>
        <v>#N/A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250000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124" priority="15" stopIfTrue="1">
      <formula>IF($C$24="Yes",FALSE,TRUE)</formula>
    </cfRule>
  </conditionalFormatting>
  <conditionalFormatting sqref="C18">
    <cfRule type="expression" dxfId="123" priority="13">
      <formula>IF($C$12="SP",TRUE,FALSE)</formula>
    </cfRule>
    <cfRule type="expression" dxfId="122" priority="14">
      <formula>IF($C$12="SP",TRUE,FALSE)</formula>
    </cfRule>
  </conditionalFormatting>
  <conditionalFormatting sqref="A18">
    <cfRule type="expression" dxfId="121" priority="12">
      <formula>IF($C$12="SP",TRUE,FALSE)</formula>
    </cfRule>
  </conditionalFormatting>
  <conditionalFormatting sqref="B21">
    <cfRule type="expression" dxfId="120" priority="9">
      <formula>IF($C$21="Yes",TRUE,FALSE)</formula>
    </cfRule>
  </conditionalFormatting>
  <conditionalFormatting sqref="C32">
    <cfRule type="expression" dxfId="119" priority="2">
      <formula>IF(AND($C$30="Yes",$C$12="BR"),TRUE,FALSE)</formula>
    </cfRule>
  </conditionalFormatting>
  <conditionalFormatting sqref="B32">
    <cfRule type="expression" dxfId="118" priority="1">
      <formula>IF(AND($C$30="Yes",$C$12="SP"),TRUE,FALSE)</formula>
    </cfRule>
  </conditionalFormatting>
  <conditionalFormatting sqref="B31:C31">
    <cfRule type="expression" dxfId="117" priority="3">
      <formula>IF($C$30="Yes",TRUE,FALSE)</formula>
    </cfRule>
  </conditionalFormatting>
  <dataValidations count="111"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custom" allowBlank="1" showInputMessage="1" showErrorMessage="1" errorTitle="Do Not Touch" error="This is used to generate the Coinsurance rate." sqref="B58 E62">
      <formula1>FALSE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allowBlank="1" showInputMessage="1" showErrorMessage="1" promptTitle="Occupancy Type Description" prompt="Displays the description of the choice made in the cell to the left.  " sqref="B38 B33"/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custom" allowBlank="1" showInputMessage="1" showErrorMessage="1" prompt="Personal Property Lookup Value" sqref="F4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EQ Table Lookup Value" sqref="F54:F5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Spoilage Coverage" prompt="Please Select:_x000a_{ Yes or No }" sqref="F32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custom" allowBlank="1" showInputMessage="1" showErrorMessage="1" prompt="Lookup Value for Spoil Coverage Loss Cost Table" sqref="F33">
      <formula1>FALSE</formula1>
    </dataValidation>
    <dataValidation type="custom" allowBlank="1" showInputMessage="1" showErrorMessage="1" prompt="Spoilage Loss Cost Column Reference" sqref="F37">
      <formula1>FALSE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V67"/>
  <sheetViews>
    <sheetView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4.140625" style="2" customWidth="1"/>
    <col min="3" max="3" width="13.5703125" style="2" customWidth="1"/>
    <col min="4" max="4" width="27.42578125" style="2" customWidth="1"/>
    <col min="5" max="5" width="11.85546875" style="2" customWidth="1"/>
    <col min="6" max="6" width="12.5703125" style="2" customWidth="1"/>
    <col min="7" max="7" width="9.140625" style="2"/>
    <col min="8" max="8" width="38.7109375" style="2" customWidth="1"/>
    <col min="9" max="12" width="12.85546875" style="2" customWidth="1"/>
    <col min="13" max="13" width="8.140625" style="2" customWidth="1"/>
    <col min="14" max="14" width="18.140625" style="2" customWidth="1"/>
    <col min="15" max="15" width="23" style="2" customWidth="1"/>
    <col min="16" max="19" width="11.42578125" style="2" customWidth="1"/>
    <col min="20" max="20" width="9.140625" style="2"/>
    <col min="21" max="21" width="18.140625" style="2" customWidth="1"/>
    <col min="22" max="22" width="23" style="2" customWidth="1"/>
    <col min="23" max="26" width="11.42578125" style="2" customWidth="1"/>
    <col min="27" max="27" width="9.140625" style="2"/>
    <col min="28" max="28" width="18.140625" style="2" customWidth="1"/>
    <col min="29" max="29" width="23" style="2" customWidth="1"/>
    <col min="30" max="30" width="11.42578125" style="2" customWidth="1"/>
    <col min="31" max="31" width="8.28515625" style="2" customWidth="1"/>
    <col min="32" max="32" width="17.42578125" style="2" customWidth="1"/>
    <col min="33" max="33" width="20.7109375" style="2" customWidth="1"/>
    <col min="34" max="34" width="12.140625" style="2" customWidth="1"/>
    <col min="35" max="35" width="4.7109375" style="2" customWidth="1"/>
    <col min="36" max="36" width="19.42578125" style="2" customWidth="1"/>
    <col min="37" max="37" width="26" style="2" customWidth="1"/>
    <col min="38" max="41" width="13.140625" style="2" customWidth="1"/>
    <col min="42" max="42" width="9.140625" style="2"/>
    <col min="43" max="43" width="34.28515625" style="2" customWidth="1"/>
    <col min="44" max="44" width="23.7109375" style="2" customWidth="1"/>
    <col min="45" max="45" width="14.28515625" style="2" customWidth="1"/>
    <col min="46" max="46" width="5.7109375" style="2" customWidth="1"/>
    <col min="47" max="16384" width="9.140625" style="2"/>
  </cols>
  <sheetData>
    <row r="1" spans="1:46" ht="19.5" customHeight="1" thickBot="1" x14ac:dyDescent="0.25">
      <c r="A1" s="99" t="s">
        <v>834</v>
      </c>
      <c r="B1" s="94"/>
      <c r="C1" s="94"/>
      <c r="D1" s="525"/>
      <c r="E1" s="525"/>
      <c r="F1" s="106" t="s">
        <v>840</v>
      </c>
      <c r="H1" s="1594" t="s">
        <v>1756</v>
      </c>
      <c r="I1" s="1595"/>
      <c r="J1" s="1595"/>
      <c r="K1" s="1595"/>
      <c r="L1" s="1596"/>
      <c r="N1" s="60" t="s">
        <v>977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1602" t="s">
        <v>675</v>
      </c>
      <c r="AC1" s="1603"/>
      <c r="AD1" s="1603"/>
      <c r="AE1" s="1603"/>
      <c r="AF1" s="1603"/>
      <c r="AG1" s="1603"/>
      <c r="AH1" s="1604"/>
      <c r="AI1" s="814"/>
      <c r="AJ1" s="60"/>
      <c r="AL1" s="235" t="s">
        <v>1012</v>
      </c>
      <c r="AM1" s="235" t="s">
        <v>1013</v>
      </c>
      <c r="AN1" s="235" t="s">
        <v>838</v>
      </c>
      <c r="AO1" s="235" t="s">
        <v>837</v>
      </c>
      <c r="AQ1" s="1617" t="s">
        <v>949</v>
      </c>
      <c r="AR1" s="1617"/>
      <c r="AS1" s="1617"/>
      <c r="AT1" s="385"/>
    </row>
    <row r="2" spans="1:46" ht="12.75" customHeight="1" thickBot="1" x14ac:dyDescent="0.25">
      <c r="A2" s="529" t="s">
        <v>1832</v>
      </c>
      <c r="B2" s="530"/>
      <c r="C2" s="5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1611</v>
      </c>
      <c r="AB2" s="814"/>
      <c r="AC2" s="814"/>
      <c r="AD2" s="814"/>
      <c r="AE2" s="814"/>
      <c r="AF2" s="814"/>
      <c r="AG2" s="814"/>
      <c r="AH2" s="814"/>
      <c r="AI2" s="814"/>
      <c r="AJ2" s="60" t="s">
        <v>550</v>
      </c>
      <c r="AL2" s="235"/>
      <c r="AM2" s="235"/>
      <c r="AN2" s="235"/>
      <c r="AO2" s="235"/>
      <c r="AT2" s="385"/>
    </row>
    <row r="3" spans="1:46" ht="13.5" thickBot="1" x14ac:dyDescent="0.25">
      <c r="A3" s="744" t="s">
        <v>195</v>
      </c>
      <c r="B3" s="745" t="str">
        <f>IF(C3="Building","B",IF(C3="Pers Pty","PP","None"))</f>
        <v>B</v>
      </c>
      <c r="C3" s="978" t="str">
        <f>IF(AND(TC7_BLDG1!C27="Yes",TC7_PP1!C27="Yes"),"Building",IF(AND(TC7_BLDG1!C27="No",TC7_PP1!C27="Yes"),"Pers Pty",IF(AND(TC7_BLDG1!C27="Yes",TC7_PP1!C27="No"),"Building","Neither")))</f>
        <v>Building</v>
      </c>
      <c r="D3" s="203" t="s">
        <v>1</v>
      </c>
      <c r="E3" s="820" t="str">
        <f>IF(TC7_EE1!F3="Yes","EE","Available")</f>
        <v>EE</v>
      </c>
      <c r="F3" s="1070" t="s">
        <v>857</v>
      </c>
      <c r="H3" s="1273">
        <f>Summary7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1546</v>
      </c>
      <c r="W3" s="247">
        <f>B29</f>
        <v>0.126</v>
      </c>
      <c r="X3" s="2">
        <f>C29</f>
        <v>4.2000000000000003E-2</v>
      </c>
      <c r="Y3" s="2">
        <f>IF(C12="SP",VLOOKUP(B13,Table_Time_Special,E4,FALSE),0)</f>
        <v>4.3999999999999997E-2</v>
      </c>
      <c r="Z3" s="2">
        <f>HLOOKUP(B12,Table_BroadTime,IF(F5="Yes",3,2),FALSE)</f>
        <v>1.0999999999999999E-2</v>
      </c>
      <c r="AB3" s="60" t="s">
        <v>682</v>
      </c>
      <c r="AD3" s="235"/>
      <c r="AE3" s="235"/>
      <c r="AF3" s="60" t="s">
        <v>683</v>
      </c>
      <c r="AH3" s="235"/>
      <c r="AI3" s="235"/>
      <c r="AJ3" s="146"/>
      <c r="AK3" s="545" t="s">
        <v>1049</v>
      </c>
      <c r="AL3" s="146">
        <f>VLOOKUP(1,Table_Time_Utility,2,FALSE)</f>
        <v>2.1999999999999999E-2</v>
      </c>
      <c r="AM3" s="146">
        <f>VLOOKUP(1,Table_Time_Utility,3,FALSE)</f>
        <v>1.0999999999999999E-2</v>
      </c>
      <c r="AN3" s="146">
        <f>VLOOKUP(1,Table_Time_Utility,5,FALSE)</f>
        <v>1.9E-2</v>
      </c>
      <c r="AO3" s="563">
        <f>VLOOKUP(1,Table_Time_Utility,4,FALSE)</f>
        <v>6.0000000000000001E-3</v>
      </c>
      <c r="AQ3" s="154" t="s">
        <v>950</v>
      </c>
      <c r="AR3" s="86"/>
      <c r="AS3" s="156" t="s">
        <v>951</v>
      </c>
      <c r="AT3" s="385"/>
    </row>
    <row r="4" spans="1:46" x14ac:dyDescent="0.2">
      <c r="A4" s="120" t="s">
        <v>1024</v>
      </c>
      <c r="B4" s="95"/>
      <c r="C4" s="818" t="str">
        <f>IF(B3="B",TC7_BLDG1!C3,IF(B3="PP",TC7_PP1!C3,""))</f>
        <v>CT</v>
      </c>
      <c r="D4" s="107" t="s">
        <v>961</v>
      </c>
      <c r="E4" s="887">
        <f>IF(C12&lt;&gt;"SP","N/A",IF(F5="Yes",3,2))</f>
        <v>2</v>
      </c>
      <c r="F4" s="962">
        <v>500000</v>
      </c>
      <c r="H4" s="82"/>
      <c r="I4" s="189"/>
      <c r="J4" s="4"/>
      <c r="K4" s="4"/>
      <c r="L4" s="4"/>
      <c r="N4" s="146"/>
      <c r="O4" s="83" t="s">
        <v>2166</v>
      </c>
      <c r="P4" s="1418">
        <f>PRODUCT(P2:P3)</f>
        <v>2.6219999999999999</v>
      </c>
      <c r="Q4" s="1418">
        <f>PRODUCT(Q2:Q3)</f>
        <v>2.6219999999999999</v>
      </c>
      <c r="R4" s="1418">
        <f>PRODUCT(R2:R3)</f>
        <v>2.6219999999999999</v>
      </c>
      <c r="S4" s="1418">
        <f>PRODUCT(S2:S3)</f>
        <v>2.6219999999999999</v>
      </c>
      <c r="V4" s="168" t="s">
        <v>970</v>
      </c>
      <c r="W4" s="207">
        <f>IF(B32="Yes",DF_Sprinkler50,1)</f>
        <v>1</v>
      </c>
      <c r="X4" s="207">
        <v>1</v>
      </c>
      <c r="Y4" s="207">
        <v>1</v>
      </c>
      <c r="Z4" s="207">
        <v>1</v>
      </c>
      <c r="AB4" s="266"/>
      <c r="AC4" s="268" t="s">
        <v>1749</v>
      </c>
      <c r="AD4" s="426" t="e">
        <f>IF(F56="Yes",VLOOKUP(F58,Table_EQ_LC,3,FALSE),0)</f>
        <v>#N/A</v>
      </c>
      <c r="AE4" s="266"/>
      <c r="AF4" s="266"/>
      <c r="AG4" s="268" t="s">
        <v>1752</v>
      </c>
      <c r="AH4" s="426">
        <f>IF(F60="Yes",VLOOKUP(E61,Table_Other_PierWharf,6,FALSE),0)</f>
        <v>0</v>
      </c>
      <c r="AI4" s="426"/>
      <c r="AJ4" s="185"/>
      <c r="AK4" s="186" t="s">
        <v>1050</v>
      </c>
      <c r="AL4" s="238">
        <f>F48</f>
        <v>0</v>
      </c>
      <c r="AM4" s="238">
        <f>F48</f>
        <v>0</v>
      </c>
      <c r="AN4" s="238">
        <f>F48</f>
        <v>0</v>
      </c>
      <c r="AO4" s="785">
        <f>F48</f>
        <v>0</v>
      </c>
      <c r="AQ4" s="686" t="s">
        <v>1715</v>
      </c>
      <c r="AS4" s="155">
        <f>IF(AS23&lt;-0.05,-0.05,IF(AS23&gt;0.05,0.05,AS23))</f>
        <v>0</v>
      </c>
      <c r="AT4" s="385"/>
    </row>
    <row r="5" spans="1:46" x14ac:dyDescent="0.2">
      <c r="A5" s="120" t="s">
        <v>1828</v>
      </c>
      <c r="B5" s="729">
        <f>IF(B3="B",TC7_BLDG1!B4,IF(B3="PP",TC7_PP1!B4,""))</f>
        <v>0</v>
      </c>
      <c r="C5" s="818">
        <f>IF(B3="B",TC7_BLDG1!C4,IF(B3="PP",TC7_PP1!C4,""))</f>
        <v>0</v>
      </c>
      <c r="D5" s="124" t="s">
        <v>1218</v>
      </c>
      <c r="E5" s="888">
        <f>IF(F5="Yes",2,3)</f>
        <v>3</v>
      </c>
      <c r="F5" s="962" t="s">
        <v>857</v>
      </c>
      <c r="H5" s="483" t="s">
        <v>977</v>
      </c>
      <c r="I5" s="484">
        <f>IF(F3="Yes",P38,0)</f>
        <v>0</v>
      </c>
      <c r="J5" s="484">
        <f>IF(F3="Yes",Q38,0)</f>
        <v>0</v>
      </c>
      <c r="K5" s="484">
        <f>IF(AND(C12="SP",F3="Yes"),R38,0)</f>
        <v>0</v>
      </c>
      <c r="L5" s="484">
        <f>IF(AND(C12="BR",F3="Yes"),S38,0)</f>
        <v>0</v>
      </c>
      <c r="O5" s="168" t="str">
        <f>C3&amp;" - Loss Cost"</f>
        <v>Building - Loss Cost</v>
      </c>
      <c r="P5" s="247">
        <f>B29</f>
        <v>0.126</v>
      </c>
      <c r="Q5" s="2">
        <f>C29</f>
        <v>4.2000000000000003E-2</v>
      </c>
      <c r="R5" s="247">
        <f>IF(C12="SP",VLOOKUP(B13,Table_Time_Special,E4,FALSE),0)</f>
        <v>4.3999999999999997E-2</v>
      </c>
      <c r="S5" s="2">
        <f>HLOOKUP(B12,Table_BroadTime,IF(F5="Yes",3,2),FALSE)</f>
        <v>1.0999999999999999E-2</v>
      </c>
      <c r="U5" s="185"/>
      <c r="V5" s="186" t="s">
        <v>971</v>
      </c>
      <c r="W5" s="208">
        <f>HLOOKUP(C11,Table_StateRates,6,FALSE)</f>
        <v>1.9</v>
      </c>
      <c r="X5" s="208">
        <f>HLOOKUP(C11,Table_StateRates,6,FALSE)</f>
        <v>1.9</v>
      </c>
      <c r="Y5" s="208">
        <f>HLOOKUP(C11,Table_StateRates,6,FALSE)</f>
        <v>1.9</v>
      </c>
      <c r="Z5" s="208">
        <f>HLOOKUP(C11,Table_StateRates,6,FALSE)</f>
        <v>1.9</v>
      </c>
      <c r="AB5" s="542"/>
      <c r="AC5" s="724" t="s">
        <v>1750</v>
      </c>
      <c r="AD5" s="757">
        <f>IF(F56="Yes",VLOOKUP(F57,Table_EQ_SprLkgExt,4,FALSE),0)</f>
        <v>0.21</v>
      </c>
      <c r="AE5" s="558"/>
      <c r="AF5" s="558"/>
      <c r="AG5" s="755" t="s">
        <v>971</v>
      </c>
      <c r="AH5" s="558">
        <f>HLOOKUP(C11,Table_StateRates,6,FALSE)</f>
        <v>1.9</v>
      </c>
      <c r="AI5" s="558"/>
      <c r="AJ5" s="146"/>
      <c r="AK5" s="301" t="s">
        <v>1051</v>
      </c>
      <c r="AL5" s="146">
        <f>ROUND(PRODUCT(AL3:AL4),3)</f>
        <v>0</v>
      </c>
      <c r="AM5" s="146">
        <f>ROUND(PRODUCT(AM3:AM4),3)</f>
        <v>0</v>
      </c>
      <c r="AN5" s="146">
        <f>ROUND(PRODUCT(AN3:AN4),3)</f>
        <v>0</v>
      </c>
      <c r="AO5" s="146">
        <f>ROUND(PRODUCT(AO3:AO4),3)</f>
        <v>0</v>
      </c>
      <c r="AQ5" s="151" t="s">
        <v>1714</v>
      </c>
      <c r="AS5" s="155">
        <f>IF(AS24&lt;-0.06,-0.06,IF(AS24&gt;0.06,0.06,AS24))</f>
        <v>0</v>
      </c>
      <c r="AT5" s="385"/>
    </row>
    <row r="6" spans="1:46" x14ac:dyDescent="0.2">
      <c r="A6" s="120"/>
      <c r="B6" s="95"/>
      <c r="C6" s="1047"/>
      <c r="D6" s="84" t="s">
        <v>1227</v>
      </c>
      <c r="E6" s="193"/>
      <c r="F6" s="962" t="s">
        <v>857</v>
      </c>
      <c r="H6" s="83"/>
      <c r="I6" s="248"/>
      <c r="J6" s="260"/>
      <c r="K6" s="260"/>
      <c r="L6" s="260"/>
      <c r="O6" s="168" t="s">
        <v>972</v>
      </c>
      <c r="P6" s="207">
        <f>IF(OR(C27="S",C27="T"),1,VLOOKUP(C14,Table_ProtClass,IF(C15&lt;=3,2,3),FALSE)) - IF(AND(C33=1,ISNUMBER(B31),P11=1),B31,0)</f>
        <v>0.96</v>
      </c>
      <c r="Q6" s="207">
        <v>1</v>
      </c>
      <c r="R6" s="207">
        <v>1</v>
      </c>
      <c r="S6" s="207">
        <v>1</v>
      </c>
      <c r="V6" s="83" t="s">
        <v>1134</v>
      </c>
      <c r="W6" s="247">
        <f>ROUND(PRODUCT(W3:W5),3)</f>
        <v>0.23899999999999999</v>
      </c>
      <c r="X6" s="247">
        <f>ROUND(PRODUCT(X3:X5),3)</f>
        <v>0.08</v>
      </c>
      <c r="Y6" s="247">
        <f>ROUND(PRODUCT(Y3:Y5),3)</f>
        <v>8.4000000000000005E-2</v>
      </c>
      <c r="Z6" s="247">
        <f>ROUND(PRODUCT(Z3:Z5),3)</f>
        <v>2.1000000000000001E-2</v>
      </c>
      <c r="AB6" s="266"/>
      <c r="AC6" s="568" t="s">
        <v>1751</v>
      </c>
      <c r="AD6" s="426" t="e">
        <f>PRODUCT(AD4:AD5)</f>
        <v>#N/A</v>
      </c>
      <c r="AE6" s="266"/>
      <c r="AF6" s="266"/>
      <c r="AG6" s="268" t="s">
        <v>1019</v>
      </c>
      <c r="AH6" s="423">
        <f>HLOOKUP(C11,Table_StateRates,5,FALSE)</f>
        <v>1.38</v>
      </c>
      <c r="AI6" s="423"/>
      <c r="AK6" s="168" t="s">
        <v>971</v>
      </c>
      <c r="AL6" s="207">
        <f>HLOOKUP(C11,Table_StateRates,6,FALSE)</f>
        <v>1.9</v>
      </c>
      <c r="AM6" s="207">
        <f>HLOOKUP(C11,Table_StateRates,6,FALSE)</f>
        <v>1.9</v>
      </c>
      <c r="AN6" s="207">
        <f>HLOOKUP(C11,Table_StateRates,6,FALSE)</f>
        <v>1.9</v>
      </c>
      <c r="AO6" s="207">
        <f>HLOOKUP(C11,Table_StateRates,6,FALSE)</f>
        <v>1.9</v>
      </c>
      <c r="AQ6" s="8" t="s">
        <v>1716</v>
      </c>
      <c r="AS6" s="155">
        <f>IF(AS25&lt;-0.06,-0.06,IF(AS25&gt;0.06,0.06,AS25))</f>
        <v>0</v>
      </c>
      <c r="AT6" s="385"/>
    </row>
    <row r="7" spans="1:46" ht="13.5" thickBot="1" x14ac:dyDescent="0.25">
      <c r="A7" s="120" t="s">
        <v>969</v>
      </c>
      <c r="B7" s="95"/>
      <c r="C7" s="1079" t="str">
        <f>IF(B3="B",TC7_BLDG1!C6,IF(B3="PP",TC7_PP1!C6,""))</f>
        <v>CPP</v>
      </c>
      <c r="D7" s="84" t="s">
        <v>1222</v>
      </c>
      <c r="E7" s="103"/>
      <c r="F7" s="962">
        <v>100</v>
      </c>
      <c r="H7" s="83"/>
      <c r="I7" s="248"/>
      <c r="J7" s="260"/>
      <c r="K7" s="260"/>
      <c r="L7" s="260"/>
      <c r="N7" s="185"/>
      <c r="O7" s="186" t="s">
        <v>970</v>
      </c>
      <c r="P7" s="208">
        <f>IF(C32="Yes",DF_Sprinkler50,1)</f>
        <v>1</v>
      </c>
      <c r="Q7" s="208">
        <v>1</v>
      </c>
      <c r="R7" s="208">
        <f>IF(C32="Yes",DF_Sprinkler50,1)</f>
        <v>1</v>
      </c>
      <c r="S7" s="208">
        <v>1</v>
      </c>
      <c r="U7" s="185"/>
      <c r="V7" s="186" t="s">
        <v>1253</v>
      </c>
      <c r="W7" s="455">
        <f>IF(OR(ISBLANK(F7),F7="None"),1,IF(E8="Yes",F14,VLOOKUP(F7,IF(F5="Yes",Table_BI_CoIns_EE,Table_BI_CoIns),F8+1,FALSE)+P18))</f>
        <v>0.54</v>
      </c>
      <c r="X7" s="455">
        <f>IF(OR(ISBLANK(F7),F7="None"),1,IF(E8="Yes",F14,VLOOKUP(F7,IF(F5="Yes",Table_BI_CoIns_EE,Table_BI_CoIns),F8+1,FALSE)+X18))</f>
        <v>0.54</v>
      </c>
      <c r="Y7" s="208">
        <v>1</v>
      </c>
      <c r="Z7" s="208">
        <v>1</v>
      </c>
      <c r="AB7" s="558"/>
      <c r="AC7" s="755" t="s">
        <v>971</v>
      </c>
      <c r="AD7" s="558">
        <f>HLOOKUP(C11,Table_StateRates,6,FALSE)</f>
        <v>1.9</v>
      </c>
      <c r="AE7" s="266"/>
      <c r="AF7" s="266"/>
      <c r="AG7" s="268"/>
      <c r="AH7" s="423"/>
      <c r="AI7" s="423"/>
      <c r="AK7" s="168" t="s">
        <v>1019</v>
      </c>
      <c r="AL7" s="207">
        <f>HLOOKUP(C11,Table_StateRates,5,FALSE)</f>
        <v>1.38</v>
      </c>
      <c r="AM7" s="207">
        <f>HLOOKUP(C11,Table_StateRates,5,FALSE)</f>
        <v>1.38</v>
      </c>
      <c r="AN7" s="207">
        <f>HLOOKUP(C11,Table_StateRates,5,FALSE)</f>
        <v>1.38</v>
      </c>
      <c r="AO7" s="207">
        <f>HLOOKUP(C11,Table_StateRates,5,FALSE)</f>
        <v>1.38</v>
      </c>
      <c r="AQ7" s="8" t="s">
        <v>1717</v>
      </c>
      <c r="AS7" s="155">
        <f>IF(AS26&lt;-0.1,-0.1,IF(AS26&gt;0.1,0.1,AS26))</f>
        <v>0</v>
      </c>
      <c r="AT7" s="385"/>
    </row>
    <row r="8" spans="1:46" ht="13.5" thickBot="1" x14ac:dyDescent="0.25">
      <c r="A8" s="143" t="s">
        <v>923</v>
      </c>
      <c r="B8" s="1236" t="str">
        <f>IF(B3="B",TC7_BLDG1!B7,IF(B3="PP",TC7_PP1!B7,""))</f>
        <v>No</v>
      </c>
      <c r="C8" s="1047"/>
      <c r="D8" s="84" t="s">
        <v>1205</v>
      </c>
      <c r="E8" s="479" t="s">
        <v>857</v>
      </c>
      <c r="F8" s="1237">
        <v>1</v>
      </c>
      <c r="H8" s="82" t="s">
        <v>1661</v>
      </c>
      <c r="I8" s="248"/>
      <c r="J8" s="260"/>
      <c r="K8" s="260"/>
      <c r="L8" s="260"/>
      <c r="O8" s="83" t="str">
        <f>C3&amp; " Base Rate"</f>
        <v>Building Base Rate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0.115</v>
      </c>
      <c r="S8" s="1315">
        <f>ROUND(PRODUCT(S4:S7),3)</f>
        <v>2.9000000000000001E-2</v>
      </c>
      <c r="V8" s="83" t="s">
        <v>16</v>
      </c>
      <c r="W8" s="247">
        <f>ROUND(PRODUCT(W6:W7),3)</f>
        <v>0.129</v>
      </c>
      <c r="X8" s="247">
        <f>ROUND(PRODUCT(X6:X7),3)</f>
        <v>4.2999999999999997E-2</v>
      </c>
      <c r="Y8" s="247">
        <f>ROUND(PRODUCT(Y6:Y7),3)</f>
        <v>8.4000000000000005E-2</v>
      </c>
      <c r="Z8" s="247">
        <f>ROUND(PRODUCT(Z6:Z7),3)</f>
        <v>2.1000000000000001E-2</v>
      </c>
      <c r="AB8" s="266"/>
      <c r="AC8" s="268" t="s">
        <v>1253</v>
      </c>
      <c r="AD8" s="423">
        <f>IF(F17="Yes", P17, IF(F18="Yes",P19,P16))</f>
        <v>0.54</v>
      </c>
      <c r="AE8" s="266"/>
      <c r="AF8" s="266"/>
      <c r="AG8" s="268"/>
      <c r="AH8" s="423"/>
      <c r="AI8" s="423"/>
      <c r="AK8" s="168" t="s">
        <v>180</v>
      </c>
      <c r="AL8" s="207">
        <v>1</v>
      </c>
      <c r="AM8" s="207">
        <v>1</v>
      </c>
      <c r="AN8" s="207">
        <v>1</v>
      </c>
      <c r="AO8" s="207">
        <v>1</v>
      </c>
      <c r="AQ8" s="687" t="s">
        <v>1718</v>
      </c>
      <c r="AS8" s="155">
        <f>IF(AS27&lt;-0.06,-0.06,IF(AS27&gt;0.06,0.06,AS27))</f>
        <v>0</v>
      </c>
      <c r="AT8" s="385"/>
    </row>
    <row r="9" spans="1:46" x14ac:dyDescent="0.2">
      <c r="A9" s="120"/>
      <c r="B9" s="95"/>
      <c r="C9" s="1047"/>
      <c r="D9" s="488" t="str">
        <f>IF(F3="No","",IF(E8="Yes","Please Select the 2 Occ. Types below","Select 1 Occ. Type in Cell F8"))</f>
        <v/>
      </c>
      <c r="E9" s="487"/>
      <c r="F9" s="533"/>
      <c r="H9" s="189" t="s">
        <v>1826</v>
      </c>
      <c r="I9" s="258">
        <f>IF($F37="Yes",W34,0)</f>
        <v>0</v>
      </c>
      <c r="J9" s="258">
        <f>IF($F37="Yes",X34,0)</f>
        <v>0</v>
      </c>
      <c r="K9" s="258">
        <f>IF($F37="Yes",Y34,0)</f>
        <v>0</v>
      </c>
      <c r="L9" s="258">
        <f>IF(AND(F37="Yes",C12="BR"),Z34,0)</f>
        <v>0</v>
      </c>
      <c r="O9" s="168" t="s">
        <v>1100</v>
      </c>
      <c r="P9" s="207">
        <f>IF(C31="Yes",IF(B31&lt;&gt;"Sprinkler",1,VLOOKUP(C15,Table_SprLkg,IF(B3="B",2,3),FALSE)),1)</f>
        <v>1</v>
      </c>
      <c r="Q9" s="207">
        <v>1</v>
      </c>
      <c r="R9" s="207">
        <v>1</v>
      </c>
      <c r="S9" s="207">
        <v>1</v>
      </c>
      <c r="V9" s="189" t="s">
        <v>1496</v>
      </c>
      <c r="W9" s="207">
        <v>1</v>
      </c>
      <c r="X9" s="247">
        <f>IF(C34="Yes",VLOOKUP(C15,Table_Construction,3,FALSE),1)</f>
        <v>1</v>
      </c>
      <c r="Y9" s="207">
        <v>1</v>
      </c>
      <c r="Z9" s="207">
        <v>1</v>
      </c>
      <c r="AB9" s="266"/>
      <c r="AC9" s="268" t="s">
        <v>1573</v>
      </c>
      <c r="AD9" s="423">
        <f>IF(F28="Yes",VLOOKUP(E29,Table_CivilAuth,2,FALSE),1)</f>
        <v>1</v>
      </c>
      <c r="AE9" s="266"/>
      <c r="AF9" s="266"/>
      <c r="AG9" s="268" t="s">
        <v>180</v>
      </c>
      <c r="AH9" s="423">
        <f>1+$AU$25</f>
        <v>1</v>
      </c>
      <c r="AI9" s="423"/>
      <c r="AJ9" s="146"/>
      <c r="AK9" s="545" t="s">
        <v>1020</v>
      </c>
      <c r="AL9" s="299">
        <f>IF(C7="PAC",VLOOKUP(B8,Table_PakMods,MATCH(C11,List_Company,0)+1,FALSE),1)</f>
        <v>1</v>
      </c>
      <c r="AM9" s="299">
        <f>IF(C7="PAC",VLOOKUP(B8,Table_PakMods,MATCH(C11,List_Company,0)+1,FALSE),1)</f>
        <v>1</v>
      </c>
      <c r="AN9" s="299">
        <f>IF(C7="PAC",VLOOKUP(B8,Table_PakMods,MATCH(C11,List_Company,0)+1,FALSE),1)</f>
        <v>1</v>
      </c>
      <c r="AO9" s="299">
        <f>IF(C7="PAC",VLOOKUP(B8,Table_PakMods,MATCH(C11,List_Company,0)+1,FALSE),1)</f>
        <v>1</v>
      </c>
      <c r="AQ9" s="153" t="s">
        <v>1719</v>
      </c>
      <c r="AS9" s="155">
        <f>IF(AS28&lt;-0.025,-0.025,IF(AS28&gt;0.025,0.025,AS28))</f>
        <v>0</v>
      </c>
      <c r="AT9" s="385"/>
    </row>
    <row r="10" spans="1:46" x14ac:dyDescent="0.2">
      <c r="A10" s="120" t="s">
        <v>1829</v>
      </c>
      <c r="B10" s="95"/>
      <c r="C10" s="818">
        <f>IF(B3="B",TC7_BLDG1!C9,IF(B3="PP",TC7_PP1!C9,""))</f>
        <v>1</v>
      </c>
      <c r="D10" s="159" t="s">
        <v>1662</v>
      </c>
      <c r="E10" s="961" t="s">
        <v>857</v>
      </c>
      <c r="F10" s="962" t="s">
        <v>857</v>
      </c>
      <c r="H10" s="82"/>
      <c r="I10" s="248"/>
      <c r="J10" s="248"/>
      <c r="K10" s="248"/>
      <c r="L10" s="248"/>
      <c r="O10" s="236" t="s">
        <v>1099</v>
      </c>
      <c r="P10" s="281">
        <f>C33</f>
        <v>0</v>
      </c>
      <c r="Q10" s="211">
        <v>1</v>
      </c>
      <c r="R10" s="211">
        <v>1</v>
      </c>
      <c r="S10" s="211">
        <v>1</v>
      </c>
      <c r="V10" s="168" t="s">
        <v>972</v>
      </c>
      <c r="W10" s="207">
        <f>IF(OR(C27="S",C27="T"),1,VLOOKUP(C14,Table_ProtClass,IF(C15&lt;=3,2,3),FALSE)) - IF(AND(C33=1,ISNUMBER(B31),W11=1),B31,0)</f>
        <v>0.96</v>
      </c>
      <c r="X10" s="207">
        <v>1</v>
      </c>
      <c r="Y10" s="207">
        <v>1</v>
      </c>
      <c r="Z10" s="207">
        <v>1</v>
      </c>
      <c r="AB10" s="266"/>
      <c r="AC10" s="268" t="s">
        <v>180</v>
      </c>
      <c r="AD10" s="423">
        <f>1+$AU$25</f>
        <v>1</v>
      </c>
      <c r="AE10" s="266"/>
      <c r="AF10" s="266"/>
      <c r="AG10" s="545" t="s">
        <v>1020</v>
      </c>
      <c r="AH10" s="299">
        <f>IF(C7="PAC",VLOOKUP(B8,Table_PakMods,MATCH(C11,List_Company,0)+1,FALSE),1)</f>
        <v>1</v>
      </c>
      <c r="AI10" s="299"/>
      <c r="AJ10" s="542"/>
      <c r="AK10" s="724" t="s">
        <v>1022</v>
      </c>
      <c r="AL10" s="279">
        <v>1</v>
      </c>
      <c r="AM10" s="279">
        <v>1</v>
      </c>
      <c r="AN10" s="279">
        <v>1</v>
      </c>
      <c r="AO10" s="279">
        <v>1</v>
      </c>
      <c r="AQ10" s="687" t="s">
        <v>1720</v>
      </c>
      <c r="AS10" s="155">
        <f>IF(AS29&lt;-0.025,-0.025,IF(AS29&gt;0.025,0.025,AS29))</f>
        <v>0</v>
      </c>
      <c r="AT10" s="385"/>
    </row>
    <row r="11" spans="1:46" x14ac:dyDescent="0.2">
      <c r="A11" s="120" t="s">
        <v>835</v>
      </c>
      <c r="B11" s="95"/>
      <c r="C11" s="1079" t="str">
        <f>IF(B3="B",TC7_BLDG1!C11,IF(B3="PP",TC7_PP1!C11,""))</f>
        <v>GAIC</v>
      </c>
      <c r="D11" s="159" t="s">
        <v>1663</v>
      </c>
      <c r="E11" s="950"/>
      <c r="F11" s="962"/>
      <c r="L11" s="890" t="s">
        <v>1048</v>
      </c>
      <c r="O11" s="168" t="s">
        <v>1199</v>
      </c>
      <c r="P11" s="977">
        <f>IF(OR(C27="S",C27="T"),1,IF(C12="SP",VLOOKUP(C18,Table_TerrMult_SP,2,FALSE),VLOOKUP(C17,Table_TerrMult,2,FALSE))) - IF(AND((C31)="Yes",ISNUMBER(B31)),B31,0) -IF(AND(ISNUMBER(C33),Q48="TM"),C33,0)</f>
        <v>1.1499999999999999</v>
      </c>
      <c r="Q11" s="207">
        <v>1</v>
      </c>
      <c r="R11" s="207">
        <v>1</v>
      </c>
      <c r="S11" s="207">
        <v>1</v>
      </c>
      <c r="V11" s="168" t="s">
        <v>1199</v>
      </c>
      <c r="W11" s="977">
        <f>IF(OR(C27="S",C27="T"),1,VLOOKUP(C17,Table_TerrMult,2,FALSE)) - IF(AND((C31)="Yes",ISNUMBER(B31)),B31,0) -IF(AND(ISNUMBER(C33),Q48="TM"),C33,0)</f>
        <v>1</v>
      </c>
      <c r="X11" s="207">
        <v>1</v>
      </c>
      <c r="Y11" s="207">
        <v>1</v>
      </c>
      <c r="Z11" s="207">
        <v>1</v>
      </c>
      <c r="AB11" s="266"/>
      <c r="AC11" s="545" t="s">
        <v>1020</v>
      </c>
      <c r="AD11" s="299">
        <f>IF(C7="PAC",VLOOKUP(B8,Table_PakMods,MATCH(C11,List_Company,0)+1,FALSE),1)</f>
        <v>1</v>
      </c>
      <c r="AE11" s="266"/>
      <c r="AF11" s="542"/>
      <c r="AG11" s="724" t="s">
        <v>1022</v>
      </c>
      <c r="AH11" s="279">
        <f>1+$AS$14</f>
        <v>1</v>
      </c>
      <c r="AI11" s="559"/>
      <c r="AK11" s="83" t="s">
        <v>1150</v>
      </c>
      <c r="AL11" s="2">
        <f>ROUND(PRODUCT(AL5:AL10),3)</f>
        <v>0</v>
      </c>
      <c r="AM11" s="2">
        <f>ROUND(PRODUCT(AM5:AM10),3)</f>
        <v>0</v>
      </c>
      <c r="AN11" s="2">
        <f>ROUND(PRODUCT(AN5:AN10),3)</f>
        <v>0</v>
      </c>
      <c r="AO11" s="2">
        <f>ROUND(PRODUCT(AO5:AO10),3)</f>
        <v>0</v>
      </c>
      <c r="AQ11" s="687" t="s">
        <v>1721</v>
      </c>
      <c r="AS11" s="155">
        <f>IF(AS30&lt;-0.075,-0.075,IF(AS30&gt;0.075,0.075,AS30))</f>
        <v>0</v>
      </c>
      <c r="AT11" s="385"/>
    </row>
    <row r="12" spans="1:46" ht="13.5" thickBot="1" x14ac:dyDescent="0.25">
      <c r="A12" s="415" t="s">
        <v>910</v>
      </c>
      <c r="B12" s="493">
        <f>IF(OR(C15=5,C15=6),1,2)</f>
        <v>2</v>
      </c>
      <c r="C12" s="1051" t="s">
        <v>894</v>
      </c>
      <c r="D12" s="159" t="s">
        <v>1223</v>
      </c>
      <c r="E12" s="950"/>
      <c r="F12" s="962"/>
      <c r="H12" s="168" t="s">
        <v>1046</v>
      </c>
      <c r="I12" s="248">
        <f>IF(AND(F3="Yes",F44="Yes"),W60,0)</f>
        <v>0</v>
      </c>
      <c r="J12" s="248"/>
      <c r="K12" s="248"/>
      <c r="L12" s="248"/>
      <c r="O12" s="1117" t="s">
        <v>2140</v>
      </c>
      <c r="P12" s="247">
        <f>DF_BI_BRF1</f>
        <v>0.8</v>
      </c>
      <c r="Q12" s="247">
        <f>DF_BI_BRF2</f>
        <v>0.65</v>
      </c>
      <c r="R12" s="247">
        <v>1</v>
      </c>
      <c r="S12" s="247">
        <v>1</v>
      </c>
      <c r="V12" s="168" t="s">
        <v>1100</v>
      </c>
      <c r="W12" s="207">
        <f>IF(C31="Yes",IF(B31&lt;&gt;"Sprinkler",1,VLOOKUP(C15,Table_SprLkg,IF(B3="B",2,3),FALSE)),1)</f>
        <v>1</v>
      </c>
      <c r="X12" s="207">
        <v>1</v>
      </c>
      <c r="Y12" s="207">
        <v>1</v>
      </c>
      <c r="Z12" s="207">
        <v>1</v>
      </c>
      <c r="AB12" s="542"/>
      <c r="AC12" s="724" t="s">
        <v>1022</v>
      </c>
      <c r="AD12" s="279">
        <f>1+$AS$14</f>
        <v>1</v>
      </c>
      <c r="AE12" s="385"/>
      <c r="AF12" s="385"/>
      <c r="AG12" s="685" t="s">
        <v>396</v>
      </c>
      <c r="AH12" s="385">
        <f>ROUND(PRODUCT(AH4:AH11),3)</f>
        <v>0</v>
      </c>
      <c r="AI12" s="385"/>
      <c r="AJ12" s="185"/>
      <c r="AK12" s="186" t="s">
        <v>1025</v>
      </c>
      <c r="AL12" s="238">
        <f>IF(ISNUMBER(E47),E47/100,0)</f>
        <v>0</v>
      </c>
      <c r="AM12" s="238">
        <f>IF(ISNUMBER(E47),E47/100,0)</f>
        <v>0</v>
      </c>
      <c r="AN12" s="238">
        <f>IF(ISNUMBER(E47),E47/100,0)</f>
        <v>0</v>
      </c>
      <c r="AO12" s="238">
        <f>IF(ISNUMBER(E47),E47/100,0)</f>
        <v>0</v>
      </c>
      <c r="AQ12" s="8" t="s">
        <v>1722</v>
      </c>
      <c r="AS12" s="155">
        <f>IF(AS31&lt;-0.05,-0.05,IF(AS31&gt;0.05,0.05,AS31))</f>
        <v>0</v>
      </c>
      <c r="AT12" s="385"/>
    </row>
    <row r="13" spans="1:46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52">
        <v>2</v>
      </c>
      <c r="D13" s="480"/>
      <c r="E13" s="815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168" t="s">
        <v>1047</v>
      </c>
      <c r="I13" s="248">
        <f>IF(AND(F3="Yes",F46="Yes"),AL48,0)</f>
        <v>0</v>
      </c>
      <c r="J13" s="248"/>
      <c r="K13" s="248"/>
      <c r="L13" s="248"/>
      <c r="O13" s="189" t="s">
        <v>1496</v>
      </c>
      <c r="P13" s="207">
        <v>1</v>
      </c>
      <c r="Q13" s="207">
        <f>IF(C34="Yes",VLOOKUP(C15,Table_Construction,3,FALSE),1)</f>
        <v>1</v>
      </c>
      <c r="R13" s="207">
        <v>1</v>
      </c>
      <c r="S13" s="207">
        <v>1</v>
      </c>
      <c r="V13" s="236" t="s">
        <v>1099</v>
      </c>
      <c r="W13" s="281">
        <f>B33</f>
        <v>0</v>
      </c>
      <c r="X13" s="211">
        <v>1</v>
      </c>
      <c r="Y13" s="211">
        <v>1</v>
      </c>
      <c r="Z13" s="211">
        <v>1</v>
      </c>
      <c r="AB13" s="385"/>
      <c r="AC13" s="685" t="s">
        <v>679</v>
      </c>
      <c r="AD13" s="558" t="e">
        <f>ROUND(PRODUCT(AD6:AD12),3)</f>
        <v>#N/A</v>
      </c>
      <c r="AE13" s="266"/>
      <c r="AF13" s="542"/>
      <c r="AG13" s="724" t="s">
        <v>1572</v>
      </c>
      <c r="AH13" s="238">
        <f>IF(ISNUMBER(F4),F4/100,0)</f>
        <v>5000</v>
      </c>
      <c r="AI13" s="478"/>
      <c r="AK13" s="83" t="s">
        <v>1647</v>
      </c>
      <c r="AL13" s="248">
        <f>ROUND(PRODUCT(AL11:AL12),0)</f>
        <v>0</v>
      </c>
      <c r="AM13" s="248">
        <f>ROUND(PRODUCT(AM11:AM12),0)</f>
        <v>0</v>
      </c>
      <c r="AN13" s="248">
        <f>ROUND(PRODUCT(AN11:AN12),0)</f>
        <v>0</v>
      </c>
      <c r="AO13" s="248">
        <f>ROUND(PRODUCT(AO11:AO12),0)</f>
        <v>0</v>
      </c>
      <c r="AQ13" s="8"/>
      <c r="AS13" s="155"/>
      <c r="AT13" s="385"/>
    </row>
    <row r="14" spans="1:46" ht="13.5" thickBot="1" x14ac:dyDescent="0.25">
      <c r="A14" s="108" t="s">
        <v>898</v>
      </c>
      <c r="B14" s="95"/>
      <c r="C14" s="1079">
        <f>IF(B3="B",TC7_BLDG1!C14,IF(B3="PP",TC7_PP1!C14,""))</f>
        <v>3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491" t="str">
        <f>IF(AND(E8="Yes",E14="Area"),ROUND(SUM(E13:F13)/SUM(E11:F11),3),IF(AND(E8="Yes",E14="Value"),ROUND(SUM(E12:F12)/SUM(E13:F13),3),""))</f>
        <v/>
      </c>
      <c r="I14" s="248"/>
      <c r="J14" s="248"/>
      <c r="K14" s="248"/>
      <c r="L14" s="248"/>
      <c r="N14" s="209"/>
      <c r="O14" s="210" t="s">
        <v>1016</v>
      </c>
      <c r="P14" s="212">
        <v>1</v>
      </c>
      <c r="Q14" s="212">
        <v>1</v>
      </c>
      <c r="R14" s="212">
        <v>1</v>
      </c>
      <c r="S14" s="212">
        <v>1</v>
      </c>
      <c r="U14" s="209"/>
      <c r="V14" s="210" t="s">
        <v>1016</v>
      </c>
      <c r="W14" s="212">
        <v>1</v>
      </c>
      <c r="X14" s="212">
        <v>1</v>
      </c>
      <c r="Y14" s="212">
        <v>1</v>
      </c>
      <c r="Z14" s="212">
        <v>1</v>
      </c>
      <c r="AB14" s="542"/>
      <c r="AC14" s="724" t="s">
        <v>1572</v>
      </c>
      <c r="AD14" s="238">
        <f>IF(ISNUMBER(F4),F4/100,0)</f>
        <v>5000</v>
      </c>
      <c r="AE14" s="266"/>
      <c r="AF14" s="266"/>
      <c r="AG14" s="568" t="s">
        <v>680</v>
      </c>
      <c r="AH14" s="248">
        <f>ROUND(PRODUCT(AH12:AH13),0)</f>
        <v>0</v>
      </c>
      <c r="AI14" s="248"/>
      <c r="AR14" s="60" t="s">
        <v>952</v>
      </c>
      <c r="AS14" s="157">
        <f>IF(SUM(AS4:AS13)&lt;-0.4,-0.4,IF(SUM(AS4:AS13)&gt;0.4,0.4,SUM(AS4:AS13)))</f>
        <v>0</v>
      </c>
      <c r="AT14" s="385"/>
    </row>
    <row r="15" spans="1:46" ht="13.5" customHeight="1" x14ac:dyDescent="0.2">
      <c r="A15" s="108" t="s">
        <v>1073</v>
      </c>
      <c r="B15" s="319" t="str">
        <f>IF(C15&lt;=4,"B","A")</f>
        <v>B</v>
      </c>
      <c r="C15" s="1080">
        <f>IF(B3="B",TC7_BLDG1!C15,IF(B3="PP",TC7_PP1!C15,""))</f>
        <v>1</v>
      </c>
      <c r="D15" s="84" t="s">
        <v>1224</v>
      </c>
      <c r="E15" s="193"/>
      <c r="F15" s="964" t="s">
        <v>857</v>
      </c>
      <c r="H15" s="568" t="s">
        <v>244</v>
      </c>
      <c r="I15" s="797">
        <f>SUM(I12:I13,I9:L9)</f>
        <v>0</v>
      </c>
      <c r="O15" s="168" t="s">
        <v>1250</v>
      </c>
      <c r="P15" s="207">
        <f>IF(F6="Yes",DF_BI_AV,1)</f>
        <v>1</v>
      </c>
      <c r="Q15" s="207">
        <f>IF(F6="Yes",DF_BI_AV,1)</f>
        <v>1</v>
      </c>
      <c r="R15" s="207">
        <f>IF(F6="Yes",DF_BI_AV,1)</f>
        <v>1</v>
      </c>
      <c r="S15" s="207">
        <f>IF(F6="Yes",DF_BI_AV,1)</f>
        <v>1</v>
      </c>
      <c r="V15" s="168" t="s">
        <v>1250</v>
      </c>
      <c r="W15" s="207">
        <f>IF(F6="Yes",DF_BI_AV,1)</f>
        <v>1</v>
      </c>
      <c r="X15" s="207">
        <f>IF(F6="Yes",DF_BI_AV,1)</f>
        <v>1</v>
      </c>
      <c r="Y15" s="207">
        <v>1</v>
      </c>
      <c r="Z15" s="207">
        <v>1</v>
      </c>
      <c r="AB15" s="266"/>
      <c r="AC15" s="568" t="s">
        <v>680</v>
      </c>
      <c r="AD15" s="248" t="e">
        <f>ROUND(PRODUCT(AD13:AD14),0)</f>
        <v>#N/A</v>
      </c>
      <c r="AE15" s="266"/>
      <c r="AF15" s="266"/>
      <c r="AG15" s="266"/>
      <c r="AH15" s="266"/>
      <c r="AI15" s="266"/>
      <c r="AK15" s="685" t="s">
        <v>549</v>
      </c>
      <c r="AL15" s="907">
        <f>IF(E48="Yes",IF(C12="SP",SUM(AL13:AN13),IF(C12="BR",SUM(AL13:AM13,AO13),SUM(AL13:AM13))),0)</f>
        <v>0</v>
      </c>
      <c r="AQ15" s="686"/>
      <c r="AR15" s="385"/>
      <c r="AS15" s="738"/>
      <c r="AT15" s="385"/>
    </row>
    <row r="16" spans="1:46" x14ac:dyDescent="0.2">
      <c r="A16" s="84" t="s">
        <v>975</v>
      </c>
      <c r="B16" s="160"/>
      <c r="C16" s="1080" t="str">
        <f>IF(B3="B",TC7_BLDG1!C16,IF(B3="PP",TC7_PP1!C16,""))</f>
        <v>A</v>
      </c>
      <c r="D16" s="159" t="s">
        <v>1244</v>
      </c>
      <c r="E16" s="963"/>
      <c r="F16" s="277"/>
      <c r="N16" s="146"/>
      <c r="O16" s="545" t="s">
        <v>1253</v>
      </c>
      <c r="P16" s="563">
        <f>IF(OR(ISBLANK(F7),F7="None"),1,IF(E8="Yes",F14+P18,VLOOKUP(F7,IF(F5="Yes",Table_BI_CoIns_EE,Table_BI_CoIns),F8+1,FALSE)+P18))</f>
        <v>0.54</v>
      </c>
      <c r="Q16" s="563">
        <f>IF(OR(ISBLANK(F7),F7="None"),1,IF(E8="Yes",F14,VLOOKUP(F7,IF(F5="Yes",Table_BI_CoIns_EE,Table_BI_CoIns),F8+1,FALSE)+Q18))</f>
        <v>0.54</v>
      </c>
      <c r="R16" s="299">
        <v>1</v>
      </c>
      <c r="S16" s="299">
        <v>1</v>
      </c>
      <c r="V16" s="83" t="s">
        <v>1251</v>
      </c>
      <c r="W16" s="207">
        <f>IF(F17="Yes",VLOOKUP(F8,Table_BI_MaxInd,E5,FALSE)+W18,1)</f>
        <v>1</v>
      </c>
      <c r="X16" s="207">
        <f>IF(F17="Yes",VLOOKUP(F8,Table_BI_MaxInd,E5,FALSE)+X18,1)</f>
        <v>1</v>
      </c>
      <c r="Y16" s="207">
        <v>1</v>
      </c>
      <c r="Z16" s="207">
        <v>1</v>
      </c>
      <c r="AB16" s="266"/>
      <c r="AC16" s="266"/>
      <c r="AD16" s="266"/>
      <c r="AE16" s="557"/>
      <c r="AF16" s="557"/>
      <c r="AG16" s="557"/>
      <c r="AH16" s="557"/>
      <c r="AI16" s="557"/>
      <c r="AK16" s="685"/>
      <c r="AL16" s="701"/>
      <c r="AQ16" s="385"/>
      <c r="AR16" s="385"/>
      <c r="AS16" s="738"/>
      <c r="AT16" s="385"/>
    </row>
    <row r="17" spans="1:48" ht="15" customHeight="1" thickBot="1" x14ac:dyDescent="0.25">
      <c r="A17" s="122" t="s">
        <v>974</v>
      </c>
      <c r="B17" s="95"/>
      <c r="C17" s="1079">
        <f>IF(B3="B",TC7_BLDG1!C17,IF(B3="PP",TC7_PP1!C17,""))</f>
        <v>1</v>
      </c>
      <c r="D17" s="84" t="s">
        <v>1204</v>
      </c>
      <c r="E17" s="193"/>
      <c r="F17" s="960" t="s">
        <v>857</v>
      </c>
      <c r="O17" s="83" t="s">
        <v>2241</v>
      </c>
      <c r="P17" s="207">
        <f>IF(F17="Yes",VLOOKUP(F8,Table_BI_MaxInd,E5,FALSE)+P18,1)</f>
        <v>1</v>
      </c>
      <c r="Q17" s="207">
        <f>IF(F17="Yes",VLOOKUP(F8,Table_BI_MaxInd,E5,FALSE)+Q18,1)</f>
        <v>1</v>
      </c>
      <c r="R17" s="207">
        <v>1</v>
      </c>
      <c r="S17" s="207">
        <v>1</v>
      </c>
      <c r="V17" s="83" t="s">
        <v>1252</v>
      </c>
      <c r="W17" s="207">
        <f ca="1">IF(F18="Yes",VLOOKUP(E19,INDIRECT("Table_BI_Mos"&amp;F8),E5,FALSE)+W18,1)</f>
        <v>1</v>
      </c>
      <c r="X17" s="207">
        <f ca="1">IF(F18="Yes",VLOOKUP(E19,INDIRECT("Table_BI_Mos"&amp;F8),E5,FALSE)+X18,1)</f>
        <v>1</v>
      </c>
      <c r="Y17" s="207">
        <v>1</v>
      </c>
      <c r="Z17" s="207">
        <v>1</v>
      </c>
      <c r="AB17" s="557"/>
      <c r="AC17" s="557"/>
      <c r="AD17" s="557"/>
      <c r="AE17" s="266"/>
      <c r="AF17" s="60" t="s">
        <v>684</v>
      </c>
      <c r="AH17" s="235"/>
      <c r="AI17" s="235"/>
      <c r="AQ17" s="385"/>
      <c r="AR17" s="701"/>
      <c r="AS17" s="738"/>
      <c r="AT17" s="385"/>
    </row>
    <row r="18" spans="1:48" x14ac:dyDescent="0.2">
      <c r="A18" s="1195" t="s">
        <v>2097</v>
      </c>
      <c r="B18" s="95"/>
      <c r="C18" s="1238">
        <v>2</v>
      </c>
      <c r="D18" s="84" t="s">
        <v>1203</v>
      </c>
      <c r="E18" s="193"/>
      <c r="F18" s="960" t="s">
        <v>857</v>
      </c>
      <c r="H18" s="483" t="s">
        <v>662</v>
      </c>
      <c r="I18" s="485"/>
      <c r="N18" s="266"/>
      <c r="O18" s="1420" t="s">
        <v>2240</v>
      </c>
      <c r="P18" s="426">
        <f>IF(F30="Yes",VLOOKUP(E31,Table_BI_Mining,2,FALSE),0)</f>
        <v>0</v>
      </c>
      <c r="Q18" s="426">
        <f>IF(F30="Yes",VLOOKUP(E31,Table_BI_Mining,3,FALSE),0)</f>
        <v>0</v>
      </c>
      <c r="R18" s="423">
        <v>1</v>
      </c>
      <c r="S18" s="423">
        <v>1</v>
      </c>
      <c r="U18" s="266"/>
      <c r="V18" s="267" t="s">
        <v>1592</v>
      </c>
      <c r="W18" s="426">
        <f>IF(F30="Yes",VLOOKUP(E31,Table_BI_Mining,2,FALSE),0)</f>
        <v>0</v>
      </c>
      <c r="X18" s="426">
        <f>IF(F30="Yes",VLOOKUP(E31,Table_BI_Mining,3,FALSE),0)</f>
        <v>0</v>
      </c>
      <c r="Y18" s="423">
        <v>1</v>
      </c>
      <c r="Z18" s="423">
        <v>1</v>
      </c>
      <c r="AB18" s="60" t="s">
        <v>681</v>
      </c>
      <c r="AD18" s="235"/>
      <c r="AE18" s="266"/>
      <c r="AF18" s="266"/>
      <c r="AG18" s="268" t="s">
        <v>1753</v>
      </c>
      <c r="AH18" s="426">
        <f>IF(F63="Yes",VLOOKUP(E64,Table_Other_WaterBuyback,6,FALSE),0)</f>
        <v>0</v>
      </c>
      <c r="AI18" s="426"/>
      <c r="AJ18" s="60" t="s">
        <v>551</v>
      </c>
      <c r="AL18" s="235" t="s">
        <v>1012</v>
      </c>
      <c r="AM18" s="235" t="s">
        <v>1013</v>
      </c>
      <c r="AN18" s="235" t="s">
        <v>838</v>
      </c>
      <c r="AO18" s="235" t="s">
        <v>837</v>
      </c>
      <c r="AQ18" s="136" t="s">
        <v>947</v>
      </c>
      <c r="AR18" s="137"/>
      <c r="AS18" s="137"/>
      <c r="AT18" s="137"/>
      <c r="AU18" s="136" t="s">
        <v>938</v>
      </c>
      <c r="AV18" s="517"/>
    </row>
    <row r="19" spans="1:48" ht="13.5" thickBot="1" x14ac:dyDescent="0.25">
      <c r="A19" s="126"/>
      <c r="B19" s="96"/>
      <c r="C19" s="1081"/>
      <c r="D19" s="159" t="s">
        <v>1225</v>
      </c>
      <c r="E19" s="965" t="s">
        <v>857</v>
      </c>
      <c r="F19" s="169"/>
      <c r="H19" s="486" t="s">
        <v>682</v>
      </c>
      <c r="I19" s="485">
        <f>IF(AND(F54="Yes",F56="Yes"),AD15,0)</f>
        <v>0</v>
      </c>
      <c r="O19" s="83" t="s">
        <v>1252</v>
      </c>
      <c r="P19" s="207">
        <f ca="1">IF(F18="Yes",VLOOKUP(E19,INDIRECT("Table_BI_Mos"&amp;F8),E5,FALSE)+P18,1)</f>
        <v>1</v>
      </c>
      <c r="Q19" s="207">
        <f ca="1">IF(F18="Yes",VLOOKUP(E19,INDIRECT("Table_BI_Mos"&amp;F8),E5,FALSE)+Q18,1)</f>
        <v>1</v>
      </c>
      <c r="R19" s="207">
        <v>1</v>
      </c>
      <c r="S19" s="207">
        <v>1</v>
      </c>
      <c r="V19" s="189" t="s">
        <v>1547</v>
      </c>
      <c r="W19" s="207">
        <f>IF(AND(F20="Yes",OR(E21=1,E21=3)),VLOOKUP(F7,Table_BI_Educ,E5,FALSE),1)</f>
        <v>1</v>
      </c>
      <c r="X19" s="207">
        <f>IF(AND(F20="Yes",OR(E21=1,E21=3)),VLOOKUP(F7,Table_BI_Educ,E5,FALSE),1)</f>
        <v>1</v>
      </c>
      <c r="Y19" s="207">
        <v>1</v>
      </c>
      <c r="Z19" s="207">
        <v>1</v>
      </c>
      <c r="AB19" s="266"/>
      <c r="AC19" s="268" t="s">
        <v>1724</v>
      </c>
      <c r="AD19" s="426">
        <f>IF(F29="Yes",B29,0)</f>
        <v>0</v>
      </c>
      <c r="AE19" s="266"/>
      <c r="AF19" s="558"/>
      <c r="AG19" s="755" t="s">
        <v>971</v>
      </c>
      <c r="AH19" s="558">
        <f>HLOOKUP(C11,Table_StateRates,6,FALSE)</f>
        <v>1.9</v>
      </c>
      <c r="AI19" s="558"/>
      <c r="AJ19" s="146"/>
      <c r="AK19" s="545" t="s">
        <v>1049</v>
      </c>
      <c r="AL19" s="146">
        <f>VLOOKUP(2,Table_Time_Utility,2,FALSE)</f>
        <v>4.3999999999999997E-2</v>
      </c>
      <c r="AM19" s="146">
        <f>VLOOKUP(2,Table_Time_Utility,3,FALSE)</f>
        <v>4.3999999999999997E-2</v>
      </c>
      <c r="AN19" s="146">
        <f>VLOOKUP(2,Table_Time_Utility,5,FALSE)</f>
        <v>2.9000000000000001E-2</v>
      </c>
      <c r="AO19" s="563">
        <f>VLOOKUP(2,Table_Time_Utility,4,FALSE)</f>
        <v>0.01</v>
      </c>
      <c r="AQ19" s="138" t="s">
        <v>939</v>
      </c>
      <c r="AR19" s="8"/>
      <c r="AS19" s="8"/>
      <c r="AT19" s="8"/>
      <c r="AU19" s="445" t="s">
        <v>940</v>
      </c>
      <c r="AV19" s="481"/>
    </row>
    <row r="20" spans="1:48" x14ac:dyDescent="0.2">
      <c r="A20" s="88" t="s">
        <v>954</v>
      </c>
      <c r="B20" s="89"/>
      <c r="C20" s="1053"/>
      <c r="D20" s="534" t="s">
        <v>1233</v>
      </c>
      <c r="E20" s="273"/>
      <c r="F20" s="960" t="s">
        <v>857</v>
      </c>
      <c r="H20" s="486" t="s">
        <v>681</v>
      </c>
      <c r="I20" s="485">
        <f>IF(AND(F54="Yes",F59="Yes"),AD29,0)</f>
        <v>0</v>
      </c>
      <c r="N20" s="185"/>
      <c r="O20" s="477" t="s">
        <v>1547</v>
      </c>
      <c r="P20" s="208">
        <f>IF(AND(F20="Yes",OR(E21=1,E21=3)),VLOOKUP(F7,Table_BI_Educ,E5,FALSE),1)</f>
        <v>1</v>
      </c>
      <c r="Q20" s="208">
        <f>IF(AND(F20="Yes",OR(E21=1,E21=3)),VLOOKUP(F7,Table_BI_Educ,E5,FALSE),1)</f>
        <v>1</v>
      </c>
      <c r="R20" s="208">
        <v>1</v>
      </c>
      <c r="S20" s="208">
        <v>1</v>
      </c>
      <c r="V20" s="83" t="s">
        <v>1549</v>
      </c>
      <c r="W20" s="207">
        <f>IF(AND(F20="Yes",E21=2),VLOOKUP(F7,Table_BI_Educ,E5,FALSE)+IF(F21&gt;4,SUM(4*0.02,(F21-4)*0.04),F21*0.02),1)</f>
        <v>1</v>
      </c>
      <c r="X20" s="207">
        <f>IF(AND(F20="Yes",E21=2),VLOOKUP(F7,Table_BI_Educ,E5,FALSE)+IF(F21&gt;4,SUM(4*0.02,(F21-4)*0.04),F21*0.02),1)</f>
        <v>1</v>
      </c>
      <c r="Y20" s="207">
        <v>1</v>
      </c>
      <c r="Z20" s="207">
        <v>1</v>
      </c>
      <c r="AB20" s="757"/>
      <c r="AC20" s="758" t="s">
        <v>971</v>
      </c>
      <c r="AD20" s="279">
        <f>HLOOKUP(C11,Table_StateRates,6,FALSE)</f>
        <v>1.9</v>
      </c>
      <c r="AE20" s="266"/>
      <c r="AF20" s="266"/>
      <c r="AG20" s="268" t="s">
        <v>1019</v>
      </c>
      <c r="AH20" s="423">
        <f>HLOOKUP(C11,Table_StateRates,5,FALSE)</f>
        <v>1.38</v>
      </c>
      <c r="AI20" s="423"/>
      <c r="AK20" s="168" t="s">
        <v>971</v>
      </c>
      <c r="AL20" s="207">
        <f>HLOOKUP(C11,Table_StateRates,6,FALSE)</f>
        <v>1.9</v>
      </c>
      <c r="AM20" s="207">
        <f>HLOOKUP(C11,Table_StateRates,6,FALSE)</f>
        <v>1.9</v>
      </c>
      <c r="AN20" s="207">
        <f>HLOOKUP(C11,Table_StateRates,6,FALSE)</f>
        <v>1.9</v>
      </c>
      <c r="AO20" s="207">
        <f>HLOOKUP(C11,Table_StateRates,6,FALSE)</f>
        <v>1.9</v>
      </c>
      <c r="AQ20" s="138" t="s">
        <v>941</v>
      </c>
      <c r="AR20" s="8"/>
      <c r="AS20" s="8"/>
      <c r="AT20" s="8"/>
      <c r="AU20" s="26"/>
      <c r="AV20" s="481"/>
    </row>
    <row r="21" spans="1:48" x14ac:dyDescent="0.2">
      <c r="A21" s="122" t="s">
        <v>956</v>
      </c>
      <c r="B21" s="319">
        <f>IF(C17=1,1,2)</f>
        <v>1</v>
      </c>
      <c r="C21" s="1082" t="str">
        <f>IF(B3="B",TC7_BLDG1!C21,IF(B3="PP",TC7_PP1!C21,""))</f>
        <v>Yes</v>
      </c>
      <c r="D21" s="535" t="s">
        <v>1550</v>
      </c>
      <c r="E21" s="948"/>
      <c r="F21" s="966"/>
      <c r="H21" s="486" t="s">
        <v>1742</v>
      </c>
      <c r="I21" s="485">
        <f>IF(AND(F54="Yes",F60="Yes"),AH14,0)</f>
        <v>0</v>
      </c>
      <c r="O21" s="83" t="s">
        <v>1420</v>
      </c>
      <c r="P21" s="1315">
        <f ca="1">ROUND(PRODUCT(P8,IF(AND(C31="Yes",B31="Sprinkler",C33&lt;&gt;1),P9-P10,P9),P11:P17,P19:P20),3)</f>
        <v>0.157</v>
      </c>
      <c r="Q21" s="1315">
        <f ca="1">ROUND(PRODUCT(Q8:Q17,Q19:Q20),3)</f>
        <v>3.9E-2</v>
      </c>
      <c r="R21" s="1315">
        <f>ROUND(PRODUCT(R8:R20),3)</f>
        <v>0.115</v>
      </c>
      <c r="S21" s="1315">
        <f>ROUND(PRODUCT(S8:S20),3)</f>
        <v>2.9000000000000001E-2</v>
      </c>
      <c r="V21" s="189" t="s">
        <v>1254</v>
      </c>
      <c r="W21" s="207">
        <f>IF(F27="Yes",VLOOKUP(E5,Table_BI_Seasonal,2,FALSE),1)</f>
        <v>1</v>
      </c>
      <c r="X21" s="207">
        <v>1</v>
      </c>
      <c r="Y21" s="207">
        <v>1</v>
      </c>
      <c r="Z21" s="207">
        <v>1</v>
      </c>
      <c r="AB21" s="266"/>
      <c r="AC21" s="568" t="s">
        <v>685</v>
      </c>
      <c r="AD21" s="266">
        <f>ROUND(PRODUCT(AD19:AD20),3)</f>
        <v>0</v>
      </c>
      <c r="AE21" s="266"/>
      <c r="AF21" s="266"/>
      <c r="AG21" s="268"/>
      <c r="AH21" s="423"/>
      <c r="AI21" s="423"/>
      <c r="AK21" s="168" t="s">
        <v>1019</v>
      </c>
      <c r="AL21" s="207">
        <f>HLOOKUP(C11,Table_StateRates,5,FALSE)</f>
        <v>1.38</v>
      </c>
      <c r="AM21" s="207">
        <f>HLOOKUP(C11,Table_StateRates,5,FALSE)</f>
        <v>1.38</v>
      </c>
      <c r="AN21" s="207">
        <f>HLOOKUP(C11,Table_StateRates,5,FALSE)</f>
        <v>1.38</v>
      </c>
      <c r="AO21" s="207">
        <f>HLOOKUP(C11,Table_StateRates,5,FALSE)</f>
        <v>1.38</v>
      </c>
      <c r="AQ21" s="26"/>
      <c r="AR21" s="8"/>
      <c r="AS21" s="8"/>
      <c r="AT21" s="8"/>
      <c r="AU21" s="727" t="s">
        <v>942</v>
      </c>
      <c r="AV21" s="481"/>
    </row>
    <row r="22" spans="1:48" x14ac:dyDescent="0.2">
      <c r="A22" s="911" t="s">
        <v>958</v>
      </c>
      <c r="B22" s="90"/>
      <c r="C22" s="570" t="str">
        <f>IF(B3="B",TC7_BLDG1!C22,IF(B3="PP",TC7_PP1!C22,""))</f>
        <v>No</v>
      </c>
      <c r="D22" s="536" t="s">
        <v>1228</v>
      </c>
      <c r="E22" s="294"/>
      <c r="F22" s="295"/>
      <c r="H22" s="597" t="s">
        <v>1743</v>
      </c>
      <c r="I22" s="487">
        <f>IF(AND(F54="Yes",F63="Yes"),AH28,0)</f>
        <v>0</v>
      </c>
      <c r="O22" s="83" t="s">
        <v>1549</v>
      </c>
      <c r="P22" s="207">
        <f>IF(AND(F20="Yes",E21=2),VLOOKUP(F7,Table_BI_Educ,E5,FALSE)+IF(F21&gt;4,SUM(4*0.02,(F21-4)*0.04),F21*0.02),1)</f>
        <v>1</v>
      </c>
      <c r="Q22" s="207">
        <f>IF(AND(F20="Yes",E21=2),VLOOKUP(F7,Table_BI_Educ,E5,FALSE)+IF(F21&gt;4,SUM(4*0.02,(F21-4)*0.04),F21*0.02),1)</f>
        <v>1</v>
      </c>
      <c r="R22" s="207">
        <v>1</v>
      </c>
      <c r="S22" s="207">
        <v>1</v>
      </c>
      <c r="V22" s="189" t="s">
        <v>1255</v>
      </c>
      <c r="W22" s="207">
        <f>IF(F15="Yes",VLOOKUP(E16,Table_BI_IndDays,2,FALSE),1)</f>
        <v>1</v>
      </c>
      <c r="X22" s="207">
        <f>IF(F15="Yes",VLOOKUP(E16,Table_BI_IndDays,2,FALSE),1)</f>
        <v>1</v>
      </c>
      <c r="Y22" s="207">
        <v>1</v>
      </c>
      <c r="Z22" s="207">
        <v>1</v>
      </c>
      <c r="AB22" s="542"/>
      <c r="AC22" s="724" t="s">
        <v>1740</v>
      </c>
      <c r="AD22" s="279">
        <f>DF_MoltenMaterial</f>
        <v>0.1</v>
      </c>
      <c r="AE22" s="385"/>
      <c r="AF22" s="266"/>
      <c r="AG22" s="268"/>
      <c r="AH22" s="423"/>
      <c r="AI22" s="423"/>
      <c r="AK22" s="168" t="s">
        <v>180</v>
      </c>
      <c r="AL22" s="207">
        <v>1</v>
      </c>
      <c r="AM22" s="207">
        <v>1</v>
      </c>
      <c r="AN22" s="207">
        <v>1</v>
      </c>
      <c r="AO22" s="207">
        <v>1</v>
      </c>
      <c r="AQ22" s="445" t="s">
        <v>943</v>
      </c>
      <c r="AR22" s="8"/>
      <c r="AS22" s="142" t="s">
        <v>944</v>
      </c>
      <c r="AT22" s="8"/>
      <c r="AU22" s="727" t="s">
        <v>945</v>
      </c>
      <c r="AV22" s="481"/>
    </row>
    <row r="23" spans="1:48" ht="13.5" thickBot="1" x14ac:dyDescent="0.25">
      <c r="A23" s="908" t="s">
        <v>955</v>
      </c>
      <c r="B23" s="910"/>
      <c r="C23" s="1055"/>
      <c r="D23" s="537" t="s">
        <v>1239</v>
      </c>
      <c r="E23" s="296"/>
      <c r="F23" s="295"/>
      <c r="H23" s="568" t="s">
        <v>1744</v>
      </c>
      <c r="I23" s="569">
        <f>SUM(I19:I22)</f>
        <v>0</v>
      </c>
      <c r="O23" s="189" t="s">
        <v>1254</v>
      </c>
      <c r="P23" s="207">
        <f>IF(F27="Yes",VLOOKUP(E5,Table_BI_Seasonal,2,FALSE),1)</f>
        <v>1</v>
      </c>
      <c r="Q23" s="207">
        <v>1</v>
      </c>
      <c r="R23" s="207">
        <v>1</v>
      </c>
      <c r="S23" s="207">
        <v>1</v>
      </c>
      <c r="V23" s="168" t="s">
        <v>1256</v>
      </c>
      <c r="W23" s="207">
        <f>IF(F24="Yes",VLOOKUP(E25,Table_BI_OrdPR,2,FALSE),1)</f>
        <v>1</v>
      </c>
      <c r="X23" s="207">
        <v>1</v>
      </c>
      <c r="Y23" s="207">
        <v>1</v>
      </c>
      <c r="Z23" s="207">
        <v>1</v>
      </c>
      <c r="AB23" s="266"/>
      <c r="AC23" s="568" t="s">
        <v>917</v>
      </c>
      <c r="AD23" s="426">
        <f>ROUND(PRODUCT(AD21:AD22),3)</f>
        <v>0</v>
      </c>
      <c r="AE23" s="423"/>
      <c r="AF23" s="266"/>
      <c r="AG23" s="268" t="s">
        <v>180</v>
      </c>
      <c r="AH23" s="423">
        <f>1+$AU$25</f>
        <v>1</v>
      </c>
      <c r="AI23" s="423"/>
      <c r="AJ23" s="146"/>
      <c r="AK23" s="545" t="s">
        <v>1020</v>
      </c>
      <c r="AL23" s="299">
        <f>IF(C7="PAC",VLOOKUP(B8,Table_PakMods,MATCH(C11,List_Company,0)+1,FALSE),1)</f>
        <v>1</v>
      </c>
      <c r="AM23" s="299">
        <f>IF(C7="PAC",VLOOKUP(B8,Table_PakMods,MATCH(C11,List_Company,0)+1,FALSE),1)</f>
        <v>1</v>
      </c>
      <c r="AN23" s="299">
        <f>IF(C7="PAC",VLOOKUP(B8,Table_PakMods,MATCH(C11,List_Company,0)+1,FALSE),1)</f>
        <v>1</v>
      </c>
      <c r="AO23" s="299">
        <f>IF(C7="PAC",VLOOKUP(B8,Table_PakMods,MATCH(C11,List_Company,0)+1,FALSE),1)</f>
        <v>1</v>
      </c>
      <c r="AQ23" s="140" t="s">
        <v>1715</v>
      </c>
      <c r="AR23" s="8"/>
      <c r="AS23" s="144"/>
      <c r="AT23" s="8"/>
      <c r="AU23" s="727" t="s">
        <v>946</v>
      </c>
      <c r="AV23" s="481"/>
    </row>
    <row r="24" spans="1:48" ht="13.5" thickBot="1" x14ac:dyDescent="0.25">
      <c r="A24" s="108" t="s">
        <v>957</v>
      </c>
      <c r="B24" s="896">
        <f>IF(B3="B",TC7_BLDG1!B24,IF(B3="PP",TC7_PP1!B24,""))</f>
        <v>0</v>
      </c>
      <c r="C24" s="885" t="str">
        <f>IF(B3="B",TC7_BLDG1!C24,IF(B3="PP",TC7_PP1!C24,""))</f>
        <v>Yes</v>
      </c>
      <c r="D24" s="444" t="s">
        <v>1229</v>
      </c>
      <c r="E24" s="103"/>
      <c r="F24" s="967" t="s">
        <v>857</v>
      </c>
      <c r="O24" s="189" t="s">
        <v>1255</v>
      </c>
      <c r="P24" s="207">
        <f>IF(F15="Yes",VLOOKUP(E16,Table_BI_IndDays,2,FALSE),1)</f>
        <v>1</v>
      </c>
      <c r="Q24" s="207">
        <f>IF(F15="Yes",VLOOKUP(E16,Table_BI_IndDays,2,FALSE),1)</f>
        <v>1</v>
      </c>
      <c r="R24" s="207">
        <v>1</v>
      </c>
      <c r="S24" s="207">
        <v>1</v>
      </c>
      <c r="V24" s="168" t="s">
        <v>1257</v>
      </c>
      <c r="W24" s="207">
        <f>IF(F26="Yes",DF_BI_Power,1)</f>
        <v>1</v>
      </c>
      <c r="X24" s="207">
        <v>1</v>
      </c>
      <c r="Y24" s="207">
        <v>1</v>
      </c>
      <c r="Z24" s="207">
        <v>1</v>
      </c>
      <c r="AB24" s="266"/>
      <c r="AC24" s="268" t="s">
        <v>180</v>
      </c>
      <c r="AD24" s="423">
        <f>1+$AU$25</f>
        <v>1</v>
      </c>
      <c r="AE24" s="559"/>
      <c r="AF24" s="266"/>
      <c r="AG24" s="545" t="s">
        <v>1020</v>
      </c>
      <c r="AH24" s="299">
        <f>IF(C7="PAC",VLOOKUP(B8,Table_PakMods,MATCH(C11,List_Company,0)+1,FALSE),1)</f>
        <v>1</v>
      </c>
      <c r="AI24" s="299"/>
      <c r="AJ24" s="542"/>
      <c r="AK24" s="724" t="s">
        <v>1022</v>
      </c>
      <c r="AL24" s="279">
        <v>1</v>
      </c>
      <c r="AM24" s="279">
        <v>1</v>
      </c>
      <c r="AN24" s="279">
        <v>1</v>
      </c>
      <c r="AO24" s="279">
        <v>1</v>
      </c>
      <c r="AQ24" s="141" t="s">
        <v>1714</v>
      </c>
      <c r="AR24" s="139"/>
      <c r="AS24" s="145"/>
      <c r="AT24" s="139"/>
      <c r="AU24" s="445"/>
      <c r="AV24" s="481"/>
    </row>
    <row r="25" spans="1:48" ht="13.5" thickBot="1" x14ac:dyDescent="0.25">
      <c r="A25" s="92"/>
      <c r="B25" s="93"/>
      <c r="C25" s="903"/>
      <c r="D25" s="819" t="s">
        <v>1243</v>
      </c>
      <c r="E25" s="965" t="s">
        <v>857</v>
      </c>
      <c r="F25" s="292"/>
      <c r="O25" s="168" t="s">
        <v>1256</v>
      </c>
      <c r="P25" s="207">
        <f>IF(F24="Yes",VLOOKUP(E25,Table_BI_OrdPR,2,FALSE),1)</f>
        <v>1</v>
      </c>
      <c r="Q25" s="207">
        <v>1</v>
      </c>
      <c r="R25" s="207">
        <f>IF(F24="Yes",VLOOKUP(E25,Table_BI_OrdPR,2,FALSE),1)</f>
        <v>1</v>
      </c>
      <c r="S25" s="207">
        <v>1</v>
      </c>
      <c r="U25" s="266"/>
      <c r="V25" s="268" t="s">
        <v>1259</v>
      </c>
      <c r="W25" s="423">
        <f>IF(F33="Yes",1,IF(F28="Yes",VLOOKUP(E29,Table_CivilAuth,2,FALSE),1))</f>
        <v>1</v>
      </c>
      <c r="X25" s="423">
        <f>IF(F33="Yes",1,IF(F28="Yes",VLOOKUP(E29,Table_CivilAuth,2,FALSE),1))</f>
        <v>1</v>
      </c>
      <c r="Y25" s="423">
        <v>1</v>
      </c>
      <c r="Z25" s="423">
        <v>1</v>
      </c>
      <c r="AB25" s="266"/>
      <c r="AC25" s="545" t="s">
        <v>1020</v>
      </c>
      <c r="AD25" s="299">
        <f>IF(C7="PAC",VLOOKUP(B8,Table_PakMods,MATCH(C11,List_Company,0)+1,FALSE),1)</f>
        <v>1</v>
      </c>
      <c r="AE25" s="426"/>
      <c r="AF25" s="542"/>
      <c r="AG25" s="724" t="s">
        <v>1022</v>
      </c>
      <c r="AH25" s="279">
        <f>1+$AS$14</f>
        <v>1</v>
      </c>
      <c r="AI25" s="559"/>
      <c r="AK25" s="83" t="s">
        <v>1150</v>
      </c>
      <c r="AL25" s="2">
        <f>ROUND(PRODUCT(AL19:AL24),3)</f>
        <v>0.115</v>
      </c>
      <c r="AM25" s="2">
        <f>ROUND(PRODUCT(AM19:AM24),3)</f>
        <v>0.115</v>
      </c>
      <c r="AN25" s="2">
        <f>ROUND(PRODUCT(AN19:AN24),3)</f>
        <v>7.5999999999999998E-2</v>
      </c>
      <c r="AO25" s="2">
        <f>ROUND(PRODUCT(AO19:AO24),3)</f>
        <v>2.5999999999999999E-2</v>
      </c>
      <c r="AQ25" s="141" t="s">
        <v>1716</v>
      </c>
      <c r="AR25" s="139"/>
      <c r="AS25" s="145"/>
      <c r="AT25" s="139"/>
      <c r="AU25" s="1597"/>
      <c r="AV25" s="1598"/>
    </row>
    <row r="26" spans="1:48" ht="13.5" thickBot="1" x14ac:dyDescent="0.25">
      <c r="A26" s="529" t="s">
        <v>1827</v>
      </c>
      <c r="B26" s="531"/>
      <c r="C26" s="904"/>
      <c r="D26" s="444" t="s">
        <v>1230</v>
      </c>
      <c r="E26" s="103"/>
      <c r="F26" s="967" t="s">
        <v>857</v>
      </c>
      <c r="H26" s="60" t="s">
        <v>663</v>
      </c>
      <c r="I26" s="2">
        <f>IF(F3="Yes",IF(AND(C21="Yes",C24="Yes"),AD47,IF(AND(C21="Yes",C24="No"),B24,0)),0)</f>
        <v>0</v>
      </c>
      <c r="O26" s="168" t="s">
        <v>1257</v>
      </c>
      <c r="P26" s="207">
        <f>IF(F26="Yes",DF_BI_Power,1)</f>
        <v>1</v>
      </c>
      <c r="Q26" s="207">
        <v>1</v>
      </c>
      <c r="R26" s="207">
        <v>1</v>
      </c>
      <c r="S26" s="207">
        <v>1</v>
      </c>
      <c r="U26" s="266"/>
      <c r="V26" s="268" t="s">
        <v>821</v>
      </c>
      <c r="W26" s="423">
        <f>IF(AND(F33="Yes",E34="24-HR"),VLOOKUP(E34,Table_BI_Wait,3,FALSE),1)</f>
        <v>1</v>
      </c>
      <c r="X26" s="423">
        <f>IF(AND(F33="Yes",E34="24-HR"),VLOOKUP(E34,Table_BI_Wait,3,FALSE),1)</f>
        <v>1</v>
      </c>
      <c r="Y26" s="423">
        <f>IF(AND(F33="Yes",E34="24-HR"),VLOOKUP(E34,Table_BI_Wait,3,FALSE),1)</f>
        <v>1</v>
      </c>
      <c r="Z26" s="423">
        <f>IF(AND(F33="Yes",E34="24-HR"),VLOOKUP(E34,Table_BI_Wait,3,FALSE),1)</f>
        <v>1</v>
      </c>
      <c r="AB26" s="542"/>
      <c r="AC26" s="724" t="s">
        <v>1022</v>
      </c>
      <c r="AD26" s="279">
        <f>1+$AS$14</f>
        <v>1</v>
      </c>
      <c r="AE26" s="385"/>
      <c r="AF26" s="385"/>
      <c r="AG26" s="685" t="s">
        <v>686</v>
      </c>
      <c r="AH26" s="385">
        <f>ROUND(PRODUCT(AH18:AH25),3)</f>
        <v>0</v>
      </c>
      <c r="AI26" s="385"/>
      <c r="AJ26" s="185"/>
      <c r="AK26" s="186" t="s">
        <v>1025</v>
      </c>
      <c r="AL26" s="238">
        <f>IF(ISNUMBER(E47),E47/100,0)</f>
        <v>0</v>
      </c>
      <c r="AM26" s="238">
        <f>IF(ISNUMBER(E47),E47/100,0)</f>
        <v>0</v>
      </c>
      <c r="AN26" s="238">
        <f>IF(ISNUMBER(E47),E47/100,0)</f>
        <v>0</v>
      </c>
      <c r="AO26" s="238">
        <f>IF(ISNUMBER(E47),E47/100,0)</f>
        <v>0</v>
      </c>
      <c r="AQ26" s="141" t="s">
        <v>1717</v>
      </c>
      <c r="AR26" s="139"/>
      <c r="AS26" s="145"/>
      <c r="AT26" s="139"/>
      <c r="AU26" s="445"/>
      <c r="AV26" s="481"/>
    </row>
    <row r="27" spans="1:48" x14ac:dyDescent="0.2">
      <c r="A27" s="521" t="s">
        <v>899</v>
      </c>
      <c r="B27" s="817" t="str">
        <f>IF(C27="C","Class",IF(C27="S","Specific",IF(C27="T","Tentative","")))</f>
        <v>Class</v>
      </c>
      <c r="C27" s="818" t="str">
        <f>IF(B3="B",IF(TC7_BLDG1!C28&lt;&gt;"SC",TC7_BLDG1!C28,"C"),IF(B3="PP",TC7_PP1!C28,""))</f>
        <v>C</v>
      </c>
      <c r="D27" s="444" t="s">
        <v>1232</v>
      </c>
      <c r="E27" s="103"/>
      <c r="F27" s="967" t="s">
        <v>857</v>
      </c>
      <c r="N27" s="266"/>
      <c r="O27" s="268" t="s">
        <v>1259</v>
      </c>
      <c r="P27" s="423">
        <f>IF(F28="Yes",VLOOKUP(E29,Table_CivilAuth,2,FALSE),1)</f>
        <v>1</v>
      </c>
      <c r="Q27" s="423">
        <f>IF(F28="Yes",VLOOKUP(E29,Table_CivilAuth,2,FALSE),1)</f>
        <v>1</v>
      </c>
      <c r="R27" s="423">
        <f>IF(F28="Yes",VLOOKUP(E29,Table_CivilAuth,2,FALSE),1)</f>
        <v>1</v>
      </c>
      <c r="S27" s="423">
        <f>IF(F28="Yes",VLOOKUP(E29,Table_CivilAuth,2,FALSE),1)</f>
        <v>1</v>
      </c>
      <c r="U27" s="266"/>
      <c r="V27" s="568" t="s">
        <v>822</v>
      </c>
      <c r="W27" s="423">
        <f>IF(AND(F33="Yes",E34="None"),VLOOKUP(E34,Table_BI_Wait,3,FALSE),1)</f>
        <v>1</v>
      </c>
      <c r="X27" s="423">
        <f>IF(AND(F33="Yes",E34="None"),VLOOKUP(E34,Table_BI_Wait,3,FALSE),1)</f>
        <v>1</v>
      </c>
      <c r="Y27" s="423">
        <f>IF(AND(F33="Yes",E34="None"),VLOOKUP(E34,Table_BI_Wait,3,FALSE),1)</f>
        <v>1</v>
      </c>
      <c r="Z27" s="423">
        <f>IF(AND(F33="Yes",E34="None"),VLOOKUP(E34,Table_BI_Wait,3,FALSE),1)</f>
        <v>1</v>
      </c>
      <c r="AB27" s="385"/>
      <c r="AC27" s="685" t="s">
        <v>1741</v>
      </c>
      <c r="AD27" s="558">
        <f>ROUND(PRODUCT(AD23:AD26),3)</f>
        <v>0</v>
      </c>
      <c r="AE27" s="266"/>
      <c r="AF27" s="542"/>
      <c r="AG27" s="724" t="s">
        <v>1572</v>
      </c>
      <c r="AH27" s="238">
        <f>IF(ISNUMBER(F4),F4/100,0)</f>
        <v>5000</v>
      </c>
      <c r="AI27" s="478"/>
      <c r="AK27" s="83" t="s">
        <v>1647</v>
      </c>
      <c r="AL27" s="248">
        <f>ROUND(PRODUCT(AL25:AL26),0)</f>
        <v>0</v>
      </c>
      <c r="AM27" s="248">
        <f>ROUND(PRODUCT(AM25:AM26),0)</f>
        <v>0</v>
      </c>
      <c r="AN27" s="248">
        <f>ROUND(PRODUCT(AN25:AN26),0)</f>
        <v>0</v>
      </c>
      <c r="AO27" s="248">
        <f>ROUND(PRODUCT(AO25:AO26),0)</f>
        <v>0</v>
      </c>
      <c r="AQ27" s="141" t="s">
        <v>1718</v>
      </c>
      <c r="AR27" s="8"/>
      <c r="AS27" s="145"/>
      <c r="AT27" s="8"/>
      <c r="AU27" s="26"/>
      <c r="AV27" s="481"/>
    </row>
    <row r="28" spans="1:48" x14ac:dyDescent="0.2">
      <c r="A28" s="108" t="s">
        <v>953</v>
      </c>
      <c r="B28" s="95"/>
      <c r="C28" s="570" t="str">
        <f>IF(B3="B",TC7_BLDG1!C30,IF(B3="PP",TC7_PP1!C30,0))</f>
        <v>No</v>
      </c>
      <c r="D28" s="538" t="s">
        <v>1545</v>
      </c>
      <c r="E28" s="103"/>
      <c r="F28" s="967" t="s">
        <v>857</v>
      </c>
      <c r="N28" s="266"/>
      <c r="O28" s="268" t="s">
        <v>821</v>
      </c>
      <c r="P28" s="423">
        <f>IF(AND(F33="Yes",E34="24-HR"),VLOOKUP(E34,Table_BI_Wait,3,FALSE),1)</f>
        <v>1</v>
      </c>
      <c r="Q28" s="423">
        <f>IF(AND(F33="Yes",E34="24-HR"),VLOOKUP(E34,Table_BI_Wait,3,FALSE),1)</f>
        <v>1</v>
      </c>
      <c r="R28" s="423">
        <f>IF(AND(F33="Yes",E34="24-HR"),VLOOKUP(E34,Table_BI_Wait,3,FALSE),1)</f>
        <v>1</v>
      </c>
      <c r="S28" s="423">
        <f>IF(AND(F33="Yes",E34="24-HR"),VLOOKUP(E34,Table_BI_Wait,3,FALSE),1)</f>
        <v>1</v>
      </c>
      <c r="V28" s="168" t="s">
        <v>1019</v>
      </c>
      <c r="W28" s="207">
        <f>HLOOKUP(C11,Table_StateRates,5,FALSE)</f>
        <v>1.38</v>
      </c>
      <c r="X28" s="207">
        <f>HLOOKUP(C11,Table_StateRates,5,FALSE)</f>
        <v>1.38</v>
      </c>
      <c r="Y28" s="207">
        <f>HLOOKUP(C11,Table_StateRates,5,FALSE)</f>
        <v>1.38</v>
      </c>
      <c r="Z28" s="207">
        <f>HLOOKUP(C11,Table_StateRates,5,FALSE)</f>
        <v>1.38</v>
      </c>
      <c r="AB28" s="542"/>
      <c r="AC28" s="724" t="s">
        <v>1572</v>
      </c>
      <c r="AD28" s="238">
        <f>IF(ISNUMBER(F4),F4/100,0)</f>
        <v>5000</v>
      </c>
      <c r="AE28" s="266"/>
      <c r="AF28" s="266"/>
      <c r="AG28" s="568" t="s">
        <v>687</v>
      </c>
      <c r="AH28" s="248">
        <f>ROUND(PRODUCT(AH26:AH27),0)</f>
        <v>0</v>
      </c>
      <c r="AI28" s="248"/>
      <c r="AQ28" s="141" t="s">
        <v>181</v>
      </c>
      <c r="AR28" s="8"/>
      <c r="AS28" s="145"/>
      <c r="AT28" s="8"/>
      <c r="AU28" s="26"/>
      <c r="AV28" s="481"/>
    </row>
    <row r="29" spans="1:48" ht="13.5" thickBot="1" x14ac:dyDescent="0.25">
      <c r="A29" s="743" t="str">
        <f>IF(B3="B","80% Bldg LC - Grp I / II",IF(B3="PP","80% Pers. Pty LC - Grp I / II","No Rating Available"))</f>
        <v>80% Bldg LC - Grp I / II</v>
      </c>
      <c r="B29" s="1421">
        <f>IF(B3="B",TC7_BLDG1!P5,IF(B3="PP",TC7_PP1!P5,0))</f>
        <v>0.126</v>
      </c>
      <c r="C29" s="749">
        <f>IF(B3="B",TC7_BLDG1!Q5,IF(B3="PP",TC7_PP1!Q5,0))</f>
        <v>4.2000000000000003E-2</v>
      </c>
      <c r="D29" s="518" t="s">
        <v>1555</v>
      </c>
      <c r="E29" s="948">
        <v>90</v>
      </c>
      <c r="F29" s="169"/>
      <c r="H29" s="60" t="s">
        <v>2288</v>
      </c>
      <c r="I29" s="1468">
        <f>SUM(I5:L5,I15,I23)</f>
        <v>0</v>
      </c>
      <c r="N29" s="542"/>
      <c r="O29" s="1419" t="s">
        <v>822</v>
      </c>
      <c r="P29" s="279">
        <f>IF(AND(F33="Yes",E34="None"),VLOOKUP(E34,Table_BI_Wait,3,FALSE),1)</f>
        <v>1</v>
      </c>
      <c r="Q29" s="279">
        <f>IF(AND(F33="Yes",E34="None"),VLOOKUP(E34,Table_BI_Wait,3,FALSE),1)</f>
        <v>1</v>
      </c>
      <c r="R29" s="279">
        <f>IF(AND(F33="Yes",E34="None"),VLOOKUP(E34,Table_BI_Wait,3,FALSE),1)</f>
        <v>1</v>
      </c>
      <c r="S29" s="279">
        <f>IF(AND(F33="Yes",E34="None"),VLOOKUP(E34,Table_BI_Wait,3,FALSE),1)</f>
        <v>1</v>
      </c>
      <c r="U29" s="266"/>
      <c r="V29" s="268" t="s">
        <v>180</v>
      </c>
      <c r="W29" s="423">
        <f>1+$AU$25</f>
        <v>1</v>
      </c>
      <c r="X29" s="423">
        <f>1+$AU$25</f>
        <v>1</v>
      </c>
      <c r="Y29" s="423">
        <f>1+$AU$25</f>
        <v>1</v>
      </c>
      <c r="Z29" s="423">
        <f>1+$AU$25</f>
        <v>1</v>
      </c>
      <c r="AB29" s="266"/>
      <c r="AC29" s="568" t="s">
        <v>681</v>
      </c>
      <c r="AD29" s="248">
        <f>ROUND(PRODUCT(AD27:AD28),0)</f>
        <v>0</v>
      </c>
      <c r="AE29" s="266"/>
      <c r="AF29" s="266"/>
      <c r="AG29" s="266"/>
      <c r="AH29" s="266"/>
      <c r="AI29" s="266"/>
      <c r="AK29" s="685" t="s">
        <v>549</v>
      </c>
      <c r="AL29" s="907">
        <f>IF(E50="Yes",IF(C12="SP",SUM(AL27:AN27),IF(C12="BR",SUM(AL27:AM27,AO27),SUM(AL27:AM27))),0)</f>
        <v>0</v>
      </c>
      <c r="AQ29" s="141" t="s">
        <v>1720</v>
      </c>
      <c r="AR29" s="8"/>
      <c r="AS29" s="145"/>
      <c r="AT29" s="8"/>
      <c r="AU29" s="26"/>
      <c r="AV29" s="481"/>
    </row>
    <row r="30" spans="1:48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IF(B3="B",TC7_BLDG1!C33,IF(B3="PP",TC7_PP1!C33,""))</f>
        <v>6</v>
      </c>
      <c r="D30" s="538" t="s">
        <v>1246</v>
      </c>
      <c r="E30" s="103"/>
      <c r="F30" s="967" t="s">
        <v>857</v>
      </c>
      <c r="O30" s="83" t="s">
        <v>2239</v>
      </c>
      <c r="P30" s="1315">
        <f ca="1">ROUND(PRODUCT(P21:P29),3)</f>
        <v>0.157</v>
      </c>
      <c r="Q30" s="1315">
        <f ca="1">ROUND(PRODUCT(Q21:Q29),3)</f>
        <v>3.9E-2</v>
      </c>
      <c r="R30" s="1315">
        <f>ROUND(PRODUCT(R21:R29),3)</f>
        <v>0.115</v>
      </c>
      <c r="S30" s="1315">
        <f>ROUND(PRODUCT(S21:S29),3)</f>
        <v>2.9000000000000001E-2</v>
      </c>
      <c r="U30" s="146"/>
      <c r="V30" s="545" t="s">
        <v>1020</v>
      </c>
      <c r="W30" s="299">
        <f>IF(C7="PAC",VLOOKUP(B8,Table_PakMods,MATCH(C11,List_Company,0)+1,FALSE),1)</f>
        <v>1</v>
      </c>
      <c r="X30" s="299">
        <f>IF(C7="PAC",VLOOKUP(B8,Table_PakMods,MATCH(C11,List_Company,0)+1,FALSE),1)</f>
        <v>1</v>
      </c>
      <c r="Y30" s="299">
        <f>IF(C7="PAC",VLOOKUP(B8,Table_PakMods,MATCH(C11,List_Company,0)+1,FALSE),1)</f>
        <v>1</v>
      </c>
      <c r="Z30" s="299">
        <f>IF(C7="PAC",VLOOKUP(B8,Table_PakMods,MATCH(C11,List_Company,0)+1,FALSE),1)</f>
        <v>1</v>
      </c>
      <c r="AC30" s="83"/>
      <c r="AD30" s="248"/>
      <c r="AQ30" s="141" t="s">
        <v>182</v>
      </c>
      <c r="AR30" s="8"/>
      <c r="AS30" s="145"/>
      <c r="AT30" s="8"/>
      <c r="AU30" s="26"/>
      <c r="AV30" s="481"/>
    </row>
    <row r="31" spans="1:48" ht="13.5" thickBot="1" x14ac:dyDescent="0.25">
      <c r="A31" s="108" t="s">
        <v>1813</v>
      </c>
      <c r="B31" s="939" t="str">
        <f>IF(B3="B",TC7_BLDG1!C61,IF(B3="PP",TC7_PP1!C57,0))</f>
        <v>NA</v>
      </c>
      <c r="C31" s="570" t="str">
        <f>IF(B3="B",TC7_BLDG1!C59,IF(B3="PP",TC7_PP1!C55,0))</f>
        <v>No</v>
      </c>
      <c r="D31" s="507" t="s">
        <v>1589</v>
      </c>
      <c r="E31" s="948" t="s">
        <v>857</v>
      </c>
      <c r="F31" s="169"/>
      <c r="H31" s="60" t="s">
        <v>2291</v>
      </c>
      <c r="I31" s="1470">
        <f>SUM(I26,I29)</f>
        <v>0</v>
      </c>
      <c r="N31" s="266"/>
      <c r="O31" s="268" t="s">
        <v>180</v>
      </c>
      <c r="P31" s="423">
        <f>1+$AU$25</f>
        <v>1</v>
      </c>
      <c r="Q31" s="423">
        <f>1+$AU$25</f>
        <v>1</v>
      </c>
      <c r="R31" s="423">
        <f>1+$AU$25</f>
        <v>1</v>
      </c>
      <c r="S31" s="423">
        <f>1+$AU$25</f>
        <v>1</v>
      </c>
      <c r="U31" s="542"/>
      <c r="V31" s="724" t="s">
        <v>1022</v>
      </c>
      <c r="W31" s="279">
        <f>1+$AS$14</f>
        <v>1</v>
      </c>
      <c r="X31" s="279">
        <f>1+$AS$14</f>
        <v>1</v>
      </c>
      <c r="Y31" s="279">
        <f>1+$AS$14</f>
        <v>1</v>
      </c>
      <c r="Z31" s="279">
        <f>1+$AS$14</f>
        <v>1</v>
      </c>
      <c r="AJ31" s="266"/>
      <c r="AK31" s="266"/>
      <c r="AL31" s="266"/>
      <c r="AM31" s="558"/>
      <c r="AN31" s="558"/>
      <c r="AO31" s="558"/>
      <c r="AQ31" s="141" t="s">
        <v>1722</v>
      </c>
      <c r="AR31" s="8"/>
      <c r="AS31" s="145"/>
      <c r="AT31" s="8"/>
      <c r="AU31" s="26"/>
      <c r="AV31" s="481"/>
    </row>
    <row r="32" spans="1:48" ht="13.5" thickBot="1" x14ac:dyDescent="0.25">
      <c r="A32" s="108" t="s">
        <v>1825</v>
      </c>
      <c r="B32" s="747"/>
      <c r="C32" s="570" t="str">
        <f>IF(B3="B",TC7_BLDG1!B60,IF(B3="PP",TC7_PP1!B56,0))</f>
        <v>No</v>
      </c>
      <c r="D32" s="499"/>
      <c r="E32" s="146"/>
      <c r="F32" s="481"/>
      <c r="N32" s="146"/>
      <c r="O32" s="545" t="s">
        <v>1020</v>
      </c>
      <c r="P32" s="299">
        <f>IF(C7="PAC",VLOOKUP(B8,Table_PakMods,MATCH(C11,List_Company,0)+1,FALSE),1)</f>
        <v>1</v>
      </c>
      <c r="Q32" s="299">
        <f>IF(C7="PAC",VLOOKUP(B8,Table_PakMods,MATCH(C11,List_Company,0)+1,FALSE),1)</f>
        <v>1</v>
      </c>
      <c r="R32" s="299">
        <f>IF(C7="PAC",VLOOKUP(B8,Table_PakMods,MATCH(C11,List_Company,0)+1,FALSE),1)</f>
        <v>1</v>
      </c>
      <c r="S32" s="299">
        <f>IF(C7="PAC",VLOOKUP(B8,Table_PakMods,MATCH(C11,List_Company,0)+1,FALSE),1)</f>
        <v>1</v>
      </c>
      <c r="V32" s="83" t="s">
        <v>1150</v>
      </c>
      <c r="W32" s="247">
        <f ca="1">ROUND(PRODUCT(W8:W11,IF(AND(C31="Yes",B31="Sprinkler",C33&lt;&gt;1),W12-W13,W12),W14:W17,W19:W31),3)</f>
        <v>0.17100000000000001</v>
      </c>
      <c r="X32" s="247">
        <f ca="1">ROUND(PRODUCT(X8:X12,X14:X17,X19:X31),3)</f>
        <v>5.8999999999999997E-2</v>
      </c>
      <c r="Y32" s="247">
        <f>ROUND(PRODUCT(Y8:Y31),3)</f>
        <v>0.11600000000000001</v>
      </c>
      <c r="Z32" s="247">
        <f>ROUND(PRODUCT(Z8:Z31),3)</f>
        <v>2.9000000000000001E-2</v>
      </c>
      <c r="AJ32" s="60" t="s">
        <v>552</v>
      </c>
      <c r="AL32" s="235" t="s">
        <v>1012</v>
      </c>
      <c r="AM32" s="235" t="s">
        <v>1013</v>
      </c>
      <c r="AN32" s="235" t="s">
        <v>838</v>
      </c>
      <c r="AO32" s="235" t="s">
        <v>837</v>
      </c>
      <c r="AQ32" s="85"/>
      <c r="AR32" s="86"/>
      <c r="AS32" s="86"/>
      <c r="AT32" s="86"/>
      <c r="AU32" s="85"/>
      <c r="AV32" s="196"/>
    </row>
    <row r="33" spans="1:46" ht="13.5" thickBot="1" x14ac:dyDescent="0.25">
      <c r="A33" s="108" t="s">
        <v>1824</v>
      </c>
      <c r="B33" s="748"/>
      <c r="C33" s="570">
        <f>IF(AND(B3="B",TC7_BLDG1!C62="Yes"),TC7_BLDG1!P14,IF(AND(B3="PP",TC7_PP1!C58="Yes"),TC7_PP1!P14,0))</f>
        <v>0</v>
      </c>
      <c r="D33" s="527" t="s">
        <v>1608</v>
      </c>
      <c r="E33" s="422"/>
      <c r="F33" s="967" t="s">
        <v>857</v>
      </c>
      <c r="N33" s="542"/>
      <c r="O33" s="724" t="s">
        <v>1022</v>
      </c>
      <c r="P33" s="279">
        <f>1+$AS$14</f>
        <v>1</v>
      </c>
      <c r="Q33" s="279">
        <f>1+$AS$14</f>
        <v>1</v>
      </c>
      <c r="R33" s="279">
        <f>1+$AS$14</f>
        <v>1</v>
      </c>
      <c r="S33" s="279">
        <f>1+$AS$14</f>
        <v>1</v>
      </c>
      <c r="U33" s="185"/>
      <c r="V33" s="186" t="s">
        <v>1025</v>
      </c>
      <c r="W33" s="238">
        <f>IF(ISNUMBER(F38),F38/100,0)</f>
        <v>0</v>
      </c>
      <c r="X33" s="238">
        <f>IF(ISNUMBER(F38),F38/100,0)</f>
        <v>0</v>
      </c>
      <c r="Y33" s="238">
        <f>IF(ISNUMBER(F38),F38/100,0)</f>
        <v>0</v>
      </c>
      <c r="Z33" s="238">
        <f>IF(ISNUMBER(F38),F38/100,0)</f>
        <v>0</v>
      </c>
      <c r="AJ33" s="146"/>
      <c r="AK33" s="545" t="s">
        <v>1049</v>
      </c>
      <c r="AL33" s="146">
        <f>VLOOKUP(3,Table_Time_Utility,2,FALSE)</f>
        <v>1.0999999999999999E-2</v>
      </c>
      <c r="AM33" s="146">
        <f>VLOOKUP(3,Table_Time_Utility,3,FALSE)</f>
        <v>2.7E-2</v>
      </c>
      <c r="AN33" s="146">
        <f>VLOOKUP(3,Table_Time_Utility,5,FALSE)</f>
        <v>5.2999999999999999E-2</v>
      </c>
      <c r="AO33" s="563">
        <f>VLOOKUP(3,Table_Time_Utility,4,FALSE)</f>
        <v>0.01</v>
      </c>
      <c r="AQ33" s="742"/>
      <c r="AR33" s="686"/>
      <c r="AS33" s="737"/>
      <c r="AT33" s="737"/>
    </row>
    <row r="34" spans="1:46" ht="13.5" thickBot="1" x14ac:dyDescent="0.25">
      <c r="A34" s="122" t="s">
        <v>1469</v>
      </c>
      <c r="B34" s="747"/>
      <c r="C34" s="571" t="str">
        <f>IF(B3="B",TC7_BLDG1!C64,IF(B3="PP",TC7_PP1!C60,0))</f>
        <v>No</v>
      </c>
      <c r="D34" s="539" t="s">
        <v>1609</v>
      </c>
      <c r="E34" s="968" t="s">
        <v>857</v>
      </c>
      <c r="F34" s="169"/>
      <c r="N34" s="385"/>
      <c r="O34" s="685" t="s">
        <v>2236</v>
      </c>
      <c r="P34" s="1314">
        <f>ROUND(PRODUCT(P31:P33),3)</f>
        <v>1</v>
      </c>
      <c r="Q34" s="1314">
        <f>ROUND(PRODUCT(Q31:Q33),3)</f>
        <v>1</v>
      </c>
      <c r="R34" s="1314">
        <f>ROUND(PRODUCT(R31:R33),3)</f>
        <v>1</v>
      </c>
      <c r="S34" s="1314">
        <f>ROUND(PRODUCT(S31:S33),3)</f>
        <v>1</v>
      </c>
      <c r="V34" s="83" t="s">
        <v>977</v>
      </c>
      <c r="W34" s="248">
        <f ca="1">ROUND(PRODUCT(W32:W33),0)</f>
        <v>0</v>
      </c>
      <c r="X34" s="248">
        <f ca="1">ROUND(PRODUCT(X32:X33),0)</f>
        <v>0</v>
      </c>
      <c r="Y34" s="248">
        <f>ROUND(PRODUCT(Y32:Y33),0)</f>
        <v>0</v>
      </c>
      <c r="Z34" s="248">
        <f>ROUND(PRODUCT(Z32:Z33),0)</f>
        <v>0</v>
      </c>
      <c r="AB34" s="1602" t="s">
        <v>388</v>
      </c>
      <c r="AC34" s="1603"/>
      <c r="AD34" s="1603"/>
      <c r="AE34" s="1603"/>
      <c r="AF34" s="1603"/>
      <c r="AG34" s="1603"/>
      <c r="AH34" s="1604"/>
      <c r="AJ34" s="185"/>
      <c r="AK34" s="186" t="s">
        <v>1050</v>
      </c>
      <c r="AL34" s="238">
        <f>F51</f>
        <v>0</v>
      </c>
      <c r="AM34" s="238">
        <f>F51</f>
        <v>0</v>
      </c>
      <c r="AN34" s="238">
        <f>F51</f>
        <v>0</v>
      </c>
      <c r="AO34" s="785">
        <f>F51</f>
        <v>0</v>
      </c>
      <c r="AQ34" s="742"/>
      <c r="AR34" s="686"/>
      <c r="AS34" s="737"/>
      <c r="AT34" s="737"/>
    </row>
    <row r="35" spans="1:46" ht="13.5" thickBot="1" x14ac:dyDescent="0.25">
      <c r="A35" s="526"/>
      <c r="B35" s="96"/>
      <c r="C35" s="516"/>
      <c r="D35" s="91"/>
      <c r="E35" s="195"/>
      <c r="F35" s="101"/>
      <c r="N35" s="542"/>
      <c r="O35" s="1211" t="s">
        <v>2239</v>
      </c>
      <c r="P35" s="757">
        <f ca="1">P30</f>
        <v>0.157</v>
      </c>
      <c r="Q35" s="757">
        <f ca="1">Q30</f>
        <v>3.9E-2</v>
      </c>
      <c r="R35" s="757">
        <f>R30</f>
        <v>0.115</v>
      </c>
      <c r="S35" s="757">
        <f>S30</f>
        <v>2.9000000000000001E-2</v>
      </c>
      <c r="V35" s="83"/>
      <c r="W35" s="248"/>
      <c r="X35" s="248"/>
      <c r="Y35" s="248"/>
      <c r="Z35" s="248"/>
      <c r="AB35" s="266"/>
      <c r="AC35" s="266"/>
      <c r="AD35" s="266"/>
      <c r="AE35" s="266"/>
      <c r="AF35" s="266"/>
      <c r="AG35" s="266"/>
      <c r="AJ35" s="146"/>
      <c r="AK35" s="301" t="s">
        <v>1051</v>
      </c>
      <c r="AL35" s="146">
        <f>ROUND(PRODUCT(AL33:AL34),3)</f>
        <v>0</v>
      </c>
      <c r="AM35" s="146">
        <f>ROUND(PRODUCT(AM33:AM34),3)</f>
        <v>0</v>
      </c>
      <c r="AN35" s="146">
        <f>ROUND(PRODUCT(AN33:AN34),3)</f>
        <v>0</v>
      </c>
      <c r="AO35" s="146">
        <f>ROUND(PRODUCT(AO33:AO34),3)</f>
        <v>0</v>
      </c>
      <c r="AQ35" s="742"/>
      <c r="AR35" s="686"/>
      <c r="AS35" s="737"/>
      <c r="AT35" s="737"/>
    </row>
    <row r="36" spans="1:46" ht="13.5" thickBot="1" x14ac:dyDescent="0.25">
      <c r="D36" s="529" t="s">
        <v>897</v>
      </c>
      <c r="E36" s="217"/>
      <c r="F36" s="218"/>
      <c r="O36" s="83" t="s">
        <v>1421</v>
      </c>
      <c r="P36" s="1315">
        <f ca="1">ROUND(PRODUCT(P34:P35),3)</f>
        <v>0.157</v>
      </c>
      <c r="Q36" s="1315">
        <f ca="1">ROUND(PRODUCT(Q34:Q35),3)</f>
        <v>3.9E-2</v>
      </c>
      <c r="R36" s="1315">
        <f>ROUND(PRODUCT(R34:R35),3)</f>
        <v>0.115</v>
      </c>
      <c r="S36" s="1315">
        <f>ROUND(PRODUCT(S34:S35),3)</f>
        <v>2.9000000000000001E-2</v>
      </c>
      <c r="V36" s="83"/>
      <c r="W36" s="248"/>
      <c r="X36" s="248"/>
      <c r="Y36" s="248"/>
      <c r="Z36" s="248"/>
      <c r="AA36" s="793"/>
      <c r="AB36" s="566" t="s">
        <v>1172</v>
      </c>
      <c r="AC36" s="266"/>
      <c r="AD36" s="266"/>
      <c r="AE36" s="266"/>
      <c r="AF36" s="566"/>
      <c r="AG36" s="266"/>
      <c r="AK36" s="168" t="s">
        <v>971</v>
      </c>
      <c r="AL36" s="207">
        <f>HLOOKUP(C11,Table_StateRates,6,FALSE)</f>
        <v>1.9</v>
      </c>
      <c r="AM36" s="207">
        <f>HLOOKUP(C11,Table_StateRates,6,FALSE)</f>
        <v>1.9</v>
      </c>
      <c r="AN36" s="207">
        <f>HLOOKUP(C11,Table_StateRates,6,FALSE)</f>
        <v>1.9</v>
      </c>
      <c r="AO36" s="207">
        <f>HLOOKUP(C11,Table_StateRates,6,FALSE)</f>
        <v>1.9</v>
      </c>
      <c r="AQ36" s="742"/>
      <c r="AR36" s="686"/>
      <c r="AS36" s="737"/>
      <c r="AT36" s="737"/>
    </row>
    <row r="37" spans="1:46" x14ac:dyDescent="0.2">
      <c r="D37" s="123" t="s">
        <v>964</v>
      </c>
      <c r="E37" s="474"/>
      <c r="F37" s="956" t="s">
        <v>857</v>
      </c>
      <c r="N37" s="185"/>
      <c r="O37" s="186" t="s">
        <v>1025</v>
      </c>
      <c r="P37" s="238">
        <f>IF(ISNUMBER(F4),F4/100,0)</f>
        <v>5000</v>
      </c>
      <c r="Q37" s="238">
        <f>IF(ISNUMBER(F4),F4/100,0)</f>
        <v>5000</v>
      </c>
      <c r="R37" s="238">
        <f>IF(ISNUMBER(F4),F4/100,0)</f>
        <v>5000</v>
      </c>
      <c r="S37" s="238">
        <f>IF(ISNUMBER(F4),F4/100,0)</f>
        <v>5000</v>
      </c>
      <c r="AA37" s="266"/>
      <c r="AB37" s="266"/>
      <c r="AC37" s="486" t="s">
        <v>228</v>
      </c>
      <c r="AD37" s="426">
        <f>IF(C21="Yes",HLOOKUP(B21,Table_Terrorism,3,FALSE),0)</f>
        <v>1.4999999999999999E-2</v>
      </c>
      <c r="AE37" s="266"/>
      <c r="AF37" s="385"/>
      <c r="AG37" s="702"/>
      <c r="AK37" s="168" t="s">
        <v>1019</v>
      </c>
      <c r="AL37" s="207">
        <f>HLOOKUP(C11,Table_StateRates,5,FALSE)</f>
        <v>1.38</v>
      </c>
      <c r="AM37" s="207">
        <f>HLOOKUP(C11,Table_StateRates,5,FALSE)</f>
        <v>1.38</v>
      </c>
      <c r="AN37" s="207">
        <f>HLOOKUP(C11,Table_StateRates,5,FALSE)</f>
        <v>1.38</v>
      </c>
      <c r="AO37" s="207">
        <f>HLOOKUP(C11,Table_StateRates,5,FALSE)</f>
        <v>1.38</v>
      </c>
      <c r="AP37" s="814"/>
      <c r="AQ37" s="742"/>
      <c r="AR37" s="686"/>
      <c r="AS37" s="737"/>
      <c r="AT37" s="737"/>
    </row>
    <row r="38" spans="1:46" x14ac:dyDescent="0.2">
      <c r="D38" s="107" t="s">
        <v>1242</v>
      </c>
      <c r="E38" s="272"/>
      <c r="F38" s="959"/>
      <c r="O38" s="83" t="s">
        <v>977</v>
      </c>
      <c r="P38" s="248">
        <f ca="1">ROUND(PRODUCT(P36:P37),0)</f>
        <v>785</v>
      </c>
      <c r="Q38" s="248">
        <f ca="1">ROUND(PRODUCT(Q36:Q37),0)</f>
        <v>195</v>
      </c>
      <c r="R38" s="248">
        <f>ROUND(PRODUCT(R36:R37),0)</f>
        <v>575</v>
      </c>
      <c r="S38" s="248">
        <f>ROUND(PRODUCT(S36:S37),0)</f>
        <v>145</v>
      </c>
      <c r="W38" s="235" t="s">
        <v>1012</v>
      </c>
      <c r="X38" s="235" t="s">
        <v>1013</v>
      </c>
      <c r="Y38" s="235" t="s">
        <v>838</v>
      </c>
      <c r="Z38" s="235" t="s">
        <v>837</v>
      </c>
      <c r="AA38" s="266"/>
      <c r="AB38" s="209"/>
      <c r="AC38" s="280" t="s">
        <v>1176</v>
      </c>
      <c r="AD38" s="212">
        <v>1</v>
      </c>
      <c r="AE38" s="385"/>
      <c r="AF38" s="385"/>
      <c r="AG38" s="702"/>
      <c r="AK38" s="168" t="s">
        <v>180</v>
      </c>
      <c r="AL38" s="207">
        <v>1</v>
      </c>
      <c r="AM38" s="207">
        <v>1</v>
      </c>
      <c r="AN38" s="207">
        <v>1</v>
      </c>
      <c r="AO38" s="207">
        <v>1</v>
      </c>
      <c r="AP38" s="266"/>
    </row>
    <row r="39" spans="1:46" x14ac:dyDescent="0.2">
      <c r="D39" s="108" t="s">
        <v>904</v>
      </c>
      <c r="E39" s="319" t="str">
        <f>IF(ISBLANK(F39),"",VLOOKUP(F39,Table_G1_LC,2,FALSE))</f>
        <v/>
      </c>
      <c r="F39" s="942"/>
      <c r="U39" s="60" t="s">
        <v>1053</v>
      </c>
      <c r="AA39" s="558"/>
      <c r="AB39" s="266"/>
      <c r="AC39" s="486" t="s">
        <v>1177</v>
      </c>
      <c r="AD39" s="423">
        <f>IF(C22="Yes",VLOOKUP(B21,Table_TerrorNBC,2,FALSE),1)</f>
        <v>1</v>
      </c>
      <c r="AE39" s="423"/>
      <c r="AF39" s="385"/>
      <c r="AG39" s="702"/>
      <c r="AJ39" s="146"/>
      <c r="AK39" s="545" t="s">
        <v>1020</v>
      </c>
      <c r="AL39" s="299">
        <f>IF(C7="PAC",VLOOKUP(B8,Table_PakMods,MATCH(C11,List_Company,0)+1,FALSE),1)</f>
        <v>1</v>
      </c>
      <c r="AM39" s="299">
        <f>IF(C7="PAC",VLOOKUP(B8,Table_PakMods,MATCH(C11,List_Company,0)+1,FALSE),1)</f>
        <v>1</v>
      </c>
      <c r="AN39" s="299">
        <f>IF(C7="PAC",VLOOKUP(B8,Table_PakMods,MATCH(C11,List_Company,0)+1,FALSE),1)</f>
        <v>1</v>
      </c>
      <c r="AO39" s="299">
        <f>IF(C7="PAC",VLOOKUP(B8,Table_PakMods,MATCH(C11,List_Company,0)+1,FALSE),1)</f>
        <v>1</v>
      </c>
      <c r="AP39" s="266"/>
    </row>
    <row r="40" spans="1:46" x14ac:dyDescent="0.2">
      <c r="D40" s="482" t="str">
        <f>IF(F39="1190","Special Form Class Only - Choose Again",IF(F39="1180","Enter Prior/Intended Occ. Class Code Below",""))</f>
        <v/>
      </c>
      <c r="E40" s="273"/>
      <c r="F40" s="274"/>
      <c r="V40" s="168" t="s">
        <v>1175</v>
      </c>
      <c r="W40" s="247">
        <f ca="1">P36</f>
        <v>0.157</v>
      </c>
      <c r="X40" s="247">
        <f ca="1">Q36</f>
        <v>3.9E-2</v>
      </c>
      <c r="Y40" s="247">
        <f>R36</f>
        <v>0.115</v>
      </c>
      <c r="Z40" s="247">
        <f>S36</f>
        <v>2.9000000000000001E-2</v>
      </c>
      <c r="AA40" s="559"/>
      <c r="AB40" s="266"/>
      <c r="AC40" s="486" t="s">
        <v>971</v>
      </c>
      <c r="AD40" s="423">
        <f>HLOOKUP(C11,Table_StateRates,6,FALSE)</f>
        <v>1.9</v>
      </c>
      <c r="AE40" s="559"/>
      <c r="AF40" s="559"/>
      <c r="AG40" s="877"/>
      <c r="AJ40" s="542"/>
      <c r="AK40" s="724" t="s">
        <v>1022</v>
      </c>
      <c r="AL40" s="279">
        <v>1</v>
      </c>
      <c r="AM40" s="279">
        <v>1</v>
      </c>
      <c r="AN40" s="279">
        <v>1</v>
      </c>
      <c r="AO40" s="279">
        <v>1</v>
      </c>
      <c r="AP40" s="558"/>
    </row>
    <row r="41" spans="1:46" x14ac:dyDescent="0.2">
      <c r="D41" s="108" t="s">
        <v>960</v>
      </c>
      <c r="E41" s="160"/>
      <c r="F41" s="942"/>
      <c r="U41" s="185"/>
      <c r="V41" s="186" t="s">
        <v>108</v>
      </c>
      <c r="W41" s="208">
        <f>DF_Time_Law</f>
        <v>1.2</v>
      </c>
      <c r="X41" s="208">
        <f>DF_Time_Law</f>
        <v>1.2</v>
      </c>
      <c r="Y41" s="208">
        <f>DF_Time_Law</f>
        <v>1.2</v>
      </c>
      <c r="Z41" s="208">
        <f>DF_Time_Law</f>
        <v>1.2</v>
      </c>
      <c r="AA41" s="559"/>
      <c r="AB41" s="542"/>
      <c r="AC41" s="597" t="s">
        <v>1019</v>
      </c>
      <c r="AD41" s="279">
        <f>HLOOKUP(C11,Table_StateRates,5,FALSE)</f>
        <v>1.38</v>
      </c>
      <c r="AE41" s="426"/>
      <c r="AF41" s="559"/>
      <c r="AG41" s="899"/>
      <c r="AK41" s="83" t="s">
        <v>1150</v>
      </c>
      <c r="AL41" s="2">
        <f>ROUND(PRODUCT(AL35:AL40),3)</f>
        <v>0</v>
      </c>
      <c r="AM41" s="2">
        <f>ROUND(PRODUCT(AM35:AM40),3)</f>
        <v>0</v>
      </c>
      <c r="AN41" s="2">
        <f>ROUND(PRODUCT(AN35:AN40),3)</f>
        <v>0</v>
      </c>
      <c r="AO41" s="2">
        <f>ROUND(PRODUCT(AO35:AO40),3)</f>
        <v>0</v>
      </c>
      <c r="AP41" s="559"/>
    </row>
    <row r="42" spans="1:46" ht="13.5" customHeight="1" x14ac:dyDescent="0.2">
      <c r="D42" s="191" t="s">
        <v>1065</v>
      </c>
      <c r="E42" s="456">
        <f>IF(ISBLANK(F41),0,IF(ISERROR(VLOOKUP(F41,List_VacantClasses,1,FALSE)),VLOOKUP(F41,Table_G1_LC,MATCH(C15&amp;"B",List_ClassLC,0)+2),0))</f>
        <v>0</v>
      </c>
      <c r="F42" s="213"/>
      <c r="N42" s="60" t="s">
        <v>554</v>
      </c>
      <c r="Q42" s="60" t="s">
        <v>557</v>
      </c>
      <c r="V42" s="83" t="s">
        <v>109</v>
      </c>
      <c r="W42" s="247">
        <f ca="1">ROUND(PRODUCT(W40:W41),3)</f>
        <v>0.188</v>
      </c>
      <c r="X42" s="247">
        <f ca="1">ROUND(PRODUCT(X40:X41),3)</f>
        <v>4.7E-2</v>
      </c>
      <c r="Y42" s="247">
        <f>ROUND(PRODUCT(Y40:Y41),3)</f>
        <v>0.13800000000000001</v>
      </c>
      <c r="Z42" s="247">
        <f>ROUND(PRODUCT(Z40:Z41),3)</f>
        <v>3.5000000000000003E-2</v>
      </c>
      <c r="AA42" s="558"/>
      <c r="AB42" s="385"/>
      <c r="AC42" s="685" t="s">
        <v>1134</v>
      </c>
      <c r="AD42" s="558">
        <f>ROUND(PRODUCT(AD37:AD41),3)</f>
        <v>3.9E-2</v>
      </c>
      <c r="AE42" s="385"/>
      <c r="AF42" s="559"/>
      <c r="AG42" s="877"/>
      <c r="AJ42" s="185"/>
      <c r="AK42" s="186" t="s">
        <v>1025</v>
      </c>
      <c r="AL42" s="238">
        <f>IF(ISNUMBER(E47),E47/100,0)</f>
        <v>0</v>
      </c>
      <c r="AM42" s="238">
        <f>IF(ISNUMBER(E47),E47/100,0)</f>
        <v>0</v>
      </c>
      <c r="AN42" s="238">
        <f>IF(ISNUMBER(E47),E47/100,0)</f>
        <v>0</v>
      </c>
      <c r="AO42" s="238">
        <f>IF(ISNUMBER(E47),E47/100,0)</f>
        <v>0</v>
      </c>
      <c r="AP42" s="559"/>
    </row>
    <row r="43" spans="1:46" ht="12.75" customHeight="1" thickBot="1" x14ac:dyDescent="0.25">
      <c r="D43" s="91"/>
      <c r="E43" s="195"/>
      <c r="F43" s="101"/>
      <c r="N43" s="2" t="s">
        <v>555</v>
      </c>
      <c r="Q43" s="834">
        <f>IF(OR(C31&lt;&gt;"Yes",AND(C31="Yes",B31&lt;&gt;"Sprinkler")),0,2)</f>
        <v>0</v>
      </c>
      <c r="R43" s="2" t="s">
        <v>558</v>
      </c>
      <c r="AA43" s="558"/>
      <c r="AB43" s="385"/>
      <c r="AC43" s="702" t="s">
        <v>1178</v>
      </c>
      <c r="AD43" s="559">
        <f>IF(OR(C27="S",C27="T"),1,VLOOKUP(C14,Table_ProtClass,IF(C15&lt;=3,2,3),FALSE))</f>
        <v>0.96</v>
      </c>
      <c r="AE43" s="266"/>
      <c r="AF43" s="266"/>
      <c r="AG43" s="266"/>
      <c r="AK43" s="83" t="s">
        <v>1647</v>
      </c>
      <c r="AL43" s="248">
        <f>ROUND(PRODUCT(AL41:AL42),0)</f>
        <v>0</v>
      </c>
      <c r="AM43" s="248">
        <f>ROUND(PRODUCT(AM41:AM42),0)</f>
        <v>0</v>
      </c>
      <c r="AN43" s="248">
        <f>ROUND(PRODUCT(AN41:AN42),0)</f>
        <v>0</v>
      </c>
      <c r="AO43" s="248">
        <f>ROUND(PRODUCT(AO41:AO42),0)</f>
        <v>0</v>
      </c>
      <c r="AP43" s="558"/>
    </row>
    <row r="44" spans="1:46" x14ac:dyDescent="0.2">
      <c r="D44" s="905" t="s">
        <v>1607</v>
      </c>
      <c r="E44" s="902"/>
      <c r="F44" s="969" t="s">
        <v>857</v>
      </c>
      <c r="N44" s="834">
        <f>IF(OR(C27="S",C27="T"),0,2)</f>
        <v>2</v>
      </c>
      <c r="O44" s="2" t="s">
        <v>556</v>
      </c>
      <c r="Q44" s="834">
        <f>IF(OR(C27="S",C27="T"),0,4)</f>
        <v>4</v>
      </c>
      <c r="R44" s="2" t="s">
        <v>556</v>
      </c>
      <c r="V44" s="568" t="s">
        <v>110</v>
      </c>
      <c r="W44" s="893">
        <f ca="1">IF(J12="SP",SUM(W42:Y42),IF(J12="BR",SUM(W42:X42,Z42),SUM(W42:X42)))</f>
        <v>0.23499999999999999</v>
      </c>
      <c r="AA44" s="558"/>
      <c r="AB44" s="542"/>
      <c r="AC44" s="597" t="s">
        <v>229</v>
      </c>
      <c r="AD44" s="279">
        <f>IF(OR(ISBLANK(F7),F7="None"),1,IF(E8="Yes",F14,VLOOKUP(F7,IF(F5="Yes",Table_BI_CoIns_EE,Table_BI_CoIns),F8+1,FALSE)+P18))</f>
        <v>0.54</v>
      </c>
      <c r="AE44" s="558"/>
      <c r="AF44" s="558"/>
      <c r="AG44" s="558"/>
      <c r="AP44" s="558"/>
    </row>
    <row r="45" spans="1:46" ht="13.5" thickBot="1" x14ac:dyDescent="0.25">
      <c r="D45" s="528"/>
      <c r="E45" s="750"/>
      <c r="F45" s="901"/>
      <c r="N45" s="917">
        <f>IF(OR(C27="S",C27="T"),0,4)</f>
        <v>4</v>
      </c>
      <c r="O45" s="185" t="s">
        <v>1161</v>
      </c>
      <c r="Q45" s="917">
        <f>IF(OR(C27="S",C27="T"),0,5)</f>
        <v>5</v>
      </c>
      <c r="R45" s="185" t="s">
        <v>1161</v>
      </c>
      <c r="AA45" s="575"/>
      <c r="AB45" s="423"/>
      <c r="AC45" s="810" t="s">
        <v>1150</v>
      </c>
      <c r="AD45" s="426">
        <f>ROUND(PRODUCT(AD42:AD44),3)</f>
        <v>0.02</v>
      </c>
      <c r="AE45" s="559"/>
      <c r="AF45" s="559"/>
      <c r="AG45" s="559"/>
      <c r="AK45" s="685" t="s">
        <v>549</v>
      </c>
      <c r="AL45" s="907">
        <f>IF(E52="Yes",IF(C12="SP",SUM(AL43:AN43),IF(C12="BR",SUM(AL43:AM43,AO43),SUM(AL43:AM43))),0)</f>
        <v>0</v>
      </c>
      <c r="AP45" s="558"/>
    </row>
    <row r="46" spans="1:46" x14ac:dyDescent="0.2">
      <c r="D46" s="123" t="s">
        <v>1470</v>
      </c>
      <c r="E46" s="474"/>
      <c r="F46" s="956" t="s">
        <v>857</v>
      </c>
      <c r="N46" s="834">
        <f>SUM(N44:N45)</f>
        <v>6</v>
      </c>
      <c r="O46" s="53" t="str">
        <f>"Subtract from the " &amp; IF(OR(N46=6,N46=2),"Terr Mult",IF(N46=4,"Prot Class","Loss Cost"))</f>
        <v>Subtract from the Terr Mult</v>
      </c>
      <c r="Q46" s="834">
        <f>SUM(Q43:Q45)</f>
        <v>9</v>
      </c>
      <c r="R46" s="53" t="str">
        <f>"Subtract from the " &amp; IF(OR(Q46=2,Q46=6,Q46=7,Q46=11),"Sprk Lkg",IF(OR(Q46=4,Q46=9),"Terr Mult",IF(Q46=5,"Prot Class","Loss Cost")))</f>
        <v>Subtract from the Terr Mult</v>
      </c>
      <c r="V46" s="545" t="s">
        <v>184</v>
      </c>
      <c r="W46" s="248">
        <f>F4/100</f>
        <v>5000</v>
      </c>
      <c r="AA46" s="575"/>
      <c r="AB46" s="279"/>
      <c r="AC46" s="809" t="s">
        <v>1174</v>
      </c>
      <c r="AD46" s="487">
        <f>IF(F3="Yes",F4/100,0)</f>
        <v>0</v>
      </c>
      <c r="AE46" s="559"/>
      <c r="AF46" s="559"/>
      <c r="AG46" s="559"/>
      <c r="AP46" s="575"/>
    </row>
    <row r="47" spans="1:46" ht="13.5" thickBot="1" x14ac:dyDescent="0.25">
      <c r="D47" s="677" t="s">
        <v>1646</v>
      </c>
      <c r="E47" s="950"/>
      <c r="F47" s="446"/>
      <c r="N47" s="146"/>
      <c r="U47" s="185"/>
      <c r="V47" s="186" t="s">
        <v>111</v>
      </c>
      <c r="W47" s="455">
        <f>IF(F44="Yes",W44,0)</f>
        <v>0</v>
      </c>
      <c r="AA47" s="266"/>
      <c r="AB47" s="426"/>
      <c r="AC47" s="811" t="s">
        <v>1173</v>
      </c>
      <c r="AD47" s="812">
        <f>ROUND(PRODUCT(AD45:AD46),0)</f>
        <v>0</v>
      </c>
      <c r="AE47" s="558"/>
      <c r="AF47" s="558"/>
      <c r="AG47" s="558"/>
      <c r="AP47" s="575"/>
    </row>
    <row r="48" spans="1:46" ht="13.5" thickBot="1" x14ac:dyDescent="0.25">
      <c r="D48" s="518" t="s">
        <v>317</v>
      </c>
      <c r="E48" s="948" t="s">
        <v>857</v>
      </c>
      <c r="F48" s="891">
        <f>COUNTIF(E48:E49,"Yes")</f>
        <v>0</v>
      </c>
      <c r="N48" s="479" t="str">
        <f>IF(OR(N46=6,N46=2),"TM",IF(N46=4,"PC","LC"))</f>
        <v>TM</v>
      </c>
      <c r="O48" s="919" t="s">
        <v>559</v>
      </c>
      <c r="Q48" s="479" t="str">
        <f>IF(AND(B31="Sprinkler",OR(Q46=2,Q46=6,Q46=7,Q46=11)),"SL",IF(AND(OR(B31="NA",ISNUMBER(B31)),OR(Q46=4,Q46=9)),"TM",IF(AND(OR(B31="NA",ISNUMBER(B31)),Q46=5),"PC","LC")))</f>
        <v>TM</v>
      </c>
      <c r="V48" s="83" t="s">
        <v>1514</v>
      </c>
      <c r="W48" s="248">
        <f>ROUND(PRODUCT(W46:W47),0)</f>
        <v>0</v>
      </c>
      <c r="AA48" s="266"/>
      <c r="AJ48" s="916" t="s">
        <v>553</v>
      </c>
      <c r="AL48" s="734">
        <f>SUM(AL15,AL29,AL45)</f>
        <v>0</v>
      </c>
      <c r="AP48" s="266"/>
    </row>
    <row r="49" spans="4:42" x14ac:dyDescent="0.2">
      <c r="D49" s="518" t="s">
        <v>315</v>
      </c>
      <c r="E49" s="948" t="s">
        <v>857</v>
      </c>
      <c r="F49" s="891"/>
      <c r="V49" s="83"/>
      <c r="W49" s="248"/>
      <c r="AP49" s="266"/>
    </row>
    <row r="50" spans="4:42" x14ac:dyDescent="0.2">
      <c r="D50" s="518" t="s">
        <v>316</v>
      </c>
      <c r="E50" s="948" t="s">
        <v>857</v>
      </c>
      <c r="F50" s="891"/>
      <c r="U50" s="60" t="s">
        <v>1518</v>
      </c>
      <c r="V50" s="83"/>
      <c r="W50" s="248"/>
    </row>
    <row r="51" spans="4:42" x14ac:dyDescent="0.2">
      <c r="D51" s="518" t="s">
        <v>1574</v>
      </c>
      <c r="E51" s="948" t="s">
        <v>857</v>
      </c>
      <c r="F51" s="891">
        <f>COUNTIF(E51:E52,"Yes")</f>
        <v>0</v>
      </c>
      <c r="G51" s="8"/>
      <c r="V51" s="189" t="s">
        <v>1519</v>
      </c>
      <c r="W51" s="248">
        <f ca="1">P38</f>
        <v>785</v>
      </c>
    </row>
    <row r="52" spans="4:42" x14ac:dyDescent="0.2">
      <c r="D52" s="518" t="s">
        <v>1575</v>
      </c>
      <c r="E52" s="948" t="s">
        <v>857</v>
      </c>
      <c r="F52" s="891"/>
      <c r="G52" s="146"/>
      <c r="V52" s="189" t="s">
        <v>1520</v>
      </c>
      <c r="W52" s="248">
        <f ca="1">Q38</f>
        <v>195</v>
      </c>
    </row>
    <row r="53" spans="4:42" ht="13.5" thickBot="1" x14ac:dyDescent="0.25">
      <c r="D53" s="91"/>
      <c r="E53" s="195"/>
      <c r="F53" s="101"/>
      <c r="V53" s="189" t="s">
        <v>1521</v>
      </c>
      <c r="W53" s="248">
        <f>IF(C12="SP",R38,0)</f>
        <v>575</v>
      </c>
    </row>
    <row r="54" spans="4:42" x14ac:dyDescent="0.2">
      <c r="D54" s="980" t="s">
        <v>662</v>
      </c>
      <c r="E54" s="474"/>
      <c r="F54" s="956" t="s">
        <v>857</v>
      </c>
      <c r="U54" s="185"/>
      <c r="V54" s="477" t="s">
        <v>1522</v>
      </c>
      <c r="W54" s="238">
        <f>IF(C12="BR",S38,0)</f>
        <v>0</v>
      </c>
    </row>
    <row r="55" spans="4:42" x14ac:dyDescent="0.2">
      <c r="D55" s="473" t="s">
        <v>1766</v>
      </c>
      <c r="E55" s="216"/>
      <c r="F55" s="763">
        <f>IF(F54="No",0,F4)</f>
        <v>0</v>
      </c>
      <c r="V55" s="83" t="s">
        <v>1523</v>
      </c>
      <c r="W55" s="248">
        <f ca="1">SUM(W51:W54)</f>
        <v>1555</v>
      </c>
      <c r="AB55" s="793"/>
      <c r="AC55" s="793"/>
      <c r="AD55" s="793"/>
      <c r="AE55" s="793"/>
      <c r="AF55" s="793"/>
      <c r="AG55" s="793"/>
      <c r="AH55" s="793"/>
      <c r="AI55" s="793"/>
    </row>
    <row r="56" spans="4:42" x14ac:dyDescent="0.2">
      <c r="D56" s="669" t="s">
        <v>1833</v>
      </c>
      <c r="E56" s="216"/>
      <c r="F56" s="954" t="s">
        <v>833</v>
      </c>
      <c r="V56" s="83"/>
      <c r="W56" s="248"/>
      <c r="AB56" s="266"/>
      <c r="AC56" s="266"/>
      <c r="AD56" s="266"/>
      <c r="AE56" s="266"/>
      <c r="AF56" s="266"/>
      <c r="AG56" s="266"/>
      <c r="AH56" s="266"/>
      <c r="AI56" s="266"/>
    </row>
    <row r="57" spans="4:42" x14ac:dyDescent="0.2">
      <c r="D57" s="507" t="s">
        <v>677</v>
      </c>
      <c r="E57" s="947" t="s">
        <v>459</v>
      </c>
      <c r="F57" s="772" t="str">
        <f>IF(F56="Yes","B","")</f>
        <v>B</v>
      </c>
      <c r="U57" s="82" t="s">
        <v>1515</v>
      </c>
      <c r="V57" s="60"/>
      <c r="W57" s="83"/>
      <c r="AB57" s="266"/>
      <c r="AC57" s="266"/>
      <c r="AD57" s="266"/>
      <c r="AE57" s="266"/>
      <c r="AF57" s="266"/>
      <c r="AG57" s="266"/>
      <c r="AH57" s="266"/>
      <c r="AI57" s="266"/>
    </row>
    <row r="58" spans="4:42" x14ac:dyDescent="0.2">
      <c r="D58" s="507" t="s">
        <v>1748</v>
      </c>
      <c r="E58" s="947">
        <v>25</v>
      </c>
      <c r="F58" s="771" t="str">
        <f>IF(F56="Yes",E58&amp;"_"&amp;E57,"")</f>
        <v>25_5A</v>
      </c>
      <c r="V58" s="168" t="s">
        <v>1165</v>
      </c>
      <c r="W58" s="248">
        <f>W48</f>
        <v>0</v>
      </c>
      <c r="AB58" s="558"/>
      <c r="AC58" s="558"/>
      <c r="AD58" s="558"/>
      <c r="AE58" s="558"/>
      <c r="AF58" s="558"/>
      <c r="AG58" s="558"/>
      <c r="AH58" s="558"/>
      <c r="AI58" s="558"/>
    </row>
    <row r="59" spans="4:42" x14ac:dyDescent="0.2">
      <c r="D59" s="669" t="s">
        <v>1834</v>
      </c>
      <c r="E59" s="261"/>
      <c r="F59" s="954" t="s">
        <v>857</v>
      </c>
      <c r="U59" s="185"/>
      <c r="V59" s="187" t="s">
        <v>1524</v>
      </c>
      <c r="W59" s="238">
        <f ca="1">W55</f>
        <v>1555</v>
      </c>
      <c r="AB59" s="559"/>
      <c r="AC59" s="559"/>
      <c r="AD59" s="559"/>
      <c r="AE59" s="559"/>
      <c r="AF59" s="559"/>
      <c r="AG59" s="559"/>
      <c r="AH59" s="559"/>
      <c r="AI59" s="559"/>
    </row>
    <row r="60" spans="4:42" x14ac:dyDescent="0.2">
      <c r="D60" s="669" t="s">
        <v>1835</v>
      </c>
      <c r="E60" s="261"/>
      <c r="F60" s="954" t="s">
        <v>857</v>
      </c>
      <c r="V60" s="83" t="s">
        <v>1517</v>
      </c>
      <c r="W60" s="260">
        <f ca="1">W58-W59</f>
        <v>-1555</v>
      </c>
      <c r="AB60" s="559"/>
      <c r="AC60" s="559"/>
      <c r="AD60" s="559"/>
      <c r="AE60" s="559"/>
      <c r="AF60" s="559"/>
      <c r="AG60" s="559"/>
      <c r="AH60" s="559"/>
      <c r="AI60" s="559"/>
    </row>
    <row r="61" spans="4:42" x14ac:dyDescent="0.2">
      <c r="D61" s="507" t="s">
        <v>1836</v>
      </c>
      <c r="E61" s="947"/>
      <c r="F61" s="293"/>
      <c r="AB61" s="558"/>
      <c r="AC61" s="558"/>
      <c r="AD61" s="558"/>
      <c r="AE61" s="558"/>
      <c r="AF61" s="558"/>
      <c r="AG61" s="558"/>
      <c r="AH61" s="558"/>
      <c r="AI61" s="558"/>
    </row>
    <row r="62" spans="4:42" x14ac:dyDescent="0.2">
      <c r="D62" s="762"/>
      <c r="E62" s="774"/>
      <c r="F62" s="773"/>
      <c r="AB62" s="558"/>
      <c r="AC62" s="558"/>
      <c r="AD62" s="558"/>
      <c r="AE62" s="558"/>
      <c r="AF62" s="558"/>
      <c r="AG62" s="558"/>
      <c r="AH62" s="558"/>
      <c r="AI62" s="558"/>
    </row>
    <row r="63" spans="4:42" x14ac:dyDescent="0.2">
      <c r="D63" s="669" t="s">
        <v>1234</v>
      </c>
      <c r="E63" s="261"/>
      <c r="F63" s="954" t="s">
        <v>857</v>
      </c>
      <c r="AB63" s="558"/>
      <c r="AC63" s="558"/>
      <c r="AD63" s="558"/>
      <c r="AE63" s="558"/>
      <c r="AF63" s="558"/>
      <c r="AG63" s="558"/>
      <c r="AH63" s="558"/>
      <c r="AI63" s="558"/>
    </row>
    <row r="64" spans="4:42" x14ac:dyDescent="0.2">
      <c r="D64" s="507" t="s">
        <v>1235</v>
      </c>
      <c r="E64" s="947"/>
      <c r="F64" s="293"/>
      <c r="AB64" s="575"/>
      <c r="AC64" s="575"/>
      <c r="AD64" s="575"/>
      <c r="AE64" s="575"/>
      <c r="AF64" s="575"/>
      <c r="AG64" s="575"/>
      <c r="AH64" s="575"/>
      <c r="AI64" s="575"/>
    </row>
    <row r="65" spans="4:35" ht="13.5" thickBot="1" x14ac:dyDescent="0.25">
      <c r="D65" s="514"/>
      <c r="E65" s="515"/>
      <c r="F65" s="516"/>
      <c r="AB65" s="575"/>
      <c r="AC65" s="575"/>
      <c r="AD65" s="575"/>
      <c r="AE65" s="575"/>
      <c r="AF65" s="575"/>
      <c r="AG65" s="575"/>
      <c r="AH65" s="575"/>
      <c r="AI65" s="575"/>
    </row>
    <row r="66" spans="4:35" x14ac:dyDescent="0.2">
      <c r="AB66" s="266"/>
      <c r="AC66" s="266"/>
      <c r="AD66" s="266"/>
      <c r="AE66" s="266"/>
      <c r="AF66" s="266"/>
      <c r="AG66" s="266"/>
      <c r="AH66" s="266"/>
      <c r="AI66" s="266"/>
    </row>
    <row r="67" spans="4:35" x14ac:dyDescent="0.2">
      <c r="AB67" s="266"/>
      <c r="AC67" s="266"/>
      <c r="AD67" s="266"/>
      <c r="AE67" s="266"/>
      <c r="AF67" s="266"/>
      <c r="AG67" s="266"/>
      <c r="AH67" s="266"/>
      <c r="AI67" s="266"/>
    </row>
  </sheetData>
  <mergeCells count="5">
    <mergeCell ref="H1:L1"/>
    <mergeCell ref="AB1:AH1"/>
    <mergeCell ref="AQ1:AS1"/>
    <mergeCell ref="AU25:AV25"/>
    <mergeCell ref="AB34:AH34"/>
  </mergeCells>
  <conditionalFormatting sqref="B24">
    <cfRule type="expression" dxfId="116" priority="2" stopIfTrue="1">
      <formula>IF($C$24="Yes",FALSE,TRUE)</formula>
    </cfRule>
  </conditionalFormatting>
  <conditionalFormatting sqref="A18">
    <cfRule type="expression" dxfId="115" priority="1">
      <formula>IF($C$12="SP",TRUE,FALSE)</formula>
    </cfRule>
  </conditionalFormatting>
  <dataValidations count="77"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sqref="E47">
      <formula1>IF(F46="Yes",TRUE,FALSE)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4">
      <formula1>IF(F63="Yes",OFFSET(Table_Other_WaterBuyback,0,0,,1),List_No)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1">
      <formula1>IF($F60="Yes",OFFSET(Table_Other_PierWharf,0,0,,1),List_No)</formula1>
    </dataValidation>
    <dataValidation type="list" allowBlank="1" showInputMessage="1" showErrorMessage="1" promptTitle="EQ Building Class" prompt="Please Select a class from the drop down list." sqref="E57">
      <formula1>IF(F56="Yes",List_EQBldgClass,List_No)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6">
      <formula1>IF(AND(F54="Yes",C31&lt;&gt;"Yes"),List_YN,List_No)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3">
      <formula1>IF(OR(C12="BR",C12="BA"),List_No,IF(F54="Yes",List_YN,List_No))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60">
      <formula1>IF(C12="SP",List_No,IF(F54="Yes",List_YN,List_No))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9">
      <formula1>IF(C12="SP",List_No,IF(F54="Yes",List_YN,List_No))</formula1>
    </dataValidation>
    <dataValidation type="custom" allowBlank="1" showInputMessage="1" showErrorMessage="1" sqref="O8 A29 E13:F13 F55 D14 B30:B31 C25 O5">
      <formula1>FALSE</formula1>
    </dataValidation>
    <dataValidation type="custom" allowBlank="1" showInputMessage="1" showErrorMessage="1" errorTitle="Do Not Touch" error="This is used to generate the Coinsurance rate." sqref="B34 E63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B5:C5 C7 B8 C4 C24 C10:C11 C14:C15 C21:C22 C17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list" allowBlank="1" showInputMessage="1" showErrorMessage="1" promptTitle="Increased Period of Restoration" prompt="Please Select:_x000a_Yes or No" sqref="F44">
      <formula1>List_YN</formula1>
    </dataValidation>
    <dataValidation type="list" allowBlank="1" showInputMessage="1" showErrorMessage="1" promptTitle="Please Select:" prompt="Yes = Apply Coverage_x000a_No  = Do Not Apply" sqref="F37 F46 F54">
      <formula1>List_YN</formula1>
    </dataValidation>
    <dataValidation type="list" allowBlank="1" showInputMessage="1" showErrorMessage="1" promptTitle="Prior/Intended Building Class:" prompt="Please select your previous or Intended Building Class code for the building type classified." sqref="F41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42">
      <formula1>FALSE</formula1>
    </dataValidation>
    <dataValidation type="custom" allowBlank="1" showInputMessage="1" showErrorMessage="1" promptTitle="Class Rating Group" prompt="Displays Rating Group for Class Code selected." sqref="E39">
      <formula1>FALSE</formula1>
    </dataValidation>
    <dataValidation type="list" allowBlank="1" showInputMessage="1" showErrorMessage="1" promptTitle="Basic Group I - Class Codes" prompt="Please select your building class code" sqref="F39">
      <formula1>OFFSET(Table_G1_LC,0,0,,1)</formula1>
    </dataValidation>
    <dataValidation type="list" allowBlank="1" showInputMessage="1" showErrorMessage="1" promptTitle="Civil Authority Inc. Coverage" prompt="Please Select:_x000a_Yes or No" sqref="F28">
      <formula1>List_YN</formula1>
    </dataValidation>
    <dataValidation type="list" allowBlank="1" showInputMessage="1" showErrorMessage="1" promptTitle="Increased Coverage Period" prompt="Please Select # of Days:_x000a_{ 60, 90, 180 }" sqref="E29">
      <formula1>IF($F$28="Yes",OFFSET(Table_CivilAuth,0,0,,1),List_No)</formula1>
    </dataValidation>
    <dataValidation type="list" allowBlank="1" showInputMessage="1" showErrorMessage="1" promptTitle="Apply Educational Inst Coverage?" prompt="Please Select:_x000a_Yes or No" sqref="F20">
      <formula1>IF($F$7&gt;=50,List_No,List_YN)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Ordinary Payroll Exclusion" prompt="Please Select:_x000a_Yes or No" sqref="F24">
      <formula1>List_YN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6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5">
      <formula1>IF($F$24="Yes",OFFSET(Table_BI_OrdPR,0,0,,1),List_No)</formula1>
    </dataValidation>
    <dataValidation type="list" allowBlank="1" showInputMessage="1" showErrorMessage="1" promptTitle="Apply Mining Property Coverage?" prompt="Please Select:_x000a_Yes or No" sqref="F30">
      <formula1>IF(ISNUMBER($F$7),List_YN,List_No)</formula1>
    </dataValidation>
    <dataValidation type="list" allowBlank="1" showInputMessage="1" showErrorMessage="1" promptTitle="Seasonal Leases:" prompt="Please Select:_x000a_Yes or No_x000a__x000a_* This coverage relates to rental property only." sqref="F27">
      <formula1>IF($F$8&lt;&gt;3,List_No,List_YN)</formula1>
    </dataValidation>
    <dataValidation type="list" allowBlank="1" showInputMessage="1" showErrorMessage="1" promptTitle="Apply Electronic Media &amp; Recs?" prompt="Please Select:_x000a_Yes or No" sqref="F22">
      <formula1>List_YN</formula1>
    </dataValidation>
    <dataValidation type="list" allowBlank="1" showInputMessage="1" showErrorMessage="1" promptTitle="Extension Period" prompt="Please Select:_x000a_1 - 180 Days_x000a_2 - No Limit" sqref="E23">
      <formula1>IF($F$22="Yes",OFFSET(Table_BI_EMR,0,0,,1),List_No)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31">
      <formula1>IF($F$30="Yes",List_BI_Mining,List_No)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3">
      <formula1>List_YN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4">
      <formula1>IF($F$33="Yes", OFFSET(Table_BI_Wait,0,0,,1),List_No)</formula1>
    </dataValidation>
    <dataValidation type="list" allowBlank="1" showInputMessage="1" showErrorMessage="1" promptTitle="Monthly Limitation Period:" prompt="Please Select:_x000a_3rd - 1/3_x000a_4th - 1/4_x000a_6th - 1/6" sqref="E19">
      <formula1>IF($F$18&lt;&gt;"Yes",List_No,List_MosLimit)</formula1>
    </dataValidation>
    <dataValidation type="list" allowBlank="1" showInputMessage="1" showErrorMessage="1" promptTitle="Apply Monthly Limitation?" prompt="Please Select:_x000a_Yes or No" sqref="F18">
      <formula1>IF(ISNUMBER($F$7),List_No,List_YN)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IF($F$15="Yes",OFFSET(Table_BI_IndDays,0,0,,1),List_No)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IF(OR($F$17="Yes"),List_No,List_YN)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promptTitle="Include Extra Expense Coverage" prompt="Please Select:_x000a_Yes or No" sqref="F5">
      <formula1>IF($E$3="Available",List_YN,List_No)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IF($E$8="Yes",List_No,List_BI_OccType)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IF($E$8="No",List_No,List_BI_OccType)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custom" allowBlank="1" showInputMessage="1" showErrorMessage="1" promptTitle="Exclusion Options" prompt="KY does not have exclusion options." sqref="B23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type="custom" allowBlank="1" showInputMessage="1" showErrorMessage="1" prompt="Relates to Special Form Reference" sqref="B15">
      <formula1>FALSE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custom" allowBlank="1" showInputMessage="1" showErrorMessage="1" promptTitle="BI &quot;Special&quot; Col. Reference" prompt="Checks to see if Extra Expense is included within the rating for Business Income.  If so it will give the column reference for &quot;All Other&quot;." sqref="E4">
      <formula1>FALSE</formula1>
    </dataValidation>
    <dataValidation type="custom" allowBlank="1" showInputMessage="1" showErrorMessage="1" promptTitle="BI Availability Indicator:" prompt="EE - indicates that Extra Expense Coverage has already been applied to policy._x000a__x000a_Available - indicates that BI is still available to be added to the policy." sqref="E3">
      <formula1>FALSE</formula1>
    </dataValidation>
    <dataValidation type="list" allowBlank="1" showInputMessage="1" showErrorMessage="1" errorTitle="Coverage Not Available" error="Extra Expense coverage has already been applied to this policy." promptTitle="Please Select:" prompt="Yes = Apply Coverage_x000a_No  = Do Not Apply_x000a__x000a_* Note: If you have EE has an optional coverage already applied to policy, you cannot include EE on BI." sqref="F3">
      <formula1>List_YN</formula1>
    </dataValidation>
    <dataValidation type="list" allowBlank="1" showInputMessage="1" showErrorMessage="1" promptTitle="Power &amp; Water Supply" prompt="Please Select:_x000a_{ Yes or No }" sqref="E48:E49">
      <formula1>IF($F$46="Yes",List_YN, List_No)</formula1>
    </dataValidation>
    <dataValidation type="list" allowBlank="1" showInputMessage="1" showErrorMessage="1" promptTitle="Communications Supply" prompt="Please Select:_x000a_{ Yes or No }" sqref="E50">
      <formula1>IF($F$46="Yes",List_YN, List_No)</formula1>
    </dataValidation>
    <dataValidation type="list" allowBlank="1" showInputMessage="1" showErrorMessage="1" promptTitle="Ovhd Communication Lines" prompt="Please Select:_x000a_{ Yes or No }" sqref="E52">
      <formula1>IF($F$46="Yes",List_YN, List_No)</formula1>
    </dataValidation>
    <dataValidation type="list" allowBlank="1" showInputMessage="1" showErrorMessage="1" promptTitle="OH Power Transmission Lines" prompt="Please Select:_x000a_{ Yes or No }" sqref="E51">
      <formula1>IF($F$46="Yes",List_YN, List_No)</formula1>
    </dataValidation>
    <dataValidation type="custom" allowBlank="1" showInputMessage="1" showErrorMessage="1" promptTitle="P&amp;W Utility Svc Multiplier" prompt="Displays the multiplier for Power &amp; Water Supply premium calculations." sqref="F48">
      <formula1>FALSE</formula1>
    </dataValidation>
    <dataValidation type="custom" allowBlank="1" showInputMessage="1" showErrorMessage="1" promptTitle="OH Lines Utility Svc Multiplier" prompt="Displays the multiplier for the Overhead Power Trans &amp; Comm Lines premium calculations." sqref="F51">
      <formula1>FALSE</formula1>
    </dataValidation>
    <dataValidation type="custom" allowBlank="1" showInputMessage="1" showErrorMessage="1" prompt="EQ Sprinkler Leakage Extension Factor Lookup value." sqref="F57">
      <formula1>FALSE</formula1>
    </dataValidation>
    <dataValidation type="custom" allowBlank="1" showInputMessage="1" showErrorMessage="1" prompt="EQ Table Lookup Value" sqref="F58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58">
      <formula1>OFFSET(Table_EQ_Tiers,0,0,,1)</formula1>
    </dataValidation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6" manualBreakCount="6">
    <brk id="6" max="1048575" man="1"/>
    <brk id="13" max="64" man="1"/>
    <brk id="20" max="64" man="1"/>
    <brk id="27" max="64" man="1"/>
    <brk id="35" max="64" man="1"/>
    <brk id="42" max="64" man="1"/>
  </col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N76"/>
  <sheetViews>
    <sheetView zoomScale="90" zoomScaleNormal="90" workbookViewId="0">
      <selection activeCell="H4" sqref="H4"/>
    </sheetView>
  </sheetViews>
  <sheetFormatPr defaultRowHeight="12.75" x14ac:dyDescent="0.2"/>
  <cols>
    <col min="1" max="1" width="27.7109375" style="2" customWidth="1"/>
    <col min="2" max="2" width="13.42578125" style="2" customWidth="1"/>
    <col min="3" max="3" width="13.85546875" style="2" customWidth="1"/>
    <col min="4" max="4" width="32.140625" style="2" customWidth="1"/>
    <col min="5" max="5" width="13.140625" style="2" customWidth="1"/>
    <col min="6" max="6" width="12.42578125" style="2" customWidth="1"/>
    <col min="7" max="7" width="9.140625" style="2"/>
    <col min="8" max="8" width="39.140625" style="2" customWidth="1"/>
    <col min="9" max="12" width="12.85546875" style="2" customWidth="1"/>
    <col min="13" max="13" width="8.140625" style="2" customWidth="1"/>
    <col min="14" max="14" width="15.140625" style="2" customWidth="1"/>
    <col min="15" max="15" width="27" style="2" customWidth="1"/>
    <col min="16" max="16" width="12.28515625" style="2" customWidth="1"/>
    <col min="17" max="18" width="12.42578125" style="2" customWidth="1"/>
    <col min="19" max="19" width="11.85546875" style="2" customWidth="1"/>
    <col min="20" max="20" width="5.42578125" style="2" customWidth="1"/>
    <col min="21" max="21" width="19.85546875" style="2" customWidth="1"/>
    <col min="22" max="22" width="25.85546875" style="2" customWidth="1"/>
    <col min="23" max="23" width="12.7109375" style="2" customWidth="1"/>
    <col min="24" max="24" width="15.140625" style="2" customWidth="1"/>
    <col min="25" max="25" width="15.42578125" style="2" customWidth="1"/>
    <col min="26" max="26" width="13" style="2" customWidth="1"/>
    <col min="27" max="27" width="5.42578125" style="2" customWidth="1"/>
    <col min="28" max="28" width="25.85546875" style="2" customWidth="1"/>
    <col min="29" max="29" width="13.7109375" style="2" customWidth="1"/>
    <col min="30" max="30" width="11.7109375" style="2" customWidth="1"/>
    <col min="31" max="32" width="13.140625" style="2" customWidth="1"/>
    <col min="33" max="33" width="11.28515625" style="2" customWidth="1"/>
    <col min="34" max="34" width="9.140625" style="2"/>
    <col min="35" max="35" width="34.28515625" style="2" customWidth="1"/>
    <col min="36" max="36" width="23.7109375" style="2" customWidth="1"/>
    <col min="37" max="37" width="14.28515625" style="2" customWidth="1"/>
    <col min="38" max="16384" width="9.140625" style="2"/>
  </cols>
  <sheetData>
    <row r="1" spans="1:37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1757</v>
      </c>
      <c r="I1" s="1595"/>
      <c r="J1" s="1595"/>
      <c r="K1" s="1595"/>
      <c r="L1" s="1596"/>
      <c r="N1" s="60" t="s">
        <v>978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152" t="s">
        <v>949</v>
      </c>
    </row>
    <row r="2" spans="1:37" ht="12.75" customHeight="1" thickBot="1" x14ac:dyDescent="0.25">
      <c r="A2" s="529" t="s">
        <v>832</v>
      </c>
      <c r="B2" s="530"/>
      <c r="C2" s="7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1053</v>
      </c>
      <c r="AB2" s="60" t="s">
        <v>550</v>
      </c>
      <c r="AD2" s="235"/>
      <c r="AE2" s="235"/>
      <c r="AF2" s="235"/>
      <c r="AG2" s="235"/>
    </row>
    <row r="3" spans="1:37" ht="13.5" thickBot="1" x14ac:dyDescent="0.25">
      <c r="A3" s="744" t="s">
        <v>195</v>
      </c>
      <c r="B3" s="745" t="str">
        <f>IF(C3="Building","B",IF(C3="Pers Pty","PP","None"))</f>
        <v>B</v>
      </c>
      <c r="C3" s="746" t="str">
        <f>IF(AND(TC7_BLDG1!C27="Yes",TC7_PP1!C27="Yes"),"Building",IF(AND(TC7_BLDG1!C27="No",TC7_PP1!C27="Yes"),"Pers Pty",IF(AND(TC7_BLDG1!C27="Yes",TC7_PP1!C27="No"),"Building","Neither")))</f>
        <v>Building</v>
      </c>
      <c r="D3" s="521" t="s">
        <v>1419</v>
      </c>
      <c r="E3" s="820" t="str">
        <f>IF(TC7_BI1!F5="Yes","BI","Available")</f>
        <v>Available</v>
      </c>
      <c r="F3" s="1100" t="s">
        <v>833</v>
      </c>
      <c r="H3" s="1273">
        <f>Summary7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107</v>
      </c>
      <c r="W3" s="247">
        <f>P24</f>
        <v>1.014</v>
      </c>
      <c r="X3" s="247">
        <f>Q24</f>
        <v>0.28599999999999998</v>
      </c>
      <c r="Y3" s="247">
        <f>R24</f>
        <v>0.16300000000000001</v>
      </c>
      <c r="Z3" s="247">
        <f>S24</f>
        <v>0.06</v>
      </c>
      <c r="AB3" s="146"/>
      <c r="AC3" s="545" t="s">
        <v>1049</v>
      </c>
      <c r="AD3" s="146">
        <f>VLOOKUP(1,Table_Time_Utility,2,FALSE)</f>
        <v>2.1999999999999999E-2</v>
      </c>
      <c r="AE3" s="146">
        <f>VLOOKUP(1,Table_Time_Utility,3,FALSE)</f>
        <v>1.0999999999999999E-2</v>
      </c>
      <c r="AF3" s="146">
        <f>VLOOKUP(1,Table_Time_Utility,5,FALSE)</f>
        <v>1.9E-2</v>
      </c>
      <c r="AG3" s="563">
        <f>VLOOKUP(1,Table_Time_Utility,4,FALSE)</f>
        <v>6.0000000000000001E-3</v>
      </c>
      <c r="AI3" s="154" t="s">
        <v>950</v>
      </c>
      <c r="AJ3" s="86"/>
      <c r="AK3" s="156" t="s">
        <v>951</v>
      </c>
    </row>
    <row r="4" spans="1:37" x14ac:dyDescent="0.2">
      <c r="A4" s="120" t="s">
        <v>1024</v>
      </c>
      <c r="B4" s="95"/>
      <c r="C4" s="1086" t="str">
        <f>IF(B3="B",TC7_BLDG1!C3,IF(B3="PP",TC7_PP1!C3,""))</f>
        <v>CT</v>
      </c>
      <c r="D4" s="107" t="s">
        <v>1241</v>
      </c>
      <c r="E4" s="272"/>
      <c r="F4" s="704">
        <v>1000000</v>
      </c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85"/>
      <c r="V4" s="186" t="s">
        <v>108</v>
      </c>
      <c r="W4" s="208">
        <f>DF_Time_Law</f>
        <v>1.2</v>
      </c>
      <c r="X4" s="208">
        <f>DF_Time_Law</f>
        <v>1.2</v>
      </c>
      <c r="Y4" s="208">
        <f>DF_Time_Law</f>
        <v>1.2</v>
      </c>
      <c r="Z4" s="208">
        <f>DF_Time_Law</f>
        <v>1.2</v>
      </c>
      <c r="AB4" s="185"/>
      <c r="AC4" s="186" t="s">
        <v>1050</v>
      </c>
      <c r="AD4" s="238">
        <f>F22</f>
        <v>0</v>
      </c>
      <c r="AE4" s="238">
        <f>F22</f>
        <v>0</v>
      </c>
      <c r="AF4" s="238">
        <f>F22</f>
        <v>0</v>
      </c>
      <c r="AG4" s="785">
        <f>F22</f>
        <v>0</v>
      </c>
      <c r="AI4" s="686" t="s">
        <v>1715</v>
      </c>
      <c r="AK4" s="155">
        <f>IF(AK22&lt;-0.05,-0.05,IF(AK22&gt;0.05,0.05,AK22))</f>
        <v>0</v>
      </c>
    </row>
    <row r="5" spans="1:37" x14ac:dyDescent="0.2">
      <c r="A5" s="120" t="s">
        <v>1828</v>
      </c>
      <c r="B5" s="729">
        <f>IF(B3="B",TC7_BLDG1!B4,IF(B3="PP",TC7_PP1!B4,""))</f>
        <v>0</v>
      </c>
      <c r="C5" s="1086">
        <f>IF(B3="B",TC7_BLDG1!C4,IF(B3="PP",TC7_PP1!C4,""))</f>
        <v>0</v>
      </c>
      <c r="D5" s="84" t="s">
        <v>1610</v>
      </c>
      <c r="E5" s="193"/>
      <c r="F5" s="704">
        <v>100</v>
      </c>
      <c r="H5" s="483" t="s">
        <v>978</v>
      </c>
      <c r="I5" s="485">
        <f>IF(F3="Yes",P26,0)</f>
        <v>10140</v>
      </c>
      <c r="J5" s="485">
        <f>IF(F3="Yes",Q26,0)</f>
        <v>2860</v>
      </c>
      <c r="K5" s="485">
        <f>IF(AND(F3="Yes",C12="SP"),R26,0)</f>
        <v>1630</v>
      </c>
      <c r="L5" s="485">
        <f>IF(AND(F3="Yes",C12="BR"),S26,0)</f>
        <v>0</v>
      </c>
      <c r="O5" s="168" t="str">
        <f>C3&amp;" - Loss Cost"</f>
        <v>Building - Loss Cost</v>
      </c>
      <c r="P5" s="247">
        <f>B29</f>
        <v>0.126</v>
      </c>
      <c r="Q5" s="247">
        <f>C29</f>
        <v>4.2000000000000003E-2</v>
      </c>
      <c r="R5" s="247">
        <f>IF(C12="SP",VLOOKUP(B13,Table_Time_Special,3,FALSE),0)</f>
        <v>6.2E-2</v>
      </c>
      <c r="S5" s="247">
        <f>HLOOKUP(B12,Table_BroadTime,3,FALSE)</f>
        <v>2.3E-2</v>
      </c>
      <c r="V5" s="83" t="s">
        <v>109</v>
      </c>
      <c r="W5" s="247">
        <f>ROUND(PRODUCT(W3:W4),3)</f>
        <v>1.2170000000000001</v>
      </c>
      <c r="X5" s="247">
        <f>ROUND(PRODUCT(X3:X4),3)</f>
        <v>0.34300000000000003</v>
      </c>
      <c r="Y5" s="247">
        <f>ROUND(PRODUCT(Y3:Y4),3)</f>
        <v>0.19600000000000001</v>
      </c>
      <c r="Z5" s="247">
        <f>ROUND(PRODUCT(Z3:Z4),3)</f>
        <v>7.1999999999999995E-2</v>
      </c>
      <c r="AB5" s="146"/>
      <c r="AC5" s="301" t="s">
        <v>1051</v>
      </c>
      <c r="AD5" s="146">
        <f>ROUND(PRODUCT(AD3:AD4),3)</f>
        <v>0</v>
      </c>
      <c r="AE5" s="146">
        <f>ROUND(PRODUCT(AE3:AE4),3)</f>
        <v>0</v>
      </c>
      <c r="AF5" s="146">
        <f>ROUND(PRODUCT(AF3:AF4),3)</f>
        <v>0</v>
      </c>
      <c r="AG5" s="146">
        <f>ROUND(PRODUCT(AG3:AG4),3)</f>
        <v>0</v>
      </c>
      <c r="AI5" s="151" t="s">
        <v>1714</v>
      </c>
      <c r="AK5" s="155">
        <f>IF(AK23&lt;-0.06,-0.06,IF(AK23&gt;0.06,0.06,AK23))</f>
        <v>0</v>
      </c>
    </row>
    <row r="6" spans="1:37" x14ac:dyDescent="0.2">
      <c r="A6" s="120"/>
      <c r="B6" s="95"/>
      <c r="C6" s="1039"/>
      <c r="D6" s="499"/>
      <c r="E6" s="146"/>
      <c r="F6" s="1072"/>
      <c r="H6" s="483"/>
      <c r="I6" s="485"/>
      <c r="J6" s="485"/>
      <c r="K6" s="485"/>
      <c r="L6" s="485"/>
      <c r="O6" s="168" t="s">
        <v>972</v>
      </c>
      <c r="P6" s="207">
        <f>IF(OR(C27="S",C27="T"),1,VLOOKUP(C14,Table_ProtClass,IF(C15&lt;=3,2,3),FALSE)) - IF(AND(C33=1,ISNUMBER(B31),P13=1),B31,0)</f>
        <v>0.96</v>
      </c>
      <c r="Q6" s="207">
        <v>1</v>
      </c>
      <c r="R6" s="207">
        <v>1</v>
      </c>
      <c r="S6" s="207">
        <v>1</v>
      </c>
      <c r="AC6" s="168" t="s">
        <v>971</v>
      </c>
      <c r="AD6" s="207">
        <f>HLOOKUP(C11,Table_StateRates,6,FALSE)</f>
        <v>1.9</v>
      </c>
      <c r="AE6" s="207">
        <f>HLOOKUP(C11,Table_StateRates,6,FALSE)</f>
        <v>1.9</v>
      </c>
      <c r="AF6" s="207">
        <f>HLOOKUP(C11,Table_StateRates,6,FALSE)</f>
        <v>1.9</v>
      </c>
      <c r="AG6" s="207">
        <f>HLOOKUP(C11,Table_StateRates,6,FALSE)</f>
        <v>1.9</v>
      </c>
      <c r="AI6" s="8" t="s">
        <v>1716</v>
      </c>
      <c r="AK6" s="155">
        <f>IF(AK24&lt;-0.06,-0.06,IF(AK24&gt;0.06,0.06,AK24))</f>
        <v>0</v>
      </c>
    </row>
    <row r="7" spans="1:37" x14ac:dyDescent="0.2">
      <c r="A7" s="120" t="s">
        <v>969</v>
      </c>
      <c r="B7" s="95"/>
      <c r="C7" s="1087" t="str">
        <f>IF(B3="B",TC7_BLDG1!C6,IF(B3="PP",TC7_PP1!C6,""))</f>
        <v>CPP</v>
      </c>
      <c r="D7" s="538" t="s">
        <v>1545</v>
      </c>
      <c r="E7" s="103"/>
      <c r="F7" s="413" t="s">
        <v>857</v>
      </c>
      <c r="H7" s="168"/>
      <c r="I7" s="485"/>
      <c r="J7" s="485"/>
      <c r="K7" s="485"/>
      <c r="L7" s="485"/>
      <c r="N7" s="185"/>
      <c r="O7" s="186" t="s">
        <v>970</v>
      </c>
      <c r="P7" s="208">
        <f>IF(B30="Yes",DF_Sprinkler50,1)</f>
        <v>1</v>
      </c>
      <c r="Q7" s="208">
        <v>1</v>
      </c>
      <c r="R7" s="208">
        <v>1</v>
      </c>
      <c r="S7" s="208">
        <v>1</v>
      </c>
      <c r="V7" s="568" t="s">
        <v>110</v>
      </c>
      <c r="W7" s="893">
        <f>IF(C12="SP",SUM(W5:Y5),IF(C12="BR",SUM(W5:X5,Z5),SUM(W5:X5)))</f>
        <v>1.756</v>
      </c>
      <c r="AC7" s="168" t="s">
        <v>1019</v>
      </c>
      <c r="AD7" s="207">
        <f>HLOOKUP(C11,Table_StateRates,5,FALSE)</f>
        <v>1.38</v>
      </c>
      <c r="AE7" s="207">
        <f>HLOOKUP(C11,Table_StateRates,5,FALSE)</f>
        <v>1.38</v>
      </c>
      <c r="AF7" s="207">
        <f>HLOOKUP(C11,Table_StateRates,5,FALSE)</f>
        <v>1.38</v>
      </c>
      <c r="AG7" s="207">
        <f>HLOOKUP(C11,Table_StateRates,5,FALSE)</f>
        <v>1.38</v>
      </c>
      <c r="AI7" s="8" t="s">
        <v>1717</v>
      </c>
      <c r="AK7" s="155">
        <f>IF(AK25&lt;-0.1,-0.1,IF(AK25&gt;0.1,0.1,AK25))</f>
        <v>0</v>
      </c>
    </row>
    <row r="8" spans="1:37" x14ac:dyDescent="0.2">
      <c r="A8" s="143" t="s">
        <v>923</v>
      </c>
      <c r="B8" s="1236" t="str">
        <f>IF(B3="B",TC7_BLDG1!B7,IF(B3="PP",TC7_PP1!B7,""))</f>
        <v>No</v>
      </c>
      <c r="C8" s="1039"/>
      <c r="D8" s="518" t="s">
        <v>1555</v>
      </c>
      <c r="E8" s="414" t="s">
        <v>857</v>
      </c>
      <c r="F8" s="1065"/>
      <c r="H8" s="82" t="s">
        <v>1661</v>
      </c>
      <c r="I8" s="485"/>
      <c r="J8" s="485"/>
      <c r="K8" s="485"/>
      <c r="L8" s="485"/>
      <c r="O8" s="83" t="s">
        <v>1134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0.16300000000000001</v>
      </c>
      <c r="S8" s="1315">
        <f>ROUND(PRODUCT(S4:S7),3)</f>
        <v>0.06</v>
      </c>
      <c r="AC8" s="168" t="s">
        <v>180</v>
      </c>
      <c r="AD8" s="207">
        <v>1</v>
      </c>
      <c r="AE8" s="207">
        <v>1</v>
      </c>
      <c r="AF8" s="207">
        <v>1</v>
      </c>
      <c r="AG8" s="207">
        <v>1</v>
      </c>
      <c r="AI8" s="687" t="s">
        <v>1718</v>
      </c>
      <c r="AK8" s="155">
        <f>IF(AK26&lt;-0.06,-0.06,IF(AK26&gt;0.06,0.06,AK26))</f>
        <v>0</v>
      </c>
    </row>
    <row r="9" spans="1:37" ht="13.5" thickBot="1" x14ac:dyDescent="0.25">
      <c r="A9" s="120"/>
      <c r="B9" s="95"/>
      <c r="C9" s="1039"/>
      <c r="D9" s="91"/>
      <c r="E9" s="195"/>
      <c r="F9" s="101"/>
      <c r="H9" s="189" t="s">
        <v>1826</v>
      </c>
      <c r="I9" s="485">
        <f>IF(AND(F3="Yes",F11="Yes"),P49,0)</f>
        <v>0</v>
      </c>
      <c r="J9" s="485">
        <f>IF(AND(F3="Yes",F11="Yes"),Q49,0)</f>
        <v>0</v>
      </c>
      <c r="K9" s="485">
        <f>IF(AND(F11="Yes",C12="SP"),R49,0)</f>
        <v>0</v>
      </c>
      <c r="L9" s="485">
        <f>IF(AND(F11="Yes",C12="BR"),S49,0)</f>
        <v>0</v>
      </c>
      <c r="O9" s="1117" t="s">
        <v>2140</v>
      </c>
      <c r="P9" s="247">
        <f>DF_BI_BRF1</f>
        <v>0.8</v>
      </c>
      <c r="Q9" s="247">
        <f>DF_BI_BRF2</f>
        <v>0.65</v>
      </c>
      <c r="R9" s="247">
        <v>1</v>
      </c>
      <c r="S9" s="247">
        <v>1</v>
      </c>
      <c r="V9" s="545" t="s">
        <v>184</v>
      </c>
      <c r="W9" s="248">
        <f>F4/100</f>
        <v>10000</v>
      </c>
      <c r="AB9" s="146"/>
      <c r="AC9" s="545" t="s">
        <v>1020</v>
      </c>
      <c r="AD9" s="299">
        <f>IF(C7="PAC",VLOOKUP(B8,Table_PakMods,MATCH(C11,List_Company,0)+1,FALSE),1)</f>
        <v>1</v>
      </c>
      <c r="AE9" s="299">
        <f>IF(C7="PAC",VLOOKUP(B8,Table_PakMods,MATCH(C11,List_Company,0)+1,FALSE),1)</f>
        <v>1</v>
      </c>
      <c r="AF9" s="299">
        <f>IF(C7="PAC",VLOOKUP(B8,Table_PakMods,MATCH(C11,List_Company,0)+1,FALSE),1)</f>
        <v>1</v>
      </c>
      <c r="AG9" s="299">
        <f>IF(C7="PAC",VLOOKUP(B8,Table_PakMods,MATCH(C11,List_Company,0)+1,FALSE),1)</f>
        <v>1</v>
      </c>
      <c r="AI9" s="153" t="s">
        <v>1719</v>
      </c>
      <c r="AK9" s="155">
        <f>IF(AK27&lt;-0.025,-0.025,IF(AK27&gt;0.025,0.025,AK27))</f>
        <v>0</v>
      </c>
    </row>
    <row r="10" spans="1:37" ht="13.5" thickBot="1" x14ac:dyDescent="0.25">
      <c r="A10" s="120" t="s">
        <v>1829</v>
      </c>
      <c r="B10" s="95"/>
      <c r="C10" s="1086">
        <f>IF(B3="B",TC7_BLDG1!C9,IF(B3="PP",TC7_PP1!C9,""))</f>
        <v>1</v>
      </c>
      <c r="D10" s="529" t="s">
        <v>897</v>
      </c>
      <c r="E10" s="217"/>
      <c r="F10" s="218"/>
      <c r="H10" s="83"/>
      <c r="I10" s="248"/>
      <c r="J10" s="248"/>
      <c r="K10" s="248"/>
      <c r="L10" s="248"/>
      <c r="N10" s="185"/>
      <c r="O10" s="186" t="s">
        <v>1258</v>
      </c>
      <c r="P10" s="208">
        <f>VLOOKUP(F5,Table_EE_CoIns,3,FALSE)</f>
        <v>4</v>
      </c>
      <c r="Q10" s="208">
        <f>VLOOKUP(F5,Table_EE_CoIns,3,FALSE)</f>
        <v>4</v>
      </c>
      <c r="R10" s="208">
        <v>1</v>
      </c>
      <c r="S10" s="208">
        <v>1</v>
      </c>
      <c r="U10" s="185"/>
      <c r="V10" s="186" t="s">
        <v>111</v>
      </c>
      <c r="W10" s="455">
        <f>IF(F18="Yes",W7,0)</f>
        <v>0</v>
      </c>
      <c r="AB10" s="542"/>
      <c r="AC10" s="724" t="s">
        <v>1022</v>
      </c>
      <c r="AD10" s="279">
        <v>1</v>
      </c>
      <c r="AE10" s="279">
        <v>1</v>
      </c>
      <c r="AF10" s="279">
        <v>1</v>
      </c>
      <c r="AG10" s="279">
        <v>1</v>
      </c>
      <c r="AI10" s="687" t="s">
        <v>1720</v>
      </c>
      <c r="AK10" s="155">
        <f>IF(AK28&lt;-0.025,-0.025,IF(AK28&gt;0.025,0.025,AK28))</f>
        <v>0</v>
      </c>
    </row>
    <row r="11" spans="1:37" x14ac:dyDescent="0.2">
      <c r="A11" s="120" t="s">
        <v>835</v>
      </c>
      <c r="B11" s="95"/>
      <c r="C11" s="1087" t="str">
        <f>IF(B3="B",TC7_BLDG1!C11,IF(B3="PP",TC7_PP1!C11,""))</f>
        <v>GAIC</v>
      </c>
      <c r="D11" s="123" t="s">
        <v>964</v>
      </c>
      <c r="E11" s="474"/>
      <c r="F11" s="475" t="s">
        <v>857</v>
      </c>
      <c r="L11" s="890" t="s">
        <v>1048</v>
      </c>
      <c r="N11" s="266"/>
      <c r="O11" s="568" t="s">
        <v>917</v>
      </c>
      <c r="P11" s="1422">
        <f>ROUND(PRODUCT(P8:P10),3)</f>
        <v>1.014</v>
      </c>
      <c r="Q11" s="1422">
        <f>ROUND(PRODUCT(Q8:Q10),3)</f>
        <v>0.28599999999999998</v>
      </c>
      <c r="R11" s="1422">
        <f>ROUND(PRODUCT(R8:R10),3)</f>
        <v>0.16300000000000001</v>
      </c>
      <c r="S11" s="1422">
        <f>ROUND(PRODUCT(S8:S10),3)</f>
        <v>0.06</v>
      </c>
      <c r="V11" s="83" t="s">
        <v>1514</v>
      </c>
      <c r="W11" s="248">
        <f>ROUND(PRODUCT(W9:W10),0)</f>
        <v>0</v>
      </c>
      <c r="AC11" s="83" t="s">
        <v>1150</v>
      </c>
      <c r="AD11" s="2">
        <f>ROUND(PRODUCT(AD5:AD10),3)</f>
        <v>0</v>
      </c>
      <c r="AE11" s="2">
        <f>ROUND(PRODUCT(AE5:AE10),3)</f>
        <v>0</v>
      </c>
      <c r="AF11" s="2">
        <f>ROUND(PRODUCT(AF5:AF10),3)</f>
        <v>0</v>
      </c>
      <c r="AG11" s="2">
        <f>ROUND(PRODUCT(AG5:AG10),3)</f>
        <v>0</v>
      </c>
      <c r="AI11" s="687" t="s">
        <v>1721</v>
      </c>
      <c r="AK11" s="155">
        <f>IF(AK29&lt;-0.075,-0.075,IF(AK29&gt;0.075,0.075,AK29))</f>
        <v>0</v>
      </c>
    </row>
    <row r="12" spans="1:37" ht="13.5" thickBot="1" x14ac:dyDescent="0.25">
      <c r="A12" s="415" t="s">
        <v>910</v>
      </c>
      <c r="B12" s="493">
        <f>IF(OR(C15=5,C15=6),1,2)</f>
        <v>2</v>
      </c>
      <c r="C12" s="704" t="s">
        <v>894</v>
      </c>
      <c r="D12" s="107" t="s">
        <v>1242</v>
      </c>
      <c r="E12" s="272"/>
      <c r="F12" s="476"/>
      <c r="H12" s="168" t="s">
        <v>1507</v>
      </c>
      <c r="I12" s="248">
        <f>IF(AND(F3="Yes",F18="Yes"),W23,0)</f>
        <v>0</v>
      </c>
      <c r="J12" s="248"/>
      <c r="K12" s="248"/>
      <c r="L12" s="248"/>
      <c r="O12" s="189" t="s">
        <v>1496</v>
      </c>
      <c r="P12" s="207">
        <v>1</v>
      </c>
      <c r="Q12" s="207">
        <f>IF(C32="Yes",VLOOKUP(C15,Table_Construction,3,FALSE),1)</f>
        <v>1</v>
      </c>
      <c r="R12" s="207">
        <v>1</v>
      </c>
      <c r="S12" s="207">
        <v>1</v>
      </c>
      <c r="V12" s="83"/>
      <c r="W12" s="248"/>
      <c r="Y12" s="168"/>
      <c r="AB12" s="185"/>
      <c r="AC12" s="186" t="s">
        <v>1025</v>
      </c>
      <c r="AD12" s="238">
        <f>IF(ISNUMBER(E21),E21/100,0)</f>
        <v>0</v>
      </c>
      <c r="AE12" s="238">
        <f>IF(ISNUMBER(E21),E21/100,0)</f>
        <v>0</v>
      </c>
      <c r="AF12" s="238">
        <f>IF(ISNUMBER(E21),E21/100,0)</f>
        <v>0</v>
      </c>
      <c r="AG12" s="238">
        <f>IF(ISNUMBER(E21),E21/100,0)</f>
        <v>0</v>
      </c>
      <c r="AI12" s="8" t="s">
        <v>1722</v>
      </c>
      <c r="AK12" s="155">
        <f>IF(AK30&lt;-0.05,-0.05,IF(AK30&gt;0.05,0.05,AK30))</f>
        <v>0</v>
      </c>
    </row>
    <row r="13" spans="1:37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88">
        <v>2</v>
      </c>
      <c r="D13" s="108" t="s">
        <v>904</v>
      </c>
      <c r="E13" s="319" t="str">
        <f>IF(ISBLANK(F13),"",VLOOKUP(F13,Table_G1_LC,2,FALSE))</f>
        <v/>
      </c>
      <c r="F13" s="188"/>
      <c r="H13" s="168" t="s">
        <v>1047</v>
      </c>
      <c r="I13" s="248">
        <f>IF(AND(F3="Yes",F20="Yes"),AD48,0)</f>
        <v>0</v>
      </c>
      <c r="J13" s="248"/>
      <c r="K13" s="248"/>
      <c r="L13" s="248"/>
      <c r="O13" s="168" t="s">
        <v>1199</v>
      </c>
      <c r="P13" s="247">
        <f>IF(OR(C27="S",C27="T"),1,VLOOKUP(C17,Table_TerrMult,2,FALSE)) - IF(AND((C31)="Yes",ISNUMBER(B31)),B31,0)</f>
        <v>1</v>
      </c>
      <c r="Q13" s="207">
        <v>1</v>
      </c>
      <c r="R13" s="207">
        <v>1</v>
      </c>
      <c r="S13" s="207">
        <v>1</v>
      </c>
      <c r="U13" s="60" t="s">
        <v>1508</v>
      </c>
      <c r="V13" s="83"/>
      <c r="W13" s="248"/>
      <c r="AC13" s="83" t="s">
        <v>1647</v>
      </c>
      <c r="AD13" s="248">
        <f>ROUND(PRODUCT(AD11:AD12),0)</f>
        <v>0</v>
      </c>
      <c r="AE13" s="248">
        <f>ROUND(PRODUCT(AE11:AE12),0)</f>
        <v>0</v>
      </c>
      <c r="AF13" s="248">
        <f>ROUND(PRODUCT(AF11:AF12),0)</f>
        <v>0</v>
      </c>
      <c r="AG13" s="248">
        <f>ROUND(PRODUCT(AG11:AG12),0)</f>
        <v>0</v>
      </c>
      <c r="AI13" s="8"/>
      <c r="AK13" s="155"/>
    </row>
    <row r="14" spans="1:37" x14ac:dyDescent="0.2">
      <c r="A14" s="108" t="s">
        <v>898</v>
      </c>
      <c r="B14" s="95"/>
      <c r="C14" s="1087">
        <f>IF(B3="B",TC7_BLDG1!C14,IF(B3="PP",TC7_PP1!C14,""))</f>
        <v>3</v>
      </c>
      <c r="D14" s="482" t="str">
        <f>IF(F13="1190","Special Form Class Only - Choose Again",IF(F13="1180","Enter Prior/Intended Occ. Class Code Below",""))</f>
        <v/>
      </c>
      <c r="E14" s="273"/>
      <c r="F14" s="274"/>
      <c r="I14" s="248"/>
      <c r="J14" s="248"/>
      <c r="K14" s="248"/>
      <c r="L14" s="248"/>
      <c r="O14" s="168" t="s">
        <v>1100</v>
      </c>
      <c r="P14" s="207">
        <f>IF(C31="Yes",IF(ISNUMBER(B31),1,VLOOKUP(C15,Table_SprLkg,IF(B3="B",2,3),FALSE)),1)</f>
        <v>1</v>
      </c>
      <c r="Q14" s="207">
        <v>1</v>
      </c>
      <c r="R14" s="207">
        <v>1</v>
      </c>
      <c r="S14" s="207">
        <v>1</v>
      </c>
      <c r="V14" s="189" t="s">
        <v>1510</v>
      </c>
      <c r="W14" s="248">
        <f>P26</f>
        <v>10140</v>
      </c>
      <c r="AJ14" s="60" t="s">
        <v>952</v>
      </c>
      <c r="AK14" s="157">
        <f>IF(SUM(AK4:AK13)&lt;-0.4,-0.4,IF(SUM(AK4:AK13)&gt;0.4,0.4,SUM(AK4:AK13)))</f>
        <v>0</v>
      </c>
    </row>
    <row r="15" spans="1:37" ht="13.5" customHeight="1" x14ac:dyDescent="0.2">
      <c r="A15" s="108" t="s">
        <v>1073</v>
      </c>
      <c r="B15" s="319" t="str">
        <f>IF(C15&lt;=4,"B","A")</f>
        <v>B</v>
      </c>
      <c r="C15" s="1089">
        <f>IF(B3="B",TC7_BLDG1!C15,IF(B3="PP",TC7_PP1!C15,""))</f>
        <v>1</v>
      </c>
      <c r="D15" s="108" t="s">
        <v>960</v>
      </c>
      <c r="E15" s="160"/>
      <c r="F15" s="188"/>
      <c r="H15" s="990" t="s">
        <v>244</v>
      </c>
      <c r="I15" s="797">
        <f>SUM(I12:I13,I9:L9)</f>
        <v>0</v>
      </c>
      <c r="O15" s="236" t="s">
        <v>1099</v>
      </c>
      <c r="P15" s="281">
        <f>C33</f>
        <v>0</v>
      </c>
      <c r="Q15" s="211">
        <v>1</v>
      </c>
      <c r="R15" s="211">
        <v>1</v>
      </c>
      <c r="S15" s="211">
        <v>1</v>
      </c>
      <c r="V15" s="189" t="s">
        <v>1511</v>
      </c>
      <c r="W15" s="248">
        <f>Q26</f>
        <v>2860</v>
      </c>
      <c r="AC15" s="685" t="s">
        <v>549</v>
      </c>
      <c r="AD15" s="907">
        <f>IF(F20="Yes",IF(C12="SP",SUM(AD13:AF13),IF(C12="BR",SUM(AD13:AE13,AG13),SUM(AD13:AE13))),0)</f>
        <v>0</v>
      </c>
    </row>
    <row r="16" spans="1:37" ht="13.5" thickBot="1" x14ac:dyDescent="0.25">
      <c r="A16" s="84" t="s">
        <v>975</v>
      </c>
      <c r="B16" s="160"/>
      <c r="C16" s="1080" t="str">
        <f>IF(B3="B",TC7_BLDG1!C16,IF(B3="PP",TC7_PP1!C16,""))</f>
        <v>A</v>
      </c>
      <c r="D16" s="191" t="s">
        <v>1065</v>
      </c>
      <c r="E16" s="456">
        <f>IF(ISBLANK(F15),0,IF(ISERROR(VLOOKUP(F15,List_VacantClasses,1,FALSE)),VLOOKUP(F15,Table_G1_LC,MATCH(C15&amp;"B",List_ClassLC,0)+2),0))</f>
        <v>0</v>
      </c>
      <c r="F16" s="213"/>
      <c r="N16" s="209"/>
      <c r="O16" s="210" t="s">
        <v>1016</v>
      </c>
      <c r="P16" s="212">
        <v>1</v>
      </c>
      <c r="Q16" s="212">
        <v>1</v>
      </c>
      <c r="R16" s="212">
        <v>1</v>
      </c>
      <c r="S16" s="212">
        <v>1</v>
      </c>
      <c r="V16" s="189" t="s">
        <v>1509</v>
      </c>
      <c r="W16" s="248">
        <f>IF(C12="SP",R26,0)</f>
        <v>1630</v>
      </c>
      <c r="AC16" s="685"/>
      <c r="AD16" s="701"/>
    </row>
    <row r="17" spans="1:40" ht="15" customHeight="1" thickBot="1" x14ac:dyDescent="0.25">
      <c r="A17" s="122" t="s">
        <v>974</v>
      </c>
      <c r="B17" s="95"/>
      <c r="C17" s="1087">
        <f>IF(B3="B",TC7_BLDG1!C17,IF(B3="PP",TC7_PP1!C17,""))</f>
        <v>1</v>
      </c>
      <c r="D17" s="91"/>
      <c r="E17" s="195"/>
      <c r="F17" s="101"/>
      <c r="N17" s="185"/>
      <c r="O17" s="186" t="s">
        <v>1259</v>
      </c>
      <c r="P17" s="208">
        <f>IF(F7="Yes",VLOOKUP(E8,Table_CivilAuth,2,FALSE),1)</f>
        <v>1</v>
      </c>
      <c r="Q17" s="208">
        <f>IF(F7="Yes",VLOOKUP(E8,Table_CivilAuth,2,FALSE),1)</f>
        <v>1</v>
      </c>
      <c r="R17" s="208">
        <f>IF(F7="Yes",VLOOKUP(E8,Table_CivilAuth,2,FALSE),1)</f>
        <v>1</v>
      </c>
      <c r="S17" s="208">
        <f>IF(F7="Yes",VLOOKUP(E8,Table_CivilAuth,2,FALSE),1)</f>
        <v>1</v>
      </c>
      <c r="U17" s="185"/>
      <c r="V17" s="477" t="s">
        <v>1512</v>
      </c>
      <c r="W17" s="238">
        <f>IF(C12="BR",S26,0)</f>
        <v>0</v>
      </c>
      <c r="AI17" s="136" t="s">
        <v>947</v>
      </c>
      <c r="AJ17" s="137"/>
      <c r="AK17" s="137"/>
      <c r="AL17" s="137"/>
      <c r="AM17" s="136" t="s">
        <v>938</v>
      </c>
      <c r="AN17" s="517"/>
    </row>
    <row r="18" spans="1:40" x14ac:dyDescent="0.2">
      <c r="A18" s="1195" t="s">
        <v>2097</v>
      </c>
      <c r="B18" s="95"/>
      <c r="C18" s="1238">
        <v>2</v>
      </c>
      <c r="D18" s="872" t="s">
        <v>1052</v>
      </c>
      <c r="E18" s="422"/>
      <c r="F18" s="892" t="s">
        <v>857</v>
      </c>
      <c r="H18" s="566" t="s">
        <v>663</v>
      </c>
      <c r="I18" s="2">
        <f>IF(AND(C21="Yes",C24="Yes"),W51,IF(AND(C21="Yes",C24="No"),B24,0))</f>
        <v>1500</v>
      </c>
      <c r="O18" s="83" t="s">
        <v>2167</v>
      </c>
      <c r="P18" s="1312">
        <f>ROUND(PRODUCT(P11:P13,IF(AND(C31="Yes",B31="Sprinkler",C33&lt;&gt;1),P14-P15,P14),P16:P17),3)</f>
        <v>1.014</v>
      </c>
      <c r="Q18" s="1312">
        <f>ROUND(PRODUCT(Q11:Q17),3)</f>
        <v>0.28599999999999998</v>
      </c>
      <c r="R18" s="1312">
        <f>ROUND(PRODUCT(R11:R17),3)</f>
        <v>0.16300000000000001</v>
      </c>
      <c r="S18" s="1312">
        <f>ROUND(PRODUCT(S11:S17),3)</f>
        <v>0.06</v>
      </c>
      <c r="V18" s="83" t="s">
        <v>1513</v>
      </c>
      <c r="W18" s="248">
        <f>SUM(W14:W17)</f>
        <v>14630</v>
      </c>
      <c r="AB18" s="60" t="s">
        <v>551</v>
      </c>
      <c r="AD18" s="235" t="s">
        <v>1012</v>
      </c>
      <c r="AE18" s="235" t="s">
        <v>1013</v>
      </c>
      <c r="AF18" s="235" t="s">
        <v>838</v>
      </c>
      <c r="AG18" s="235" t="s">
        <v>837</v>
      </c>
      <c r="AI18" s="138" t="s">
        <v>939</v>
      </c>
      <c r="AJ18" s="8"/>
      <c r="AK18" s="8"/>
      <c r="AL18" s="8"/>
      <c r="AM18" s="445" t="s">
        <v>940</v>
      </c>
      <c r="AN18" s="481"/>
    </row>
    <row r="19" spans="1:40" ht="13.5" thickBot="1" x14ac:dyDescent="0.25">
      <c r="A19" s="126"/>
      <c r="B19" s="96"/>
      <c r="C19" s="192"/>
      <c r="D19" s="91"/>
      <c r="E19" s="195"/>
      <c r="F19" s="101"/>
      <c r="O19" s="168" t="s">
        <v>180</v>
      </c>
      <c r="P19" s="207">
        <v>1</v>
      </c>
      <c r="Q19" s="207">
        <v>1</v>
      </c>
      <c r="R19" s="207">
        <v>1</v>
      </c>
      <c r="S19" s="207">
        <v>1</v>
      </c>
      <c r="V19" s="83"/>
      <c r="W19" s="248"/>
      <c r="AB19" s="146"/>
      <c r="AC19" s="545" t="s">
        <v>1049</v>
      </c>
      <c r="AD19" s="146">
        <f>VLOOKUP(2,Table_Time_Utility,2,FALSE)</f>
        <v>4.3999999999999997E-2</v>
      </c>
      <c r="AE19" s="146">
        <f>VLOOKUP(2,Table_Time_Utility,3,FALSE)</f>
        <v>4.3999999999999997E-2</v>
      </c>
      <c r="AF19" s="146">
        <f>VLOOKUP(2,Table_Time_Utility,5,FALSE)</f>
        <v>2.9000000000000001E-2</v>
      </c>
      <c r="AG19" s="563">
        <f>VLOOKUP(2,Table_Time_Utility,4,FALSE)</f>
        <v>0.01</v>
      </c>
      <c r="AI19" s="138" t="s">
        <v>941</v>
      </c>
      <c r="AJ19" s="8"/>
      <c r="AK19" s="8"/>
      <c r="AL19" s="8"/>
      <c r="AM19" s="26"/>
      <c r="AN19" s="481"/>
    </row>
    <row r="20" spans="1:40" x14ac:dyDescent="0.2">
      <c r="A20" s="88" t="s">
        <v>954</v>
      </c>
      <c r="B20" s="89"/>
      <c r="C20" s="118"/>
      <c r="D20" s="897" t="s">
        <v>1668</v>
      </c>
      <c r="E20" s="447"/>
      <c r="F20" s="873" t="s">
        <v>857</v>
      </c>
      <c r="N20" s="146"/>
      <c r="O20" s="545" t="s">
        <v>1020</v>
      </c>
      <c r="P20" s="299">
        <f>IF(C7="PAC",VLOOKUP(B8,Table_PakMods,MATCH(C11,List_Company,0)+1,FALSE),1)</f>
        <v>1</v>
      </c>
      <c r="Q20" s="299">
        <f>IF(C7="PAC",VLOOKUP(B8,Table_PakMods,MATCH(C11,List_Company,0)+1,FALSE),1)</f>
        <v>1</v>
      </c>
      <c r="R20" s="299">
        <f>IF(C7="PAC",VLOOKUP(B8,Table_PakMods,MATCH(C11,List_Company,0)+1,FALSE),1)</f>
        <v>1</v>
      </c>
      <c r="S20" s="299">
        <f>IF(C7="PAC",VLOOKUP(B8,Table_PakMods,MATCH(C11,List_Company,0)+1,FALSE),1)</f>
        <v>1</v>
      </c>
      <c r="U20" s="82" t="s">
        <v>1515</v>
      </c>
      <c r="V20" s="60"/>
      <c r="W20" s="83"/>
      <c r="AC20" s="168" t="s">
        <v>971</v>
      </c>
      <c r="AD20" s="207">
        <f>HLOOKUP(C11,Table_StateRates,6,FALSE)</f>
        <v>1.9</v>
      </c>
      <c r="AE20" s="207">
        <f>HLOOKUP(C11,Table_StateRates,6,FALSE)</f>
        <v>1.9</v>
      </c>
      <c r="AF20" s="207">
        <f>HLOOKUP(C11,Table_StateRates,6,FALSE)</f>
        <v>1.9</v>
      </c>
      <c r="AG20" s="207">
        <f>HLOOKUP(C11,Table_StateRates,6,FALSE)</f>
        <v>1.9</v>
      </c>
      <c r="AI20" s="26"/>
      <c r="AJ20" s="8"/>
      <c r="AK20" s="8"/>
      <c r="AL20" s="8"/>
      <c r="AM20" s="140" t="s">
        <v>942</v>
      </c>
      <c r="AN20" s="481"/>
    </row>
    <row r="21" spans="1:40" x14ac:dyDescent="0.2">
      <c r="A21" s="122" t="s">
        <v>956</v>
      </c>
      <c r="B21" s="319">
        <f>IF(C17=1,1,2)</f>
        <v>1</v>
      </c>
      <c r="C21" s="1090" t="str">
        <f>IF(B3="B",TC7_BLDG1!C21,IF(B3="PP",TC7_PP1!C21,""))</f>
        <v>Yes</v>
      </c>
      <c r="D21" s="898" t="s">
        <v>1646</v>
      </c>
      <c r="E21" s="519"/>
      <c r="F21" s="446"/>
      <c r="H21" s="60" t="s">
        <v>2288</v>
      </c>
      <c r="I21" s="1468">
        <f>SUM(I5:L5,I15)</f>
        <v>14630</v>
      </c>
      <c r="N21" s="542"/>
      <c r="O21" s="724" t="s">
        <v>1022</v>
      </c>
      <c r="P21" s="279">
        <v>1</v>
      </c>
      <c r="Q21" s="279">
        <v>1</v>
      </c>
      <c r="R21" s="279">
        <v>1</v>
      </c>
      <c r="S21" s="279">
        <v>1</v>
      </c>
      <c r="V21" s="168" t="s">
        <v>1165</v>
      </c>
      <c r="W21" s="248">
        <f>W11</f>
        <v>0</v>
      </c>
      <c r="AC21" s="168" t="s">
        <v>1019</v>
      </c>
      <c r="AD21" s="207">
        <f>HLOOKUP(C11,Table_StateRates,5,FALSE)</f>
        <v>1.38</v>
      </c>
      <c r="AE21" s="207">
        <f>HLOOKUP(C11,Table_StateRates,5,FALSE)</f>
        <v>1.38</v>
      </c>
      <c r="AF21" s="207">
        <f>HLOOKUP(C11,Table_StateRates,5,FALSE)</f>
        <v>1.38</v>
      </c>
      <c r="AG21" s="207">
        <f>HLOOKUP(C11,Table_StateRates,5,FALSE)</f>
        <v>1.38</v>
      </c>
      <c r="AI21" s="445" t="s">
        <v>943</v>
      </c>
      <c r="AJ21" s="8"/>
      <c r="AK21" s="142" t="s">
        <v>944</v>
      </c>
      <c r="AM21" s="140" t="s">
        <v>945</v>
      </c>
      <c r="AN21" s="481"/>
    </row>
    <row r="22" spans="1:40" x14ac:dyDescent="0.2">
      <c r="A22" s="911" t="s">
        <v>958</v>
      </c>
      <c r="B22" s="90"/>
      <c r="C22" s="571" t="str">
        <f>IF(B3="B",TC7_BLDG1!C22,IF(B3="PP",TC7_PP1!C22,""))</f>
        <v>No</v>
      </c>
      <c r="D22" s="518" t="s">
        <v>317</v>
      </c>
      <c r="E22" s="414"/>
      <c r="F22" s="891">
        <f>COUNTIF(E22:E23,"Yes")</f>
        <v>0</v>
      </c>
      <c r="N22" s="385"/>
      <c r="O22" s="685" t="s">
        <v>2236</v>
      </c>
      <c r="P22" s="1314">
        <f>ROUND(PRODUCT(P19:P21),3)</f>
        <v>1</v>
      </c>
      <c r="Q22" s="1314">
        <f>ROUND(PRODUCT(Q19:Q21),3)</f>
        <v>1</v>
      </c>
      <c r="R22" s="1314">
        <f>ROUND(PRODUCT(R19:R21),3)</f>
        <v>1</v>
      </c>
      <c r="S22" s="1314">
        <f>ROUND(PRODUCT(S19:S21),3)</f>
        <v>1</v>
      </c>
      <c r="U22" s="185"/>
      <c r="V22" s="187" t="s">
        <v>1516</v>
      </c>
      <c r="W22" s="238">
        <f>W18</f>
        <v>14630</v>
      </c>
      <c r="AC22" s="168" t="s">
        <v>180</v>
      </c>
      <c r="AD22" s="207">
        <v>1</v>
      </c>
      <c r="AE22" s="207">
        <v>1</v>
      </c>
      <c r="AF22" s="207">
        <v>1</v>
      </c>
      <c r="AG22" s="207">
        <v>1</v>
      </c>
      <c r="AI22" s="140" t="s">
        <v>1715</v>
      </c>
      <c r="AJ22" s="8"/>
      <c r="AK22" s="144"/>
      <c r="AM22" s="140" t="s">
        <v>946</v>
      </c>
      <c r="AN22" s="481"/>
    </row>
    <row r="23" spans="1:40" ht="13.5" thickBot="1" x14ac:dyDescent="0.25">
      <c r="A23" s="908" t="s">
        <v>955</v>
      </c>
      <c r="B23" s="910"/>
      <c r="C23" s="1091"/>
      <c r="D23" s="518" t="s">
        <v>315</v>
      </c>
      <c r="E23" s="414"/>
      <c r="F23" s="891"/>
      <c r="H23" s="60" t="s">
        <v>2291</v>
      </c>
      <c r="I23" s="1469">
        <f>SUM(I21,I18)</f>
        <v>16130</v>
      </c>
      <c r="N23" s="542"/>
      <c r="O23" s="1211" t="s">
        <v>2167</v>
      </c>
      <c r="P23" s="757">
        <f>P18</f>
        <v>1.014</v>
      </c>
      <c r="Q23" s="757">
        <f>Q18</f>
        <v>0.28599999999999998</v>
      </c>
      <c r="R23" s="757">
        <f>R18</f>
        <v>0.16300000000000001</v>
      </c>
      <c r="S23" s="757">
        <f>S18</f>
        <v>0.06</v>
      </c>
      <c r="V23" s="83" t="s">
        <v>1517</v>
      </c>
      <c r="W23" s="260">
        <f>W21-W22</f>
        <v>-14630</v>
      </c>
      <c r="AB23" s="146"/>
      <c r="AC23" s="545" t="s">
        <v>1020</v>
      </c>
      <c r="AD23" s="299">
        <f>IF(C7="PAC",VLOOKUP(B8,Table_PakMods,MATCH(C11,List_Company,0)+1,FALSE),1)</f>
        <v>1</v>
      </c>
      <c r="AE23" s="299">
        <f>IF(C7="PAC",VLOOKUP(B8,Table_PakMods,MATCH(C11,List_Company,0)+1,FALSE),1)</f>
        <v>1</v>
      </c>
      <c r="AF23" s="299">
        <f>IF(C7="PAC",VLOOKUP(B8,Table_PakMods,MATCH(C11,List_Company,0)+1,FALSE),1)</f>
        <v>1</v>
      </c>
      <c r="AG23" s="299">
        <f>IF(C7="PAC",VLOOKUP(B8,Table_PakMods,MATCH(C11,List_Company,0)+1,FALSE),1)</f>
        <v>1</v>
      </c>
      <c r="AI23" s="141" t="s">
        <v>1714</v>
      </c>
      <c r="AJ23" s="139"/>
      <c r="AK23" s="145"/>
      <c r="AM23" s="445"/>
      <c r="AN23" s="481"/>
    </row>
    <row r="24" spans="1:40" ht="13.5" thickBot="1" x14ac:dyDescent="0.25">
      <c r="A24" s="108" t="s">
        <v>957</v>
      </c>
      <c r="B24" s="896"/>
      <c r="C24" s="889" t="str">
        <f>IF(B3="B",TC7_BLDG1!C24,IF(B3="PP",TC7_PP1!C24,""))</f>
        <v>Yes</v>
      </c>
      <c r="D24" s="518" t="s">
        <v>316</v>
      </c>
      <c r="E24" s="414"/>
      <c r="F24" s="891"/>
      <c r="O24" s="83" t="s">
        <v>2242</v>
      </c>
      <c r="P24" s="1315">
        <f>ROUND(PRODUCT(P22:P23),3)</f>
        <v>1.014</v>
      </c>
      <c r="Q24" s="1315">
        <f>ROUND(PRODUCT(Q22:Q23),3)</f>
        <v>0.28599999999999998</v>
      </c>
      <c r="R24" s="1315">
        <f>ROUND(PRODUCT(R22:R23),3)</f>
        <v>0.16300000000000001</v>
      </c>
      <c r="S24" s="1315">
        <f>ROUND(PRODUCT(S22:S23),3)</f>
        <v>0.06</v>
      </c>
      <c r="V24" s="83"/>
      <c r="AB24" s="542"/>
      <c r="AC24" s="724" t="s">
        <v>1022</v>
      </c>
      <c r="AD24" s="279">
        <v>1</v>
      </c>
      <c r="AE24" s="279">
        <v>1</v>
      </c>
      <c r="AF24" s="279">
        <v>1</v>
      </c>
      <c r="AG24" s="279">
        <v>1</v>
      </c>
      <c r="AI24" s="141" t="s">
        <v>1716</v>
      </c>
      <c r="AJ24" s="139"/>
      <c r="AK24" s="145"/>
      <c r="AM24" s="1618"/>
      <c r="AN24" s="1619"/>
    </row>
    <row r="25" spans="1:40" ht="13.5" thickBot="1" x14ac:dyDescent="0.25">
      <c r="A25" s="92"/>
      <c r="B25" s="93"/>
      <c r="C25" s="119"/>
      <c r="D25" s="518" t="s">
        <v>1574</v>
      </c>
      <c r="E25" s="414"/>
      <c r="F25" s="891">
        <f>COUNTIF(E25:E26,"Yes")</f>
        <v>0</v>
      </c>
      <c r="N25" s="185"/>
      <c r="O25" s="186" t="s">
        <v>1025</v>
      </c>
      <c r="P25" s="238">
        <f>IF(ISNUMBER(F4),F4/100,0)</f>
        <v>10000</v>
      </c>
      <c r="Q25" s="238">
        <f>IF(ISNUMBER(F4),F4/100,0)</f>
        <v>10000</v>
      </c>
      <c r="R25" s="238">
        <f>IF(ISNUMBER(F4),F4/100,0)</f>
        <v>10000</v>
      </c>
      <c r="S25" s="238">
        <f>IF(ISNUMBER(F4),F4/100,0)</f>
        <v>10000</v>
      </c>
      <c r="V25" s="83"/>
      <c r="AC25" s="83" t="s">
        <v>1150</v>
      </c>
      <c r="AD25" s="2">
        <f>ROUND(PRODUCT(AD19:AD24),3)</f>
        <v>0.115</v>
      </c>
      <c r="AE25" s="2">
        <f>ROUND(PRODUCT(AE19:AE24),3)</f>
        <v>0.115</v>
      </c>
      <c r="AF25" s="2">
        <f>ROUND(PRODUCT(AF19:AF24),3)</f>
        <v>7.5999999999999998E-2</v>
      </c>
      <c r="AG25" s="2">
        <f>ROUND(PRODUCT(AG19:AG24),3)</f>
        <v>2.5999999999999999E-2</v>
      </c>
      <c r="AI25" s="141" t="s">
        <v>1717</v>
      </c>
      <c r="AJ25" s="139"/>
      <c r="AK25" s="145"/>
      <c r="AM25" s="445"/>
      <c r="AN25" s="481"/>
    </row>
    <row r="26" spans="1:40" x14ac:dyDescent="0.2">
      <c r="A26" s="161" t="s">
        <v>1827</v>
      </c>
      <c r="B26" s="217"/>
      <c r="C26" s="986"/>
      <c r="D26" s="518" t="s">
        <v>1575</v>
      </c>
      <c r="E26" s="414"/>
      <c r="F26" s="891"/>
      <c r="O26" s="83" t="s">
        <v>978</v>
      </c>
      <c r="P26" s="248">
        <f>ROUND(PRODUCT(P24:P25),0)</f>
        <v>10140</v>
      </c>
      <c r="Q26" s="248">
        <f>ROUND(PRODUCT(Q24:Q25),0)</f>
        <v>2860</v>
      </c>
      <c r="R26" s="248">
        <f>ROUND(PRODUCT(R24:R25),0)</f>
        <v>1630</v>
      </c>
      <c r="S26" s="248">
        <f>ROUND(PRODUCT(S24:S25),0)</f>
        <v>600</v>
      </c>
      <c r="AB26" s="185"/>
      <c r="AC26" s="186" t="s">
        <v>1025</v>
      </c>
      <c r="AD26" s="238">
        <f>IF(ISNUMBER(E21),E21/100,0)</f>
        <v>0</v>
      </c>
      <c r="AE26" s="238">
        <f>IF(ISNUMBER(E21),E21/100,0)</f>
        <v>0</v>
      </c>
      <c r="AF26" s="238">
        <f>IF(ISNUMBER(E21),E21/100,0)</f>
        <v>0</v>
      </c>
      <c r="AG26" s="238">
        <f>IF(ISNUMBER(E21),E21/100,0)</f>
        <v>0</v>
      </c>
      <c r="AI26" s="141" t="s">
        <v>1718</v>
      </c>
      <c r="AJ26" s="8"/>
      <c r="AK26" s="145"/>
      <c r="AM26" s="26"/>
      <c r="AN26" s="481"/>
    </row>
    <row r="27" spans="1:40" ht="13.5" thickBot="1" x14ac:dyDescent="0.25">
      <c r="A27" s="521" t="s">
        <v>899</v>
      </c>
      <c r="B27" s="817" t="str">
        <f>IF(C27="C","Class",IF(C27="S","Specific",IF(C27="T","Tentative","")))</f>
        <v>Class</v>
      </c>
      <c r="C27" s="818" t="str">
        <f>IF(B3="B",IF(TC7_BLDG1!C28&lt;&gt;"SC",TC7_BLDG1!C28,"C"),IF(B3="PP",TC7_PP1!C28,""))</f>
        <v>C</v>
      </c>
      <c r="D27" s="91"/>
      <c r="E27" s="195"/>
      <c r="F27" s="101"/>
      <c r="N27" s="146"/>
      <c r="O27" s="300"/>
      <c r="P27" s="299"/>
      <c r="Q27" s="146"/>
      <c r="R27" s="146"/>
      <c r="S27" s="146"/>
      <c r="U27" s="60" t="s">
        <v>554</v>
      </c>
      <c r="X27" s="60" t="s">
        <v>557</v>
      </c>
      <c r="AC27" s="83" t="s">
        <v>1647</v>
      </c>
      <c r="AD27" s="248">
        <f>ROUND(PRODUCT(AD25:AD26),0)</f>
        <v>0</v>
      </c>
      <c r="AE27" s="248">
        <f>ROUND(PRODUCT(AE25:AE26),0)</f>
        <v>0</v>
      </c>
      <c r="AF27" s="248">
        <f>ROUND(PRODUCT(AF25:AF26),0)</f>
        <v>0</v>
      </c>
      <c r="AG27" s="248">
        <f>ROUND(PRODUCT(AG25:AG26),0)</f>
        <v>0</v>
      </c>
      <c r="AI27" s="141" t="s">
        <v>1719</v>
      </c>
      <c r="AJ27" s="8"/>
      <c r="AK27" s="145"/>
      <c r="AM27" s="26"/>
      <c r="AN27" s="481"/>
    </row>
    <row r="28" spans="1:40" x14ac:dyDescent="0.2">
      <c r="A28" s="108" t="s">
        <v>953</v>
      </c>
      <c r="B28" s="95"/>
      <c r="C28" s="570" t="str">
        <f>IF(B3="B",TC7_BLDG1!C30,IF(B3="PP",TC7_PP1!C30,0))</f>
        <v>No</v>
      </c>
      <c r="D28" s="980" t="s">
        <v>662</v>
      </c>
      <c r="E28" s="474"/>
      <c r="F28" s="956" t="s">
        <v>857</v>
      </c>
      <c r="N28" s="146"/>
      <c r="O28" s="301"/>
      <c r="P28" s="299"/>
      <c r="Q28" s="146"/>
      <c r="R28" s="146"/>
      <c r="S28" s="146"/>
      <c r="U28" s="2" t="s">
        <v>555</v>
      </c>
      <c r="X28" s="834">
        <f>IF(P14=1,0,2)</f>
        <v>0</v>
      </c>
      <c r="Y28" s="2" t="s">
        <v>558</v>
      </c>
      <c r="AI28" s="141" t="s">
        <v>1720</v>
      </c>
      <c r="AJ28" s="8"/>
      <c r="AK28" s="145"/>
      <c r="AM28" s="26"/>
      <c r="AN28" s="481"/>
    </row>
    <row r="29" spans="1:40" ht="13.5" thickBot="1" x14ac:dyDescent="0.25">
      <c r="A29" s="743" t="str">
        <f>IF(B3="B","80% Bldg LC - Grp I / II",IF(B3="PP","80% Pers. Pty LC - Grp I / II","No Rating Available"))</f>
        <v>80% Bldg LC - Grp I / II</v>
      </c>
      <c r="B29" s="749">
        <f>IF(B3="B",TC7_BLDG1!P5,IF(B3="PP",TC7_PP1!P5,0))</f>
        <v>0.126</v>
      </c>
      <c r="C29" s="749">
        <f>IF(B3="B",TC7_BLDG1!Q5,IF(B3="PP",TC7_PP1!Q5,0))</f>
        <v>4.2000000000000003E-2</v>
      </c>
      <c r="D29" s="473" t="s">
        <v>1766</v>
      </c>
      <c r="E29" s="216"/>
      <c r="F29" s="763">
        <f>IF(F28="No",0,F4)</f>
        <v>0</v>
      </c>
      <c r="N29" s="60" t="s">
        <v>1612</v>
      </c>
      <c r="P29" s="235" t="s">
        <v>1012</v>
      </c>
      <c r="Q29" s="235" t="s">
        <v>1013</v>
      </c>
      <c r="R29" s="235" t="s">
        <v>838</v>
      </c>
      <c r="S29" s="235" t="s">
        <v>837</v>
      </c>
      <c r="U29" s="834">
        <f>IF(P13=1,0,2)</f>
        <v>0</v>
      </c>
      <c r="V29" s="2" t="s">
        <v>556</v>
      </c>
      <c r="X29" s="834">
        <f>IF(P13=1,0,4)</f>
        <v>0</v>
      </c>
      <c r="Y29" s="2" t="s">
        <v>556</v>
      </c>
      <c r="AC29" s="685" t="s">
        <v>1433</v>
      </c>
      <c r="AD29" s="907">
        <f>IF(F20="Yes",IF(C12="SP",SUM(AD27:AF27),IF(C12="BR",SUM(AD27:AE27,AG27),SUM(AD27:AE27))),0)</f>
        <v>0</v>
      </c>
      <c r="AI29" s="141" t="s">
        <v>1721</v>
      </c>
      <c r="AJ29" s="8"/>
      <c r="AK29" s="145"/>
      <c r="AM29" s="26"/>
      <c r="AN29" s="481"/>
    </row>
    <row r="30" spans="1:40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IF(B3="B",TC7_BLDG1!C33,IF(B3="PP",TC7_PP1!C33,""))</f>
        <v>6</v>
      </c>
      <c r="D30" s="669" t="s">
        <v>1833</v>
      </c>
      <c r="E30" s="216"/>
      <c r="F30" s="954" t="s">
        <v>857</v>
      </c>
      <c r="O30" s="168" t="str">
        <f>C3&amp;" - Loss Cost"</f>
        <v>Building - Loss Cost</v>
      </c>
      <c r="P30" s="247">
        <f>B29</f>
        <v>0.126</v>
      </c>
      <c r="Q30" s="247">
        <f>C29</f>
        <v>4.2000000000000003E-2</v>
      </c>
      <c r="R30" s="247">
        <f>IF(C12="SP",VLOOKUP(B13,Table_Time_Special,3,FALSE),0)</f>
        <v>6.2E-2</v>
      </c>
      <c r="S30" s="247">
        <f>HLOOKUP(B12,Table_BroadTime,3,FALSE)</f>
        <v>2.3E-2</v>
      </c>
      <c r="U30" s="917">
        <f>IF(P6=1,0,4)</f>
        <v>4</v>
      </c>
      <c r="V30" s="185" t="s">
        <v>1161</v>
      </c>
      <c r="X30" s="917">
        <f>IF(P6=1,0,5)</f>
        <v>5</v>
      </c>
      <c r="Y30" s="185" t="s">
        <v>1161</v>
      </c>
      <c r="AI30" s="141" t="s">
        <v>1722</v>
      </c>
      <c r="AJ30" s="8"/>
      <c r="AK30" s="145"/>
      <c r="AM30" s="26"/>
      <c r="AN30" s="481"/>
    </row>
    <row r="31" spans="1:40" ht="13.5" thickBot="1" x14ac:dyDescent="0.25">
      <c r="A31" s="108" t="s">
        <v>1813</v>
      </c>
      <c r="B31" s="939" t="str">
        <f>IF(B3="B",TC7_BLDG1!C61,IF(B3="PP",TC7_PP1!C57,0))</f>
        <v>NA</v>
      </c>
      <c r="C31" s="570" t="str">
        <f>IF(B3="B",TC7_BLDG1!C59,IF(B3="PP",TC7_PP1!C55,0))</f>
        <v>No</v>
      </c>
      <c r="D31" s="507" t="s">
        <v>677</v>
      </c>
      <c r="E31" s="947" t="s">
        <v>459</v>
      </c>
      <c r="F31" s="772" t="str">
        <f>IF(F30="Yes","B","")</f>
        <v/>
      </c>
      <c r="O31" s="168" t="s">
        <v>970</v>
      </c>
      <c r="P31" s="207">
        <f>IF(C30="Yes",DF_Sprinkler50,1)</f>
        <v>1</v>
      </c>
      <c r="Q31" s="207">
        <v>1</v>
      </c>
      <c r="R31" s="207">
        <v>1</v>
      </c>
      <c r="S31" s="299">
        <v>1</v>
      </c>
      <c r="U31" s="834">
        <f>SUM(U29:U30)</f>
        <v>4</v>
      </c>
      <c r="V31" s="53" t="str">
        <f>"Subtract from the " &amp; IF(OR(U31=6,U31=2),"Terr Mult",IF(U31=4,"Prot Class","Loss Cost"))</f>
        <v>Subtract from the Prot Class</v>
      </c>
      <c r="X31" s="834">
        <f>SUM(X28:X30)</f>
        <v>5</v>
      </c>
      <c r="Y31" s="53" t="str">
        <f>"Subtract from the " &amp; IF(OR(X31=2,X31=6,X31=7,X31=11),"Sprk Lkg",IF(OR(X31=4,X31=9),"Terr Mult",IF(X31=5,"Prot Class","Loss Cost")))</f>
        <v>Subtract from the Prot Class</v>
      </c>
      <c r="AB31" s="266"/>
      <c r="AC31" s="266"/>
      <c r="AD31" s="266"/>
      <c r="AE31" s="558"/>
      <c r="AF31" s="558"/>
      <c r="AG31" s="558"/>
      <c r="AI31" s="85"/>
      <c r="AJ31" s="86"/>
      <c r="AK31" s="86"/>
      <c r="AL31" s="86"/>
      <c r="AM31" s="85"/>
      <c r="AN31" s="196"/>
    </row>
    <row r="32" spans="1:40" ht="13.5" thickBot="1" x14ac:dyDescent="0.25">
      <c r="A32" s="108" t="s">
        <v>1825</v>
      </c>
      <c r="B32" s="747"/>
      <c r="C32" s="570" t="str">
        <f>IF(B3="B",TC7_BLDG1!B60,IF(B3="PP",TC7_PP1!B56,0))</f>
        <v>No</v>
      </c>
      <c r="D32" s="507" t="s">
        <v>1748</v>
      </c>
      <c r="E32" s="947">
        <v>25</v>
      </c>
      <c r="F32" s="771" t="str">
        <f>IF(F30="Yes",E32&amp;"_"&amp;E31,"")</f>
        <v/>
      </c>
      <c r="N32" s="185"/>
      <c r="O32" s="186" t="s">
        <v>971</v>
      </c>
      <c r="P32" s="208">
        <f>HLOOKUP(C11,Table_StateRates,6,FALSE)</f>
        <v>1.9</v>
      </c>
      <c r="Q32" s="208">
        <f>HLOOKUP(C11,Table_StateRates,6,FALSE)</f>
        <v>1.9</v>
      </c>
      <c r="R32" s="208">
        <f>HLOOKUP(C11,Table_StateRates,6,FALSE)</f>
        <v>1.9</v>
      </c>
      <c r="S32" s="208">
        <f>HLOOKUP(C11,Table_StateRates,6,FALSE)</f>
        <v>1.9</v>
      </c>
      <c r="U32" s="146"/>
      <c r="AB32" s="60" t="s">
        <v>552</v>
      </c>
      <c r="AD32" s="235" t="s">
        <v>1012</v>
      </c>
      <c r="AE32" s="235" t="s">
        <v>1013</v>
      </c>
      <c r="AF32" s="235" t="s">
        <v>838</v>
      </c>
      <c r="AG32" s="235" t="s">
        <v>837</v>
      </c>
    </row>
    <row r="33" spans="1:33" ht="13.5" thickBot="1" x14ac:dyDescent="0.25">
      <c r="A33" s="108" t="s">
        <v>1824</v>
      </c>
      <c r="B33" s="748"/>
      <c r="C33" s="570">
        <f>IF(AND(B3="B",TC7_BLDG1!C62="Yes"),TC7_BLDG1!P14,IF(AND(B3="PP",TC7_PP1!C58="Yes"),TC7_PP1!P14,0))</f>
        <v>0</v>
      </c>
      <c r="D33" s="669" t="s">
        <v>1834</v>
      </c>
      <c r="E33" s="261"/>
      <c r="F33" s="954" t="s">
        <v>857</v>
      </c>
      <c r="O33" s="83" t="s">
        <v>1134</v>
      </c>
      <c r="P33" s="247">
        <f>ROUND(PRODUCT(P30:P32),3)</f>
        <v>0.23899999999999999</v>
      </c>
      <c r="Q33" s="247">
        <f>ROUND(PRODUCT(Q30:Q32),3)</f>
        <v>0.08</v>
      </c>
      <c r="R33" s="247">
        <f>ROUND(PRODUCT(R30:R32),3)</f>
        <v>0.11799999999999999</v>
      </c>
      <c r="S33" s="247">
        <f>ROUND(PRODUCT(S30:S32),3)</f>
        <v>4.3999999999999997E-2</v>
      </c>
      <c r="U33" s="479" t="str">
        <f>IF(OR(U31=6,U31=2),"TM",IF(U31=4,"PC","LC"))</f>
        <v>PC</v>
      </c>
      <c r="V33" s="919" t="s">
        <v>559</v>
      </c>
      <c r="X33" s="479" t="str">
        <f>IF(AND(B31="Sprinkler",OR(X31=2,X31=6,X31=7,X31=11)),"SL",IF(AND(OR(B31="NA",ISNUMBER(B31)),OR(X31=4,X31=9)),"TM",IF(AND(OR(B31="NA",ISNUMBER(B31)),X31=5),"PC","LC")))</f>
        <v>PC</v>
      </c>
      <c r="AB33" s="146"/>
      <c r="AC33" s="545" t="s">
        <v>1049</v>
      </c>
      <c r="AD33" s="146">
        <f>VLOOKUP(3,Table_Time_Utility,2,FALSE)</f>
        <v>1.0999999999999999E-2</v>
      </c>
      <c r="AE33" s="146">
        <f>VLOOKUP(3,Table_Time_Utility,3,FALSE)</f>
        <v>2.7E-2</v>
      </c>
      <c r="AF33" s="146">
        <f>VLOOKUP(3,Table_Time_Utility,5,FALSE)</f>
        <v>5.2999999999999999E-2</v>
      </c>
      <c r="AG33" s="563">
        <f>VLOOKUP(3,Table_Time_Utility,4,FALSE)</f>
        <v>0.01</v>
      </c>
    </row>
    <row r="34" spans="1:33" x14ac:dyDescent="0.2">
      <c r="A34" s="122" t="s">
        <v>1469</v>
      </c>
      <c r="B34" s="747"/>
      <c r="C34" s="570" t="str">
        <f>IF(B3="B",TC7_BLDG1!C64,IF(B3="PP",TC7_PP1!C60,0))</f>
        <v>No</v>
      </c>
      <c r="D34" s="669" t="s">
        <v>1835</v>
      </c>
      <c r="E34" s="261"/>
      <c r="F34" s="954" t="s">
        <v>857</v>
      </c>
      <c r="N34" s="185"/>
      <c r="O34" s="186" t="s">
        <v>1258</v>
      </c>
      <c r="P34" s="208">
        <f>VLOOKUP(F5,Table_EE_CoIns,3,FALSE)</f>
        <v>4</v>
      </c>
      <c r="Q34" s="208">
        <f>VLOOKUP(F5,Table_EE_CoIns,3,FALSE)</f>
        <v>4</v>
      </c>
      <c r="R34" s="208">
        <v>1</v>
      </c>
      <c r="S34" s="208">
        <v>1</v>
      </c>
      <c r="AB34" s="185"/>
      <c r="AC34" s="186" t="s">
        <v>1050</v>
      </c>
      <c r="AD34" s="238">
        <f>F25</f>
        <v>0</v>
      </c>
      <c r="AE34" s="238">
        <f>F25</f>
        <v>0</v>
      </c>
      <c r="AF34" s="238">
        <f>F25</f>
        <v>0</v>
      </c>
      <c r="AG34" s="785">
        <f>F25</f>
        <v>0</v>
      </c>
    </row>
    <row r="35" spans="1:33" ht="13.5" thickBot="1" x14ac:dyDescent="0.25">
      <c r="A35" s="526"/>
      <c r="B35" s="96"/>
      <c r="C35" s="987"/>
      <c r="D35" s="507" t="s">
        <v>1836</v>
      </c>
      <c r="E35" s="947"/>
      <c r="F35" s="293"/>
      <c r="O35" s="83" t="s">
        <v>917</v>
      </c>
      <c r="P35" s="247">
        <f>ROUND(PRODUCT(P33:P34),3)</f>
        <v>0.95599999999999996</v>
      </c>
      <c r="Q35" s="247">
        <f>ROUND(PRODUCT(Q33:Q34),3)</f>
        <v>0.32</v>
      </c>
      <c r="R35" s="247">
        <f>ROUND(PRODUCT(R33:R34),3)</f>
        <v>0.11799999999999999</v>
      </c>
      <c r="S35" s="247">
        <f>ROUND(PRODUCT(S33:S34),3)</f>
        <v>4.3999999999999997E-2</v>
      </c>
      <c r="AB35" s="146"/>
      <c r="AC35" s="301" t="s">
        <v>1051</v>
      </c>
      <c r="AD35" s="146">
        <f>ROUND(PRODUCT(AD33:AD34),3)</f>
        <v>0</v>
      </c>
      <c r="AE35" s="146">
        <f>ROUND(PRODUCT(AE33:AE34),3)</f>
        <v>0</v>
      </c>
      <c r="AF35" s="146">
        <f>ROUND(PRODUCT(AF33:AF34),3)</f>
        <v>0</v>
      </c>
      <c r="AG35" s="146">
        <f>ROUND(PRODUCT(AG33:AG34),3)</f>
        <v>0</v>
      </c>
    </row>
    <row r="36" spans="1:33" x14ac:dyDescent="0.2">
      <c r="D36" s="762"/>
      <c r="E36" s="774"/>
      <c r="F36" s="773"/>
      <c r="O36" s="189" t="s">
        <v>1496</v>
      </c>
      <c r="P36" s="247">
        <v>1</v>
      </c>
      <c r="Q36" s="207">
        <f>IF(C32="Yes",VLOOKUP(C15,Table_Construction,3,FALSE),1)</f>
        <v>1</v>
      </c>
      <c r="R36" s="207">
        <v>1</v>
      </c>
      <c r="S36" s="207">
        <v>1</v>
      </c>
      <c r="AC36" s="168" t="s">
        <v>971</v>
      </c>
      <c r="AD36" s="207">
        <f>HLOOKUP(C11,Table_StateRates,6,FALSE)</f>
        <v>1.9</v>
      </c>
      <c r="AE36" s="207">
        <f>HLOOKUP(C11,Table_StateRates,6,FALSE)</f>
        <v>1.9</v>
      </c>
      <c r="AF36" s="207">
        <f>HLOOKUP(C11,Table_StateRates,6,FALSE)</f>
        <v>1.9</v>
      </c>
      <c r="AG36" s="207">
        <f>HLOOKUP(C11,Table_StateRates,6,FALSE)</f>
        <v>1.9</v>
      </c>
    </row>
    <row r="37" spans="1:33" ht="13.5" thickBot="1" x14ac:dyDescent="0.25">
      <c r="A37" s="739"/>
      <c r="B37" s="686"/>
      <c r="C37" s="686"/>
      <c r="D37" s="669" t="s">
        <v>1234</v>
      </c>
      <c r="E37" s="261"/>
      <c r="F37" s="954" t="s">
        <v>857</v>
      </c>
      <c r="O37" s="168" t="s">
        <v>972</v>
      </c>
      <c r="P37" s="207">
        <f>IF(OR(C27="S",C27="T"),1,VLOOKUP(C14,Table_ProtClass,IF(C15&lt;=3,2,3),FALSE)) - IF(AND(C33=1,ISNUMBER(B31),P13=1),B31,0)</f>
        <v>0.96</v>
      </c>
      <c r="Q37" s="207">
        <v>1</v>
      </c>
      <c r="R37" s="207">
        <v>1</v>
      </c>
      <c r="S37" s="207">
        <v>1</v>
      </c>
      <c r="AC37" s="168" t="s">
        <v>1019</v>
      </c>
      <c r="AD37" s="207">
        <f>HLOOKUP(C11,Table_StateRates,5,FALSE)</f>
        <v>1.38</v>
      </c>
      <c r="AE37" s="207">
        <f>HLOOKUP(C11,Table_StateRates,5,FALSE)</f>
        <v>1.38</v>
      </c>
      <c r="AF37" s="207">
        <f>HLOOKUP(C11,Table_StateRates,5,FALSE)</f>
        <v>1.38</v>
      </c>
      <c r="AG37" s="207">
        <f>HLOOKUP(C11,Table_StateRates,5,FALSE)</f>
        <v>1.38</v>
      </c>
    </row>
    <row r="38" spans="1:33" ht="13.5" thickBot="1" x14ac:dyDescent="0.25">
      <c r="A38" s="740"/>
      <c r="B38" s="686"/>
      <c r="C38" s="686"/>
      <c r="D38" s="507" t="s">
        <v>1235</v>
      </c>
      <c r="E38" s="947"/>
      <c r="F38" s="293"/>
      <c r="G38" s="385"/>
      <c r="O38" s="168" t="s">
        <v>1199</v>
      </c>
      <c r="P38" s="247">
        <f>IF(OR(C27="S",C27="T"),1,VLOOKUP(C17,Table_TerrMult,2,FALSE)) - IF(AND((C31)="Yes",ISNUMBER(B31)),B31,0)</f>
        <v>1</v>
      </c>
      <c r="Q38" s="207">
        <v>1</v>
      </c>
      <c r="R38" s="207">
        <v>1</v>
      </c>
      <c r="S38" s="207">
        <v>1</v>
      </c>
      <c r="U38" s="1602" t="s">
        <v>388</v>
      </c>
      <c r="V38" s="1603"/>
      <c r="W38" s="1603"/>
      <c r="X38" s="1603"/>
      <c r="Y38" s="1603"/>
      <c r="Z38" s="1604"/>
      <c r="AC38" s="168" t="s">
        <v>180</v>
      </c>
      <c r="AD38" s="207">
        <v>1</v>
      </c>
      <c r="AE38" s="207">
        <v>1</v>
      </c>
      <c r="AF38" s="207">
        <v>1</v>
      </c>
      <c r="AG38" s="207">
        <v>1</v>
      </c>
    </row>
    <row r="39" spans="1:33" ht="13.5" thickBot="1" x14ac:dyDescent="0.25">
      <c r="A39" s="740"/>
      <c r="B39" s="686"/>
      <c r="C39" s="686"/>
      <c r="D39" s="514"/>
      <c r="E39" s="515"/>
      <c r="F39" s="516"/>
      <c r="G39" s="385"/>
      <c r="O39" s="168" t="s">
        <v>1100</v>
      </c>
      <c r="P39" s="207">
        <f>IF(C31="Yes",IF(ISNUMBER(B31),1,VLOOKUP(C15,Table_SprLkg,IF(B3="B",2,3),FALSE)),1)</f>
        <v>1</v>
      </c>
      <c r="Q39" s="207">
        <v>1</v>
      </c>
      <c r="R39" s="207">
        <v>1</v>
      </c>
      <c r="S39" s="207">
        <v>1</v>
      </c>
      <c r="U39" s="266"/>
      <c r="V39" s="266"/>
      <c r="W39" s="266"/>
      <c r="X39" s="266"/>
      <c r="Y39" s="266"/>
      <c r="Z39" s="266"/>
      <c r="AB39" s="146"/>
      <c r="AC39" s="545" t="s">
        <v>1020</v>
      </c>
      <c r="AD39" s="299">
        <f>IF(C7="PAC",VLOOKUP(B8,Table_PakMods,MATCH(C11,List_Company,0)+1,FALSE),1)</f>
        <v>1</v>
      </c>
      <c r="AE39" s="299">
        <f>IF(C7="PAC",VLOOKUP(B8,Table_PakMods,MATCH(C11,List_Company,0)+1,FALSE),1)</f>
        <v>1</v>
      </c>
      <c r="AF39" s="299">
        <f>IF(C7="PAC",VLOOKUP(B8,Table_PakMods,MATCH(C11,List_Company,0)+1,FALSE),1)</f>
        <v>1</v>
      </c>
      <c r="AG39" s="299">
        <f>IF(C7="PAC",VLOOKUP(B8,Table_PakMods,MATCH(C11,List_Company,0)+1,FALSE),1)</f>
        <v>1</v>
      </c>
    </row>
    <row r="40" spans="1:33" x14ac:dyDescent="0.2">
      <c r="A40" s="686"/>
      <c r="B40" s="686"/>
      <c r="C40" s="686"/>
      <c r="D40" s="737"/>
      <c r="E40" s="686"/>
      <c r="F40" s="385"/>
      <c r="G40" s="385"/>
      <c r="O40" s="236" t="s">
        <v>1099</v>
      </c>
      <c r="P40" s="281">
        <f>C33</f>
        <v>0</v>
      </c>
      <c r="Q40" s="211">
        <v>1</v>
      </c>
      <c r="R40" s="211">
        <v>1</v>
      </c>
      <c r="S40" s="211">
        <v>1</v>
      </c>
      <c r="U40" s="566" t="s">
        <v>1172</v>
      </c>
      <c r="V40" s="266"/>
      <c r="W40" s="266"/>
      <c r="X40" s="266"/>
      <c r="Y40" s="566"/>
      <c r="Z40" s="266"/>
      <c r="AB40" s="542"/>
      <c r="AC40" s="724" t="s">
        <v>1022</v>
      </c>
      <c r="AD40" s="279">
        <v>1</v>
      </c>
      <c r="AE40" s="279">
        <v>1</v>
      </c>
      <c r="AF40" s="279">
        <v>1</v>
      </c>
      <c r="AG40" s="279">
        <v>1</v>
      </c>
    </row>
    <row r="41" spans="1:33" x14ac:dyDescent="0.2">
      <c r="A41" s="739"/>
      <c r="B41" s="686"/>
      <c r="C41" s="686"/>
      <c r="D41" s="737"/>
      <c r="E41" s="686"/>
      <c r="F41" s="385"/>
      <c r="G41" s="385"/>
      <c r="N41" s="209"/>
      <c r="O41" s="210" t="s">
        <v>1016</v>
      </c>
      <c r="P41" s="212">
        <v>1</v>
      </c>
      <c r="Q41" s="212">
        <v>1</v>
      </c>
      <c r="R41" s="212">
        <v>1</v>
      </c>
      <c r="S41" s="212">
        <v>1</v>
      </c>
      <c r="U41" s="266"/>
      <c r="V41" s="486" t="s">
        <v>228</v>
      </c>
      <c r="W41" s="426">
        <f>IF(C21="Yes",HLOOKUP(B21,Table_Terrorism,3,FALSE),0)</f>
        <v>1.4999999999999999E-2</v>
      </c>
      <c r="X41" s="266"/>
      <c r="Y41" s="385"/>
      <c r="Z41" s="702"/>
      <c r="AC41" s="83" t="s">
        <v>1150</v>
      </c>
      <c r="AD41" s="2">
        <f>ROUND(PRODUCT(AD35:AD40),3)</f>
        <v>0</v>
      </c>
      <c r="AE41" s="2">
        <f>ROUND(PRODUCT(AE35:AE40),3)</f>
        <v>0</v>
      </c>
      <c r="AF41" s="2">
        <f>ROUND(PRODUCT(AF35:AF40),3)</f>
        <v>0</v>
      </c>
      <c r="AG41" s="2">
        <f>ROUND(PRODUCT(AG35:AG40),3)</f>
        <v>0</v>
      </c>
    </row>
    <row r="42" spans="1:33" ht="13.5" customHeight="1" x14ac:dyDescent="0.2">
      <c r="A42" s="741"/>
      <c r="B42" s="686"/>
      <c r="C42" s="686"/>
      <c r="D42" s="737"/>
      <c r="E42" s="686"/>
      <c r="F42" s="385"/>
      <c r="G42" s="385"/>
      <c r="O42" s="168" t="s">
        <v>1259</v>
      </c>
      <c r="P42" s="207">
        <f>IF(F7="Yes",VLOOKUP(E8,Table_CivilAuth,2,FALSE),1)</f>
        <v>1</v>
      </c>
      <c r="Q42" s="207">
        <f>IF(F7="Yes",VLOOKUP(E8,Table_CivilAuth,2,FALSE),1)</f>
        <v>1</v>
      </c>
      <c r="R42" s="207">
        <f>IF(F7="Yes",VLOOKUP(E8,Table_CivilAuth,2,FALSE),1)</f>
        <v>1</v>
      </c>
      <c r="S42" s="207">
        <f>IF(F7="Yes",VLOOKUP(E8,Table_CivilAuth,2,FALSE),1)</f>
        <v>1</v>
      </c>
      <c r="U42" s="209"/>
      <c r="V42" s="280" t="s">
        <v>1176</v>
      </c>
      <c r="W42" s="212">
        <v>1</v>
      </c>
      <c r="X42" s="385"/>
      <c r="Y42" s="385"/>
      <c r="Z42" s="702"/>
      <c r="AB42" s="185"/>
      <c r="AC42" s="186" t="s">
        <v>1025</v>
      </c>
      <c r="AD42" s="238">
        <f>IF(ISNUMBER(E21),E21/100,0)</f>
        <v>0</v>
      </c>
      <c r="AE42" s="238">
        <f>IF(ISNUMBER(E21),E21/100,0)</f>
        <v>0</v>
      </c>
      <c r="AF42" s="238">
        <f>IF(ISNUMBER(E21),E21/100,0)</f>
        <v>0</v>
      </c>
      <c r="AG42" s="238">
        <f>IF(ISNUMBER(E21),E21/100,0)</f>
        <v>0</v>
      </c>
    </row>
    <row r="43" spans="1:33" ht="12.75" customHeight="1" x14ac:dyDescent="0.2">
      <c r="A43" s="742"/>
      <c r="B43" s="739"/>
      <c r="C43" s="739"/>
      <c r="D43" s="737"/>
      <c r="E43" s="686"/>
      <c r="F43" s="385"/>
      <c r="G43" s="385"/>
      <c r="O43" s="168" t="s">
        <v>1019</v>
      </c>
      <c r="P43" s="207">
        <f>HLOOKUP(C11,Table_StateRates,5,FALSE)</f>
        <v>1.38</v>
      </c>
      <c r="Q43" s="207">
        <f>HLOOKUP(C11,Table_StateRates,5,FALSE)</f>
        <v>1.38</v>
      </c>
      <c r="R43" s="207">
        <f>HLOOKUP(C11,Table_StateRates,5,FALSE)</f>
        <v>1.38</v>
      </c>
      <c r="S43" s="207">
        <f>HLOOKUP(C11,Table_StateRates,5,FALSE)</f>
        <v>1.38</v>
      </c>
      <c r="U43" s="266"/>
      <c r="V43" s="486" t="s">
        <v>1177</v>
      </c>
      <c r="W43" s="423">
        <f>IF(C22="Yes",VLOOKUP(B21,Table_TerrorNBC,2,FALSE),1)</f>
        <v>1</v>
      </c>
      <c r="X43" s="423"/>
      <c r="Y43" s="385"/>
      <c r="Z43" s="702"/>
      <c r="AC43" s="83" t="s">
        <v>1647</v>
      </c>
      <c r="AD43" s="248">
        <f>ROUND(PRODUCT(AD41:AD42),0)</f>
        <v>0</v>
      </c>
      <c r="AE43" s="248">
        <f>ROUND(PRODUCT(AE41:AE42),0)</f>
        <v>0</v>
      </c>
      <c r="AF43" s="248">
        <f>ROUND(PRODUCT(AF41:AF42),0)</f>
        <v>0</v>
      </c>
      <c r="AG43" s="248">
        <f>ROUND(PRODUCT(AG41:AG42),0)</f>
        <v>0</v>
      </c>
    </row>
    <row r="44" spans="1:33" x14ac:dyDescent="0.2">
      <c r="A44" s="742"/>
      <c r="B44" s="739"/>
      <c r="C44" s="739"/>
      <c r="D44" s="737"/>
      <c r="E44" s="686"/>
      <c r="F44" s="385"/>
      <c r="G44" s="385"/>
      <c r="O44" s="168" t="s">
        <v>180</v>
      </c>
      <c r="P44" s="207">
        <v>1</v>
      </c>
      <c r="Q44" s="207">
        <v>1</v>
      </c>
      <c r="R44" s="207">
        <v>1</v>
      </c>
      <c r="S44" s="207">
        <v>1</v>
      </c>
      <c r="U44" s="266"/>
      <c r="V44" s="486" t="s">
        <v>971</v>
      </c>
      <c r="W44" s="423">
        <f>HLOOKUP(C11,Table_StateRates,6,FALSE)</f>
        <v>1.9</v>
      </c>
      <c r="X44" s="559"/>
      <c r="Y44" s="559"/>
      <c r="Z44" s="877"/>
    </row>
    <row r="45" spans="1:33" x14ac:dyDescent="0.2">
      <c r="A45" s="742"/>
      <c r="B45" s="739"/>
      <c r="C45" s="739"/>
      <c r="D45" s="737"/>
      <c r="E45" s="686"/>
      <c r="F45" s="385"/>
      <c r="G45" s="385"/>
      <c r="N45" s="146"/>
      <c r="O45" s="545" t="s">
        <v>1020</v>
      </c>
      <c r="P45" s="299">
        <f>IF(C7="PAC",VLOOKUP(B8,Table_PakMods,MATCH(C11,List_Company,0)+1,FALSE),1)</f>
        <v>1</v>
      </c>
      <c r="Q45" s="299">
        <f>IF(C7="PAC",VLOOKUP(B8,Table_PakMods,MATCH(C11,List_Company,0)+1,FALSE),1)</f>
        <v>1</v>
      </c>
      <c r="R45" s="299">
        <f>IF(C7="PAC",VLOOKUP(B8,Table_PakMods,MATCH(C11,List_Company,0)+1,FALSE),1)</f>
        <v>1</v>
      </c>
      <c r="S45" s="299">
        <f>IF(C7="PAC",VLOOKUP(B8,Table_PakMods,MATCH(C11,List_Company,0)+1,FALSE),1)</f>
        <v>1</v>
      </c>
      <c r="U45" s="542"/>
      <c r="V45" s="597" t="s">
        <v>1019</v>
      </c>
      <c r="W45" s="279">
        <f>HLOOKUP(C11,Table_StateRates,5,FALSE)</f>
        <v>1.38</v>
      </c>
      <c r="X45" s="426"/>
      <c r="Y45" s="559"/>
      <c r="Z45" s="899"/>
      <c r="AC45" s="685" t="s">
        <v>1434</v>
      </c>
      <c r="AD45" s="907">
        <f>IF(F20="Yes",IF(C12="SP",SUM(AD43:AF43),IF(C12="BR",SUM(AD43:AE43,AG43),SUM(AD43:AE43))),0)</f>
        <v>0</v>
      </c>
    </row>
    <row r="46" spans="1:33" x14ac:dyDescent="0.2">
      <c r="A46" s="742"/>
      <c r="B46" s="686"/>
      <c r="C46" s="686"/>
      <c r="D46" s="737"/>
      <c r="E46" s="686"/>
      <c r="F46" s="385"/>
      <c r="G46" s="385"/>
      <c r="N46" s="542"/>
      <c r="O46" s="724" t="s">
        <v>1022</v>
      </c>
      <c r="P46" s="279">
        <v>1</v>
      </c>
      <c r="Q46" s="279">
        <v>1</v>
      </c>
      <c r="R46" s="279">
        <v>1</v>
      </c>
      <c r="S46" s="279">
        <v>1</v>
      </c>
      <c r="U46" s="385"/>
      <c r="V46" s="685" t="s">
        <v>1134</v>
      </c>
      <c r="W46" s="558">
        <f>ROUND(PRODUCT(W41:W45),3)</f>
        <v>3.9E-2</v>
      </c>
      <c r="X46" s="385"/>
      <c r="Y46" s="559"/>
      <c r="Z46" s="877"/>
    </row>
    <row r="47" spans="1:33" ht="13.5" thickBot="1" x14ac:dyDescent="0.25">
      <c r="A47" s="742"/>
      <c r="B47" s="686"/>
      <c r="C47" s="686"/>
      <c r="D47" s="385"/>
      <c r="E47" s="385"/>
      <c r="F47" s="385"/>
      <c r="G47" s="385"/>
      <c r="O47" s="83" t="s">
        <v>1150</v>
      </c>
      <c r="P47" s="247">
        <f>ROUND(PRODUCT(P35:P38,IF(AND(C31="Yes",B31="Sprinkler",C33&lt;&gt;1),P39-P40,P39),P41:P46),3)</f>
        <v>1.2669999999999999</v>
      </c>
      <c r="Q47" s="247">
        <f>ROUND(PRODUCT(Q35:Q46),3)</f>
        <v>0.442</v>
      </c>
      <c r="R47" s="247">
        <f>ROUND(PRODUCT(R35:R46),3)</f>
        <v>0.16300000000000001</v>
      </c>
      <c r="S47" s="247">
        <f>ROUND(PRODUCT(S35:S46),3)</f>
        <v>6.0999999999999999E-2</v>
      </c>
      <c r="U47" s="385"/>
      <c r="V47" s="702" t="s">
        <v>1178</v>
      </c>
      <c r="W47" s="559">
        <f>VLOOKUP(C14,Table_ProtClass,IF(C15&lt;=3,2,3),FALSE)</f>
        <v>0.96</v>
      </c>
      <c r="X47" s="266"/>
      <c r="Y47" s="266"/>
      <c r="Z47" s="266"/>
    </row>
    <row r="48" spans="1:33" ht="13.5" thickBot="1" x14ac:dyDescent="0.25">
      <c r="A48" s="742"/>
      <c r="B48" s="686"/>
      <c r="C48" s="686"/>
      <c r="D48" s="385"/>
      <c r="E48" s="385"/>
      <c r="F48" s="385"/>
      <c r="G48" s="385"/>
      <c r="N48" s="185"/>
      <c r="O48" s="186" t="s">
        <v>1025</v>
      </c>
      <c r="P48" s="238">
        <f>IF(ISNUMBER(F12),F12/100,0)</f>
        <v>0</v>
      </c>
      <c r="Q48" s="238">
        <f>IF(ISNUMBER(F12),F12/100,0)</f>
        <v>0</v>
      </c>
      <c r="R48" s="238">
        <f>IF(ISNUMBER(F12),F12/100,0)</f>
        <v>0</v>
      </c>
      <c r="S48" s="238">
        <f>IF(ISNUMBER(F12),F12/100,0)</f>
        <v>0</v>
      </c>
      <c r="U48" s="542"/>
      <c r="V48" s="597" t="s">
        <v>1475</v>
      </c>
      <c r="W48" s="279">
        <f>VLOOKUP(F5,Table_EE_CoIns,3,FALSE)</f>
        <v>4</v>
      </c>
      <c r="X48" s="558"/>
      <c r="Y48" s="558"/>
      <c r="Z48" s="558"/>
      <c r="AB48" s="916" t="s">
        <v>553</v>
      </c>
      <c r="AD48" s="734">
        <f>SUM(AD15,AD29,AD45)</f>
        <v>0</v>
      </c>
    </row>
    <row r="49" spans="1:26" x14ac:dyDescent="0.2">
      <c r="A49" s="742"/>
      <c r="B49" s="686"/>
      <c r="C49" s="686"/>
      <c r="D49" s="385"/>
      <c r="E49" s="385"/>
      <c r="F49" s="385"/>
      <c r="G49" s="385"/>
      <c r="O49" s="83" t="s">
        <v>978</v>
      </c>
      <c r="P49" s="248">
        <f>ROUND(PRODUCT(P47:P48),0)</f>
        <v>0</v>
      </c>
      <c r="Q49" s="248">
        <f>ROUND(PRODUCT(Q47:Q48),0)</f>
        <v>0</v>
      </c>
      <c r="R49" s="248">
        <f>ROUND(PRODUCT(R47:R48),0)</f>
        <v>0</v>
      </c>
      <c r="S49" s="248">
        <f>ROUND(PRODUCT(S47:S48),0)</f>
        <v>0</v>
      </c>
      <c r="U49" s="423"/>
      <c r="V49" s="810" t="s">
        <v>1150</v>
      </c>
      <c r="W49" s="426">
        <f>ROUND(PRODUCT(W46:W48),3)</f>
        <v>0.15</v>
      </c>
      <c r="X49" s="559"/>
      <c r="Y49" s="559"/>
      <c r="Z49" s="559"/>
    </row>
    <row r="50" spans="1:26" x14ac:dyDescent="0.2">
      <c r="A50" s="742"/>
      <c r="B50" s="686"/>
      <c r="C50" s="686"/>
      <c r="G50" s="385"/>
      <c r="U50" s="279"/>
      <c r="V50" s="809" t="s">
        <v>1473</v>
      </c>
      <c r="W50" s="487">
        <f>IF(ISNUMBER(F4),F4/100,0)</f>
        <v>10000</v>
      </c>
      <c r="X50" s="559"/>
      <c r="Y50" s="559"/>
      <c r="Z50" s="559"/>
    </row>
    <row r="51" spans="1:26" x14ac:dyDescent="0.2">
      <c r="A51" s="742"/>
      <c r="B51" s="686"/>
      <c r="C51" s="686"/>
      <c r="G51" s="385"/>
      <c r="U51" s="426"/>
      <c r="V51" s="811" t="s">
        <v>1474</v>
      </c>
      <c r="W51" s="812">
        <f>ROUND(PRODUCT(W49:W50),0)</f>
        <v>1500</v>
      </c>
      <c r="X51" s="558"/>
      <c r="Y51" s="558"/>
      <c r="Z51" s="558"/>
    </row>
    <row r="52" spans="1:26" x14ac:dyDescent="0.2">
      <c r="A52" s="742"/>
      <c r="B52" s="686"/>
      <c r="C52" s="686"/>
      <c r="G52" s="385"/>
    </row>
    <row r="53" spans="1:26" x14ac:dyDescent="0.2">
      <c r="A53" s="742"/>
      <c r="B53" s="686"/>
      <c r="C53" s="686"/>
      <c r="G53" s="385"/>
    </row>
    <row r="54" spans="1:26" x14ac:dyDescent="0.2">
      <c r="A54" s="385"/>
      <c r="B54" s="385"/>
      <c r="C54" s="385"/>
      <c r="G54" s="385"/>
      <c r="U54" s="566" t="s">
        <v>1732</v>
      </c>
      <c r="V54" s="266"/>
      <c r="W54" s="266"/>
    </row>
    <row r="55" spans="1:26" x14ac:dyDescent="0.2">
      <c r="A55" s="385"/>
      <c r="B55" s="385"/>
      <c r="C55" s="385"/>
      <c r="F55" s="8"/>
      <c r="G55" s="385"/>
      <c r="U55" s="266"/>
      <c r="V55" s="268" t="s">
        <v>1693</v>
      </c>
      <c r="W55" s="426">
        <f>B29</f>
        <v>0.126</v>
      </c>
    </row>
    <row r="56" spans="1:26" x14ac:dyDescent="0.2">
      <c r="A56" s="385"/>
      <c r="B56" s="385"/>
      <c r="C56" s="385"/>
      <c r="F56" s="139"/>
      <c r="G56" s="385"/>
      <c r="U56" s="266"/>
      <c r="V56" s="268" t="s">
        <v>1695</v>
      </c>
      <c r="W56" s="423" t="e">
        <f>IF(#REF!="Yes",DF_TerrorDT,1)</f>
        <v>#REF!</v>
      </c>
    </row>
    <row r="57" spans="1:26" x14ac:dyDescent="0.2">
      <c r="F57" s="139"/>
      <c r="G57" s="385"/>
      <c r="U57" s="542"/>
      <c r="V57" s="724" t="s">
        <v>1696</v>
      </c>
      <c r="W57" s="757" t="e">
        <f>IF(#REF!="Yes",DF_TerrorDTnbc,1)</f>
        <v>#REF!</v>
      </c>
    </row>
    <row r="58" spans="1:26" x14ac:dyDescent="0.2">
      <c r="F58" s="139"/>
      <c r="U58" s="266"/>
      <c r="V58" s="568" t="s">
        <v>1694</v>
      </c>
      <c r="W58" s="426" t="e">
        <f>ROUND(PRODUCT(W55:W57),3)</f>
        <v>#REF!</v>
      </c>
    </row>
    <row r="59" spans="1:26" x14ac:dyDescent="0.2">
      <c r="G59" s="8"/>
      <c r="U59" s="542"/>
      <c r="V59" s="809" t="s">
        <v>1473</v>
      </c>
      <c r="W59" s="988">
        <f>IF(ISBLANK(F4),0,F4/100)</f>
        <v>10000</v>
      </c>
    </row>
    <row r="60" spans="1:26" x14ac:dyDescent="0.2">
      <c r="G60" s="8"/>
      <c r="U60" s="385"/>
      <c r="V60" s="568" t="s">
        <v>1733</v>
      </c>
      <c r="W60" s="989" t="e">
        <f>ROUND(PRODUCT(W55:W59),0)</f>
        <v>#REF!</v>
      </c>
    </row>
    <row r="61" spans="1:26" x14ac:dyDescent="0.2">
      <c r="G61" s="8"/>
      <c r="U61" s="385"/>
      <c r="V61" s="702"/>
      <c r="W61" s="559"/>
    </row>
    <row r="62" spans="1:26" x14ac:dyDescent="0.2">
      <c r="G62" s="8"/>
      <c r="U62" s="385"/>
      <c r="V62" s="702"/>
      <c r="W62" s="559"/>
    </row>
    <row r="63" spans="1:26" x14ac:dyDescent="0.2">
      <c r="G63" s="8"/>
      <c r="U63" s="559"/>
      <c r="V63" s="877"/>
      <c r="W63" s="558"/>
    </row>
    <row r="64" spans="1:26" x14ac:dyDescent="0.2">
      <c r="U64" s="559"/>
      <c r="V64" s="899"/>
      <c r="W64" s="575"/>
    </row>
    <row r="65" spans="7:23" x14ac:dyDescent="0.2">
      <c r="U65" s="558"/>
      <c r="V65" s="900"/>
      <c r="W65" s="575"/>
    </row>
    <row r="66" spans="7:23" x14ac:dyDescent="0.2">
      <c r="O66" s="168"/>
    </row>
    <row r="67" spans="7:23" x14ac:dyDescent="0.2">
      <c r="O67" s="168"/>
    </row>
    <row r="68" spans="7:23" x14ac:dyDescent="0.2">
      <c r="G68" s="8"/>
    </row>
    <row r="69" spans="7:23" x14ac:dyDescent="0.2">
      <c r="G69" s="8"/>
    </row>
    <row r="70" spans="7:23" x14ac:dyDescent="0.2">
      <c r="G70" s="8"/>
    </row>
    <row r="71" spans="7:23" x14ac:dyDescent="0.2">
      <c r="G71" s="8"/>
    </row>
    <row r="72" spans="7:23" x14ac:dyDescent="0.2">
      <c r="G72" s="8"/>
    </row>
    <row r="73" spans="7:23" x14ac:dyDescent="0.2">
      <c r="G73" s="8"/>
    </row>
    <row r="74" spans="7:23" x14ac:dyDescent="0.2">
      <c r="G74" s="8"/>
    </row>
    <row r="75" spans="7:23" x14ac:dyDescent="0.2">
      <c r="G75" s="8"/>
    </row>
    <row r="76" spans="7:23" x14ac:dyDescent="0.2">
      <c r="G76" s="146"/>
    </row>
  </sheetData>
  <mergeCells count="3">
    <mergeCell ref="H1:L1"/>
    <mergeCell ref="AM24:AN24"/>
    <mergeCell ref="U38:Z38"/>
  </mergeCells>
  <conditionalFormatting sqref="B24">
    <cfRule type="expression" dxfId="114" priority="2" stopIfTrue="1">
      <formula>IF($C$24="Yes",FALSE,TRUE)</formula>
    </cfRule>
  </conditionalFormatting>
  <conditionalFormatting sqref="A18">
    <cfRule type="expression" dxfId="113" priority="1">
      <formula>IF($C$12="SP",TRUE,FALSE)</formula>
    </cfRule>
  </conditionalFormatting>
  <dataValidations count="47">
    <dataValidation type="custom" allowBlank="1" showInputMessage="1" showErrorMessage="1" sqref="E21">
      <formula1>IF(F20="Yes",TRUE,FALSE)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Increased Coverage Period" prompt="Please Select # of Days:_x000a_{ 60, 90, 180 }" sqref="E8">
      <formula1>IF(F7="Yes",OFFSET(Table_CivilAuth,0,0,,1),List_No)</formula1>
    </dataValidation>
    <dataValidation type="custom" allowBlank="1" showInputMessage="1" showErrorMessage="1" sqref="O30 A29 F29 B30 C25 O5">
      <formula1>FALSE</formula1>
    </dataValidation>
    <dataValidation type="custom" allowBlank="1" showInputMessage="1" showErrorMessage="1" errorTitle="Do Not Touch" error="This is used to generate the Coinsurance rate." sqref="B34 E37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C10:C11 C7 B8 C14:C15 B5:C5 C4 C21:C22 C24 C17">
      <formula1>FALSE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list" allowBlank="1" showInputMessage="1" showErrorMessage="1" promptTitle="Utility Services Coverage" prompt="Please Select:_x000a_Yes or No" sqref="F20">
      <formula1>List_YN</formula1>
    </dataValidation>
    <dataValidation type="list" allowBlank="1" showInputMessage="1" showErrorMessage="1" promptTitle="Increased Period of Restoration" prompt="Please Select:_x000a_Yes or No" sqref="F18">
      <formula1>List_YN</formula1>
    </dataValidation>
    <dataValidation type="list" allowBlank="1" showInputMessage="1" showErrorMessage="1" promptTitle="Please Select:" prompt="Yes = Apply Coverage_x000a_No  = Do Not Apply" sqref="F11 F28">
      <formula1>List_YN</formula1>
    </dataValidation>
    <dataValidation type="list" allowBlank="1" showInputMessage="1" showErrorMessage="1" promptTitle="Prior/Intended Building Class:" prompt="Please select your previous or Intended Building Class code for the building type classified." sqref="F15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16">
      <formula1>FALSE</formula1>
    </dataValidation>
    <dataValidation type="custom" allowBlank="1" showInputMessage="1" showErrorMessage="1" promptTitle="Class Rating Group" prompt="Displays Rating Group for Class Code selected." sqref="E13">
      <formula1>FALSE</formula1>
    </dataValidation>
    <dataValidation type="list" allowBlank="1" showInputMessage="1" showErrorMessage="1" promptTitle="Basic Group I - Class Codes" prompt="Please select your building class code" sqref="F13">
      <formula1>OFFSET(Table_G1_LC,0,0,,1)</formula1>
    </dataValidation>
    <dataValidation type="list" allowBlank="1" showInputMessage="1" showErrorMessage="1" promptTitle="Civil Authority Inc. Coverage" prompt="Please Select:_x000a_Yes or No" sqref="F7">
      <formula1>List_YN</formula1>
    </dataValidation>
    <dataValidation type="list" allowBlank="1" showInputMessage="1" showErrorMessage="1" promptTitle="Limits on Loss Payment" prompt="Please Select:_x000a_  35 = 35%-70%-100%_x000a_  40 = 40%-80%-100%_x000a_100 = 100%-100%-100%" sqref="F5">
      <formula1>OFFSET(Table_EE_CoIns,0,0,,1)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type="list" allowBlank="1" showInputMessage="1" showErrorMessage="1" errorTitle="Coverage Not Allowed" error="Business Income Coverage has already been applied to this policy." promptTitle="Please Select:" prompt="Yes = Apply Coverage_x000a_No  = Do Not Apply_x000a__x000a_* Coverage not available if Business Income Coverage has already been applied to policy." sqref="F3">
      <formula1>IF($E$3="BI",List_No,List_YN)</formula1>
    </dataValidation>
    <dataValidation type="custom" allowBlank="1" showInputMessage="1" showErrorMessage="1" promptTitle="EE Availability Indicator:" prompt="BI - indicates that Business Income Coverage has already been applied to the policy._x000a__x000a_Available - indicates EE is still available to be added to the policy." sqref="E3">
      <formula1>FALSE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custom" allowBlank="1" showInputMessage="1" showErrorMessage="1" promptTitle="OH Lines Utility Svc Multiplier" prompt="Displays the multiplier for the Overhead Power Trans &amp; Comm Lines premium calculations." sqref="F25">
      <formula1>FALSE</formula1>
    </dataValidation>
    <dataValidation type="custom" allowBlank="1" showInputMessage="1" showErrorMessage="1" promptTitle="P&amp;W Utility Svc Multiplier" prompt="Displays the multiplier for Power &amp; Water Supply premium calculations." sqref="F22">
      <formula1>FALSE</formula1>
    </dataValidation>
    <dataValidation type="list" allowBlank="1" showInputMessage="1" showErrorMessage="1" promptTitle="OH Power Transmission Lines" prompt="Please Select:_x000a_{ Yes or No }" sqref="E25">
      <formula1>IF($F$20="Yes",List_YN, List_No)</formula1>
    </dataValidation>
    <dataValidation type="list" allowBlank="1" showInputMessage="1" showErrorMessage="1" promptTitle="Ovhd Communication Lines" prompt="Please Select:_x000a_{ Yes or No }" sqref="E26">
      <formula1>IF($F$20="Yes",List_YN, List_No)</formula1>
    </dataValidation>
    <dataValidation type="list" allowBlank="1" showInputMessage="1" showErrorMessage="1" promptTitle="Communications Supply" prompt="Please Select:_x000a_{ Yes or No }" sqref="E24">
      <formula1>IF($F$20="Yes",List_YN, List_No)</formula1>
    </dataValidation>
    <dataValidation type="list" allowBlank="1" showInputMessage="1" showErrorMessage="1" promptTitle="Power &amp; Water Supply" prompt="Please Select:_x000a_{ Yes or No }" sqref="E22:E23">
      <formula1>IF($F$20="Yes",List_YN, List_No)</formula1>
    </dataValidation>
    <dataValidation type="custom" allowBlank="1" showInputMessage="1" showErrorMessage="1" prompt="Relates to Special Form Reference" sqref="B15">
      <formula1>FALSE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30">
      <formula1>IF(AND($F$45="Yes",$C$56&lt;&gt;"Yes"),List_YN,List_No)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37">
      <formula1>IF(OR($C$12="BR",$C$12="BA"),List_No,IF($F$45="Yes",List_YN,List_No))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34">
      <formula1>IF($C$12="SP",List_No,IF($F$45="Yes",List_YN,List_No))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33">
      <formula1>IF($C$12="SP",List_No,IF($F$45="Yes",List_YN,List_No))</formula1>
    </dataValidation>
    <dataValidation type="custom" allowBlank="1" showInputMessage="1" showErrorMessage="1" prompt="EQ Sprinkler Leakage Extension Factor Lookup value." sqref="F31">
      <formula1>FALSE</formula1>
    </dataValidation>
    <dataValidation type="custom" allowBlank="1" showInputMessage="1" showErrorMessage="1" prompt="EQ Table Lookup Value" sqref="F32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32">
      <formula1>OFFSET(Table_EQ_Tiers,0,0,,1)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8">
      <formula1>IF($F$54="Yes",OFFSET(Table_Other_WaterBuyback,0,0,,1),List_No)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5">
      <formula1>IF($F$51="Yes",OFFSET(Table_Other_PierWharf,0,0,,1),List_No)</formula1>
    </dataValidation>
    <dataValidation type="list" allowBlank="1" showInputMessage="1" showErrorMessage="1" promptTitle="EQ Building Class" prompt="Please Select a class from the drop down list." sqref="E31">
      <formula1>IF($F$47="Yes",List_EQBldgClass,List_No)</formula1>
    </dataValidation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5" manualBreakCount="5">
    <brk id="6" max="1048575" man="1"/>
    <brk id="13" max="52" man="1"/>
    <brk id="20" max="52" man="1"/>
    <brk id="27" max="52" man="1"/>
    <brk id="34" max="52" man="1"/>
  </col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Z57"/>
  <sheetViews>
    <sheetView topLeftCell="K16"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2.5703125" style="2" customWidth="1"/>
    <col min="3" max="3" width="12.85546875" style="2" customWidth="1"/>
    <col min="4" max="4" width="26.85546875" style="2" customWidth="1"/>
    <col min="5" max="5" width="12.5703125" style="2" customWidth="1"/>
    <col min="6" max="6" width="11.85546875" style="2" customWidth="1"/>
    <col min="7" max="7" width="9.140625" style="2"/>
    <col min="8" max="8" width="20.85546875" style="2" customWidth="1"/>
    <col min="9" max="9" width="17.85546875" style="2" customWidth="1"/>
    <col min="10" max="10" width="12.85546875" style="2" customWidth="1"/>
    <col min="11" max="11" width="19.5703125" style="2" customWidth="1"/>
    <col min="12" max="12" width="9.140625" style="2"/>
    <col min="13" max="13" width="14.7109375" style="2" customWidth="1"/>
    <col min="14" max="14" width="25.85546875" style="2" customWidth="1"/>
    <col min="15" max="15" width="14.140625" style="2" customWidth="1"/>
    <col min="16" max="16" width="9.140625" style="2"/>
    <col min="17" max="17" width="14.7109375" style="2" customWidth="1"/>
    <col min="18" max="18" width="23.85546875" style="2" customWidth="1"/>
    <col min="19" max="19" width="14.140625" style="2" customWidth="1"/>
    <col min="20" max="20" width="9.140625" style="2"/>
    <col min="21" max="21" width="34.28515625" style="2" customWidth="1"/>
    <col min="22" max="22" width="23.7109375" style="2" customWidth="1"/>
    <col min="23" max="23" width="14.28515625" style="2" customWidth="1"/>
    <col min="24" max="16384" width="9.140625" style="2"/>
  </cols>
  <sheetData>
    <row r="1" spans="1:23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1723</v>
      </c>
      <c r="I1" s="1595"/>
      <c r="J1" s="1595"/>
      <c r="K1" s="1596"/>
      <c r="U1" s="1617" t="s">
        <v>949</v>
      </c>
      <c r="V1" s="1617"/>
      <c r="W1" s="1617"/>
    </row>
    <row r="2" spans="1:23" ht="12.75" customHeight="1" thickBot="1" x14ac:dyDescent="0.25">
      <c r="A2" s="161" t="s">
        <v>832</v>
      </c>
      <c r="B2" s="162"/>
      <c r="C2" s="163"/>
      <c r="D2" s="529" t="s">
        <v>897</v>
      </c>
      <c r="E2" s="531"/>
      <c r="F2" s="532"/>
      <c r="M2" s="60" t="s">
        <v>1767</v>
      </c>
      <c r="Q2" s="60" t="s">
        <v>1769</v>
      </c>
    </row>
    <row r="3" spans="1:23" ht="13.5" thickBot="1" x14ac:dyDescent="0.25">
      <c r="A3" s="120" t="s">
        <v>1024</v>
      </c>
      <c r="B3" s="95"/>
      <c r="C3" s="1085" t="str">
        <f>DF_State</f>
        <v>CT</v>
      </c>
      <c r="D3" s="203" t="s">
        <v>306</v>
      </c>
      <c r="E3" s="216"/>
      <c r="F3" s="204" t="s">
        <v>857</v>
      </c>
      <c r="H3" s="1273">
        <f>Summary7</f>
        <v>0</v>
      </c>
      <c r="I3" s="557"/>
      <c r="J3" s="557"/>
      <c r="N3" s="168" t="s">
        <v>1761</v>
      </c>
      <c r="O3" s="247">
        <f>IF(C31="Yes",VLOOKUP(B32,Table_EQ_LC,3,FALSE),0)</f>
        <v>5.0000000000000001E-3</v>
      </c>
      <c r="R3" s="168" t="s">
        <v>1761</v>
      </c>
      <c r="S3" s="247">
        <f>IF(C31="Yes",VLOOKUP(B32,Table_EQ_LC,3,FALSE),VLOOKUP(B42,Table_EQ_LC,MATCH(C47,List_PPGrade,0)+3,FALSE))</f>
        <v>5.0000000000000001E-3</v>
      </c>
      <c r="U3" s="154" t="s">
        <v>950</v>
      </c>
      <c r="V3" s="86"/>
      <c r="W3" s="156" t="s">
        <v>951</v>
      </c>
    </row>
    <row r="4" spans="1:23" x14ac:dyDescent="0.2">
      <c r="A4" s="1036" t="s">
        <v>1828</v>
      </c>
      <c r="B4" s="1041"/>
      <c r="C4" s="1098"/>
      <c r="D4" s="107" t="s">
        <v>961</v>
      </c>
      <c r="E4" s="272"/>
      <c r="F4" s="704"/>
      <c r="H4" s="82"/>
      <c r="I4" s="189"/>
      <c r="J4" s="4"/>
      <c r="M4" s="146"/>
      <c r="N4" s="545" t="s">
        <v>971</v>
      </c>
      <c r="O4" s="299" t="e">
        <f>HLOOKUP(C10,Table_StateRates,6,FALSE)</f>
        <v>#N/A</v>
      </c>
      <c r="Q4" s="146"/>
      <c r="R4" s="545" t="s">
        <v>971</v>
      </c>
      <c r="S4" s="299" t="e">
        <f>HLOOKUP(C10,Table_StateRates,6,FALSE)</f>
        <v>#N/A</v>
      </c>
      <c r="U4" s="686" t="s">
        <v>1715</v>
      </c>
      <c r="W4" s="155">
        <f>IF(W22&lt;-0.05,-0.05,IF(W22&gt;0.05,0.05,W22))</f>
        <v>0</v>
      </c>
    </row>
    <row r="5" spans="1:23" x14ac:dyDescent="0.2">
      <c r="A5" s="120"/>
      <c r="B5" s="95"/>
      <c r="C5" s="1039"/>
      <c r="D5" s="124" t="s">
        <v>1218</v>
      </c>
      <c r="E5" s="417">
        <f>IF(F5="Yes",2,3)</f>
        <v>3</v>
      </c>
      <c r="F5" s="704" t="s">
        <v>857</v>
      </c>
      <c r="H5" s="82" t="s">
        <v>1759</v>
      </c>
      <c r="I5" s="258"/>
      <c r="J5" s="259" t="e">
        <f>IF(C31="Yes",O15,0)</f>
        <v>#N/A</v>
      </c>
      <c r="N5" s="189" t="s">
        <v>1497</v>
      </c>
      <c r="O5" s="207">
        <v>1</v>
      </c>
      <c r="R5" s="189" t="s">
        <v>1253</v>
      </c>
      <c r="S5" s="247">
        <f>IF(OR(ISBLANK(F7),F7="None"),1,IF(E8="Yes",F14,VLOOKUP(F7,IF(F5="Yes",Table_BI_CoIns_EE,Table_BI_CoIns),F8+1,FALSE)))</f>
        <v>1</v>
      </c>
      <c r="U5" s="151" t="s">
        <v>1714</v>
      </c>
      <c r="W5" s="155">
        <f>IF(W23&lt;-0.06,-0.06,IF(W23&gt;0.06,0.06,W23))</f>
        <v>0</v>
      </c>
    </row>
    <row r="6" spans="1:23" x14ac:dyDescent="0.2">
      <c r="A6" s="120" t="s">
        <v>969</v>
      </c>
      <c r="B6" s="95"/>
      <c r="C6" s="1093" t="s">
        <v>980</v>
      </c>
      <c r="D6" s="84" t="s">
        <v>1227</v>
      </c>
      <c r="E6" s="193"/>
      <c r="F6" s="704" t="s">
        <v>857</v>
      </c>
      <c r="H6" s="189"/>
      <c r="I6" s="258"/>
      <c r="J6" s="259"/>
      <c r="N6" s="168" t="s">
        <v>1017</v>
      </c>
      <c r="O6" s="247">
        <f>VLOOKUP(C27,Table_EQ_CoIns,2,FALSE)</f>
        <v>1</v>
      </c>
      <c r="R6" s="168" t="s">
        <v>1086</v>
      </c>
      <c r="S6" s="207">
        <f>IF(F6="Yes",DF_BI_AV,1)</f>
        <v>1</v>
      </c>
      <c r="U6" s="8" t="s">
        <v>1716</v>
      </c>
      <c r="W6" s="155">
        <f>IF(W24&lt;-0.06,-0.06,IF(W24&gt;0.06,0.06,W24))</f>
        <v>0</v>
      </c>
    </row>
    <row r="7" spans="1:23" ht="13.5" thickBot="1" x14ac:dyDescent="0.25">
      <c r="A7" s="143" t="s">
        <v>923</v>
      </c>
      <c r="B7" s="940" t="s">
        <v>857</v>
      </c>
      <c r="C7" s="1039"/>
      <c r="D7" s="84" t="s">
        <v>1085</v>
      </c>
      <c r="E7" s="103"/>
      <c r="F7" s="704" t="s">
        <v>1883</v>
      </c>
      <c r="H7" s="82" t="s">
        <v>1758</v>
      </c>
      <c r="I7" s="248"/>
      <c r="N7" s="168" t="s">
        <v>1018</v>
      </c>
      <c r="O7" s="1417" t="str">
        <f>IF(C31="Yes",VLOOKUP(B38,Table_EQ_Deductible,MATCH(IF(B37&gt;C37,B37,C37),List_EQDeductibles,0)+1,FALSE),0)</f>
        <v>NA</v>
      </c>
      <c r="R7" s="168" t="s">
        <v>1088</v>
      </c>
      <c r="S7" s="207">
        <f>IF(OR(C20="S",C20="T"),VLOOKUP(IF(C31="Yes",C39,C51),Table_EQ_OptStory,3,FALSE),1)</f>
        <v>1</v>
      </c>
      <c r="U7" s="8" t="s">
        <v>1717</v>
      </c>
      <c r="W7" s="155">
        <f>IF(W25&lt;-0.1,-0.1,IF(W25&gt;0.1,0.1,W25))</f>
        <v>0</v>
      </c>
    </row>
    <row r="8" spans="1:23" ht="13.5" thickBot="1" x14ac:dyDescent="0.25">
      <c r="A8" s="120"/>
      <c r="B8" s="95"/>
      <c r="C8" s="1039"/>
      <c r="D8" s="84" t="s">
        <v>1205</v>
      </c>
      <c r="E8" s="479" t="s">
        <v>857</v>
      </c>
      <c r="F8" s="706"/>
      <c r="H8" s="82"/>
      <c r="I8" s="972" t="s">
        <v>1797</v>
      </c>
      <c r="J8" s="259">
        <f>IF(C41="Yes",O30,0)</f>
        <v>0</v>
      </c>
      <c r="N8" s="168" t="s">
        <v>1086</v>
      </c>
      <c r="O8" s="207">
        <f>IF(C28="Yes",DF_AgreedFctr,1)</f>
        <v>1.05</v>
      </c>
      <c r="R8" s="83" t="s">
        <v>1251</v>
      </c>
      <c r="S8" s="207">
        <f>IF(F17="Yes",VLOOKUP(F8,Table_BI_MaxInd,E5,FALSE)+S17,1)</f>
        <v>1</v>
      </c>
      <c r="U8" s="687" t="s">
        <v>1718</v>
      </c>
      <c r="W8" s="155">
        <f>IF(W26&lt;-0.06,-0.06,IF(W26&gt;0.06,0.06,W26))</f>
        <v>0</v>
      </c>
    </row>
    <row r="9" spans="1:23" x14ac:dyDescent="0.2">
      <c r="A9" s="120" t="s">
        <v>1829</v>
      </c>
      <c r="B9" s="95"/>
      <c r="C9" s="1094">
        <v>1</v>
      </c>
      <c r="D9" s="695" t="str">
        <f>IF(F3="No","",IF(E8="Yes","Please Select the 2 Occ. Types below","Select 1 Occ. Type in the shaded cell above"))</f>
        <v/>
      </c>
      <c r="E9" s="487"/>
      <c r="F9" s="533"/>
      <c r="H9" s="82"/>
      <c r="I9" s="972" t="s">
        <v>1798</v>
      </c>
      <c r="J9" s="259">
        <f>IF(B54="Yes",O39,0)</f>
        <v>0</v>
      </c>
      <c r="N9" s="168" t="s">
        <v>1768</v>
      </c>
      <c r="O9" s="207">
        <f>IF(OR(C33="1C",C33="1D"),VLOOKUP(B36,Table_EQ_Masonry,3,FALSE),1)</f>
        <v>1</v>
      </c>
      <c r="R9" s="83" t="s">
        <v>1252</v>
      </c>
      <c r="S9" s="207">
        <f ca="1">IF(F18="Yes",VLOOKUP(E19,INDIRECT("Table_BI_Mos"&amp;F8),E5,FALSE)+S17,1)</f>
        <v>1</v>
      </c>
      <c r="U9" s="153" t="s">
        <v>1719</v>
      </c>
      <c r="W9" s="155">
        <f>IF(W27&lt;-0.025,-0.025,IF(W27&gt;0.025,0.025,W27))</f>
        <v>0</v>
      </c>
    </row>
    <row r="10" spans="1:23" x14ac:dyDescent="0.2">
      <c r="A10" s="120" t="s">
        <v>835</v>
      </c>
      <c r="B10" s="95"/>
      <c r="C10" s="1093" t="s">
        <v>1862</v>
      </c>
      <c r="D10" s="159" t="s">
        <v>1662</v>
      </c>
      <c r="E10" s="443"/>
      <c r="F10" s="704"/>
      <c r="H10" s="82"/>
      <c r="I10" s="972" t="s">
        <v>1799</v>
      </c>
      <c r="J10" s="259">
        <f>IF(B55="Yes",O44,0)</f>
        <v>0</v>
      </c>
      <c r="N10" s="168" t="s">
        <v>180</v>
      </c>
      <c r="O10" s="207">
        <f>1+ $Y$24</f>
        <v>1</v>
      </c>
      <c r="R10" s="882" t="s">
        <v>1547</v>
      </c>
      <c r="S10" s="299">
        <f>IF(AND(F20="Yes",OR(E21=1,E21=3)),VLOOKUP(F7,Table_BI_Educ,E5,FALSE),1)</f>
        <v>1</v>
      </c>
      <c r="U10" s="687" t="s">
        <v>1720</v>
      </c>
      <c r="W10" s="155">
        <f>IF(W28&lt;-0.025,-0.025,IF(W28&gt;0.025,0.025,W28))</f>
        <v>0</v>
      </c>
    </row>
    <row r="11" spans="1:23" ht="13.5" thickBot="1" x14ac:dyDescent="0.25">
      <c r="A11" s="415" t="s">
        <v>910</v>
      </c>
      <c r="B11" s="493">
        <f>IF(OR(C14=5,C14=6),1,2)</f>
        <v>2</v>
      </c>
      <c r="C11" s="704" t="s">
        <v>1678</v>
      </c>
      <c r="D11" s="159" t="s">
        <v>1663</v>
      </c>
      <c r="E11" s="442"/>
      <c r="F11" s="704"/>
      <c r="H11" s="82"/>
      <c r="I11" s="972" t="s">
        <v>1795</v>
      </c>
      <c r="J11" s="259">
        <f>IF(B56="Yes",O49,0)</f>
        <v>0</v>
      </c>
      <c r="M11" s="146"/>
      <c r="N11" s="545" t="s">
        <v>1020</v>
      </c>
      <c r="O11" s="299">
        <f>IF(C6="PAC",VLOOKUP(B7,Table_PakMods,MATCH(C11,List_Company,0)+1,FALSE),1)</f>
        <v>1</v>
      </c>
      <c r="R11" s="83" t="s">
        <v>1549</v>
      </c>
      <c r="S11" s="207">
        <f>IF(AND(F20="Yes",E21=2),VLOOKUP(F7,Table_BI_Educ,E5,FALSE)+IF(F21&gt;4,SUM(4*0.02,(F21-4)*0.04),F21*0.02),1)</f>
        <v>1</v>
      </c>
      <c r="U11" s="687" t="s">
        <v>1721</v>
      </c>
      <c r="W11" s="155">
        <f>IF(W29&lt;-0.075,-0.075,IF(W29&gt;0.075,0.075,W29))</f>
        <v>0</v>
      </c>
    </row>
    <row r="12" spans="1:23" ht="13.5" thickBot="1" x14ac:dyDescent="0.25">
      <c r="A12" s="507" t="s">
        <v>1069</v>
      </c>
      <c r="B12" s="498">
        <f>IF(C12=1,2,IF(C14&lt;4,3,4))</f>
        <v>3</v>
      </c>
      <c r="C12" s="1088" t="s">
        <v>857</v>
      </c>
      <c r="D12" s="159" t="s">
        <v>1223</v>
      </c>
      <c r="E12" s="442"/>
      <c r="F12" s="704"/>
      <c r="H12" s="975"/>
      <c r="I12" s="795" t="s">
        <v>1796</v>
      </c>
      <c r="J12" s="884">
        <f>IF(B57="Yes",O54,0)</f>
        <v>0</v>
      </c>
      <c r="M12" s="542"/>
      <c r="N12" s="724" t="s">
        <v>1022</v>
      </c>
      <c r="O12" s="279">
        <f>1+$W$14</f>
        <v>1</v>
      </c>
      <c r="R12" s="189" t="s">
        <v>1254</v>
      </c>
      <c r="S12" s="207">
        <f>IF(F25="Yes",VLOOKUP(E5,Table_BI_Seasonal,2,FALSE),1)</f>
        <v>1</v>
      </c>
      <c r="U12" s="8" t="s">
        <v>1722</v>
      </c>
      <c r="W12" s="155">
        <f>IF(W30&lt;-0.05,-0.05,IF(W30&gt;0.05,0.05,W30))</f>
        <v>0</v>
      </c>
    </row>
    <row r="13" spans="1:23" ht="13.5" thickBot="1" x14ac:dyDescent="0.25">
      <c r="A13" s="108" t="s">
        <v>898</v>
      </c>
      <c r="B13" s="95"/>
      <c r="C13" s="1093">
        <v>3</v>
      </c>
      <c r="D13" s="480"/>
      <c r="E13" s="489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82"/>
      <c r="I13" s="890" t="s">
        <v>1802</v>
      </c>
      <c r="J13" s="259">
        <f>SUM(J8:J12)</f>
        <v>0</v>
      </c>
      <c r="N13" s="83" t="s">
        <v>1150</v>
      </c>
      <c r="O13" s="247" t="e">
        <f>ROUND(PRODUCT(O3:O12),3)</f>
        <v>#N/A</v>
      </c>
      <c r="R13" s="189" t="s">
        <v>1255</v>
      </c>
      <c r="S13" s="207">
        <f>IF(F15="Yes",VLOOKUP(E16,Table_BI_IndDays,2,FALSE),1)</f>
        <v>1</v>
      </c>
      <c r="U13" s="8"/>
      <c r="W13" s="155"/>
    </row>
    <row r="14" spans="1:23" ht="13.5" thickBot="1" x14ac:dyDescent="0.25">
      <c r="A14" s="108" t="s">
        <v>1073</v>
      </c>
      <c r="B14" s="494"/>
      <c r="C14" s="704">
        <v>1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696" t="str">
        <f>IF(AND(E8="Yes",E14="Area"),ROUND(SUM(E13:F13)/SUM(E11:F11),3),IF(AND(E8="Yes",E14="Value"),ROUND(SUM(E12:F12)/SUM(E13:F13),3),""))</f>
        <v/>
      </c>
      <c r="H14" s="82"/>
      <c r="I14" s="248"/>
      <c r="J14" s="259"/>
      <c r="M14" s="185"/>
      <c r="N14" s="186" t="s">
        <v>1025</v>
      </c>
      <c r="O14" s="238">
        <f>IF(ISNUMBER(C32),C32/100,0)</f>
        <v>2500</v>
      </c>
      <c r="R14" s="168" t="s">
        <v>1256</v>
      </c>
      <c r="S14" s="207">
        <f>IF(F22="Yes",VLOOKUP(E23,Table_BI_OrdPR,2,FALSE),1)</f>
        <v>1</v>
      </c>
      <c r="V14" s="60" t="s">
        <v>952</v>
      </c>
      <c r="W14" s="157">
        <f>IF(SUM(W4:W13)&lt;-0.4,-0.4,IF(SUM(W4:W13)&gt;0.4,0.4,SUM(W4:W13)))</f>
        <v>0</v>
      </c>
    </row>
    <row r="15" spans="1:23" ht="13.5" customHeight="1" x14ac:dyDescent="0.2">
      <c r="A15" s="84" t="s">
        <v>975</v>
      </c>
      <c r="B15" s="160"/>
      <c r="C15" s="1116" t="s">
        <v>18</v>
      </c>
      <c r="D15" s="84" t="s">
        <v>1224</v>
      </c>
      <c r="E15" s="193"/>
      <c r="F15" s="1101" t="s">
        <v>857</v>
      </c>
      <c r="H15" s="82"/>
      <c r="I15" s="248"/>
      <c r="J15" s="259"/>
      <c r="N15" s="83" t="s">
        <v>1767</v>
      </c>
      <c r="O15" s="248" t="e">
        <f>ROUND(PRODUCT(O13:O14),0)</f>
        <v>#N/A</v>
      </c>
      <c r="R15" s="168" t="s">
        <v>1257</v>
      </c>
      <c r="S15" s="207">
        <f>IF(F24="Yes",DF_BI_Power,1)</f>
        <v>1</v>
      </c>
    </row>
    <row r="16" spans="1:23" ht="13.5" thickBot="1" x14ac:dyDescent="0.25">
      <c r="A16" s="122" t="s">
        <v>974</v>
      </c>
      <c r="B16" s="95"/>
      <c r="C16" s="1048">
        <v>1</v>
      </c>
      <c r="D16" s="159" t="s">
        <v>1244</v>
      </c>
      <c r="E16" s="963"/>
      <c r="F16" s="277"/>
      <c r="H16" s="576"/>
      <c r="I16" s="248"/>
      <c r="J16" s="248"/>
      <c r="R16" s="268" t="s">
        <v>1259</v>
      </c>
      <c r="S16" s="423">
        <f>IF(F26="Yes",VLOOKUP(E27,Table_CivilAuth,2,FALSE),1)</f>
        <v>1</v>
      </c>
    </row>
    <row r="17" spans="1:26" ht="15" customHeight="1" x14ac:dyDescent="0.2">
      <c r="A17" s="1195" t="s">
        <v>2097</v>
      </c>
      <c r="B17" s="95"/>
      <c r="C17" s="1194"/>
      <c r="D17" s="84" t="s">
        <v>1204</v>
      </c>
      <c r="E17" s="193"/>
      <c r="F17" s="962" t="s">
        <v>857</v>
      </c>
      <c r="H17" s="483" t="s">
        <v>1661</v>
      </c>
      <c r="I17" s="248"/>
      <c r="J17" s="248"/>
      <c r="R17" s="267" t="s">
        <v>1592</v>
      </c>
      <c r="S17" s="426">
        <f>IF(F28="Yes",VLOOKUP(E29,Table_BI_Mining,2,FALSE),0)</f>
        <v>0</v>
      </c>
      <c r="U17" s="136" t="s">
        <v>947</v>
      </c>
      <c r="V17" s="137"/>
      <c r="W17" s="137"/>
      <c r="X17" s="137"/>
      <c r="Y17" s="136" t="s">
        <v>938</v>
      </c>
      <c r="Z17" s="517"/>
    </row>
    <row r="18" spans="1:26" ht="13.5" thickBot="1" x14ac:dyDescent="0.25">
      <c r="A18" s="526"/>
      <c r="B18" s="96"/>
      <c r="C18" s="1099"/>
      <c r="D18" s="84" t="s">
        <v>1203</v>
      </c>
      <c r="E18" s="193"/>
      <c r="F18" s="962" t="s">
        <v>857</v>
      </c>
      <c r="H18" s="486"/>
      <c r="I18" s="486" t="s">
        <v>977</v>
      </c>
      <c r="J18" s="259">
        <f>IF(AND(C31="Yes",F3="Yes"),S25,0)</f>
        <v>0</v>
      </c>
      <c r="M18" s="60" t="s">
        <v>1797</v>
      </c>
      <c r="R18" s="268" t="s">
        <v>821</v>
      </c>
      <c r="S18" s="423">
        <f>IF(AND(F31="Yes",E32="24-HR"),VLOOKUP(E32,Table_BI_Wait,3,FALSE),1)</f>
        <v>1</v>
      </c>
      <c r="U18" s="138" t="s">
        <v>939</v>
      </c>
      <c r="V18" s="8"/>
      <c r="W18" s="8"/>
      <c r="X18" s="8"/>
      <c r="Y18" s="445" t="s">
        <v>940</v>
      </c>
      <c r="Z18" s="481"/>
    </row>
    <row r="19" spans="1:26" ht="15" customHeight="1" thickBot="1" x14ac:dyDescent="0.25">
      <c r="A19" s="529" t="s">
        <v>300</v>
      </c>
      <c r="B19" s="531"/>
      <c r="C19" s="532"/>
      <c r="D19" s="159" t="s">
        <v>1225</v>
      </c>
      <c r="E19" s="965" t="s">
        <v>857</v>
      </c>
      <c r="F19" s="1065"/>
      <c r="H19" s="486"/>
      <c r="I19" s="486" t="s">
        <v>978</v>
      </c>
      <c r="J19" s="259">
        <f>IF(AND(C31="Yes",F34="Yes"),S38,0)</f>
        <v>0</v>
      </c>
      <c r="N19" s="168" t="s">
        <v>1083</v>
      </c>
      <c r="O19" s="247">
        <f>IF(C41="Yes",VLOOKUP(B42,Table_EQ_LC,MATCH(C47,List_PPGrade,0)+3,FALSE),0)</f>
        <v>0</v>
      </c>
      <c r="R19" s="568" t="s">
        <v>822</v>
      </c>
      <c r="S19" s="423">
        <f>IF(AND(F31="Yes",E32="None"),VLOOKUP(E32,Table_BI_Wait,3,FALSE),1)</f>
        <v>1</v>
      </c>
      <c r="U19" s="138" t="s">
        <v>941</v>
      </c>
      <c r="V19" s="8"/>
      <c r="W19" s="8"/>
      <c r="X19" s="8"/>
      <c r="Y19" s="26"/>
      <c r="Z19" s="481"/>
    </row>
    <row r="20" spans="1:26" x14ac:dyDescent="0.2">
      <c r="A20" s="521" t="s">
        <v>899</v>
      </c>
      <c r="B20" s="95"/>
      <c r="C20" s="1094" t="s">
        <v>83</v>
      </c>
      <c r="D20" s="534" t="s">
        <v>1233</v>
      </c>
      <c r="E20" s="273"/>
      <c r="F20" s="962" t="s">
        <v>857</v>
      </c>
      <c r="H20" s="486"/>
      <c r="I20" s="705"/>
      <c r="J20" s="485"/>
      <c r="M20" s="146"/>
      <c r="N20" s="545" t="s">
        <v>971</v>
      </c>
      <c r="O20" s="299" t="e">
        <f>HLOOKUP(C10,Table_StateRates,6,FALSE)</f>
        <v>#N/A</v>
      </c>
      <c r="R20" s="168" t="s">
        <v>180</v>
      </c>
      <c r="S20" s="207">
        <f>1+ $Y$24</f>
        <v>1</v>
      </c>
      <c r="U20" s="26"/>
      <c r="V20" s="8"/>
      <c r="W20" s="8"/>
      <c r="X20" s="8"/>
      <c r="Y20" s="727" t="s">
        <v>942</v>
      </c>
      <c r="Z20" s="481"/>
    </row>
    <row r="21" spans="1:26" x14ac:dyDescent="0.2">
      <c r="A21" s="124" t="s">
        <v>959</v>
      </c>
      <c r="B21" s="496"/>
      <c r="C21" s="1064"/>
      <c r="D21" s="535" t="s">
        <v>1550</v>
      </c>
      <c r="E21" s="948"/>
      <c r="F21" s="966"/>
      <c r="H21" s="189"/>
      <c r="I21" s="705" t="s">
        <v>1084</v>
      </c>
      <c r="J21" s="260">
        <f>SUM(J18:J19)</f>
        <v>0</v>
      </c>
      <c r="N21" s="189" t="s">
        <v>1497</v>
      </c>
      <c r="O21" s="207">
        <v>1</v>
      </c>
      <c r="Q21" s="146"/>
      <c r="R21" s="545" t="s">
        <v>1020</v>
      </c>
      <c r="S21" s="299">
        <f>IF(C6="PAC",VLOOKUP(B7,Table_PakMods,MATCH(C11,List_Company,0)+1,FALSE),1)</f>
        <v>1</v>
      </c>
      <c r="U21" s="445" t="s">
        <v>943</v>
      </c>
      <c r="V21" s="8"/>
      <c r="W21" s="142" t="s">
        <v>944</v>
      </c>
      <c r="X21" s="8"/>
      <c r="Y21" s="727" t="s">
        <v>945</v>
      </c>
      <c r="Z21" s="481"/>
    </row>
    <row r="22" spans="1:26" x14ac:dyDescent="0.2">
      <c r="A22" s="108" t="s">
        <v>953</v>
      </c>
      <c r="B22" s="95"/>
      <c r="C22" s="735" t="s">
        <v>857</v>
      </c>
      <c r="D22" s="444" t="s">
        <v>1229</v>
      </c>
      <c r="E22" s="103"/>
      <c r="F22" s="966" t="s">
        <v>857</v>
      </c>
      <c r="H22" s="486"/>
      <c r="I22" s="485"/>
      <c r="J22" s="485"/>
      <c r="N22" s="168" t="s">
        <v>1017</v>
      </c>
      <c r="O22" s="247">
        <f>VLOOKUP(C27,Table_EQ_CoIns,2,FALSE)</f>
        <v>1</v>
      </c>
      <c r="Q22" s="542"/>
      <c r="R22" s="724" t="s">
        <v>1022</v>
      </c>
      <c r="S22" s="279">
        <f>1+$W$14</f>
        <v>1</v>
      </c>
      <c r="U22" s="140" t="s">
        <v>1715</v>
      </c>
      <c r="V22" s="8"/>
      <c r="W22" s="144"/>
      <c r="X22" s="8"/>
      <c r="Y22" s="727" t="s">
        <v>946</v>
      </c>
      <c r="Z22" s="481"/>
    </row>
    <row r="23" spans="1:26" ht="13.5" thickBot="1" x14ac:dyDescent="0.25">
      <c r="A23" s="120"/>
      <c r="B23" s="95"/>
      <c r="C23" s="1039"/>
      <c r="D23" s="819" t="s">
        <v>1243</v>
      </c>
      <c r="E23" s="965" t="s">
        <v>857</v>
      </c>
      <c r="F23" s="1102"/>
      <c r="H23" s="486"/>
      <c r="I23" s="485"/>
      <c r="J23" s="485"/>
      <c r="N23" s="168" t="s">
        <v>1018</v>
      </c>
      <c r="O23" s="207">
        <f>IF(C41="Yes",VLOOKUP(B50,Table_EQ_Deductible,MATCH(IF(B49&gt;C49,B49,C49),List_EQDeductibles,0)+1,FALSE),0)</f>
        <v>0</v>
      </c>
      <c r="R23" s="83" t="s">
        <v>1150</v>
      </c>
      <c r="S23" s="247" t="e">
        <f>ROUND(PRODUCT(S3:S16,S18:S22),3)</f>
        <v>#N/A</v>
      </c>
      <c r="U23" s="141" t="s">
        <v>1714</v>
      </c>
      <c r="V23" s="139"/>
      <c r="W23" s="145"/>
      <c r="X23" s="139"/>
      <c r="Y23" s="445"/>
      <c r="Z23" s="481"/>
    </row>
    <row r="24" spans="1:26" ht="13.5" thickBot="1" x14ac:dyDescent="0.25">
      <c r="A24" s="670" t="s">
        <v>307</v>
      </c>
      <c r="B24" s="683">
        <v>40502</v>
      </c>
      <c r="C24" s="736">
        <v>1</v>
      </c>
      <c r="D24" s="444" t="s">
        <v>1230</v>
      </c>
      <c r="E24" s="103"/>
      <c r="F24" s="966" t="s">
        <v>857</v>
      </c>
      <c r="H24" s="483" t="s">
        <v>1760</v>
      </c>
      <c r="I24" s="485"/>
      <c r="J24" s="569" t="e">
        <f>SUM(J5,J8,J21)</f>
        <v>#N/A</v>
      </c>
      <c r="N24" s="168" t="s">
        <v>1768</v>
      </c>
      <c r="O24" s="207">
        <f>IF(OR(C43="1C",C43="1D"),VLOOKUP(B46,Table_EQ_Masonry,3,FALSE),1)</f>
        <v>1</v>
      </c>
      <c r="Q24" s="185"/>
      <c r="R24" s="186" t="s">
        <v>1025</v>
      </c>
      <c r="S24" s="238">
        <f>IF(ISNUMBER(F4),F4/100,0)</f>
        <v>0</v>
      </c>
      <c r="U24" s="141" t="s">
        <v>1716</v>
      </c>
      <c r="V24" s="139"/>
      <c r="W24" s="145"/>
      <c r="X24" s="139"/>
      <c r="Y24" s="1597"/>
      <c r="Z24" s="1598"/>
    </row>
    <row r="25" spans="1:26" ht="13.5" thickBot="1" x14ac:dyDescent="0.25">
      <c r="A25" s="671" t="s">
        <v>308</v>
      </c>
      <c r="B25" s="678">
        <f>IF(ISBLANK(C24),"N/A",VLOOKUP(C24,Table_EQ_Tiers,2,FALSE))</f>
        <v>1</v>
      </c>
      <c r="C25" s="1039"/>
      <c r="D25" s="444" t="s">
        <v>1232</v>
      </c>
      <c r="E25" s="103"/>
      <c r="F25" s="966" t="s">
        <v>857</v>
      </c>
      <c r="H25" s="486"/>
      <c r="I25" s="485"/>
      <c r="J25" s="485"/>
      <c r="N25" s="168" t="s">
        <v>180</v>
      </c>
      <c r="O25" s="207">
        <f>1+ $Y$24</f>
        <v>1</v>
      </c>
      <c r="R25" s="83" t="s">
        <v>1769</v>
      </c>
      <c r="S25" s="248" t="e">
        <f>ROUND(PRODUCT(S23:S24),0)</f>
        <v>#N/A</v>
      </c>
      <c r="U25" s="141" t="s">
        <v>1717</v>
      </c>
      <c r="V25" s="139"/>
      <c r="W25" s="145"/>
      <c r="X25" s="139"/>
      <c r="Y25" s="445"/>
      <c r="Z25" s="481"/>
    </row>
    <row r="26" spans="1:26" x14ac:dyDescent="0.2">
      <c r="A26" s="84" t="s">
        <v>310</v>
      </c>
      <c r="B26" s="675"/>
      <c r="C26" s="1093">
        <v>99</v>
      </c>
      <c r="D26" s="538" t="s">
        <v>1545</v>
      </c>
      <c r="E26" s="103"/>
      <c r="F26" s="966" t="s">
        <v>857</v>
      </c>
      <c r="M26" s="146"/>
      <c r="N26" s="545" t="s">
        <v>1020</v>
      </c>
      <c r="O26" s="299">
        <f>IF(C6="PAC",VLOOKUP(B7,Table_PakMods,MATCH(C11,List_Company,0)+1,FALSE),1)</f>
        <v>1</v>
      </c>
      <c r="U26" s="141" t="s">
        <v>1718</v>
      </c>
      <c r="V26" s="8"/>
      <c r="W26" s="145"/>
      <c r="X26" s="8"/>
      <c r="Y26" s="26"/>
      <c r="Z26" s="481"/>
    </row>
    <row r="27" spans="1:26" x14ac:dyDescent="0.2">
      <c r="A27" s="108" t="s">
        <v>309</v>
      </c>
      <c r="B27" s="95"/>
      <c r="C27" s="1093">
        <v>80</v>
      </c>
      <c r="D27" s="518" t="s">
        <v>1555</v>
      </c>
      <c r="E27" s="948">
        <v>180</v>
      </c>
      <c r="F27" s="1065"/>
      <c r="M27" s="542"/>
      <c r="N27" s="724" t="s">
        <v>1022</v>
      </c>
      <c r="O27" s="279">
        <f>1+$W$14</f>
        <v>1</v>
      </c>
      <c r="U27" s="141" t="s">
        <v>181</v>
      </c>
      <c r="V27" s="8"/>
      <c r="W27" s="145"/>
      <c r="X27" s="8"/>
      <c r="Y27" s="26"/>
      <c r="Z27" s="481"/>
    </row>
    <row r="28" spans="1:26" x14ac:dyDescent="0.2">
      <c r="A28" s="108" t="s">
        <v>908</v>
      </c>
      <c r="B28" s="912" t="str">
        <f>IF(OR(TC7_BLDG1!C59="Yes",TC7_PP1!C53="Yes"),"Repl Cost","Available")</f>
        <v>Available</v>
      </c>
      <c r="C28" s="962" t="s">
        <v>833</v>
      </c>
      <c r="D28" s="538" t="s">
        <v>1246</v>
      </c>
      <c r="E28" s="103"/>
      <c r="F28" s="966" t="s">
        <v>857</v>
      </c>
      <c r="N28" s="83" t="s">
        <v>1150</v>
      </c>
      <c r="O28" s="247" t="e">
        <f>ROUND(PRODUCT(O19:O27),3)</f>
        <v>#N/A</v>
      </c>
      <c r="Q28" s="60" t="s">
        <v>1770</v>
      </c>
      <c r="U28" s="141" t="s">
        <v>1720</v>
      </c>
      <c r="V28" s="8"/>
      <c r="W28" s="145"/>
      <c r="X28" s="8"/>
      <c r="Y28" s="26"/>
      <c r="Z28" s="481"/>
    </row>
    <row r="29" spans="1:26" ht="13.5" thickBot="1" x14ac:dyDescent="0.25">
      <c r="A29" s="526"/>
      <c r="B29" s="515"/>
      <c r="C29" s="540"/>
      <c r="D29" s="507" t="s">
        <v>1589</v>
      </c>
      <c r="E29" s="948"/>
      <c r="F29" s="1065"/>
      <c r="M29" s="185"/>
      <c r="N29" s="186" t="s">
        <v>1025</v>
      </c>
      <c r="O29" s="238">
        <f>IF(ISNUMBER(C42),C42/100,0)</f>
        <v>0</v>
      </c>
      <c r="R29" s="168" t="s">
        <v>1761</v>
      </c>
      <c r="S29" s="247">
        <f>IF(C31="Yes",VLOOKUP(B32,Table_EQ_LC,3,FALSE),VLOOKUP(B42,Table_EQ_LC,MATCH(C47,List_PPGrade,0)+3,FALSE))</f>
        <v>5.0000000000000001E-3</v>
      </c>
      <c r="U29" s="141" t="s">
        <v>182</v>
      </c>
      <c r="V29" s="8"/>
      <c r="W29" s="145"/>
      <c r="X29" s="8"/>
      <c r="Y29" s="26"/>
      <c r="Z29" s="481"/>
    </row>
    <row r="30" spans="1:26" ht="13.5" thickBot="1" x14ac:dyDescent="0.25">
      <c r="A30" s="529" t="s">
        <v>1831</v>
      </c>
      <c r="B30" s="531"/>
      <c r="C30" s="532"/>
      <c r="D30" s="499"/>
      <c r="E30" s="146"/>
      <c r="F30" s="1072"/>
      <c r="N30" s="83" t="s">
        <v>1797</v>
      </c>
      <c r="O30" s="248" t="e">
        <f>ROUND(PRODUCT(O28:O29),0)</f>
        <v>#N/A</v>
      </c>
      <c r="Q30" s="146"/>
      <c r="R30" s="545" t="s">
        <v>971</v>
      </c>
      <c r="S30" s="299" t="e">
        <f>HLOOKUP(C10,Table_StateRates,6,FALSE)</f>
        <v>#N/A</v>
      </c>
      <c r="U30" s="141" t="s">
        <v>1722</v>
      </c>
      <c r="V30" s="8"/>
      <c r="W30" s="145"/>
      <c r="X30" s="8"/>
      <c r="Y30" s="26"/>
      <c r="Z30" s="481"/>
    </row>
    <row r="31" spans="1:26" ht="13.5" thickBot="1" x14ac:dyDescent="0.25">
      <c r="A31" s="203" t="s">
        <v>301</v>
      </c>
      <c r="B31" s="216"/>
      <c r="C31" s="1100" t="s">
        <v>833</v>
      </c>
      <c r="D31" s="527" t="s">
        <v>1608</v>
      </c>
      <c r="E31" s="422"/>
      <c r="F31" s="966" t="s">
        <v>857</v>
      </c>
      <c r="R31" s="168" t="s">
        <v>1258</v>
      </c>
      <c r="S31" s="207">
        <f>IF(F34="Yes",VLOOKUP(F36,Table_EE_CoIns,3,FALSE),1)</f>
        <v>1</v>
      </c>
      <c r="U31" s="85"/>
      <c r="V31" s="86"/>
      <c r="W31" s="86"/>
      <c r="X31" s="86"/>
      <c r="Y31" s="85"/>
      <c r="Z31" s="196"/>
    </row>
    <row r="32" spans="1:26" x14ac:dyDescent="0.2">
      <c r="A32" s="107" t="s">
        <v>1242</v>
      </c>
      <c r="B32" s="690" t="str">
        <f>IF(ISBLANK(C33),"",IF(C33=6,"Invalid",C24&amp;"_"&amp;IF(C33=7,B33,C33)))</f>
        <v>1_5C</v>
      </c>
      <c r="C32" s="704">
        <v>250000</v>
      </c>
      <c r="D32" s="539" t="s">
        <v>1609</v>
      </c>
      <c r="E32" s="968" t="s">
        <v>1599</v>
      </c>
      <c r="F32" s="1065"/>
      <c r="R32" s="168" t="s">
        <v>1088</v>
      </c>
      <c r="S32" s="207">
        <f>IF(OR(C20="S",C20="T"),VLOOKUP(IF(C31="Yes",C39,C51),Table_EQ_OptStory,3,FALSE),1)</f>
        <v>1</v>
      </c>
    </row>
    <row r="33" spans="1:19" ht="13.5" thickBot="1" x14ac:dyDescent="0.25">
      <c r="A33" s="81" t="s">
        <v>302</v>
      </c>
      <c r="B33" s="697" t="str">
        <f>IF(C33=7,VLOOKUP(C34,Table_EQ_Class7,2,FALSE),"N/A")</f>
        <v>N/A</v>
      </c>
      <c r="C33" s="735" t="s">
        <v>27</v>
      </c>
      <c r="D33" s="87"/>
      <c r="E33" s="194"/>
      <c r="F33" s="1103"/>
      <c r="N33" s="974" t="s">
        <v>1800</v>
      </c>
      <c r="O33" s="883" t="e">
        <f>O28</f>
        <v>#N/A</v>
      </c>
      <c r="R33" s="168" t="s">
        <v>180</v>
      </c>
      <c r="S33" s="207">
        <f>1+ $Y$24</f>
        <v>1</v>
      </c>
    </row>
    <row r="34" spans="1:19" x14ac:dyDescent="0.2">
      <c r="A34" s="693" t="str">
        <f>IF(C33=6,"Invalid Bldg Class, Choose Again",IF(C33=7, "Select Special Structure Item #","Lookup Value is:"&amp;"  "&amp;B32))</f>
        <v>Lookup Value is:  1_5C</v>
      </c>
      <c r="B34" s="272"/>
      <c r="C34" s="692" t="s">
        <v>857</v>
      </c>
      <c r="D34" s="123" t="s">
        <v>962</v>
      </c>
      <c r="E34" s="474"/>
      <c r="F34" s="1104" t="s">
        <v>857</v>
      </c>
      <c r="Q34" s="146"/>
      <c r="R34" s="545" t="s">
        <v>1020</v>
      </c>
      <c r="S34" s="299">
        <f>IF(C6="PAC",VLOOKUP(B7,Table_PakMods,MATCH(C11,List_Company,0)+1,FALSE),1)</f>
        <v>1</v>
      </c>
    </row>
    <row r="35" spans="1:19" x14ac:dyDescent="0.2">
      <c r="A35" s="694" t="str">
        <f>IF(AND(C33=7,ISBLANK(C34)=FALSE),VLOOKUP(C34,Table_EQ_Class7,4,FALSE),VLOOKUP(C33,Table_EQ_BldgClass,2,FALSE))</f>
        <v>Hollow Load Bearing Walls &amp; Other</v>
      </c>
      <c r="B35" s="193"/>
      <c r="C35" s="691"/>
      <c r="D35" s="107" t="s">
        <v>1241</v>
      </c>
      <c r="E35" s="272"/>
      <c r="F35" s="704"/>
      <c r="Q35" s="542"/>
      <c r="R35" s="724" t="s">
        <v>1022</v>
      </c>
      <c r="S35" s="279">
        <f>1+$W$14</f>
        <v>1</v>
      </c>
    </row>
    <row r="36" spans="1:19" x14ac:dyDescent="0.2">
      <c r="A36" s="81" t="s">
        <v>1377</v>
      </c>
      <c r="B36" s="414" t="s">
        <v>857</v>
      </c>
      <c r="C36" s="169"/>
      <c r="D36" s="81" t="s">
        <v>1610</v>
      </c>
      <c r="E36" s="193"/>
      <c r="F36" s="704"/>
      <c r="M36" s="60" t="s">
        <v>1798</v>
      </c>
      <c r="R36" s="83" t="s">
        <v>1150</v>
      </c>
      <c r="S36" s="247" t="e">
        <f>ROUND(PRODUCT(S29:S35),3)</f>
        <v>#N/A</v>
      </c>
    </row>
    <row r="37" spans="1:19" ht="13.5" thickBot="1" x14ac:dyDescent="0.25">
      <c r="A37" s="669" t="s">
        <v>303</v>
      </c>
      <c r="B37" s="414">
        <v>10</v>
      </c>
      <c r="C37" s="699">
        <f>IF(C31="Yes",VLOOKUP(B32,Table_EQ_LC,2,FALSE),"")</f>
        <v>0.1</v>
      </c>
      <c r="D37" s="87"/>
      <c r="E37" s="194"/>
      <c r="F37" s="100"/>
      <c r="N37" s="168" t="s">
        <v>1801</v>
      </c>
      <c r="O37" s="247" t="e">
        <f>$O$33</f>
        <v>#N/A</v>
      </c>
      <c r="Q37" s="185"/>
      <c r="R37" s="186" t="s">
        <v>1025</v>
      </c>
      <c r="S37" s="238">
        <f>IF(ISNUMBER(F35),F35/100,0)</f>
        <v>0</v>
      </c>
    </row>
    <row r="38" spans="1:19" x14ac:dyDescent="0.2">
      <c r="A38" s="676" t="s">
        <v>1764</v>
      </c>
      <c r="B38" s="355" t="str">
        <f>IF(C31="Yes",B25&amp;"_"&amp;IF(C33=7,B33,C33),"N/A")</f>
        <v>1_5C</v>
      </c>
      <c r="C38" s="698"/>
      <c r="M38" s="185"/>
      <c r="N38" s="186" t="s">
        <v>1025</v>
      </c>
      <c r="O38" s="238">
        <f>IF(B54="Yes",C54/100,0)</f>
        <v>0</v>
      </c>
      <c r="R38" s="83" t="s">
        <v>1770</v>
      </c>
      <c r="S38" s="248" t="e">
        <f>ROUND(PRODUCT(S36:S37),0)</f>
        <v>#N/A</v>
      </c>
    </row>
    <row r="39" spans="1:19" x14ac:dyDescent="0.2">
      <c r="A39" s="676" t="s">
        <v>126</v>
      </c>
      <c r="B39" s="414">
        <v>2</v>
      </c>
      <c r="C39" s="684">
        <f>IF(ISBLANK(B39),"",IF(B39&lt;9,1,IF(B39&lt;21,2,3)))</f>
        <v>1</v>
      </c>
      <c r="N39" s="83" t="s">
        <v>1794</v>
      </c>
      <c r="O39" s="248" t="e">
        <f>ROUND(PRODUCT(O37:O38),0)</f>
        <v>#N/A</v>
      </c>
    </row>
    <row r="40" spans="1:19" ht="13.5" thickBot="1" x14ac:dyDescent="0.25">
      <c r="A40" s="87"/>
      <c r="B40" s="194"/>
      <c r="C40" s="100"/>
    </row>
    <row r="41" spans="1:19" x14ac:dyDescent="0.2">
      <c r="A41" s="203" t="s">
        <v>304</v>
      </c>
      <c r="B41" s="216"/>
      <c r="C41" s="1100" t="s">
        <v>857</v>
      </c>
      <c r="M41" s="60" t="s">
        <v>1799</v>
      </c>
    </row>
    <row r="42" spans="1:19" ht="13.5" customHeight="1" x14ac:dyDescent="0.2">
      <c r="A42" s="107" t="s">
        <v>1242</v>
      </c>
      <c r="B42" s="690" t="str">
        <f>IF(ISBLANK(C43),"",IF(C43=6,"Invalid",C24&amp;"_"&amp;IF(C43=7,B43,C43)))</f>
        <v/>
      </c>
      <c r="C42" s="413"/>
      <c r="N42" s="168" t="s">
        <v>1801</v>
      </c>
      <c r="O42" s="247" t="e">
        <f>$O$33</f>
        <v>#N/A</v>
      </c>
    </row>
    <row r="43" spans="1:19" ht="12.75" customHeight="1" x14ac:dyDescent="0.2">
      <c r="A43" s="81" t="s">
        <v>302</v>
      </c>
      <c r="B43" s="697" t="str">
        <f>IF(C43=7,VLOOKUP(C44,Table_EQ_Class7,2,FALSE),"N/A")</f>
        <v>N/A</v>
      </c>
      <c r="C43" s="735"/>
      <c r="M43" s="185"/>
      <c r="N43" s="186" t="s">
        <v>1025</v>
      </c>
      <c r="O43" s="238">
        <f>IF(B55="Yes",C55/100,0)</f>
        <v>0</v>
      </c>
    </row>
    <row r="44" spans="1:19" x14ac:dyDescent="0.2">
      <c r="A44" s="693" t="str">
        <f>IF(C43=6,"Invalid Bldg Class, Choose Again",IF(C43=7, "Select Special Structure Item #","Lookup Value is:"&amp;"  "&amp;B42))</f>
        <v xml:space="preserve">Lookup Value is:  </v>
      </c>
      <c r="B44" s="272"/>
      <c r="C44" s="692" t="s">
        <v>857</v>
      </c>
      <c r="N44" s="83" t="s">
        <v>1793</v>
      </c>
      <c r="O44" s="248" t="e">
        <f>ROUND(PRODUCT(O42:O43),0)</f>
        <v>#N/A</v>
      </c>
    </row>
    <row r="45" spans="1:19" x14ac:dyDescent="0.2">
      <c r="A45" s="694" t="e">
        <f>IF(AND(C43=7,ISBLANK(C44)=FALSE),VLOOKUP(C44,Table_EQ_Class7,4,FALSE),VLOOKUP(C43,Table_EQ_BldgClass,2,FALSE))</f>
        <v>#N/A</v>
      </c>
      <c r="B45" s="193"/>
      <c r="C45" s="691"/>
    </row>
    <row r="46" spans="1:19" ht="13.5" thickBot="1" x14ac:dyDescent="0.25">
      <c r="A46" s="81" t="s">
        <v>1377</v>
      </c>
      <c r="B46" s="414" t="s">
        <v>857</v>
      </c>
      <c r="C46" s="169"/>
      <c r="M46" s="60" t="s">
        <v>1795</v>
      </c>
    </row>
    <row r="47" spans="1:19" ht="13.5" thickBot="1" x14ac:dyDescent="0.25">
      <c r="A47" s="669" t="s">
        <v>305</v>
      </c>
      <c r="B47" s="273"/>
      <c r="C47" s="703" t="str">
        <f>IF(C41="Yes",VLOOKUP(A48,Table_EQ_PPGrade,2,FALSE),"N/A")</f>
        <v>N/A</v>
      </c>
      <c r="N47" s="168" t="s">
        <v>1801</v>
      </c>
      <c r="O47" s="247" t="e">
        <f>$O$33</f>
        <v>#N/A</v>
      </c>
    </row>
    <row r="48" spans="1:19" x14ac:dyDescent="0.2">
      <c r="A48" s="1620" t="s">
        <v>708</v>
      </c>
      <c r="B48" s="1621"/>
      <c r="C48" s="1622"/>
      <c r="M48" s="185"/>
      <c r="N48" s="186" t="s">
        <v>1025</v>
      </c>
      <c r="O48" s="238">
        <f>IF(B56="Yes",C56/100,0)</f>
        <v>0</v>
      </c>
    </row>
    <row r="49" spans="1:15" x14ac:dyDescent="0.2">
      <c r="A49" s="669" t="s">
        <v>303</v>
      </c>
      <c r="B49" s="414"/>
      <c r="C49" s="699" t="str">
        <f>IF(C41="Yes",VLOOKUP(B42,Table_EQ_LC,2,FALSE),"")</f>
        <v/>
      </c>
      <c r="N49" s="83" t="s">
        <v>1792</v>
      </c>
      <c r="O49" s="248" t="e">
        <f>ROUND(PRODUCT(O47:O48),0)</f>
        <v>#N/A</v>
      </c>
    </row>
    <row r="50" spans="1:15" x14ac:dyDescent="0.2">
      <c r="A50" s="676" t="s">
        <v>1764</v>
      </c>
      <c r="B50" s="355" t="str">
        <f>IF(C41="Yes",B25&amp;"_"&amp;IF(C43=7,B43,C43),"N/A")</f>
        <v>N/A</v>
      </c>
      <c r="C50" s="698"/>
    </row>
    <row r="51" spans="1:15" x14ac:dyDescent="0.2">
      <c r="A51" s="676" t="s">
        <v>126</v>
      </c>
      <c r="B51" s="414"/>
      <c r="C51" s="684" t="str">
        <f>IF(ISBLANK(B51),"",IF(B51&lt;9,1,IF(B51&lt;21,2,3)))</f>
        <v/>
      </c>
      <c r="M51" s="60" t="s">
        <v>1796</v>
      </c>
    </row>
    <row r="52" spans="1:15" ht="13.5" thickBot="1" x14ac:dyDescent="0.25">
      <c r="A52" s="87"/>
      <c r="B52" s="194"/>
      <c r="C52" s="100"/>
      <c r="N52" s="168" t="s">
        <v>1801</v>
      </c>
      <c r="O52" s="247" t="e">
        <f>$O$33</f>
        <v>#N/A</v>
      </c>
    </row>
    <row r="53" spans="1:15" ht="13.5" thickBot="1" x14ac:dyDescent="0.25">
      <c r="A53" s="529" t="s">
        <v>1141</v>
      </c>
      <c r="B53" s="531"/>
      <c r="C53" s="532"/>
      <c r="M53" s="185"/>
      <c r="N53" s="186" t="s">
        <v>1025</v>
      </c>
      <c r="O53" s="238">
        <f>IF(B57="Yes",C57/100,0)</f>
        <v>0</v>
      </c>
    </row>
    <row r="54" spans="1:15" x14ac:dyDescent="0.2">
      <c r="A54" s="783" t="s">
        <v>1142</v>
      </c>
      <c r="B54" s="948" t="s">
        <v>857</v>
      </c>
      <c r="C54" s="1101"/>
      <c r="N54" s="83" t="s">
        <v>1791</v>
      </c>
      <c r="O54" s="248" t="e">
        <f>ROUND(PRODUCT(O52:O53),0)</f>
        <v>#N/A</v>
      </c>
    </row>
    <row r="55" spans="1:15" x14ac:dyDescent="0.2">
      <c r="A55" s="783" t="s">
        <v>1143</v>
      </c>
      <c r="B55" s="948" t="s">
        <v>857</v>
      </c>
      <c r="C55" s="1101"/>
      <c r="M55" s="60"/>
    </row>
    <row r="56" spans="1:15" x14ac:dyDescent="0.2">
      <c r="A56" s="783" t="s">
        <v>1144</v>
      </c>
      <c r="B56" s="948" t="s">
        <v>857</v>
      </c>
      <c r="C56" s="1101"/>
    </row>
    <row r="57" spans="1:15" x14ac:dyDescent="0.2">
      <c r="A57" s="784" t="s">
        <v>1145</v>
      </c>
      <c r="B57" s="948" t="s">
        <v>857</v>
      </c>
      <c r="C57" s="962"/>
    </row>
  </sheetData>
  <mergeCells count="4">
    <mergeCell ref="H1:K1"/>
    <mergeCell ref="U1:W1"/>
    <mergeCell ref="Y24:Z24"/>
    <mergeCell ref="A48:C48"/>
  </mergeCells>
  <conditionalFormatting sqref="C17">
    <cfRule type="expression" dxfId="112" priority="8">
      <formula>IF($C$12="SP",TRUE,FALSE)</formula>
    </cfRule>
    <cfRule type="expression" dxfId="111" priority="9">
      <formula>IF($C$12="SP",TRUE,FALSE)</formula>
    </cfRule>
  </conditionalFormatting>
  <conditionalFormatting sqref="A17">
    <cfRule type="expression" dxfId="110" priority="7">
      <formula>IF($C$12="SP",TRUE,FALSE)</formula>
    </cfRule>
  </conditionalFormatting>
  <conditionalFormatting sqref="C17">
    <cfRule type="expression" dxfId="109" priority="5">
      <formula>IF($C$12="SP",TRUE,FALSE)</formula>
    </cfRule>
    <cfRule type="expression" dxfId="108" priority="6">
      <formula>IF($C$12="SP",TRUE,FALSE)</formula>
    </cfRule>
  </conditionalFormatting>
  <conditionalFormatting sqref="C17">
    <cfRule type="expression" dxfId="107" priority="3">
      <formula>IF($C$12="SP",TRUE,FALSE)</formula>
    </cfRule>
    <cfRule type="expression" dxfId="106" priority="4">
      <formula>IF($C$12="SP",TRUE,FALSE)</formula>
    </cfRule>
  </conditionalFormatting>
  <conditionalFormatting sqref="C17">
    <cfRule type="expression" dxfId="105" priority="1">
      <formula>IF($C$12="SP",TRUE,FALSE)</formula>
    </cfRule>
    <cfRule type="expression" dxfId="104" priority="2">
      <formula>IF($C$12="SP",TRUE,FALSE)</formula>
    </cfRule>
  </conditionalFormatting>
  <dataValidations count="73">
    <dataValidation type="custom" allowBlank="1" showInputMessage="1" showErrorMessage="1" errorTitle="Rating Type Incompatible" error="You have not selected Specific or Tentative Rating Type for this policy." promptTitle="Specific or Tentative Rate Type:" prompt="If you have selected Specific or Tentative Rate type you will need to supply the Loss Cost." sqref="B21">
      <formula1>IF(OR(C20="S",C20="T"),TRUE,FALSE)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54:C57">
      <formula1>IF(B54="Yes",TRUE,FALSE)</formula1>
    </dataValidation>
    <dataValidation type="list" allowBlank="1" showInputMessage="1" showErrorMessage="1" promptTitle="Please Select:" prompt="Yes = Apply Coverage_x000a_No  = Do Not Apply" sqref="F34 F3 C22 C41 C31">
      <formula1>List_YN</formula1>
    </dataValidation>
    <dataValidation type="list" allowBlank="1" showInputMessage="1" showErrorMessage="1" promptTitle="Limits on Loss Payment" prompt="Please Select:_x000a_  35 = 35%-70%-100%_x000a_  40 = 40%-80%-100%_x000a_100 = 100%-100%-100%" sqref="F36">
      <formula1>OFFSET(Table_EE_CoIns,0,0,,1)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IF($B$52="No",List_No,List_BI_OccType)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IF($B$52="Yes",List_No,List_BI_OccType)</formula1>
    </dataValidation>
    <dataValidation type="list" allowBlank="1" showInputMessage="1" showErrorMessage="1" promptTitle="Include Extra Expense Coverage" prompt="Please Select:_x000a_Yes or No" sqref="F5">
      <formula1>List_YN</formula1>
    </dataValidation>
    <dataValidation type="custom" allowBlank="1" showInputMessage="1" showErrorMessage="1" sqref="E13:F13 D14">
      <formula1>FALSE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IF(OR($C$45="Yes"),List_No,List_YN)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IF($C$43="Yes",OFFSET(Table_BI_IndDays,0,0,,1),List_No)</formula1>
    </dataValidation>
    <dataValidation type="list" allowBlank="1" showInputMessage="1" showErrorMessage="1" promptTitle="Apply Monthly Limitation?" prompt="Please Select:_x000a_Yes or No" sqref="F18">
      <formula1>IF(ISNUMBER($C$35),List_No,List_YN)</formula1>
    </dataValidation>
    <dataValidation type="list" allowBlank="1" showInputMessage="1" showErrorMessage="1" promptTitle="Monthly Limitation Period:" prompt="Please Select:_x000a_3rd - 1/3_x000a_4th - 1/4_x000a_6th - 1/6" sqref="E19">
      <formula1>IF($C$46&lt;&gt;"Yes",List_No,List_MosLimit)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Apply Educational Inst Coverage?" prompt="Please Select:_x000a_Yes or No" sqref="F20">
      <formula1>IF($C$35&gt;=50,List_No,List_YN)</formula1>
    </dataValidation>
    <dataValidation type="list" allowBlank="1" showInputMessage="1" showErrorMessage="1" sqref="B49 B37">
      <formula1>List_EQDeductibles</formula1>
    </dataValidation>
    <dataValidation type="custom" allowBlank="1" showInputMessage="1" showErrorMessage="1" promptTitle="Tier / Bldg Class:" prompt="Lookup value for the EQ Deductible Table.  Will generate automatically based upon your selections." sqref="B38 B50">
      <formula1>FALSE</formula1>
    </dataValidation>
    <dataValidation type="custom" allowBlank="1" showInputMessage="1" showErrorMessage="1" prompt="Mandatory Deductible Minimum" sqref="C49 C37">
      <formula1>FALSE</formula1>
    </dataValidation>
    <dataValidation type="list" allowBlank="1" showInputMessage="1" showErrorMessage="1" sqref="C33 C43">
      <formula1>OFFSET(Table_EQ_BldgClass,0,0,,1)</formula1>
    </dataValidation>
    <dataValidation type="list" allowBlank="1" showInputMessage="1" showErrorMessage="1" errorTitle="Selection Not Available" error="Unless the building class specified is Class 7; No entry is allowed." promptTitle="Bldg Class 7: Special Structures" prompt="Please select an Item # from the drop down list, the description of the special structure will be displayed below." sqref="C34 C44">
      <formula1>IF($C$33=7,OFFSET(Table_EQ_Class7,0,0,,1),List_No)</formula1>
    </dataValidation>
    <dataValidation type="custom" allowBlank="1" showInputMessage="1" showErrorMessage="1" promptTitle="Building Class Description" prompt="Displays a description of the Building Class selected whether it be one of the standard building class types or a Class 7 Special Structure type." sqref="A35 A45">
      <formula1>FALSE</formula1>
    </dataValidation>
    <dataValidation type="custom" allowBlank="1" showInputMessage="1" showErrorMessage="1" prompt="Bldg Loss Cost lookup value" sqref="B32 B42">
      <formula1>FALSE</formula1>
    </dataValidation>
    <dataValidation type="custom" allowBlank="1" showInputMessage="1" showErrorMessage="1" promptTitle="Building Class 7" prompt="Displays equivalent Building Class for the Special Structure selected." sqref="B33 B43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A48:C48">
      <formula1>IF($C$41="Yes",OFFSET(Table_EQ_PPGrade,0,0,,1),List_No)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C47">
      <formula1>FALSE</formula1>
    </dataValidation>
    <dataValidation type="list" allowBlank="1" showInputMessage="1" showErrorMessage="1" promptTitle="Masonry Veneer Limitation:" prompt="Please select the % of the Exterior Wall Faced with Masonry Veneer:_x000a_1:  Less Than 10%_x000a_2:  10 - 25%_x000a_3:  25 - 50%_x000a_4:  Over 50%_x000a__x000a_* Applies only to Building Classes 1C or 1D" sqref="B36 B46">
      <formula1>IF(OR($C$33="1C",$C$33="1D"),OFFSET(Table_EQ_Masonry,0,0,,1),List_No)</formula1>
    </dataValidation>
    <dataValidation type="list" allowBlank="1" showInputMessage="1" showErrorMessage="1" promptTitle="Please Select:" prompt="C   = Class_x000a_S   = Specific_x000a_T   = Tentative" sqref="C20">
      <formula1>OFFSET(List_RatingType,0,0,3,1)</formula1>
    </dataValidation>
    <dataValidation allowBlank="1" showInputMessage="1" showErrorMessage="1" promptTitle="Policy Term" prompt="Please Select:_x000a_1 - 1-Yr Policy_x000a_3 - 3-Yr Policy" sqref="C9"/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custom" allowBlank="1" showInputMessage="1" showErrorMessage="1" promptTitle="SPECIAL Form - Column Ref." prompt="This factor is used to determine the which column to use in the SPECIAL Form - Loss Cost table." sqref="B12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list" allowBlank="1" showInputMessage="1" showErrorMessage="1" promptTitle="Special - Cause of Loss" prompt="Please select:_x000a_1 - Excluding Theft (Special)_x000a_2 - Including Theft  (Special)" sqref="C12">
      <formula1>IF($C$11="SP",List_SPTheft,List_No)</formula1>
    </dataValidation>
    <dataValidation type="list" allowBlank="1" showInputMessage="1" showErrorMessage="1" promptTitle="Protection Class:" prompt="Please select a number (1 - 10)" sqref="C13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4">
      <formula1>List_ConstrNum</formula1>
    </dataValidation>
    <dataValidation type="list" allowBlank="1" showInputMessage="1" showErrorMessage="1" promptTitle="Please Select Cause of Loss:" prompt="BA  = Basic_x000a_BR  = Broad_x000a_SP  = Special_x000a_EQ = Earthquake" sqref="C11">
      <formula1>List_CauseBldg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26">
      <formula1>IF(OR($C$20="S",$C$20="T"),OFFSET(Table_BCEG,0,0,,1),List_BCEG99)</formula1>
    </dataValidation>
    <dataValidation allowBlank="1" showInputMessage="1" showErrorMessage="1" promptTitle="Enter EQ Zipcode:" prompt="Please supply the Zipcode for the EQ Building Property." sqref="B24"/>
    <dataValidation type="list" allowBlank="1" showInputMessage="1" showErrorMessage="1" promptTitle="Please Select Territory:" prompt="Select the Territory that corresponds to the Zipcode provided:_x000a_Territories { 21 - 25 }" sqref="C24">
      <formula1>OFFSET(Table_EQ_Tiers,0,0,,1)</formula1>
    </dataValidation>
    <dataValidation type="custom" allowBlank="1" showInputMessage="1" showErrorMessage="1" promptTitle="Earthquake Tier:" prompt="Determined by the Territory supplied." sqref="B25">
      <formula1>FALSE</formula1>
    </dataValidation>
    <dataValidation type="list" allowBlank="1" showInputMessage="1" showErrorMessage="1" sqref="C27">
      <formula1>OFFSET(Table_EQ_CoIns,0,0,,1)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28">
      <formula1>IF($B$28="Available",List_YN,List_No)</formula1>
    </dataValidation>
    <dataValidation type="custom" allowBlank="1" showInputMessage="1" showErrorMessage="1" promptTitle="Replacement Cost on Policy" prompt="If replacement cost is present on the policy, then Agreed Value cannot be applied." sqref="B28">
      <formula1>FALSE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29">
      <formula1>IF($F$33="Yes",List_BI_Mining,List_No)</formula1>
    </dataValidation>
    <dataValidation type="list" allowBlank="1" showInputMessage="1" showErrorMessage="1" promptTitle="Seasonal Leases:" prompt="Please Select:_x000a_Yes or No_x000a__x000a_* This coverage relates to rental property only." sqref="F25">
      <formula1>IF($F$8&lt;&gt;3,List_No,List_YN)</formula1>
    </dataValidation>
    <dataValidation type="list" allowBlank="1" showInputMessage="1" showErrorMessage="1" promptTitle="Apply Mining Property Coverage?" prompt="Please Select:_x000a_Yes or No" sqref="F28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3">
      <formula1>IF($F$24="Yes",OFFSET(Table_BI_OrdPR,0,0,,1),List_No)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4">
      <formula1>IF(ISNUMBER($F$7),List_YN,List_No)</formula1>
    </dataValidation>
    <dataValidation type="list" allowBlank="1" showInputMessage="1" showErrorMessage="1" promptTitle="Ordinary Payroll Exclusion" prompt="Please Select:_x000a_Yes or No" sqref="F22">
      <formula1>List_YN</formula1>
    </dataValidation>
    <dataValidation type="list" allowBlank="1" showInputMessage="1" showErrorMessage="1" promptTitle="Increased Coverage Period" prompt="Please Select # of Days:_x000a_{ 60, 90, 180 }" sqref="E27">
      <formula1>IF($F$28="Yes",OFFSET(Table_CivilAuth,0,0,,1),List_No)</formula1>
    </dataValidation>
    <dataValidation type="list" allowBlank="1" showInputMessage="1" showErrorMessage="1" promptTitle="Civil Authority Inc. Coverage" prompt="Please Select:_x000a_Yes or No" sqref="F26">
      <formula1>List_YN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2">
      <formula1>IF(#REF!="Yes", OFFSET(Table_BI_Wait,0,0,,1),List_No)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1">
      <formula1>List_YN</formula1>
    </dataValidation>
    <dataValidation type="list" allowBlank="1" showInputMessage="1" showErrorMessage="1" promptTitle="Other Personal Property" prompt="If you would like to apply Additional Personal Property:_x000a__x000a_Please Select:_x000a_Yes or No" sqref="B57">
      <formula1>IF($C$29="No",List_No,List_YN)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56">
      <formula1>IF($C$29="No",List_No,List_YN)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55">
      <formula1>IF($C$29="No",List_No,List_YN)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54">
      <formula1>IF($C$29="No",List_No,List_YN)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5">
      <formula1>OFFSET(Table_G2SymLC,0,0,,1)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7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6">
      <formula1>OFFSET(Table_TerrMult,0,0,,1)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2" manualBreakCount="2">
    <brk id="6" max="1048575" man="1"/>
    <brk id="12" max="1048575" man="1"/>
  </col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FFFF00"/>
  </sheetPr>
  <dimension ref="A1:G51"/>
  <sheetViews>
    <sheetView zoomScale="90" zoomScaleNormal="90" workbookViewId="0">
      <selection activeCell="C48" sqref="C48:E48"/>
    </sheetView>
  </sheetViews>
  <sheetFormatPr defaultRowHeight="12.75" x14ac:dyDescent="0.2"/>
  <cols>
    <col min="1" max="1" width="18" style="2" customWidth="1"/>
    <col min="2" max="2" width="16.85546875" style="2" customWidth="1"/>
    <col min="3" max="3" width="17" style="2" customWidth="1"/>
    <col min="4" max="4" width="5.42578125" style="2" customWidth="1"/>
    <col min="5" max="5" width="17.85546875" style="2" customWidth="1"/>
    <col min="6" max="6" width="13.7109375" style="2" customWidth="1"/>
    <col min="7" max="7" width="16.85546875" style="2" customWidth="1"/>
    <col min="8" max="16384" width="9.140625" style="2"/>
  </cols>
  <sheetData>
    <row r="1" spans="1:7" ht="15.75" x14ac:dyDescent="0.2">
      <c r="A1" s="1440" t="s">
        <v>2256</v>
      </c>
    </row>
    <row r="2" spans="1:7" x14ac:dyDescent="0.2">
      <c r="A2" s="1227"/>
    </row>
    <row r="3" spans="1:7" ht="14.25" customHeight="1" x14ac:dyDescent="0.2">
      <c r="A3" s="82" t="s">
        <v>1024</v>
      </c>
      <c r="B3" s="917" t="str">
        <f>DF_State</f>
        <v>CT</v>
      </c>
    </row>
    <row r="4" spans="1:7" ht="17.25" customHeight="1" x14ac:dyDescent="0.2">
      <c r="A4" s="82" t="s">
        <v>2104</v>
      </c>
      <c r="B4" s="1441" t="str">
        <f>UI_CustNumber</f>
        <v>0004514584</v>
      </c>
    </row>
    <row r="5" spans="1:7" ht="16.5" customHeight="1" x14ac:dyDescent="0.2">
      <c r="A5" s="82"/>
      <c r="B5" s="984"/>
    </row>
    <row r="6" spans="1:7" x14ac:dyDescent="0.2">
      <c r="A6" s="82" t="s">
        <v>2258</v>
      </c>
      <c r="B6" s="1442"/>
      <c r="F6" s="1443"/>
      <c r="G6" s="1444"/>
    </row>
    <row r="7" spans="1:7" ht="16.5" customHeight="1" x14ac:dyDescent="0.2">
      <c r="A7" s="82"/>
      <c r="B7" s="834"/>
      <c r="F7" s="1443"/>
      <c r="G7" s="1444"/>
    </row>
    <row r="8" spans="1:7" x14ac:dyDescent="0.2">
      <c r="A8" s="82" t="s">
        <v>2259</v>
      </c>
      <c r="B8" s="1442"/>
      <c r="F8" s="1443"/>
      <c r="G8" s="1444"/>
    </row>
    <row r="9" spans="1:7" ht="16.5" customHeight="1" x14ac:dyDescent="0.2">
      <c r="A9" s="82"/>
      <c r="B9" s="984"/>
      <c r="F9" s="1443"/>
      <c r="G9" s="1444"/>
    </row>
    <row r="10" spans="1:7" x14ac:dyDescent="0.2">
      <c r="A10" s="82" t="s">
        <v>2257</v>
      </c>
      <c r="B10" s="1593"/>
      <c r="C10" s="1593"/>
      <c r="D10" s="1593"/>
      <c r="G10" s="834"/>
    </row>
    <row r="13" spans="1:7" ht="13.5" thickBot="1" x14ac:dyDescent="0.25">
      <c r="A13" s="1464" t="s">
        <v>55</v>
      </c>
      <c r="B13" s="1465"/>
      <c r="C13" s="1465"/>
      <c r="D13" s="1465"/>
      <c r="E13" s="1465"/>
    </row>
    <row r="14" spans="1:7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</row>
    <row r="15" spans="1:7" x14ac:dyDescent="0.2">
      <c r="A15" s="1445">
        <v>1</v>
      </c>
      <c r="B15" s="1453"/>
      <c r="C15" s="1446" t="str">
        <f ca="1">IF(ISBLANK(B15),"",INDIRECT($B15&amp;"!"&amp;"$I$47"))</f>
        <v/>
      </c>
      <c r="E15" s="1446" t="str">
        <f ca="1">IF(ISBLANK(B15),"",INDIRECT($B15&amp;"!"&amp;"$I$44"))</f>
        <v/>
      </c>
    </row>
    <row r="16" spans="1:7" x14ac:dyDescent="0.2">
      <c r="A16" s="1453">
        <v>2</v>
      </c>
      <c r="B16" s="1453"/>
      <c r="C16" s="1446" t="str">
        <f t="shared" ref="C16:C19" ca="1" si="0">IF(ISBLANK(B16),"",INDIRECT($B16&amp;"!"&amp;"$I$47"))</f>
        <v/>
      </c>
      <c r="E16" s="1446" t="str">
        <f t="shared" ref="E16:E19" ca="1" si="1">IF(ISBLANK(B16),"",INDIRECT($B16&amp;"!"&amp;"$I$44"))</f>
        <v/>
      </c>
    </row>
    <row r="17" spans="1:5" ht="17.25" customHeight="1" x14ac:dyDescent="0.2">
      <c r="A17" s="1453">
        <v>3</v>
      </c>
      <c r="B17" s="1453"/>
      <c r="C17" s="1446" t="str">
        <f t="shared" ca="1" si="0"/>
        <v/>
      </c>
      <c r="E17" s="1446" t="str">
        <f t="shared" ca="1" si="1"/>
        <v/>
      </c>
    </row>
    <row r="18" spans="1:5" x14ac:dyDescent="0.2">
      <c r="A18" s="1453">
        <v>4</v>
      </c>
      <c r="B18" s="1453"/>
      <c r="C18" s="1446" t="str">
        <f t="shared" ca="1" si="0"/>
        <v/>
      </c>
      <c r="E18" s="1446" t="str">
        <f t="shared" ca="1" si="1"/>
        <v/>
      </c>
    </row>
    <row r="19" spans="1:5" ht="13.5" thickBot="1" x14ac:dyDescent="0.25">
      <c r="A19" s="1084">
        <v>5</v>
      </c>
      <c r="B19" s="1453"/>
      <c r="C19" s="1446" t="str">
        <f t="shared" ca="1" si="0"/>
        <v/>
      </c>
      <c r="E19" s="1446" t="str">
        <f t="shared" ca="1" si="1"/>
        <v/>
      </c>
    </row>
    <row r="20" spans="1:5" x14ac:dyDescent="0.2">
      <c r="A20" s="1450"/>
      <c r="B20" s="1451" t="s">
        <v>2271</v>
      </c>
      <c r="C20" s="1452">
        <f ca="1">SUM(C15:C19)</f>
        <v>0</v>
      </c>
      <c r="D20" s="1450"/>
      <c r="E20" s="1452">
        <f ca="1">SUM(E15:E19)</f>
        <v>0</v>
      </c>
    </row>
    <row r="21" spans="1:5" ht="19.5" customHeight="1" x14ac:dyDescent="0.2"/>
    <row r="22" spans="1:5" ht="19.5" customHeight="1" thickBot="1" x14ac:dyDescent="0.25">
      <c r="A22" s="1464" t="s">
        <v>2219</v>
      </c>
      <c r="B22" s="1465"/>
      <c r="C22" s="1465"/>
      <c r="D22" s="1465"/>
      <c r="E22" s="1465"/>
    </row>
    <row r="23" spans="1:5" ht="18.75" customHeight="1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</row>
    <row r="24" spans="1:5" x14ac:dyDescent="0.2">
      <c r="A24" s="1445">
        <v>1</v>
      </c>
      <c r="B24" s="1445"/>
      <c r="C24" s="1446" t="str">
        <f ca="1">IF(ISBLANK(B24),"",INDIRECT($B24&amp;"!"&amp;"$I$54"))</f>
        <v/>
      </c>
      <c r="E24" s="1446" t="str">
        <f ca="1">IF(ISBLANK(B24),"",INDIRECT($B24&amp;"!"&amp;"$I$49"))</f>
        <v/>
      </c>
    </row>
    <row r="25" spans="1:5" x14ac:dyDescent="0.2">
      <c r="A25" s="1453">
        <v>2</v>
      </c>
      <c r="B25" s="1453"/>
      <c r="C25" s="1446" t="str">
        <f t="shared" ref="C25:C28" ca="1" si="2">IF(ISBLANK(B25),"",INDIRECT($B25&amp;"!"&amp;"$I$54"))</f>
        <v/>
      </c>
      <c r="D25" s="146"/>
      <c r="E25" s="1446" t="str">
        <f t="shared" ref="E25:E28" ca="1" si="3">IF(ISBLANK(B25),"",INDIRECT($B25&amp;"!"&amp;"$I$49"))</f>
        <v/>
      </c>
    </row>
    <row r="26" spans="1:5" x14ac:dyDescent="0.2">
      <c r="A26" s="1445">
        <v>3</v>
      </c>
      <c r="B26" s="1453"/>
      <c r="C26" s="1446" t="str">
        <f t="shared" ca="1" si="2"/>
        <v/>
      </c>
      <c r="D26" s="146"/>
      <c r="E26" s="1446" t="str">
        <f t="shared" ca="1" si="3"/>
        <v/>
      </c>
    </row>
    <row r="27" spans="1:5" x14ac:dyDescent="0.2">
      <c r="A27" s="1453">
        <v>4</v>
      </c>
      <c r="B27" s="1453"/>
      <c r="C27" s="1446" t="str">
        <f t="shared" ca="1" si="2"/>
        <v/>
      </c>
      <c r="D27" s="146"/>
      <c r="E27" s="1446" t="str">
        <f t="shared" ca="1" si="3"/>
        <v/>
      </c>
    </row>
    <row r="28" spans="1:5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</row>
    <row r="29" spans="1:5" x14ac:dyDescent="0.2">
      <c r="A29" s="1450"/>
      <c r="B29" s="1451" t="s">
        <v>2271</v>
      </c>
      <c r="C29" s="1452">
        <f ca="1">SUM(C24:C28)</f>
        <v>0</v>
      </c>
      <c r="D29" s="1450"/>
      <c r="E29" s="1452">
        <f ca="1">SUM(E24:E28)</f>
        <v>0</v>
      </c>
    </row>
    <row r="31" spans="1:5" ht="13.5" thickBot="1" x14ac:dyDescent="0.25">
      <c r="A31" s="1464" t="s">
        <v>2220</v>
      </c>
      <c r="B31" s="1465"/>
      <c r="C31" s="1465"/>
      <c r="D31" s="1465"/>
      <c r="E31" s="1465"/>
    </row>
    <row r="32" spans="1:5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</row>
    <row r="33" spans="1:5" x14ac:dyDescent="0.2">
      <c r="A33" s="1445">
        <v>1</v>
      </c>
      <c r="B33" s="1445"/>
      <c r="C33" s="1446" t="str">
        <f ca="1">IF(ISBLANK(B33),"",INDIRECT($B33&amp;"!"&amp;"$I$29"))</f>
        <v/>
      </c>
      <c r="E33" s="1446" t="str">
        <f ca="1">IF(ISBLANK(B33),"",INDIRECT($B33&amp;"!"&amp;"$I$26"))</f>
        <v/>
      </c>
    </row>
    <row r="34" spans="1:5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E34" s="1446" t="str">
        <f t="shared" ref="E34:E37" ca="1" si="5">IF(ISBLANK(B34),"",INDIRECT($B34&amp;"!"&amp;"$I$26"))</f>
        <v/>
      </c>
    </row>
    <row r="35" spans="1:5" x14ac:dyDescent="0.2">
      <c r="A35" s="1445">
        <v>3</v>
      </c>
      <c r="B35" s="1453"/>
      <c r="C35" s="1446" t="str">
        <f t="shared" ca="1" si="4"/>
        <v/>
      </c>
      <c r="E35" s="1446" t="str">
        <f t="shared" ca="1" si="5"/>
        <v/>
      </c>
    </row>
    <row r="36" spans="1:5" x14ac:dyDescent="0.2">
      <c r="A36" s="1453">
        <v>4</v>
      </c>
      <c r="B36" s="1453"/>
      <c r="C36" s="1446" t="str">
        <f t="shared" ca="1" si="4"/>
        <v/>
      </c>
      <c r="E36" s="1446" t="str">
        <f t="shared" ca="1" si="5"/>
        <v/>
      </c>
    </row>
    <row r="37" spans="1:5" ht="13.5" thickBot="1" x14ac:dyDescent="0.25">
      <c r="A37" s="1084">
        <v>5</v>
      </c>
      <c r="B37" s="1453"/>
      <c r="C37" s="1446" t="str">
        <f t="shared" ca="1" si="4"/>
        <v/>
      </c>
      <c r="E37" s="1446" t="str">
        <f t="shared" ca="1" si="5"/>
        <v/>
      </c>
    </row>
    <row r="38" spans="1:5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</row>
    <row r="41" spans="1:5" ht="13.5" thickBot="1" x14ac:dyDescent="0.25">
      <c r="A41" s="1464" t="s">
        <v>2221</v>
      </c>
      <c r="B41" s="1465"/>
      <c r="C41" s="1465"/>
      <c r="D41" s="1465"/>
      <c r="E41" s="1465"/>
    </row>
    <row r="42" spans="1:5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</row>
    <row r="43" spans="1:5" x14ac:dyDescent="0.2">
      <c r="A43" s="1445">
        <v>1</v>
      </c>
      <c r="B43" s="1445"/>
      <c r="C43" s="1446" t="str">
        <f ca="1">IF(ISBLANK(B43),"",INDIRECT($B43&amp;"!"&amp;"$I$21"))</f>
        <v/>
      </c>
      <c r="E43" s="1446" t="str">
        <f ca="1">IF(ISBLANK(B43),"",INDIRECT($B43&amp;"!"&amp;"$I$18"))</f>
        <v/>
      </c>
    </row>
    <row r="44" spans="1:5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E44" s="1446" t="str">
        <f t="shared" ref="E44:E47" ca="1" si="7">IF(ISBLANK(B44),"",INDIRECT($B44&amp;"!"&amp;"$I$18"))</f>
        <v/>
      </c>
    </row>
    <row r="45" spans="1:5" x14ac:dyDescent="0.2">
      <c r="A45" s="1445">
        <v>3</v>
      </c>
      <c r="B45" s="1453"/>
      <c r="C45" s="1446" t="str">
        <f t="shared" ca="1" si="6"/>
        <v/>
      </c>
      <c r="E45" s="1446" t="str">
        <f t="shared" ca="1" si="7"/>
        <v/>
      </c>
    </row>
    <row r="46" spans="1:5" x14ac:dyDescent="0.2">
      <c r="A46" s="1453">
        <v>4</v>
      </c>
      <c r="B46" s="1453"/>
      <c r="C46" s="1446" t="str">
        <f t="shared" ca="1" si="6"/>
        <v/>
      </c>
      <c r="E46" s="1446" t="str">
        <f t="shared" ca="1" si="7"/>
        <v/>
      </c>
    </row>
    <row r="47" spans="1:5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</row>
    <row r="48" spans="1:5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</row>
    <row r="50" spans="4:5" ht="13.5" thickBot="1" x14ac:dyDescent="0.25"/>
    <row r="51" spans="4:5" ht="13.5" thickBot="1" x14ac:dyDescent="0.25">
      <c r="D51" s="788" t="s">
        <v>2272</v>
      </c>
      <c r="E51" s="1448">
        <f ca="1">SUM(C20:E20,C29:E29,C38:E38,C48:E48)</f>
        <v>0</v>
      </c>
    </row>
  </sheetData>
  <mergeCells count="1">
    <mergeCell ref="B10:D10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BR76"/>
  <sheetViews>
    <sheetView topLeftCell="B1" zoomScale="90" zoomScaleNormal="90" zoomScaleSheetLayoutView="85" workbookViewId="0">
      <selection activeCell="R34" sqref="R34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V2" s="168" t="s">
        <v>1019</v>
      </c>
      <c r="W2" s="207">
        <f>HLOOKUP(C11,Table_StateRates,5,FALSE)</f>
        <v>1.38</v>
      </c>
      <c r="X2" s="207">
        <f>HLOOKUP(C11,Table_StateRates,5,FALSE)</f>
        <v>1.38</v>
      </c>
      <c r="Y2" s="207">
        <f>HLOOKUP(C11,Table_StateRates,5,FALSE)</f>
        <v>1.38</v>
      </c>
      <c r="Z2" s="207">
        <f>HLOOKUP(C11,Table_StateRates,5,FALSE)</f>
        <v>1.38</v>
      </c>
      <c r="AB2" s="546"/>
      <c r="AC2" s="545" t="s">
        <v>1019</v>
      </c>
      <c r="AD2" s="207">
        <f>HLOOKUP(C11,Table_StateRates,5,FALSE)</f>
        <v>1.38</v>
      </c>
      <c r="AE2" s="207">
        <f>HLOOKUP(C11,Table_StateRates,5,FALSE)</f>
        <v>1.38</v>
      </c>
      <c r="AF2" s="207">
        <f>HLOOKUP(C11,Table_StateRates,5,FALSE)</f>
        <v>1.38</v>
      </c>
      <c r="AG2" s="207">
        <f>HLOOKUP(C11,Table_StateRates,5,FALSE)</f>
        <v>1.38</v>
      </c>
      <c r="AJ2" s="1117" t="s">
        <v>916</v>
      </c>
      <c r="AK2" s="207">
        <f>HLOOKUP(C11,Table_StateRates,5,FALSE)</f>
        <v>1.38</v>
      </c>
      <c r="AL2" s="207">
        <f>HLOOKUP(C11,Table_StateRates,5,FALSE)</f>
        <v>1.38</v>
      </c>
      <c r="AM2" s="207">
        <f>HLOOKUP(C11,Table_StateRates,5,FALSE)</f>
        <v>1.38</v>
      </c>
      <c r="AN2" s="207">
        <f>HLOOKUP(C11,Table_StateRates,5,FALSE)</f>
        <v>1.38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>
        <f>Summary8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46"/>
      <c r="V4" s="83" t="s">
        <v>2166</v>
      </c>
      <c r="W4" s="1312">
        <f>PRODUCT(W2:W3)</f>
        <v>2.6219999999999999</v>
      </c>
      <c r="X4" s="1312">
        <f>PRODUCT(X2:X3)</f>
        <v>2.6219999999999999</v>
      </c>
      <c r="Y4" s="1312">
        <f>PRODUCT(Y2:Y3)</f>
        <v>2.6219999999999999</v>
      </c>
      <c r="Z4" s="1312">
        <f>PRODUCT(Z2:Z3)</f>
        <v>2.6219999999999999</v>
      </c>
      <c r="AB4" s="60"/>
      <c r="AC4" s="83" t="s">
        <v>2166</v>
      </c>
      <c r="AD4" s="1312">
        <f>PRODUCT(AD2:AD3)</f>
        <v>2.6219999999999999</v>
      </c>
      <c r="AE4" s="1312">
        <f>PRODUCT(AE2:AE3)</f>
        <v>2.6219999999999999</v>
      </c>
      <c r="AF4" s="1312">
        <f>PRODUCT(AF2:AF3)</f>
        <v>2.6219999999999999</v>
      </c>
      <c r="AG4" s="1312">
        <f>PRODUCT(AG2:AG3)</f>
        <v>2.6219999999999999</v>
      </c>
      <c r="AI4" s="60"/>
      <c r="AJ4" s="83" t="s">
        <v>2166</v>
      </c>
      <c r="AK4" s="1312">
        <f>PRODUCT(AK2:AK3)</f>
        <v>2.6219999999999999</v>
      </c>
      <c r="AL4" s="1312">
        <f>PRODUCT(AL2:AL3)</f>
        <v>2.6219999999999999</v>
      </c>
      <c r="AM4" s="1312">
        <f>PRODUCT(AM2:AM3)</f>
        <v>2.6219999999999999</v>
      </c>
      <c r="AN4" s="1312">
        <f>PRODUCT(AN2:AN3)</f>
        <v>2.6219999999999999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793</v>
      </c>
      <c r="J5" s="258">
        <f>IF(C27="Yes",Q36,0)</f>
        <v>275</v>
      </c>
      <c r="K5" s="259">
        <f>IF(AND(C27="Yes",C12="SP"),R36,0)</f>
        <v>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0.126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0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0.126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0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0.126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0.126</v>
      </c>
      <c r="AL5" s="247">
        <f>Q5</f>
        <v>4.2000000000000003E-2</v>
      </c>
      <c r="AM5" s="247">
        <f>R5</f>
        <v>0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980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0.96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0.96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1.38</v>
      </c>
      <c r="AS6" s="299">
        <f>HLOOKUP(C11,Table_StateRates,5,FALSE)</f>
        <v>1.38</v>
      </c>
      <c r="AT6" s="299">
        <f>HLOOKUP(C11,Table_StateRates,5,FALSE)</f>
        <v>1.38</v>
      </c>
      <c r="AU6" s="299">
        <f>HLOOKUP(C11,Table_StateRates,5,FALSE)</f>
        <v>1.38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1.38</v>
      </c>
      <c r="BE6" s="453"/>
      <c r="BF6" s="186" t="s">
        <v>1019</v>
      </c>
      <c r="BG6" s="208">
        <f>HLOOKUP(C11,Table_StateRates,5,FALSE)</f>
        <v>1.38</v>
      </c>
      <c r="BH6" s="146"/>
      <c r="BI6" s="453"/>
      <c r="BJ6" s="186" t="s">
        <v>1019</v>
      </c>
      <c r="BK6" s="208">
        <f>HLOOKUP(C11,Table_StateRates,5,FALSE)</f>
        <v>1.38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0.96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0.96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0.317</v>
      </c>
      <c r="AE7" s="1315">
        <f>ROUND(PRODUCT(AE4:AE6),3)</f>
        <v>0.11</v>
      </c>
      <c r="AF7" s="1315">
        <f>ROUND(PRODUCT(AF4:AF6),3)</f>
        <v>2.5999999999999999E-2</v>
      </c>
      <c r="AG7" s="1315">
        <f>ROUND(PRODUCT(AG4:AG6),3)</f>
        <v>2.5999999999999999E-2</v>
      </c>
      <c r="AH7" s="207"/>
      <c r="AI7" s="146"/>
      <c r="AJ7" s="301" t="s">
        <v>2243</v>
      </c>
      <c r="AK7" s="1315">
        <f>ROUND(PRODUCT(AK4:AK6),3)</f>
        <v>0.317</v>
      </c>
      <c r="AL7" s="1315">
        <f>ROUND(PRODUCT(AL4:AL6),3)</f>
        <v>0.11</v>
      </c>
      <c r="AM7" s="1315">
        <f>ROUND(PRODUCT(AM4:AM6),3)</f>
        <v>0</v>
      </c>
      <c r="AN7" s="1315">
        <f>ROUND(PRODUCT(AN4:AN6),3)</f>
        <v>3.9E-2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1</v>
      </c>
      <c r="AS7" s="299">
        <f>IF(F7="Yes",1,IF(C48&gt;=80,VLOOKUP(C48,Table_CoIns1,2,FALSE),1+ IF(P5&lt;B49,VLOOKUP(B62,Table_CIUnder80,5,FALSE),0.5)))</f>
        <v>1</v>
      </c>
      <c r="AT7" s="299">
        <f>IF(F7="Yes",1,IF(C48&gt;=80,VLOOKUP(C48,Table_CoIns1,2,FALSE),1+ IF(P5&lt;B49,VLOOKUP(B62,Table_CIUnder80,5,FALSE),0.5)))</f>
        <v>1</v>
      </c>
      <c r="AU7" s="299">
        <f>IF(F7="Yes",1,IF(C48&gt;=80,VLOOKUP(C48,Table_CoIns1,2,FALSE),1+ IF(P5&lt;B49,VLOOKUP(B62,Table_CIUnder80,5,FALSE),0.5)))</f>
        <v>1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0.317</v>
      </c>
      <c r="X8" s="1315">
        <f>ROUND(PRODUCT(X4:X7),3)</f>
        <v>0.11</v>
      </c>
      <c r="Y8" s="1315">
        <f>ROUND(PRODUCT(Y4:Y7),3)</f>
        <v>0</v>
      </c>
      <c r="Z8" s="1315">
        <f>ROUND(PRODUCT(Z4:Z7),3)</f>
        <v>3.9E-2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1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0.317</v>
      </c>
      <c r="Q9" s="1313">
        <f>ROUND(PRODUCT(Q4:Q8),3)</f>
        <v>0.11</v>
      </c>
      <c r="R9" s="1313">
        <f>ROUND(PRODUCT(R4:R8),3)</f>
        <v>0</v>
      </c>
      <c r="S9" s="1313">
        <f>ROUND(PRODUCT(S4:S8),3)</f>
        <v>3.9E-2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1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833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1859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7.9000000000000001E-2</v>
      </c>
      <c r="X11" s="1315">
        <f>ROUND(PRODUCT(X8:X10),3)</f>
        <v>2.8000000000000001E-2</v>
      </c>
      <c r="Y11" s="1315">
        <f>ROUND(PRODUCT(Y8:Y10),3)</f>
        <v>0</v>
      </c>
      <c r="Z11" s="1315">
        <f>ROUND(PRODUCT(Z8:Z10),3)</f>
        <v>0.01</v>
      </c>
      <c r="AB11" s="146"/>
      <c r="AC11" s="83" t="s">
        <v>2167</v>
      </c>
      <c r="AD11" s="1313">
        <f>ROUND(PRODUCT(AD7:AD10),3)</f>
        <v>0.159</v>
      </c>
      <c r="AE11" s="1313">
        <f>ROUND(PRODUCT(AE7:AE10),3)</f>
        <v>5.5E-2</v>
      </c>
      <c r="AF11" s="1313">
        <f>ROUND(PRODUCT(AF7:AF10),3)</f>
        <v>2.5999999999999999E-2</v>
      </c>
      <c r="AG11" s="1313">
        <f>ROUND(PRODUCT(AG7:AG10),3)</f>
        <v>2.5999999999999999E-2</v>
      </c>
      <c r="AH11" s="426"/>
      <c r="AI11" s="146"/>
      <c r="AJ11" s="1210" t="s">
        <v>2243</v>
      </c>
      <c r="AK11" s="1424">
        <f>AK7</f>
        <v>0.317</v>
      </c>
      <c r="AL11" s="1424">
        <f>AL7</f>
        <v>0.11</v>
      </c>
      <c r="AM11" s="1424">
        <f>AM7</f>
        <v>0</v>
      </c>
      <c r="AN11" s="1424">
        <f>AN7</f>
        <v>3.9E-2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1006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3</v>
      </c>
      <c r="C13" s="1106" t="s">
        <v>857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4.8000000000000001E-2</v>
      </c>
      <c r="AL13" s="1423">
        <f>ROUND(PRODUCT(AL11:AL12),3)</f>
        <v>1.7000000000000001E-2</v>
      </c>
      <c r="AM13" s="1423">
        <f>ROUND(PRODUCT(AM11:AM12),3)</f>
        <v>0</v>
      </c>
      <c r="AN13" s="1423">
        <f>ROUND(PRODUCT(AN11:AN12),3)</f>
        <v>6.0000000000000001E-3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3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1.38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1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0.159</v>
      </c>
      <c r="AE16" s="757">
        <f>AE11</f>
        <v>5.5E-2</v>
      </c>
      <c r="AF16" s="757">
        <f>AF11</f>
        <v>2.5999999999999999E-2</v>
      </c>
      <c r="AG16" s="757">
        <f>AG11</f>
        <v>2.5999999999999999E-2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1.38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0.159</v>
      </c>
      <c r="AE17" s="1315">
        <f>ROUND(PRODUCT(AE15:AE16),3)</f>
        <v>5.5E-2</v>
      </c>
      <c r="AF17" s="1315">
        <f>ROUND(PRODUCT(AF15:AF16),3)</f>
        <v>2.5999999999999999E-2</v>
      </c>
      <c r="AG17" s="1315">
        <f>ROUND(PRODUCT(AG15:AG16),3)</f>
        <v>2.5999999999999999E-2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/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6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IF(TC8_PP1!F26="Yes","PP","Available")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1.38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0.317</v>
      </c>
      <c r="Q21" s="1312">
        <f>ROUND(PRODUCT(Q9:Q20),3)</f>
        <v>0.11</v>
      </c>
      <c r="R21" s="1312">
        <f>ROUND(PRODUCT(R9:R20),3)</f>
        <v>0</v>
      </c>
      <c r="S21" s="1315">
        <f>ROUND(PRODUCT(S9:S20),3)</f>
        <v>3.9E-2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11.4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1</v>
      </c>
      <c r="Q22" s="247">
        <f>IF(F7="Yes",1,IF(C48&gt;=80,VLOOKUP(C48,Table_CoIns2,2,FALSE),1+ IF(Q5&lt;B49,VLOOKUP(B62,Table_CIUnder80,5,FALSE),0.5)))</f>
        <v>1</v>
      </c>
      <c r="R22" s="247">
        <f>IF(F7="Yes",1,IF(C48&gt;=80,VLOOKUP(C48,Table_CoIns1,2,FALSE),1+ IF(P5&lt;B49,VLOOKUP(B62,Table_CIUnder80,5,FALSE),0.5)))</f>
        <v>1</v>
      </c>
      <c r="S22" s="247">
        <f>IF(F7="Yes",1,IF(C48&gt;=80,VLOOKUP(C48,Table_CoIns1,2,FALSE),1+ IF(P5&lt;B49,VLOOKUP(B62,Table_CIUnder80,5,FALSE),0.5)))</f>
        <v>1</v>
      </c>
      <c r="V22" s="83" t="s">
        <v>1150</v>
      </c>
      <c r="W22" s="1315">
        <f>ROUND(PRODUCT(W11:W14,IF(AND(C59="Yes",C61="Sprinkler",C62="Yes"),W15-W16,W15),W17:W21),3)</f>
        <v>7.9000000000000001E-2</v>
      </c>
      <c r="X22" s="1315">
        <f>ROUND(PRODUCT(X11:X21),3)</f>
        <v>2.8000000000000001E-2</v>
      </c>
      <c r="Y22" s="1315">
        <f>ROUND(PRODUCT(Y11:Y21),3)</f>
        <v>0</v>
      </c>
      <c r="Z22" s="1315">
        <f>ROUND(PRODUCT(Z11:Z21),3)</f>
        <v>0.01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1</v>
      </c>
      <c r="BD22" s="423"/>
      <c r="BE22" s="453"/>
      <c r="BF22" s="186" t="s">
        <v>1019</v>
      </c>
      <c r="BG22" s="208">
        <f>HLOOKUP(C11,Table_StateRates,5,FALSE)</f>
        <v>1.38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0.317</v>
      </c>
      <c r="AL23" s="1424">
        <f>AL7</f>
        <v>0.11</v>
      </c>
      <c r="AM23" s="1424">
        <f>AM7</f>
        <v>0</v>
      </c>
      <c r="AN23" s="1424">
        <f>AN7</f>
        <v>3.9E-2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1.1399999999999999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0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1.38</v>
      </c>
      <c r="AS24" s="299">
        <f>HLOOKUP(C11,Table_StateRates,5,FALSE)</f>
        <v>1.38</v>
      </c>
      <c r="AT24" s="299">
        <f>HLOOKUP(C11,Table_StateRates,5,FALSE)</f>
        <v>1.38</v>
      </c>
      <c r="AU24" s="299">
        <f>HLOOKUP(C11,Table_StateRates,5,FALSE)</f>
        <v>1.38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4.8000000000000001E-2</v>
      </c>
      <c r="AL25" s="1423">
        <f>ROUND(PRODUCT(AL23:AL24),3)</f>
        <v>1.7000000000000001E-2</v>
      </c>
      <c r="AM25" s="1423">
        <f>ROUND(PRODUCT(AM23:AM24),3)</f>
        <v>0</v>
      </c>
      <c r="AN25" s="1423">
        <f>ROUND(PRODUCT(AN23:AN24),3)</f>
        <v>6.0000000000000001E-3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1</v>
      </c>
      <c r="AS25" s="299">
        <f>IF(F7="Yes",1,IF(C48&gt;=80,VLOOKUP(C48,Table_CoIns1,2,FALSE),1+ IF(P5&lt;B49,VLOOKUP(B62,Table_CIUnder80,5,FALSE),0.5)))</f>
        <v>1</v>
      </c>
      <c r="AT25" s="299">
        <f>IF(F7="Yes",1,IF(C48&gt;=80,VLOOKUP(C48,Table_CoIns1,2,FALSE),1+ IF(P5&lt;B49,VLOOKUP(B62,Table_CIUnder80,5,FALSE),0.5)))</f>
        <v>1</v>
      </c>
      <c r="AU25" s="299">
        <f>IF(F7="Yes",1,IF(C48&gt;=80,VLOOKUP(C48,Table_CoIns1,2,FALSE),1+ IF(P5&lt;B49,VLOOKUP(B62,Table_CIUnder80,5,FALSE),0.5)))</f>
        <v>1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1</v>
      </c>
      <c r="Q26" s="1314">
        <f>ROUND(PRODUCT(Q22:Q25),3)</f>
        <v>1</v>
      </c>
      <c r="R26" s="1314">
        <f>ROUND(PRODUCT(R22:R25),3)</f>
        <v>1</v>
      </c>
      <c r="S26" s="1314">
        <f>ROUND(PRODUCT(S22:S25),3)</f>
        <v>1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0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1.38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0.317</v>
      </c>
      <c r="Q27" s="757">
        <f>Q21</f>
        <v>0.11</v>
      </c>
      <c r="R27" s="757">
        <f>R21</f>
        <v>0</v>
      </c>
      <c r="S27" s="757">
        <f>S21</f>
        <v>3.9E-2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1.1399999999999999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0.317</v>
      </c>
      <c r="Q28" s="1315">
        <f>IF($C$30="Yes",C31,ROUND(PRODUCT(Q26:Q27),3))</f>
        <v>0.11</v>
      </c>
      <c r="R28" s="1315">
        <f>IF($C$30="Yes",B32,ROUND(PRODUCT(R26:R27),3))</f>
        <v>0</v>
      </c>
      <c r="S28" s="1315">
        <f>IF($C$30="Yes",C32,ROUND(PRODUCT(S26:S27),3))</f>
        <v>3.9E-2</v>
      </c>
      <c r="AC28" s="168" t="s">
        <v>1019</v>
      </c>
      <c r="AD28" s="207">
        <f>HLOOKUP(C11,Table_StateRates,5,FALSE)</f>
        <v>1.38</v>
      </c>
      <c r="AE28" s="207">
        <f>HLOOKUP(C11,Table_StateRates,5,FALSE)</f>
        <v>1.38</v>
      </c>
      <c r="AF28" s="207">
        <f>HLOOKUP(C11,Table_StateRates,5,FALSE)</f>
        <v>1.38</v>
      </c>
      <c r="AG28" s="207">
        <f>HLOOKUP(C11,Table_StateRates,5,FALSE)</f>
        <v>1.38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1</v>
      </c>
      <c r="AE29" s="247">
        <f>IF(F7="Yes",1,IF(C48&gt;=80,VLOOKUP(C48,Table_CoIns1,2,FALSE),1+ IF(P5&lt;B49,VLOOKUP(B62,Table_CIUnder80,5,FALSE),0.5)))</f>
        <v>1</v>
      </c>
      <c r="AF29" s="247">
        <f>IF(F7="Yes",1,IF(C48&gt;=80,VLOOKUP(C48,Table_CoIns1,2,FALSE),1+ IF(P5&lt;B49,VLOOKUP(B62,Table_CIUnder80,5,FALSE),0.5)))</f>
        <v>1</v>
      </c>
      <c r="AG29" s="247">
        <f>IF(F7="Yes",1,IF(C48&gt;=80,VLOOKUP(C48,Table_CoIns1,2,FALSE),1+ IF(P5&lt;B49,VLOOKUP(B62,Table_CIUnder80,5,FALSE),0.5)))</f>
        <v>1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857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1.38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1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1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1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1</v>
      </c>
      <c r="V31" s="168" t="s">
        <v>407</v>
      </c>
      <c r="W31" s="247">
        <f>P28</f>
        <v>0.317</v>
      </c>
      <c r="X31" s="247">
        <f>Q28</f>
        <v>0.11</v>
      </c>
      <c r="Y31" s="247">
        <f>R28</f>
        <v>0</v>
      </c>
      <c r="Z31" s="247">
        <f>S28</f>
        <v>3.9E-2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2.1000000000000001E-2</v>
      </c>
      <c r="AS31" s="247">
        <f>ROUND(PRODUCT(AS21:AS30),3)</f>
        <v>1.6E-2</v>
      </c>
      <c r="AT31" s="247">
        <f>ROUND(PRODUCT(AT21:AT30),3)</f>
        <v>1.6E-2</v>
      </c>
      <c r="AU31" s="247">
        <f>ROUND(PRODUCT(AU21:AU30),3)</f>
        <v>1.6E-2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</v>
      </c>
      <c r="S32" s="247">
        <v>1</v>
      </c>
      <c r="U32" s="185"/>
      <c r="V32" s="187" t="s">
        <v>408</v>
      </c>
      <c r="W32" s="208">
        <f>IF(C48&gt;80,P22,1)</f>
        <v>1</v>
      </c>
      <c r="X32" s="208">
        <f>IF(C48&gt;80,Q22,1)</f>
        <v>1</v>
      </c>
      <c r="Y32" s="208">
        <f>IF(C48&gt;80,R22,1)</f>
        <v>1</v>
      </c>
      <c r="Z32" s="208">
        <f>IF(C48&gt;80,S22,1)</f>
        <v>1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2500</v>
      </c>
      <c r="Q33" s="238">
        <f>IF(ISNUMBER(C45),C45/100,0)</f>
        <v>2500</v>
      </c>
      <c r="R33" s="238">
        <f>IF(ISNUMBER(C45),C45/100,0)</f>
        <v>2500</v>
      </c>
      <c r="S33" s="238">
        <f>IF(ISNUMBER(C45),C45/100,0)</f>
        <v>2500</v>
      </c>
      <c r="U33" s="546"/>
      <c r="V33" s="301" t="s">
        <v>409</v>
      </c>
      <c r="W33" s="247">
        <f>ROUND(W31/W32,3)</f>
        <v>0.317</v>
      </c>
      <c r="X33" s="247">
        <f>ROUND(X31/X32,3)</f>
        <v>0.11</v>
      </c>
      <c r="Y33" s="247">
        <f>ROUND(Y31/Y32,3)</f>
        <v>0</v>
      </c>
      <c r="Z33" s="247">
        <f>ROUND(Z31/Z32,3)</f>
        <v>3.9E-2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793</v>
      </c>
      <c r="Q34" s="1481">
        <f>IF($C$30="Yes",ROUND(PRODUCT(Q28,Q33),0),ROUND(PRODUCT(Q28,Q31:Q33),0))</f>
        <v>275</v>
      </c>
      <c r="R34" s="1481">
        <f>IF($C$30="Yes",ROUND(PRODUCT(R28,R33),0),ROUND(PRODUCT(R28,R31:R33),0))</f>
        <v>0</v>
      </c>
      <c r="S34" s="1481">
        <f>IF($C$30="Yes",ROUND(PRODUCT(S28,S33),0),ROUND(PRODUCT(S28,S31:S33),0))</f>
        <v>98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0.11</v>
      </c>
      <c r="AF34" s="247">
        <f>ROUND(PRODUCT(AF26:AF33),3)</f>
        <v>0</v>
      </c>
      <c r="AG34" s="247">
        <f>ROUND(PRODUCT(AG26:AG33),3)</f>
        <v>3.9E-2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48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0.317</v>
      </c>
      <c r="AL35" s="247">
        <f>AL7</f>
        <v>0.11</v>
      </c>
      <c r="AM35" s="247">
        <f>AM7</f>
        <v>0</v>
      </c>
      <c r="AN35" s="247">
        <f>AN7</f>
        <v>3.9E-2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793</v>
      </c>
      <c r="Q36" s="248">
        <f>SUM(Q34:Q35)</f>
        <v>275</v>
      </c>
      <c r="R36" s="248">
        <f>SUM(R34:R35)</f>
        <v>0</v>
      </c>
      <c r="S36" s="248">
        <f>SUM(S34:S35)</f>
        <v>98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1.38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1.38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9.5000000000000001E-2</v>
      </c>
      <c r="X39" s="247">
        <f>ROUND(PRODUCT(X33:X38),3)</f>
        <v>3.3000000000000002E-2</v>
      </c>
      <c r="Y39" s="247">
        <f>ROUND(PRODUCT(Y33:Y38),3)</f>
        <v>0</v>
      </c>
      <c r="Z39" s="247">
        <f>ROUND(PRODUCT(Z33:Z38),3)</f>
        <v>1.2E-2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0.126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1.38</v>
      </c>
      <c r="AZ39" s="423"/>
      <c r="BA39" s="542"/>
      <c r="BB39" s="597" t="s">
        <v>1019</v>
      </c>
      <c r="BC39" s="279">
        <f>HLOOKUP(C11,Table_StateRates,5,FALSE)</f>
        <v>1.38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793</v>
      </c>
      <c r="Q40" s="248">
        <f>Q34</f>
        <v>275</v>
      </c>
      <c r="R40" s="248">
        <f>R34</f>
        <v>0</v>
      </c>
      <c r="S40" s="248">
        <f>S34</f>
        <v>98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3.9E-2</v>
      </c>
      <c r="AZ40" s="559"/>
      <c r="BA40" s="423"/>
      <c r="BB40" s="810" t="s">
        <v>1134</v>
      </c>
      <c r="BC40" s="426">
        <f>ROUND(PRODUCT(BC35:BC39),3)</f>
        <v>3.9E-2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0.96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0.96</v>
      </c>
      <c r="AZ41" s="559"/>
      <c r="BA41" s="423"/>
      <c r="BB41" s="906" t="s">
        <v>1178</v>
      </c>
      <c r="BC41" s="423">
        <f>IF(OR(C28="S",C28="T",C28="SC"),1,VLOOKUP(C14,Table_ProtClass,IF(C15&lt;=3,2,3),FALSE))</f>
        <v>0.96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0.128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1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93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0.317</v>
      </c>
      <c r="AL44" s="247">
        <f>AL7</f>
        <v>0.11</v>
      </c>
      <c r="AM44" s="247">
        <f>AM7</f>
        <v>0</v>
      </c>
      <c r="AN44" s="247">
        <f>AN7</f>
        <v>3.9E-2</v>
      </c>
      <c r="AO44" s="557"/>
      <c r="AP44" s="2"/>
      <c r="AQ44" s="168" t="s">
        <v>1019</v>
      </c>
      <c r="AR44" s="207">
        <f>HLOOKUP(C11,Table_StateRates,5,FALSE)</f>
        <v>1.38</v>
      </c>
      <c r="AS44" s="207">
        <f>HLOOKUP(C11,Table_StateRates,5,FALSE)</f>
        <v>1.38</v>
      </c>
      <c r="AT44" s="207">
        <f>HLOOKUP(C11,Table_StateRates,5,FALSE)</f>
        <v>1.38</v>
      </c>
      <c r="AU44" s="207">
        <f>HLOOKUP(C11,Table_StateRates,5,FALSE)</f>
        <v>1.38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8.9999999999999993E-3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250000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3.6999999999999998E-2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2500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1.38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1068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93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80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1161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0.126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0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0.159</v>
      </c>
      <c r="AS50" s="247">
        <f>ROUND(PRODUCT(AS39:AS49),3)</f>
        <v>5.5E-2</v>
      </c>
      <c r="AT50" s="247">
        <f>ROUND(PRODUCT(AT39:AT49),3)</f>
        <v>1.6E-2</v>
      </c>
      <c r="AU50" s="247">
        <f>ROUND(PRODUCT(AU39:AU49),3)</f>
        <v>1.6E-2</v>
      </c>
      <c r="AW50" s="566"/>
      <c r="AX50" s="990" t="s">
        <v>395</v>
      </c>
      <c r="AY50" s="813">
        <f>SUM(AY47,BC46)</f>
        <v>93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1.38</v>
      </c>
      <c r="X51" s="207">
        <f>HLOOKUP(C11,Table_StateRates,5,FALSE)</f>
        <v>1.38</v>
      </c>
      <c r="Y51" s="207">
        <f>HLOOKUP(C11,Table_StateRates,5,FALSE)</f>
        <v>1.38</v>
      </c>
      <c r="Z51" s="207">
        <f>HLOOKUP(C11,Table_StateRates,5,FALSE)</f>
        <v>1.38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4.2999999999999997E-2</v>
      </c>
      <c r="X56" s="247">
        <f>ROUND(PRODUCT(X49:X55),3)</f>
        <v>1.4E-2</v>
      </c>
      <c r="Y56" s="247">
        <f>ROUND(PRODUCT(Y49:Y55),3)</f>
        <v>0</v>
      </c>
      <c r="Z56" s="247">
        <f>ROUND(PRODUCT(Z49:Z55),3)</f>
        <v>3.9E-2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4.2999999999999997E-2</v>
      </c>
      <c r="X59" s="247">
        <f>MAX(X56:X57)</f>
        <v>1.4E-2</v>
      </c>
      <c r="Y59" s="247">
        <f>MAX(Y56:Y57)</f>
        <v>5.2999999999999999E-2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103" priority="21" stopIfTrue="1">
      <formula>IF($C$24="Yes",FALSE,TRUE)</formula>
    </cfRule>
  </conditionalFormatting>
  <conditionalFormatting sqref="E16">
    <cfRule type="expression" dxfId="102" priority="20" stopIfTrue="1">
      <formula>IF($C$58="Yes",TRUE,FALSE)</formula>
    </cfRule>
  </conditionalFormatting>
  <conditionalFormatting sqref="C18">
    <cfRule type="expression" dxfId="101" priority="18">
      <formula>IF($C$12="SP",TRUE,FALSE)</formula>
    </cfRule>
    <cfRule type="expression" dxfId="100" priority="19">
      <formula>IF($C$12="SP",TRUE,FALSE)</formula>
    </cfRule>
  </conditionalFormatting>
  <conditionalFormatting sqref="A18">
    <cfRule type="expression" dxfId="99" priority="17">
      <formula>IF($C$12="SP",TRUE,FALSE)</formula>
    </cfRule>
  </conditionalFormatting>
  <conditionalFormatting sqref="B21">
    <cfRule type="expression" dxfId="98" priority="14">
      <formula>IF($C$21="Yes",TRUE,FALSE)</formula>
    </cfRule>
  </conditionalFormatting>
  <conditionalFormatting sqref="C18">
    <cfRule type="expression" dxfId="97" priority="10">
      <formula>IF($C$12="SP",TRUE,FALSE)</formula>
    </cfRule>
    <cfRule type="expression" dxfId="96" priority="11">
      <formula>IF($C$12="SP",TRUE,FALSE)</formula>
    </cfRule>
  </conditionalFormatting>
  <conditionalFormatting sqref="C32">
    <cfRule type="expression" dxfId="95" priority="2">
      <formula>IF(AND($C$30="Yes",$C$12="BR"),TRUE,FALSE)</formula>
    </cfRule>
  </conditionalFormatting>
  <conditionalFormatting sqref="B32">
    <cfRule type="expression" dxfId="94" priority="1">
      <formula>IF(AND($C$30="Yes",$C$12="SP"),TRUE,FALSE)</formula>
    </cfRule>
  </conditionalFormatting>
  <conditionalFormatting sqref="B31:C31">
    <cfRule type="expression" dxfId="93" priority="3">
      <formula>IF($C$30="Yes",TRUE,FALSE)</formula>
    </cfRule>
  </conditionalFormatting>
  <dataValidations count="97"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allowBlank="1" showInputMessage="1" showErrorMessage="1" promptTitle="Special Class Pty: Grp II Symbol" prompt="Group II Symbol supplied for the Special Class Property selected." sqref="E24"/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custom" allowBlank="1" showInputMessage="1" showErrorMessage="1" prompt="EQ Table Lookup Value" sqref="F49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custom" allowBlank="1" showInputMessage="1" showErrorMessage="1" prompt="Bldg Lookup Value" sqref="F36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allowBlank="1" showInputMessage="1" showErrorMessage="1" promptTitle="Occupancy Type Description" prompt="Displays the description of the choice made in the cell to the left.  " sqref="B33 B40"/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custom" allowBlank="1" showInputMessage="1" showErrorMessage="1" sqref="C25 F46 D23 B10 D43:E43 F33:F35 F38:F39 A38 A43">
      <formula1>FALSE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A78"/>
  <sheetViews>
    <sheetView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1.38</v>
      </c>
      <c r="Q2" s="423">
        <f>HLOOKUP(C11,Table_StateRates,5,FALSE)</f>
        <v>1.38</v>
      </c>
      <c r="R2" s="423">
        <f>HLOOKUP(C11,Table_StateRates,5,FALSE)</f>
        <v>1.38</v>
      </c>
      <c r="S2" s="423">
        <f>HLOOKUP(C11,Table_StateRates,5,FALSE)</f>
        <v>1.38</v>
      </c>
      <c r="U2" s="1290"/>
      <c r="V2" s="1294" t="s">
        <v>2165</v>
      </c>
      <c r="W2" s="1300" t="e">
        <f ca="1">$P$28</f>
        <v>#N/A</v>
      </c>
      <c r="X2" s="1300" t="e">
        <f>$Q$28</f>
        <v>#N/A</v>
      </c>
      <c r="Y2" s="1300">
        <f>$R$28</f>
        <v>0</v>
      </c>
      <c r="Z2" s="1300">
        <f>$S$28</f>
        <v>5.5E-2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 t="e">
        <f ca="1">P28</f>
        <v>#N/A</v>
      </c>
      <c r="AU2" s="247" t="e">
        <f>Q28</f>
        <v>#N/A</v>
      </c>
      <c r="AV2" s="247">
        <f>IF(AND(C27="Yes",C12="SP"),VLOOKUP(C33,Table_Special_PP,3,0),0)</f>
        <v>0</v>
      </c>
      <c r="AW2" s="247">
        <f>S28</f>
        <v>5.5E-2</v>
      </c>
      <c r="AZ2" s="1117" t="s">
        <v>2154</v>
      </c>
      <c r="BA2" s="247" t="e">
        <f ca="1">P28</f>
        <v>#N/A</v>
      </c>
      <c r="BB2" s="2" t="e">
        <f>Q28</f>
        <v>#N/A</v>
      </c>
      <c r="BC2" s="558">
        <f>R28</f>
        <v>0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>
        <f>Summary8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 t="e">
        <f>P$31</f>
        <v>#N/A</v>
      </c>
      <c r="X3" s="247">
        <f t="shared" ref="X3:Z3" si="0">Q$31</f>
        <v>0.67200000000000004</v>
      </c>
      <c r="Y3" s="247">
        <f t="shared" si="0"/>
        <v>0.57899999999999996</v>
      </c>
      <c r="Z3" s="247">
        <f t="shared" si="0"/>
        <v>0.57899999999999996</v>
      </c>
      <c r="AC3" s="168" t="s">
        <v>1198</v>
      </c>
      <c r="AD3" s="247" t="e">
        <f ca="1">IF(OR(C28="S",C28="T"),B29,VLOOKUP(C35,IF(C36="Y",INDIRECT("Table_Content"&amp;B35),Table_G1_LC),MATCH(C15&amp;"C",List_ClassLC,0)+IF(C36="Y",-5,3),FALSE))  - IF(AND(P14&lt;&gt;1,AF50="LC"),P14,0)</f>
        <v>#N/A</v>
      </c>
      <c r="AE3" s="2" t="e">
        <f>IF(OR(C28="S",C28="T"),C29,VLOOKUP(C16,Table_G2SymLC,3,FALSE)*IF(C60&lt;&gt;"Yes",B16,1))</f>
        <v>#N/A</v>
      </c>
      <c r="AF3" s="247">
        <f>R5</f>
        <v>0</v>
      </c>
      <c r="AG3" s="2">
        <f>HLOOKUP(B12,Table_BroadLC,IF(C35&lt;&gt;"1150",3,4),FALSE)</f>
        <v>2.1000000000000001E-2</v>
      </c>
      <c r="AJ3" s="60"/>
      <c r="AK3" s="168" t="s">
        <v>1198</v>
      </c>
      <c r="AL3" s="780" t="e">
        <f ca="1">P28</f>
        <v>#N/A</v>
      </c>
      <c r="AM3" s="4" t="e">
        <f>Q28</f>
        <v>#N/A</v>
      </c>
      <c r="AN3" s="780">
        <f ca="1">IF(AND(C27="Yes",C12="SP"),IF(C13=1,R28,IF(C13=2,INDIRECT(VLOOKUP(C33,Table_Special_PP,6,FALSE)),"Select Type")),0)</f>
        <v>0</v>
      </c>
      <c r="AO3" s="4">
        <f>S28</f>
        <v>5.5E-2</v>
      </c>
      <c r="AP3" s="4">
        <f>IF(TC8_EQ1!C31="Yes",TC8_EQ1!O28,0)</f>
        <v>0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 t="e">
        <f ca="1">ROUND(AT2/AT3,3)</f>
        <v>#N/A</v>
      </c>
      <c r="AU4" s="247" t="e">
        <f>ROUND(AU2/AU3,3)</f>
        <v>#N/A</v>
      </c>
      <c r="AV4" s="247">
        <f>ROUND(AV2/AV3,3)</f>
        <v>0</v>
      </c>
      <c r="AW4" s="247">
        <f>ROUND(AW2/AW3,3)</f>
        <v>5.5E-2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 t="e">
        <f ca="1">IF(C27="Yes",P35,0)</f>
        <v>#N/A</v>
      </c>
      <c r="J5" s="258" t="e">
        <f>IF(C27="Yes",Q35,0)</f>
        <v>#N/A</v>
      </c>
      <c r="K5" s="258">
        <f>IF(AND(C27="Yes",C12="SP"),R35,0)</f>
        <v>0</v>
      </c>
      <c r="L5" s="258">
        <f>IF(AND(C27="Yes",C12="BR"),S35,0)</f>
        <v>0</v>
      </c>
      <c r="O5" s="168" t="s">
        <v>1198</v>
      </c>
      <c r="P5" s="247" t="e">
        <f ca="1">IF(OR(C28="S",C28="T"),B29,VLOOKUP(C35,IF(C36="Y",INDIRECT("Table_Content"&amp;B35),Table_G1_LC),MATCH(C15&amp;"C",List_ClassLC,0) + IF(C36="Y",-5,3),FALSE)) + B39 - IF(AND(P14&lt;&gt;1,AF50="LC"),P14,0)</f>
        <v>#N/A</v>
      </c>
      <c r="Q5" s="247" t="e">
        <f>IF(OR(C28="S",C28="T"),C29,VLOOKUP(C16,Table_G2SymLC,3,FALSE)*IF(C60&lt;&gt;"Yes",B16,1))</f>
        <v>#N/A</v>
      </c>
      <c r="R5" s="247">
        <f>IF(AND(C27="Yes",C12="SP"),VLOOKUP(C33,Table_Special_PP,3,0),0)</f>
        <v>0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 t="e">
        <f ca="1">ROUND(PRODUCT(W2:W4),0)</f>
        <v>#N/A</v>
      </c>
      <c r="X5" s="1306" t="e">
        <f>ROUND(PRODUCT(X2:X4),0)</f>
        <v>#N/A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 t="e">
        <f ca="1">ROUND(PRODUCT(AL3:AL4),3)</f>
        <v>#N/A</v>
      </c>
      <c r="AM5" s="4" t="e">
        <f>ROUND(PRODUCT(AM3:AM4),3)</f>
        <v>#N/A</v>
      </c>
      <c r="AN5" s="780">
        <f ca="1">ROUND(PRODUCT(AN3:AN4),3)</f>
        <v>0</v>
      </c>
      <c r="AO5" s="4">
        <f>ROUND(PRODUCT(AO3:AO4),3)</f>
        <v>6.0000000000000001E-3</v>
      </c>
      <c r="AP5" s="4">
        <f>ROUND(PRODUCT(AP3:AP4),3)</f>
        <v>0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1.38</v>
      </c>
      <c r="BJ5" s="299">
        <f>HLOOKUP(C11,Table_StateRates,5,FALSE)</f>
        <v>1.38</v>
      </c>
      <c r="BK5" s="299">
        <f>HLOOKUP(C11,Table_StateRates,5,FALSE)</f>
        <v>1.38</v>
      </c>
      <c r="BL5" s="299">
        <f>HLOOKUP(C11,Table_StateRates,5,FALSE)</f>
        <v>1.38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980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 t="e">
        <f>IF(OR(C28="S",C28="T"),1,VLOOKUP(C14,Table_ProtClass,IF(C15&lt;=3,2,3),FALSE)) - IF(AND(AB50="PC",ISNUMBER(C57)),C57,0) - IF(AND(C58="Yes",AF50="PC"),P14,0)</f>
        <v>#N/A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 t="e">
        <f ca="1">ROUND(PRODUCT(AD3:AD5),3)</f>
        <v>#N/A</v>
      </c>
      <c r="AE6" s="247" t="e">
        <f>ROUND(PRODUCT(AE3:AE5),3)</f>
        <v>#N/A</v>
      </c>
      <c r="AF6" s="247">
        <f>ROUND(PRODUCT(AF3:AF5),3)</f>
        <v>0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 t="e">
        <f ca="1">ROUND(PRODUCT(BA2,BA5),3)</f>
        <v>#N/A</v>
      </c>
      <c r="BB6" s="1315" t="e">
        <f>ROUND(PRODUCT(BB2,BB5),3)</f>
        <v>#N/A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1.38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 t="e">
        <f ca="1">SUM(W5:W6)</f>
        <v>#N/A</v>
      </c>
      <c r="X7" s="1301" t="e">
        <f>SUM(X5:X6)</f>
        <v>#N/A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#N/A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 t="e">
        <f ca="1">ROUND(PRODUCT(P4:P7),3)</f>
        <v>#N/A</v>
      </c>
      <c r="Q8" s="1315" t="e">
        <f>ROUND(PRODUCT(Q4:Q7),3)</f>
        <v>#N/A</v>
      </c>
      <c r="R8" s="1315">
        <f>ROUND(PRODUCT(R4:R7),3)</f>
        <v>0</v>
      </c>
      <c r="S8" s="1315">
        <f>ROUND(PRODUCT(S4:S7),3)</f>
        <v>5.5E-2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 t="e">
        <f ca="1">ROUND(PRODUCT(BA6:BA7),0)</f>
        <v>#N/A</v>
      </c>
      <c r="BB8" s="248" t="e">
        <f>ROUND(PRODUCT(BB6:BB7),0)</f>
        <v>#N/A</v>
      </c>
      <c r="BC8" s="248">
        <f>ROUND(PRODUCT(BC6:BC7),0)</f>
        <v>0</v>
      </c>
      <c r="BD8" s="575"/>
      <c r="BE8" s="572" t="e">
        <f ca="1">SUM(BA8:BC8)</f>
        <v>#N/A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 t="e">
        <f ca="1">ROUND(PRODUCT(AD6:AD8),3)</f>
        <v>#N/A</v>
      </c>
      <c r="AE9" s="247" t="e">
        <f>ROUND(PRODUCT(AE6:AE8),3)</f>
        <v>#N/A</v>
      </c>
      <c r="AF9" s="247">
        <f>ROUND(PRODUCT(AF6:AF8),3)</f>
        <v>0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 t="e">
        <f ca="1">ROUND(PRODUCT(AT4:AT7),3)</f>
        <v>#N/A</v>
      </c>
      <c r="AU9" s="247" t="e">
        <f>ROUND(PRODUCT(AU4:AU7),3)</f>
        <v>#N/A</v>
      </c>
      <c r="AV9" s="247">
        <f>ROUND(PRODUCT(AV4:AV7),3)</f>
        <v>0</v>
      </c>
      <c r="AW9" s="247">
        <f>ROUND(PRODUCT(AW4:AW7),3)</f>
        <v>6.9000000000000006E-2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 t="e">
        <f ca="1">W5</f>
        <v>#N/A</v>
      </c>
      <c r="X10" s="1301" t="e">
        <f>X5</f>
        <v>#N/A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2500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2500</v>
      </c>
      <c r="AU10" s="238">
        <f>IF(F13="Yes",E14/100,C41/100)</f>
        <v>2500</v>
      </c>
      <c r="AV10" s="238">
        <f>IF(F13="Yes",E14/100,C41/100)</f>
        <v>2500</v>
      </c>
      <c r="AW10" s="238">
        <f>IF(F13="Yes",E14/100,C41/100)</f>
        <v>2500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1859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#N/A</v>
      </c>
      <c r="AM11" s="146"/>
      <c r="AN11" s="146"/>
      <c r="AO11" s="301"/>
      <c r="AP11" s="976"/>
      <c r="AS11" s="301"/>
      <c r="AT11" s="248" t="e">
        <f ca="1">ROUND(PRODUCT(AT9:AT10),0)</f>
        <v>#N/A</v>
      </c>
      <c r="AU11" s="248" t="e">
        <f>ROUND(PRODUCT(AU9:AU10),0)</f>
        <v>#N/A</v>
      </c>
      <c r="AV11" s="248">
        <f>ROUND(PRODUCT(AV9:AV10),0)</f>
        <v>0</v>
      </c>
      <c r="AW11" s="248">
        <f>ROUND(PRODUCT(AW9:AW10),0)</f>
        <v>173</v>
      </c>
      <c r="AZ11" s="1117" t="s">
        <v>2154</v>
      </c>
      <c r="BA11" s="247" t="e">
        <f ca="1">P28</f>
        <v>#N/A</v>
      </c>
      <c r="BB11" s="2" t="e">
        <f>Q28</f>
        <v>#N/A</v>
      </c>
      <c r="BC11" s="558">
        <f>R28</f>
        <v>0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/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#N/A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 t="str">
        <f>IF(C13="No","NA",C13+2)</f>
        <v>NA</v>
      </c>
      <c r="C13" s="1106" t="s">
        <v>857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 t="e">
        <f>IF(OR(C28="S",C28="T"),1,VLOOKUP(C14,Table_ProtClass,IF(C15&lt;=3,2,3),FALSE)) - IF(AND(AB50="PC",ISNUMBER(C57)),C57,0) - IF(AND(C58="Yes",AF50="PC"),P14,0)</f>
        <v>#N/A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 t="e">
        <f ca="1">IF(C12="SP",SUM(AT11:AV11),IF(C12="BR",SUM(AT11:AU11,AW11),AT11:AU11))</f>
        <v>#N/A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/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 t="e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#N/A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0.67200000000000004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0.57899999999999996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/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 t="e">
        <f ca="1">ROUND(PRODUCT(BA11,BA14),3)</f>
        <v>#N/A</v>
      </c>
      <c r="BB15" s="1315" t="e">
        <f>ROUND(PRODUCT(BB11,BB14),3)</f>
        <v>#N/A</v>
      </c>
      <c r="BC15" s="1315">
        <f>ROUND(PRODUCT(BC11,BC14),3)</f>
        <v>0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/>
      <c r="D16" s="195"/>
      <c r="E16" s="195"/>
      <c r="F16" s="1067"/>
      <c r="H16" s="788" t="s">
        <v>1289</v>
      </c>
      <c r="I16" s="248" t="e">
        <f ca="1">SUM(I5:I15)</f>
        <v>#N/A</v>
      </c>
      <c r="J16" s="248" t="e">
        <f>SUM(J5:J15)</f>
        <v>#N/A</v>
      </c>
      <c r="K16" s="248">
        <f>SUM(K5:K15)</f>
        <v>0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 t="e">
        <f ca="1">$P$28</f>
        <v>#N/A</v>
      </c>
      <c r="X16" s="1300" t="e">
        <f>$Q$28</f>
        <v>#N/A</v>
      </c>
      <c r="Y16" s="1300">
        <f>$R$28</f>
        <v>0</v>
      </c>
      <c r="Z16" s="1300">
        <f>$S$28</f>
        <v>5.5E-2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 t="e">
        <f>P$31</f>
        <v>#N/A</v>
      </c>
      <c r="X17" s="247">
        <f t="shared" ref="X17:Z17" si="1">Q$31</f>
        <v>0.67200000000000004</v>
      </c>
      <c r="Y17" s="247">
        <f t="shared" si="1"/>
        <v>0.57899999999999996</v>
      </c>
      <c r="Z17" s="247">
        <f t="shared" si="1"/>
        <v>0.57899999999999996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 t="e">
        <f ca="1">ROUND(PRODUCT(BA15:BA16),0)</f>
        <v>#N/A</v>
      </c>
      <c r="BB17" s="248" t="e">
        <f>ROUND(PRODUCT(BB15:BB16),0)</f>
        <v>#N/A</v>
      </c>
      <c r="BC17" s="248">
        <f>ROUND(PRODUCT(BC15:BC16),0)</f>
        <v>0</v>
      </c>
      <c r="BD17" s="575"/>
      <c r="BE17" s="572" t="e">
        <f ca="1">SUM(BA17:BC17)</f>
        <v>#N/A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/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1.38</v>
      </c>
      <c r="AE18" s="423">
        <f>HLOOKUP(C11,Table_StateRates,5,FALSE)</f>
        <v>1.38</v>
      </c>
      <c r="AF18" s="423">
        <f>HLOOKUP(C11,Table_StateRates,5,FALSE)</f>
        <v>1.38</v>
      </c>
      <c r="AG18" s="423">
        <f>HLOOKUP(C11,Table_StateRates,5,FALSE)</f>
        <v>1.38</v>
      </c>
      <c r="AI18" s="266"/>
      <c r="AJ18" s="266"/>
      <c r="AK18" s="268" t="s">
        <v>1019</v>
      </c>
      <c r="AL18" s="423">
        <f>HLOOKUP(C11,Table_StateRates,5,FALSE)</f>
        <v>1.38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 t="e">
        <f>Q28</f>
        <v>#N/A</v>
      </c>
      <c r="AV18" s="247">
        <f>IF(AND(C27="Yes",C12="SP"),VLOOKUP(C33,Table_Special_PP,3,0),0)</f>
        <v>0</v>
      </c>
      <c r="AW18" s="2">
        <f>S28</f>
        <v>5.5E-2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 t="e">
        <f ca="1">ROUND(PRODUCT(W16:W18),0)</f>
        <v>#N/A</v>
      </c>
      <c r="X19" s="1306" t="e">
        <f>ROUND(PRODUCT(X16:X18),0)</f>
        <v>#N/A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 t="e">
        <f ca="1">IF(OR(C28="S",C28="T"),B29,VLOOKUP(C35,IF(C36="Y",INDIRECT("Table_Content"&amp;B35),Table_G1_LC),MATCH(C15&amp;"C",List_ClassLC,0)+IF(C36="Y",-5,2),FALSE)*IF(C60&lt;&gt;"Yes",B16,1))</f>
        <v>#N/A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 t="e">
        <f ca="1">ROUND(PRODUCT(P8:P12,IF(AND(C55="Yes",C57="Sprinkler",C58="Yes"),P13-P14,P13),P15:P19),3)</f>
        <v>#N/A</v>
      </c>
      <c r="Q20" s="1312" t="e">
        <f>ROUND(PRODUCT(Q8:Q19),3)</f>
        <v>#N/A</v>
      </c>
      <c r="R20" s="1312">
        <f>ROUND(PRODUCT(R8:R19),3)</f>
        <v>0</v>
      </c>
      <c r="S20" s="1312">
        <f>ROUND(PRODUCT(S8:S19),3)</f>
        <v>5.5E-2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2.6219999999999999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 t="e">
        <f>PRODUCT(AU18:AU19)</f>
        <v>#N/A</v>
      </c>
      <c r="AV20" s="247">
        <f>PRODUCT(AV18:AV19)</f>
        <v>0</v>
      </c>
      <c r="AW20" s="247">
        <f>PRODUCT(AW18:AW19)</f>
        <v>5.5E-2</v>
      </c>
      <c r="AZ20" s="168" t="s">
        <v>1335</v>
      </c>
      <c r="BA20" s="248">
        <f>F24</f>
        <v>0</v>
      </c>
      <c r="BD20" s="168" t="s">
        <v>1337</v>
      </c>
      <c r="BE20" s="248" t="e">
        <f ca="1">BE8</f>
        <v>#N/A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1.38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 t="e">
        <f ca="1">SUM(W19:W20)</f>
        <v>#N/A</v>
      </c>
      <c r="X21" s="1301" t="e">
        <f>SUM(X19:X20)</f>
        <v>#N/A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 t="e">
        <f ca="1">BE17</f>
        <v>#N/A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 t="e">
        <f ca="1">ROUND(PRODUCT(BP19:BP20),3)</f>
        <v>#N/A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 t="e">
        <f ca="1">ROUND(PRODUCT(AD9:AD14,IF(AND(C55="Yes",C57="Sprinkler",C58="Yes"),AD15-AD16,AD15),AD17:AD21),3)</f>
        <v>#N/A</v>
      </c>
      <c r="AE22" s="247" t="e">
        <f>ROUND(PRODUCT(AE9:AE21),3)</f>
        <v>#N/A</v>
      </c>
      <c r="AF22" s="247">
        <f>ROUND(PRODUCT(AF9:AF21),3)</f>
        <v>0</v>
      </c>
      <c r="AG22" s="247">
        <f>ROUND(PRODUCT(AG9:AG21),3)</f>
        <v>2.8000000000000001E-2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1.38</v>
      </c>
      <c r="AU22" s="207">
        <f>HLOOKUP(C11,Table_StateRates,5,FALSE)</f>
        <v>1.38</v>
      </c>
      <c r="AV22" s="207">
        <f>HLOOKUP(C11,Table_StateRates,5,FALSE)</f>
        <v>1.38</v>
      </c>
      <c r="AW22" s="207">
        <f>HLOOKUP(C11,Table_StateRates,5,FALSE)</f>
        <v>1.38</v>
      </c>
      <c r="AZ22" s="83" t="s">
        <v>1334</v>
      </c>
      <c r="BA22" s="2">
        <f>ROUND(BA20/BA21,3)</f>
        <v>0</v>
      </c>
      <c r="BD22" s="83" t="s">
        <v>1339</v>
      </c>
      <c r="BE22" s="248" t="e">
        <f ca="1">IF(BE20=0,0,BE20-BE21)</f>
        <v>#N/A</v>
      </c>
      <c r="BG22" s="146"/>
      <c r="BH22" s="545" t="s">
        <v>1019</v>
      </c>
      <c r="BI22" s="299">
        <f>HLOOKUP(C11,Table_StateRates,5,FALSE)</f>
        <v>1.38</v>
      </c>
      <c r="BJ22" s="299">
        <f>HLOOKUP(C11,Table_StateRates,5,FALSE)</f>
        <v>1.38</v>
      </c>
      <c r="BK22" s="299">
        <f>HLOOKUP(C11,Table_StateRates,5,FALSE)</f>
        <v>1.38</v>
      </c>
      <c r="BL22" s="299">
        <f>HLOOKUP(C11,Table_StateRates,5,FALSE)</f>
        <v>1.38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 t="e">
        <f ca="1">ROUND(PRODUCT(BP21:BP22),3)</f>
        <v>#N/A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 t="e">
        <f ca="1">W19</f>
        <v>#N/A</v>
      </c>
      <c r="X24" s="1301" t="e">
        <f>X19</f>
        <v>#N/A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 t="e">
        <f ca="1">ROUND(PRODUCT(BE22:BE23),0)</f>
        <v>#N/A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1</v>
      </c>
      <c r="Q25" s="1314">
        <f>ROUND(PRODUCT(Q21:Q24),3)</f>
        <v>1</v>
      </c>
      <c r="R25" s="1314">
        <f>ROUND(PRODUCT(R21:R24),3)</f>
        <v>1</v>
      </c>
      <c r="S25" s="1314">
        <f>ROUND(PRODUCT(S21:S24),3)</f>
        <v>1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 t="e">
        <f ca="1">ROUND(PRODUCT(AD22:AD24),0)</f>
        <v>#N/A</v>
      </c>
      <c r="AE25" s="248" t="e">
        <f>ROUND(PRODUCT(AE22:AE24),0)</f>
        <v>#N/A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IF(TC8_BLDG1!F20="Yes","Bldg","Available")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 t="e">
        <f ca="1">P20</f>
        <v>#N/A</v>
      </c>
      <c r="Q27" s="757" t="e">
        <f>Q20</f>
        <v>#N/A</v>
      </c>
      <c r="R27" s="757">
        <f>R20</f>
        <v>0</v>
      </c>
      <c r="S27" s="757">
        <f>S20</f>
        <v>5.5E-2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 t="e">
        <f ca="1">ROUND(PRODUCT(BP23:BP26),3)</f>
        <v>#N/A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 t="e">
        <f ca="1">IF($C$30="Yes",B31,ROUND(PRODUCT(P25:P27),3))</f>
        <v>#N/A</v>
      </c>
      <c r="Q28" s="1315" t="e">
        <f>IF($C$30="Yes",C31,ROUND(PRODUCT(Q25:Q27),3))</f>
        <v>#N/A</v>
      </c>
      <c r="R28" s="1484">
        <f>IF($C$30="Yes",B32,ROUND(PRODUCT(R25:R27),4))</f>
        <v>0</v>
      </c>
      <c r="S28" s="1315">
        <f>IF($C$30="Yes",C32,ROUND(PRODUCT(S25:S27),3))</f>
        <v>5.5E-2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 t="e">
        <f>ROUND(PRODUCT(AU20:AU27),3)</f>
        <v>#N/A</v>
      </c>
      <c r="AV28" s="247">
        <f>ROUND(PRODUCT(AV20:AV27),3)</f>
        <v>0</v>
      </c>
      <c r="AW28" s="247">
        <f>ROUND(PRODUCT(AW20:AW27),3)</f>
        <v>0.14399999999999999</v>
      </c>
      <c r="AY28" s="60" t="s">
        <v>1583</v>
      </c>
      <c r="BH28" s="301" t="s">
        <v>1389</v>
      </c>
      <c r="BI28" s="247">
        <f>ROUND(PRODUCT(BI19:BI27),3)</f>
        <v>2.1000000000000001E-2</v>
      </c>
      <c r="BJ28" s="247">
        <f>ROUND(PRODUCT(BJ19:BJ27),3)</f>
        <v>1.6E-2</v>
      </c>
      <c r="BK28" s="247">
        <f>ROUND(PRODUCT(BK19:BK27),3)</f>
        <v>5.5E-2</v>
      </c>
      <c r="BL28" s="247">
        <f>ROUND(PRODUCT(BL19:BL27),3)</f>
        <v>1.6E-2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 t="e">
        <f ca="1">ROUND(PRODUCT(BP27:BP28),0)</f>
        <v>#N/A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 t="e">
        <f ca="1">$P$28</f>
        <v>#N/A</v>
      </c>
      <c r="X30" s="1300" t="e">
        <f>$Q$28</f>
        <v>#N/A</v>
      </c>
      <c r="Y30" s="1300">
        <f>$R$28</f>
        <v>0</v>
      </c>
      <c r="Z30" s="1300">
        <f>$S$28</f>
        <v>5.5E-2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 t="e">
        <f>ROUND(PRODUCT(AU28:AU29),0)</f>
        <v>#N/A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0.21299999999999999</v>
      </c>
      <c r="C31" s="1455">
        <v>0.09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 t="e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#N/A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0.67200000000000004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0.57899999999999996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0.57899999999999996</v>
      </c>
      <c r="T31" s="299"/>
      <c r="U31" s="1288"/>
      <c r="V31" s="1117" t="s">
        <v>2152</v>
      </c>
      <c r="W31" s="247" t="e">
        <f>P$31</f>
        <v>#N/A</v>
      </c>
      <c r="X31" s="247">
        <f t="shared" ref="X31:Z31" si="2">Q$31</f>
        <v>0.67200000000000004</v>
      </c>
      <c r="Y31" s="247">
        <f t="shared" si="2"/>
        <v>0.57899999999999996</v>
      </c>
      <c r="Z31" s="247">
        <f t="shared" si="2"/>
        <v>0.57899999999999996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 t="e">
        <f>AU38</f>
        <v>#N/A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8.8999999999999996E-2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2500</v>
      </c>
      <c r="Q32" s="238">
        <f>IF(ISBLANK(C41),0,C41/100)</f>
        <v>2500</v>
      </c>
      <c r="R32" s="238">
        <f>IF(ISBLANK(C41),0,C41/100)</f>
        <v>2500</v>
      </c>
      <c r="S32" s="238">
        <f>IF(ISBLANK(C41),0,C41/100)</f>
        <v>2500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 t="e">
        <f>SUM(AU30:AU31)</f>
        <v>#N/A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1.38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NA</v>
      </c>
      <c r="C33" s="1201" t="str">
        <f>IF(ISTEXT(C35),VLOOKUP(C35,Table_G1_LC,3,0),"NA")</f>
        <v>NA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 t="e">
        <f ca="1">IF($C$30="Yes",ROUND(PRODUCT(P28,P32),0),ROUND(PRODUCT(P28,P31:P32),0))</f>
        <v>#N/A</v>
      </c>
      <c r="Q33" s="1481" t="e">
        <f>IF($C$30="Yes",ROUND(PRODUCT(Q28,Q32),0),ROUND(PRODUCT(Q28,Q31:Q32),0))</f>
        <v>#N/A</v>
      </c>
      <c r="R33" s="1481">
        <f>IF($C$30="Yes",ROUND(PRODUCT(R28,R32),0),ROUND(PRODUCT(R28,R31:R32),0))</f>
        <v>0</v>
      </c>
      <c r="S33" s="1481">
        <f>IF($C$30="Yes",ROUND(PRODUCT(S28,S32),0),ROUND(PRODUCT(S28,S31:S32),0))</f>
        <v>80</v>
      </c>
      <c r="U33" s="1293"/>
      <c r="V33" s="1303" t="s">
        <v>2161</v>
      </c>
      <c r="W33" s="1306" t="e">
        <f ca="1">ROUND(PRODUCT(W30:W32),0)</f>
        <v>#N/A</v>
      </c>
      <c r="X33" s="1306" t="e">
        <f>ROUND(PRODUCT(X30:X32),0)</f>
        <v>#N/A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1.38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 t="e">
        <f ca="1">P41</f>
        <v>#N/A</v>
      </c>
      <c r="Q34" s="185" t="e">
        <f>Q41</f>
        <v>#N/A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/>
      </c>
      <c r="C35" s="1114"/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 t="e">
        <f ca="1">SUM(P33:P34)</f>
        <v>#N/A</v>
      </c>
      <c r="Q35" s="248" t="e">
        <f>SUM(Q33:Q34)</f>
        <v>#N/A</v>
      </c>
      <c r="R35" s="248">
        <f>SUM(R33:R34)</f>
        <v>0</v>
      </c>
      <c r="S35" s="248">
        <f>SUM(S33:S34)</f>
        <v>80</v>
      </c>
      <c r="T35" s="235"/>
      <c r="U35" s="1288"/>
      <c r="V35" s="1291" t="s">
        <v>2162</v>
      </c>
      <c r="W35" s="1301" t="e">
        <f ca="1">SUM(W33:W34)</f>
        <v>#N/A</v>
      </c>
      <c r="X35" s="1301" t="e">
        <f>SUM(X33:X34)</f>
        <v>#N/A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1.38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>No</v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 t="e">
        <f>AU30</f>
        <v>#N/A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 t="e">
        <f ca="1">W33</f>
        <v>#N/A</v>
      </c>
      <c r="X38" s="1301" t="e">
        <f>X33</f>
        <v>#N/A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 t="e">
        <f>ROUND(PRODUCT(AU36:AU37),0)</f>
        <v>#N/A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 t="e">
        <f ca="1">P33</f>
        <v>#N/A</v>
      </c>
      <c r="Q39" s="248" t="e">
        <f>Q33</f>
        <v>#N/A</v>
      </c>
      <c r="R39" s="248">
        <f>R33</f>
        <v>0</v>
      </c>
      <c r="S39" s="248">
        <f>S33</f>
        <v>80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1.38</v>
      </c>
      <c r="BQ39" s="423"/>
      <c r="BR39" s="542"/>
      <c r="BS39" s="597" t="s">
        <v>1019</v>
      </c>
      <c r="BT39" s="279">
        <f>HLOOKUP(C11,Table_StateRates,5,FALSE)</f>
        <v>1.38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3.9E-2</v>
      </c>
      <c r="BQ40" s="559"/>
      <c r="BR40" s="423"/>
      <c r="BS40" s="810" t="s">
        <v>1134</v>
      </c>
      <c r="BT40" s="426">
        <f>ROUND(PRODUCT(BT35:BT39),3)</f>
        <v>3.9E-2</v>
      </c>
    </row>
    <row r="41" spans="1:72" ht="13.5" thickBot="1" x14ac:dyDescent="0.25">
      <c r="A41" s="203" t="s">
        <v>2112</v>
      </c>
      <c r="B41" s="104"/>
      <c r="C41" s="943">
        <v>250000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 t="e">
        <f ca="1">ROUND(PRODUCT(P39:P40),0)</f>
        <v>#N/A</v>
      </c>
      <c r="Q41" s="248" t="e">
        <f>ROUND(PRODUCT(Q39:Q40),0)</f>
        <v>#N/A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 t="e">
        <f>IF(OR(C28="S",C28="T"),1,VLOOKUP(C14,Table_ProtClass,IF(C15&lt;=3,2,3),FALSE))</f>
        <v>#N/A</v>
      </c>
      <c r="BQ41" s="426"/>
      <c r="BR41" s="423"/>
      <c r="BS41" s="906" t="s">
        <v>1178</v>
      </c>
      <c r="BT41" s="423" t="e">
        <f>IF(OR(C28="S",C28="T"),1,VLOOKUP(C14,Table_ProtClass,IF(C15&lt;=3,2,3),FALSE))</f>
        <v>#N/A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 t="e">
        <f>ROUND(PRODUCT(BT40:BT42),3)</f>
        <v>#N/A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 t="e">
        <f ca="1">$P$28</f>
        <v>#N/A</v>
      </c>
      <c r="X44" s="1300" t="e">
        <f>$Q$28</f>
        <v>#N/A</v>
      </c>
      <c r="Y44" s="1300">
        <f>$R$28</f>
        <v>0</v>
      </c>
      <c r="Z44" s="1300">
        <f>$S$28</f>
        <v>5.5E-2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 t="e">
        <f>P$31</f>
        <v>#N/A</v>
      </c>
      <c r="X45" s="247">
        <f t="shared" ref="X45:Z45" si="3">Q$31</f>
        <v>0.67200000000000004</v>
      </c>
      <c r="Y45" s="247">
        <f t="shared" si="3"/>
        <v>0.57899999999999996</v>
      </c>
      <c r="Z45" s="247">
        <f t="shared" si="3"/>
        <v>0.57899999999999996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 t="e">
        <f>ROUND(PRODUCT(BP40:BP44),3)</f>
        <v>#N/A</v>
      </c>
      <c r="BQ45" s="266"/>
      <c r="BR45" s="426"/>
      <c r="BS45" s="811" t="s">
        <v>1418</v>
      </c>
      <c r="BT45" s="812" t="e">
        <f>ROUND(PRODUCT(BT43:BT44),0)</f>
        <v>#N/A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2500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 t="e">
        <f ca="1">ROUND(PRODUCT(W44:W46),0)</f>
        <v>#N/A</v>
      </c>
      <c r="X47" s="1306" t="e">
        <f>ROUND(PRODUCT(X44:X46),0)</f>
        <v>#N/A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 t="e">
        <f>ROUND(PRODUCT(BP45:BP46),0)</f>
        <v>#N/A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 t="e">
        <f>IF(AND(C21="Yes",C24="Yes"),BP49,IF(AND(C21="Yes",C24="No"),B24,0))</f>
        <v>#N/A</v>
      </c>
      <c r="T49" s="266"/>
      <c r="U49" s="1288"/>
      <c r="V49" s="1291" t="s">
        <v>2164</v>
      </c>
      <c r="W49" s="1301" t="e">
        <f ca="1">SUM(W47:W48)</f>
        <v>#N/A</v>
      </c>
      <c r="X49" s="1301" t="e">
        <f>SUM(X47:X48)</f>
        <v>#N/A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 t="e">
        <f>SUM(BP47,BT45)</f>
        <v>#N/A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 t="e">
        <f ca="1">W47</f>
        <v>#N/A</v>
      </c>
      <c r="X52" s="1301" t="e">
        <f>X47</f>
        <v>#N/A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 t="e">
        <f ca="1">SUM(I16:L16,I38,I46,I52)</f>
        <v>#N/A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 t="e">
        <f ca="1">SUM(I54,I49)</f>
        <v>#N/A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250000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92" priority="15" stopIfTrue="1">
      <formula>IF($C$24="Yes",FALSE,TRUE)</formula>
    </cfRule>
  </conditionalFormatting>
  <conditionalFormatting sqref="C18">
    <cfRule type="expression" dxfId="91" priority="13">
      <formula>IF($C$12="SP",TRUE,FALSE)</formula>
    </cfRule>
    <cfRule type="expression" dxfId="90" priority="14">
      <formula>IF($C$12="SP",TRUE,FALSE)</formula>
    </cfRule>
  </conditionalFormatting>
  <conditionalFormatting sqref="A18">
    <cfRule type="expression" dxfId="89" priority="12">
      <formula>IF($C$12="SP",TRUE,FALSE)</formula>
    </cfRule>
  </conditionalFormatting>
  <conditionalFormatting sqref="B21">
    <cfRule type="expression" dxfId="88" priority="9">
      <formula>IF($C$21="Yes",TRUE,FALSE)</formula>
    </cfRule>
  </conditionalFormatting>
  <conditionalFormatting sqref="C32">
    <cfRule type="expression" dxfId="87" priority="2">
      <formula>IF(AND($C$30="Yes",$C$12="BR"),TRUE,FALSE)</formula>
    </cfRule>
  </conditionalFormatting>
  <conditionalFormatting sqref="B32">
    <cfRule type="expression" dxfId="86" priority="1">
      <formula>IF(AND($C$30="Yes",$C$12="SP"),TRUE,FALSE)</formula>
    </cfRule>
  </conditionalFormatting>
  <conditionalFormatting sqref="B31:C31">
    <cfRule type="expression" dxfId="85" priority="3">
      <formula>IF($C$30="Yes",TRUE,FALSE)</formula>
    </cfRule>
  </conditionalFormatting>
  <dataValidations count="111"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type="custom" allowBlank="1" showInputMessage="1" showErrorMessage="1" prompt="Spoilage Loss Cost Column Reference" sqref="F37">
      <formula1>FALSE</formula1>
    </dataValidation>
    <dataValidation type="custom" allowBlank="1" showInputMessage="1" showErrorMessage="1" prompt="Lookup Value for Spoil Coverage Loss Cost Table" sqref="F33">
      <formula1>FALSE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Spoilage Coverage" prompt="Please Select:_x000a_{ Yes or No }" sqref="F32">
      <formula1>List_YN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custom" allowBlank="1" showInputMessage="1" showErrorMessage="1" prompt="EQ Table Lookup Value" sqref="F54:F5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Personal Property Lookup Value" sqref="F45">
      <formula1>FALSE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allowBlank="1" showInputMessage="1" showErrorMessage="1" promptTitle="Occupancy Type Description" prompt="Displays the description of the choice made in the cell to the left.  " sqref="B38 B33"/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custom" allowBlank="1" showInputMessage="1" showErrorMessage="1" errorTitle="Do Not Touch" error="This is used to generate the Coinsurance rate." sqref="B58 E62">
      <formula1>FALSE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V67"/>
  <sheetViews>
    <sheetView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4.140625" style="2" customWidth="1"/>
    <col min="3" max="3" width="13.5703125" style="2" customWidth="1"/>
    <col min="4" max="4" width="27.42578125" style="2" customWidth="1"/>
    <col min="5" max="5" width="11.85546875" style="2" customWidth="1"/>
    <col min="6" max="6" width="12.5703125" style="2" customWidth="1"/>
    <col min="7" max="7" width="9.140625" style="2"/>
    <col min="8" max="8" width="38.7109375" style="2" customWidth="1"/>
    <col min="9" max="12" width="12.85546875" style="2" customWidth="1"/>
    <col min="13" max="13" width="8.140625" style="2" customWidth="1"/>
    <col min="14" max="14" width="18.140625" style="2" customWidth="1"/>
    <col min="15" max="15" width="23" style="2" customWidth="1"/>
    <col min="16" max="19" width="11.42578125" style="2" customWidth="1"/>
    <col min="20" max="20" width="9.140625" style="2"/>
    <col min="21" max="21" width="18.140625" style="2" customWidth="1"/>
    <col min="22" max="22" width="23" style="2" customWidth="1"/>
    <col min="23" max="26" width="11.42578125" style="2" customWidth="1"/>
    <col min="27" max="27" width="9.140625" style="2"/>
    <col min="28" max="28" width="18.140625" style="2" customWidth="1"/>
    <col min="29" max="29" width="23" style="2" customWidth="1"/>
    <col min="30" max="30" width="11.42578125" style="2" customWidth="1"/>
    <col min="31" max="31" width="8.28515625" style="2" customWidth="1"/>
    <col min="32" max="32" width="17.42578125" style="2" customWidth="1"/>
    <col min="33" max="33" width="20.7109375" style="2" customWidth="1"/>
    <col min="34" max="34" width="12.140625" style="2" customWidth="1"/>
    <col min="35" max="35" width="4.7109375" style="2" customWidth="1"/>
    <col min="36" max="36" width="19.42578125" style="2" customWidth="1"/>
    <col min="37" max="37" width="26" style="2" customWidth="1"/>
    <col min="38" max="41" width="13.140625" style="2" customWidth="1"/>
    <col min="42" max="42" width="9.140625" style="2"/>
    <col min="43" max="43" width="34.28515625" style="2" customWidth="1"/>
    <col min="44" max="44" width="23.7109375" style="2" customWidth="1"/>
    <col min="45" max="45" width="14.28515625" style="2" customWidth="1"/>
    <col min="46" max="46" width="5.7109375" style="2" customWidth="1"/>
    <col min="47" max="16384" width="9.140625" style="2"/>
  </cols>
  <sheetData>
    <row r="1" spans="1:46" ht="19.5" customHeight="1" thickBot="1" x14ac:dyDescent="0.25">
      <c r="A1" s="99" t="s">
        <v>834</v>
      </c>
      <c r="B1" s="94"/>
      <c r="C1" s="94"/>
      <c r="D1" s="525"/>
      <c r="E1" s="525"/>
      <c r="F1" s="106" t="s">
        <v>840</v>
      </c>
      <c r="H1" s="1594" t="s">
        <v>1756</v>
      </c>
      <c r="I1" s="1595"/>
      <c r="J1" s="1595"/>
      <c r="K1" s="1595"/>
      <c r="L1" s="1596"/>
      <c r="N1" s="60" t="s">
        <v>977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1602" t="s">
        <v>675</v>
      </c>
      <c r="AC1" s="1603"/>
      <c r="AD1" s="1603"/>
      <c r="AE1" s="1603"/>
      <c r="AF1" s="1603"/>
      <c r="AG1" s="1603"/>
      <c r="AH1" s="1604"/>
      <c r="AI1" s="814"/>
      <c r="AJ1" s="60"/>
      <c r="AL1" s="235" t="s">
        <v>1012</v>
      </c>
      <c r="AM1" s="235" t="s">
        <v>1013</v>
      </c>
      <c r="AN1" s="235" t="s">
        <v>838</v>
      </c>
      <c r="AO1" s="235" t="s">
        <v>837</v>
      </c>
      <c r="AQ1" s="1617" t="s">
        <v>949</v>
      </c>
      <c r="AR1" s="1617"/>
      <c r="AS1" s="1617"/>
      <c r="AT1" s="385"/>
    </row>
    <row r="2" spans="1:46" ht="12.75" customHeight="1" thickBot="1" x14ac:dyDescent="0.25">
      <c r="A2" s="529" t="s">
        <v>1832</v>
      </c>
      <c r="B2" s="530"/>
      <c r="C2" s="5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1611</v>
      </c>
      <c r="AB2" s="814"/>
      <c r="AC2" s="814"/>
      <c r="AD2" s="814"/>
      <c r="AE2" s="814"/>
      <c r="AF2" s="814"/>
      <c r="AG2" s="814"/>
      <c r="AH2" s="814"/>
      <c r="AI2" s="814"/>
      <c r="AJ2" s="60" t="s">
        <v>550</v>
      </c>
      <c r="AL2" s="235"/>
      <c r="AM2" s="235"/>
      <c r="AN2" s="235"/>
      <c r="AO2" s="235"/>
      <c r="AT2" s="385"/>
    </row>
    <row r="3" spans="1:46" ht="13.5" thickBot="1" x14ac:dyDescent="0.25">
      <c r="A3" s="744" t="s">
        <v>195</v>
      </c>
      <c r="B3" s="745" t="str">
        <f>IF(C3="Building","B",IF(C3="Pers Pty","PP","None"))</f>
        <v>B</v>
      </c>
      <c r="C3" s="978" t="str">
        <f>IF(AND(TC8_BLDG1!C27="Yes",TC8_PP1!C27="Yes"),"Building",IF(AND(TC8_BLDG1!C27="No",TC8_PP1!C27="Yes"),"Pers Pty",IF(AND(TC8_BLDG1!C27="Yes",TC8_PP1!C27="No"),"Building","Neither")))</f>
        <v>Building</v>
      </c>
      <c r="D3" s="203" t="s">
        <v>1</v>
      </c>
      <c r="E3" s="820" t="str">
        <f>IF(TC8_EE1!F3="Yes","EE","Available")</f>
        <v>Available</v>
      </c>
      <c r="F3" s="1070" t="s">
        <v>857</v>
      </c>
      <c r="H3" s="1273">
        <f>Summary8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1546</v>
      </c>
      <c r="W3" s="247">
        <f>B29</f>
        <v>0.126</v>
      </c>
      <c r="X3" s="2">
        <f>C29</f>
        <v>4.2000000000000003E-2</v>
      </c>
      <c r="Y3" s="2">
        <f>IF(C12="SP",VLOOKUP(B13,Table_Time_Special,E4,FALSE),0)</f>
        <v>4.3999999999999997E-2</v>
      </c>
      <c r="Z3" s="2">
        <f>HLOOKUP(B12,Table_BroadTime,IF(F5="Yes",3,2),FALSE)</f>
        <v>1.0999999999999999E-2</v>
      </c>
      <c r="AB3" s="60" t="s">
        <v>682</v>
      </c>
      <c r="AD3" s="235"/>
      <c r="AE3" s="235"/>
      <c r="AF3" s="60" t="s">
        <v>683</v>
      </c>
      <c r="AH3" s="235"/>
      <c r="AI3" s="235"/>
      <c r="AJ3" s="146"/>
      <c r="AK3" s="545" t="s">
        <v>1049</v>
      </c>
      <c r="AL3" s="146">
        <f>VLOOKUP(1,Table_Time_Utility,2,FALSE)</f>
        <v>2.1999999999999999E-2</v>
      </c>
      <c r="AM3" s="146">
        <f>VLOOKUP(1,Table_Time_Utility,3,FALSE)</f>
        <v>1.0999999999999999E-2</v>
      </c>
      <c r="AN3" s="146">
        <f>VLOOKUP(1,Table_Time_Utility,5,FALSE)</f>
        <v>1.9E-2</v>
      </c>
      <c r="AO3" s="563">
        <f>VLOOKUP(1,Table_Time_Utility,4,FALSE)</f>
        <v>6.0000000000000001E-3</v>
      </c>
      <c r="AQ3" s="154" t="s">
        <v>950</v>
      </c>
      <c r="AR3" s="86"/>
      <c r="AS3" s="156" t="s">
        <v>951</v>
      </c>
      <c r="AT3" s="385"/>
    </row>
    <row r="4" spans="1:46" x14ac:dyDescent="0.2">
      <c r="A4" s="120" t="s">
        <v>1024</v>
      </c>
      <c r="B4" s="95"/>
      <c r="C4" s="818" t="str">
        <f>IF(B3="B",TC8_BLDG1!C3,IF(B3="PP",TC8_PP1!C3,""))</f>
        <v>CT</v>
      </c>
      <c r="D4" s="107" t="s">
        <v>961</v>
      </c>
      <c r="E4" s="887">
        <f>IF(C12&lt;&gt;"SP","N/A",IF(F5="Yes",3,2))</f>
        <v>2</v>
      </c>
      <c r="F4" s="962">
        <v>500000</v>
      </c>
      <c r="H4" s="82"/>
      <c r="I4" s="189"/>
      <c r="J4" s="4"/>
      <c r="K4" s="4"/>
      <c r="L4" s="4"/>
      <c r="N4" s="146"/>
      <c r="O4" s="83" t="s">
        <v>2166</v>
      </c>
      <c r="P4" s="1418">
        <f>PRODUCT(P2:P3)</f>
        <v>2.6219999999999999</v>
      </c>
      <c r="Q4" s="1418">
        <f>PRODUCT(Q2:Q3)</f>
        <v>2.6219999999999999</v>
      </c>
      <c r="R4" s="1418">
        <f>PRODUCT(R2:R3)</f>
        <v>2.6219999999999999</v>
      </c>
      <c r="S4" s="1418">
        <f>PRODUCT(S2:S3)</f>
        <v>2.6219999999999999</v>
      </c>
      <c r="V4" s="168" t="s">
        <v>970</v>
      </c>
      <c r="W4" s="207">
        <f>IF(B32="Yes",DF_Sprinkler50,1)</f>
        <v>1</v>
      </c>
      <c r="X4" s="207">
        <v>1</v>
      </c>
      <c r="Y4" s="207">
        <v>1</v>
      </c>
      <c r="Z4" s="207">
        <v>1</v>
      </c>
      <c r="AB4" s="266"/>
      <c r="AC4" s="268" t="s">
        <v>1749</v>
      </c>
      <c r="AD4" s="426" t="e">
        <f>IF(F56="Yes",VLOOKUP(F58,Table_EQ_LC,3,FALSE),0)</f>
        <v>#N/A</v>
      </c>
      <c r="AE4" s="266"/>
      <c r="AF4" s="266"/>
      <c r="AG4" s="268" t="s">
        <v>1752</v>
      </c>
      <c r="AH4" s="426">
        <f>IF(F60="Yes",VLOOKUP(E61,Table_Other_PierWharf,6,FALSE),0)</f>
        <v>0</v>
      </c>
      <c r="AI4" s="426"/>
      <c r="AJ4" s="185"/>
      <c r="AK4" s="186" t="s">
        <v>1050</v>
      </c>
      <c r="AL4" s="238">
        <f>F48</f>
        <v>0</v>
      </c>
      <c r="AM4" s="238">
        <f>F48</f>
        <v>0</v>
      </c>
      <c r="AN4" s="238">
        <f>F48</f>
        <v>0</v>
      </c>
      <c r="AO4" s="785">
        <f>F48</f>
        <v>0</v>
      </c>
      <c r="AQ4" s="686" t="s">
        <v>1715</v>
      </c>
      <c r="AS4" s="155">
        <f>IF(AS23&lt;-0.05,-0.05,IF(AS23&gt;0.05,0.05,AS23))</f>
        <v>0</v>
      </c>
      <c r="AT4" s="385"/>
    </row>
    <row r="5" spans="1:46" x14ac:dyDescent="0.2">
      <c r="A5" s="120" t="s">
        <v>1828</v>
      </c>
      <c r="B5" s="729">
        <f>IF(B3="B",TC8_BLDG1!B4,IF(B3="PP",TC8_PP1!B4,""))</f>
        <v>0</v>
      </c>
      <c r="C5" s="818">
        <f>IF(B3="B",TC8_BLDG1!C4,IF(B3="PP",TC8_PP1!C4,""))</f>
        <v>0</v>
      </c>
      <c r="D5" s="124" t="s">
        <v>1218</v>
      </c>
      <c r="E5" s="888">
        <f>IF(F5="Yes",2,3)</f>
        <v>3</v>
      </c>
      <c r="F5" s="962" t="s">
        <v>857</v>
      </c>
      <c r="H5" s="483" t="s">
        <v>977</v>
      </c>
      <c r="I5" s="484">
        <f>IF(F3="Yes",P38,0)</f>
        <v>0</v>
      </c>
      <c r="J5" s="484">
        <f>IF(F3="Yes",Q38,0)</f>
        <v>0</v>
      </c>
      <c r="K5" s="484">
        <f>IF(AND(C12="SP",F3="Yes"),R38,0)</f>
        <v>0</v>
      </c>
      <c r="L5" s="484">
        <f>IF(AND(C12="BR",F3="Yes"),S38,0)</f>
        <v>0</v>
      </c>
      <c r="O5" s="168" t="str">
        <f>C3&amp;" - Loss Cost"</f>
        <v>Building - Loss Cost</v>
      </c>
      <c r="P5" s="247">
        <f>B29</f>
        <v>0.126</v>
      </c>
      <c r="Q5" s="2">
        <f>C29</f>
        <v>4.2000000000000003E-2</v>
      </c>
      <c r="R5" s="247">
        <f>IF(C12="SP",VLOOKUP(B13,Table_Time_Special,E4,FALSE),0)</f>
        <v>4.3999999999999997E-2</v>
      </c>
      <c r="S5" s="2">
        <f>HLOOKUP(B12,Table_BroadTime,IF(F5="Yes",3,2),FALSE)</f>
        <v>1.0999999999999999E-2</v>
      </c>
      <c r="U5" s="185"/>
      <c r="V5" s="186" t="s">
        <v>971</v>
      </c>
      <c r="W5" s="208">
        <f>HLOOKUP(C11,Table_StateRates,6,FALSE)</f>
        <v>1.9</v>
      </c>
      <c r="X5" s="208">
        <f>HLOOKUP(C11,Table_StateRates,6,FALSE)</f>
        <v>1.9</v>
      </c>
      <c r="Y5" s="208">
        <f>HLOOKUP(C11,Table_StateRates,6,FALSE)</f>
        <v>1.9</v>
      </c>
      <c r="Z5" s="208">
        <f>HLOOKUP(C11,Table_StateRates,6,FALSE)</f>
        <v>1.9</v>
      </c>
      <c r="AB5" s="542"/>
      <c r="AC5" s="724" t="s">
        <v>1750</v>
      </c>
      <c r="AD5" s="757">
        <f>IF(F56="Yes",VLOOKUP(F57,Table_EQ_SprLkgExt,4,FALSE),0)</f>
        <v>0.21</v>
      </c>
      <c r="AE5" s="558"/>
      <c r="AF5" s="558"/>
      <c r="AG5" s="755" t="s">
        <v>971</v>
      </c>
      <c r="AH5" s="558">
        <f>HLOOKUP(C11,Table_StateRates,6,FALSE)</f>
        <v>1.9</v>
      </c>
      <c r="AI5" s="558"/>
      <c r="AJ5" s="146"/>
      <c r="AK5" s="301" t="s">
        <v>1051</v>
      </c>
      <c r="AL5" s="146">
        <f>ROUND(PRODUCT(AL3:AL4),3)</f>
        <v>0</v>
      </c>
      <c r="AM5" s="146">
        <f>ROUND(PRODUCT(AM3:AM4),3)</f>
        <v>0</v>
      </c>
      <c r="AN5" s="146">
        <f>ROUND(PRODUCT(AN3:AN4),3)</f>
        <v>0</v>
      </c>
      <c r="AO5" s="146">
        <f>ROUND(PRODUCT(AO3:AO4),3)</f>
        <v>0</v>
      </c>
      <c r="AQ5" s="151" t="s">
        <v>1714</v>
      </c>
      <c r="AS5" s="155">
        <f>IF(AS24&lt;-0.06,-0.06,IF(AS24&gt;0.06,0.06,AS24))</f>
        <v>0</v>
      </c>
      <c r="AT5" s="385"/>
    </row>
    <row r="6" spans="1:46" x14ac:dyDescent="0.2">
      <c r="A6" s="120"/>
      <c r="B6" s="95"/>
      <c r="C6" s="1047"/>
      <c r="D6" s="84" t="s">
        <v>1227</v>
      </c>
      <c r="E6" s="193"/>
      <c r="F6" s="962" t="s">
        <v>857</v>
      </c>
      <c r="H6" s="83"/>
      <c r="I6" s="248"/>
      <c r="J6" s="260"/>
      <c r="K6" s="260"/>
      <c r="L6" s="260"/>
      <c r="O6" s="168" t="s">
        <v>972</v>
      </c>
      <c r="P6" s="207">
        <f>IF(OR(C27="S",C27="T"),1,VLOOKUP(C14,Table_ProtClass,IF(C15&lt;=3,2,3),FALSE)) - IF(AND(C33=1,ISNUMBER(B31),P11=1),B31,0)</f>
        <v>0.96</v>
      </c>
      <c r="Q6" s="207">
        <v>1</v>
      </c>
      <c r="R6" s="207">
        <v>1</v>
      </c>
      <c r="S6" s="207">
        <v>1</v>
      </c>
      <c r="V6" s="83" t="s">
        <v>1134</v>
      </c>
      <c r="W6" s="247">
        <f>ROUND(PRODUCT(W3:W5),3)</f>
        <v>0.23899999999999999</v>
      </c>
      <c r="X6" s="247">
        <f>ROUND(PRODUCT(X3:X5),3)</f>
        <v>0.08</v>
      </c>
      <c r="Y6" s="247">
        <f>ROUND(PRODUCT(Y3:Y5),3)</f>
        <v>8.4000000000000005E-2</v>
      </c>
      <c r="Z6" s="247">
        <f>ROUND(PRODUCT(Z3:Z5),3)</f>
        <v>2.1000000000000001E-2</v>
      </c>
      <c r="AB6" s="266"/>
      <c r="AC6" s="568" t="s">
        <v>1751</v>
      </c>
      <c r="AD6" s="426" t="e">
        <f>PRODUCT(AD4:AD5)</f>
        <v>#N/A</v>
      </c>
      <c r="AE6" s="266"/>
      <c r="AF6" s="266"/>
      <c r="AG6" s="268" t="s">
        <v>1019</v>
      </c>
      <c r="AH6" s="423">
        <f>HLOOKUP(C11,Table_StateRates,5,FALSE)</f>
        <v>1.38</v>
      </c>
      <c r="AI6" s="423"/>
      <c r="AK6" s="168" t="s">
        <v>971</v>
      </c>
      <c r="AL6" s="207">
        <f>HLOOKUP(C11,Table_StateRates,6,FALSE)</f>
        <v>1.9</v>
      </c>
      <c r="AM6" s="207">
        <f>HLOOKUP(C11,Table_StateRates,6,FALSE)</f>
        <v>1.9</v>
      </c>
      <c r="AN6" s="207">
        <f>HLOOKUP(C11,Table_StateRates,6,FALSE)</f>
        <v>1.9</v>
      </c>
      <c r="AO6" s="207">
        <f>HLOOKUP(C11,Table_StateRates,6,FALSE)</f>
        <v>1.9</v>
      </c>
      <c r="AQ6" s="8" t="s">
        <v>1716</v>
      </c>
      <c r="AS6" s="155">
        <f>IF(AS25&lt;-0.06,-0.06,IF(AS25&gt;0.06,0.06,AS25))</f>
        <v>0</v>
      </c>
      <c r="AT6" s="385"/>
    </row>
    <row r="7" spans="1:46" ht="13.5" thickBot="1" x14ac:dyDescent="0.25">
      <c r="A7" s="120" t="s">
        <v>969</v>
      </c>
      <c r="B7" s="95"/>
      <c r="C7" s="1079" t="str">
        <f>IF(B3="B",TC8_BLDG1!C6,IF(B3="PP",TC8_PP1!C6,""))</f>
        <v>CPP</v>
      </c>
      <c r="D7" s="84" t="s">
        <v>1222</v>
      </c>
      <c r="E7" s="103"/>
      <c r="F7" s="962">
        <v>100</v>
      </c>
      <c r="H7" s="83"/>
      <c r="I7" s="248"/>
      <c r="J7" s="260"/>
      <c r="K7" s="260"/>
      <c r="L7" s="260"/>
      <c r="N7" s="185"/>
      <c r="O7" s="186" t="s">
        <v>970</v>
      </c>
      <c r="P7" s="208">
        <f>IF(C32="Yes",DF_Sprinkler50,1)</f>
        <v>1</v>
      </c>
      <c r="Q7" s="208">
        <v>1</v>
      </c>
      <c r="R7" s="208">
        <f>IF(C32="Yes",DF_Sprinkler50,1)</f>
        <v>1</v>
      </c>
      <c r="S7" s="208">
        <v>1</v>
      </c>
      <c r="U7" s="185"/>
      <c r="V7" s="186" t="s">
        <v>1253</v>
      </c>
      <c r="W7" s="455">
        <f>IF(OR(ISBLANK(F7),F7="None"),1,IF(E8="Yes",F14,VLOOKUP(F7,IF(F5="Yes",Table_BI_CoIns_EE,Table_BI_CoIns),F8+1,FALSE)+P18))</f>
        <v>0.54</v>
      </c>
      <c r="X7" s="455">
        <f>IF(OR(ISBLANK(F7),F7="None"),1,IF(E8="Yes",F14,VLOOKUP(F7,IF(F5="Yes",Table_BI_CoIns_EE,Table_BI_CoIns),F8+1,FALSE)+X18))</f>
        <v>0.54</v>
      </c>
      <c r="Y7" s="208">
        <v>1</v>
      </c>
      <c r="Z7" s="208">
        <v>1</v>
      </c>
      <c r="AB7" s="558"/>
      <c r="AC7" s="755" t="s">
        <v>971</v>
      </c>
      <c r="AD7" s="558">
        <f>HLOOKUP(C11,Table_StateRates,6,FALSE)</f>
        <v>1.9</v>
      </c>
      <c r="AE7" s="266"/>
      <c r="AF7" s="266"/>
      <c r="AG7" s="268"/>
      <c r="AH7" s="423"/>
      <c r="AI7" s="423"/>
      <c r="AK7" s="168" t="s">
        <v>1019</v>
      </c>
      <c r="AL7" s="207">
        <f>HLOOKUP(C11,Table_StateRates,5,FALSE)</f>
        <v>1.38</v>
      </c>
      <c r="AM7" s="207">
        <f>HLOOKUP(C11,Table_StateRates,5,FALSE)</f>
        <v>1.38</v>
      </c>
      <c r="AN7" s="207">
        <f>HLOOKUP(C11,Table_StateRates,5,FALSE)</f>
        <v>1.38</v>
      </c>
      <c r="AO7" s="207">
        <f>HLOOKUP(C11,Table_StateRates,5,FALSE)</f>
        <v>1.38</v>
      </c>
      <c r="AQ7" s="8" t="s">
        <v>1717</v>
      </c>
      <c r="AS7" s="155">
        <f>IF(AS26&lt;-0.1,-0.1,IF(AS26&gt;0.1,0.1,AS26))</f>
        <v>0</v>
      </c>
      <c r="AT7" s="385"/>
    </row>
    <row r="8" spans="1:46" ht="13.5" thickBot="1" x14ac:dyDescent="0.25">
      <c r="A8" s="143" t="s">
        <v>923</v>
      </c>
      <c r="B8" s="1236" t="str">
        <f>IF(B3="B",TC8_BLDG1!B7,IF(B3="PP",TC8_PP1!B7,""))</f>
        <v>No</v>
      </c>
      <c r="C8" s="1047"/>
      <c r="D8" s="84" t="s">
        <v>1205</v>
      </c>
      <c r="E8" s="479" t="s">
        <v>857</v>
      </c>
      <c r="F8" s="1237">
        <v>1</v>
      </c>
      <c r="H8" s="82" t="s">
        <v>1661</v>
      </c>
      <c r="I8" s="248"/>
      <c r="J8" s="260"/>
      <c r="K8" s="260"/>
      <c r="L8" s="260"/>
      <c r="O8" s="83" t="str">
        <f>C3&amp; " Base Rate"</f>
        <v>Building Base Rate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0.115</v>
      </c>
      <c r="S8" s="1315">
        <f>ROUND(PRODUCT(S4:S7),3)</f>
        <v>2.9000000000000001E-2</v>
      </c>
      <c r="V8" s="83" t="s">
        <v>16</v>
      </c>
      <c r="W8" s="247">
        <f>ROUND(PRODUCT(W6:W7),3)</f>
        <v>0.129</v>
      </c>
      <c r="X8" s="247">
        <f>ROUND(PRODUCT(X6:X7),3)</f>
        <v>4.2999999999999997E-2</v>
      </c>
      <c r="Y8" s="247">
        <f>ROUND(PRODUCT(Y6:Y7),3)</f>
        <v>8.4000000000000005E-2</v>
      </c>
      <c r="Z8" s="247">
        <f>ROUND(PRODUCT(Z6:Z7),3)</f>
        <v>2.1000000000000001E-2</v>
      </c>
      <c r="AB8" s="266"/>
      <c r="AC8" s="268" t="s">
        <v>1253</v>
      </c>
      <c r="AD8" s="423">
        <f>IF(F17="Yes", P17, IF(F18="Yes",P19,P16))</f>
        <v>0.54</v>
      </c>
      <c r="AE8" s="266"/>
      <c r="AF8" s="266"/>
      <c r="AG8" s="268"/>
      <c r="AH8" s="423"/>
      <c r="AI8" s="423"/>
      <c r="AK8" s="168" t="s">
        <v>180</v>
      </c>
      <c r="AL8" s="207">
        <v>1</v>
      </c>
      <c r="AM8" s="207">
        <v>1</v>
      </c>
      <c r="AN8" s="207">
        <v>1</v>
      </c>
      <c r="AO8" s="207">
        <v>1</v>
      </c>
      <c r="AQ8" s="687" t="s">
        <v>1718</v>
      </c>
      <c r="AS8" s="155">
        <f>IF(AS27&lt;-0.06,-0.06,IF(AS27&gt;0.06,0.06,AS27))</f>
        <v>0</v>
      </c>
      <c r="AT8" s="385"/>
    </row>
    <row r="9" spans="1:46" x14ac:dyDescent="0.2">
      <c r="A9" s="120"/>
      <c r="B9" s="95"/>
      <c r="C9" s="1047"/>
      <c r="D9" s="488" t="str">
        <f>IF(F3="No","",IF(E8="Yes","Please Select the 2 Occ. Types below","Select 1 Occ. Type in Cell F8"))</f>
        <v/>
      </c>
      <c r="E9" s="487"/>
      <c r="F9" s="533"/>
      <c r="H9" s="189" t="s">
        <v>1826</v>
      </c>
      <c r="I9" s="258">
        <f>IF($F37="Yes",W34,0)</f>
        <v>0</v>
      </c>
      <c r="J9" s="258">
        <f>IF($F37="Yes",X34,0)</f>
        <v>0</v>
      </c>
      <c r="K9" s="258">
        <f>IF($F37="Yes",Y34,0)</f>
        <v>0</v>
      </c>
      <c r="L9" s="258">
        <f>IF(AND(F37="Yes",C12="BR"),Z34,0)</f>
        <v>0</v>
      </c>
      <c r="O9" s="168" t="s">
        <v>1100</v>
      </c>
      <c r="P9" s="207">
        <f>IF(C31="Yes",IF(B31&lt;&gt;"Sprinkler",1,VLOOKUP(C15,Table_SprLkg,IF(B3="B",2,3),FALSE)),1)</f>
        <v>1</v>
      </c>
      <c r="Q9" s="207">
        <v>1</v>
      </c>
      <c r="R9" s="207">
        <v>1</v>
      </c>
      <c r="S9" s="207">
        <v>1</v>
      </c>
      <c r="V9" s="189" t="s">
        <v>1496</v>
      </c>
      <c r="W9" s="207">
        <v>1</v>
      </c>
      <c r="X9" s="247">
        <f>IF(C34="Yes",VLOOKUP(C15,Table_Construction,3,FALSE),1)</f>
        <v>1</v>
      </c>
      <c r="Y9" s="207">
        <v>1</v>
      </c>
      <c r="Z9" s="207">
        <v>1</v>
      </c>
      <c r="AB9" s="266"/>
      <c r="AC9" s="268" t="s">
        <v>1573</v>
      </c>
      <c r="AD9" s="423">
        <f>IF(F28="Yes",VLOOKUP(E29,Table_CivilAuth,2,FALSE),1)</f>
        <v>1</v>
      </c>
      <c r="AE9" s="266"/>
      <c r="AF9" s="266"/>
      <c r="AG9" s="268" t="s">
        <v>180</v>
      </c>
      <c r="AH9" s="423">
        <f>1+$AU$25</f>
        <v>1</v>
      </c>
      <c r="AI9" s="423"/>
      <c r="AJ9" s="146"/>
      <c r="AK9" s="545" t="s">
        <v>1020</v>
      </c>
      <c r="AL9" s="299">
        <f>IF(C7="PAC",VLOOKUP(B8,Table_PakMods,MATCH(C11,List_Company,0)+1,FALSE),1)</f>
        <v>1</v>
      </c>
      <c r="AM9" s="299">
        <f>IF(C7="PAC",VLOOKUP(B8,Table_PakMods,MATCH(C11,List_Company,0)+1,FALSE),1)</f>
        <v>1</v>
      </c>
      <c r="AN9" s="299">
        <f>IF(C7="PAC",VLOOKUP(B8,Table_PakMods,MATCH(C11,List_Company,0)+1,FALSE),1)</f>
        <v>1</v>
      </c>
      <c r="AO9" s="299">
        <f>IF(C7="PAC",VLOOKUP(B8,Table_PakMods,MATCH(C11,List_Company,0)+1,FALSE),1)</f>
        <v>1</v>
      </c>
      <c r="AQ9" s="153" t="s">
        <v>1719</v>
      </c>
      <c r="AS9" s="155">
        <f>IF(AS28&lt;-0.025,-0.025,IF(AS28&gt;0.025,0.025,AS28))</f>
        <v>0</v>
      </c>
      <c r="AT9" s="385"/>
    </row>
    <row r="10" spans="1:46" x14ac:dyDescent="0.2">
      <c r="A10" s="120" t="s">
        <v>1829</v>
      </c>
      <c r="B10" s="95"/>
      <c r="C10" s="818">
        <f>IF(B3="B",TC8_BLDG1!C9,IF(B3="PP",TC8_PP1!C9,""))</f>
        <v>1</v>
      </c>
      <c r="D10" s="159" t="s">
        <v>1662</v>
      </c>
      <c r="E10" s="961" t="s">
        <v>857</v>
      </c>
      <c r="F10" s="962" t="s">
        <v>857</v>
      </c>
      <c r="H10" s="82"/>
      <c r="I10" s="248"/>
      <c r="J10" s="248"/>
      <c r="K10" s="248"/>
      <c r="L10" s="248"/>
      <c r="O10" s="236" t="s">
        <v>1099</v>
      </c>
      <c r="P10" s="281">
        <f>C33</f>
        <v>0</v>
      </c>
      <c r="Q10" s="211">
        <v>1</v>
      </c>
      <c r="R10" s="211">
        <v>1</v>
      </c>
      <c r="S10" s="211">
        <v>1</v>
      </c>
      <c r="V10" s="168" t="s">
        <v>972</v>
      </c>
      <c r="W10" s="207">
        <f>IF(OR(C27="S",C27="T"),1,VLOOKUP(C14,Table_ProtClass,IF(C15&lt;=3,2,3),FALSE)) - IF(AND(C33=1,ISNUMBER(B31),W11=1),B31,0)</f>
        <v>0.96</v>
      </c>
      <c r="X10" s="207">
        <v>1</v>
      </c>
      <c r="Y10" s="207">
        <v>1</v>
      </c>
      <c r="Z10" s="207">
        <v>1</v>
      </c>
      <c r="AB10" s="266"/>
      <c r="AC10" s="268" t="s">
        <v>180</v>
      </c>
      <c r="AD10" s="423">
        <f>1+$AU$25</f>
        <v>1</v>
      </c>
      <c r="AE10" s="266"/>
      <c r="AF10" s="266"/>
      <c r="AG10" s="545" t="s">
        <v>1020</v>
      </c>
      <c r="AH10" s="299">
        <f>IF(C7="PAC",VLOOKUP(B8,Table_PakMods,MATCH(C11,List_Company,0)+1,FALSE),1)</f>
        <v>1</v>
      </c>
      <c r="AI10" s="299"/>
      <c r="AJ10" s="542"/>
      <c r="AK10" s="724" t="s">
        <v>1022</v>
      </c>
      <c r="AL10" s="279">
        <v>1</v>
      </c>
      <c r="AM10" s="279">
        <v>1</v>
      </c>
      <c r="AN10" s="279">
        <v>1</v>
      </c>
      <c r="AO10" s="279">
        <v>1</v>
      </c>
      <c r="AQ10" s="687" t="s">
        <v>1720</v>
      </c>
      <c r="AS10" s="155">
        <f>IF(AS29&lt;-0.025,-0.025,IF(AS29&gt;0.025,0.025,AS29))</f>
        <v>0</v>
      </c>
      <c r="AT10" s="385"/>
    </row>
    <row r="11" spans="1:46" x14ac:dyDescent="0.2">
      <c r="A11" s="120" t="s">
        <v>835</v>
      </c>
      <c r="B11" s="95"/>
      <c r="C11" s="1079" t="str">
        <f>IF(B3="B",TC8_BLDG1!C11,IF(B3="PP",TC8_PP1!C11,""))</f>
        <v>GAIC</v>
      </c>
      <c r="D11" s="159" t="s">
        <v>1663</v>
      </c>
      <c r="E11" s="950"/>
      <c r="F11" s="962"/>
      <c r="L11" s="890" t="s">
        <v>1048</v>
      </c>
      <c r="O11" s="168" t="s">
        <v>1199</v>
      </c>
      <c r="P11" s="977">
        <f>IF(OR(C27="S",C27="T"),1,IF(C12="SP",VLOOKUP(C18,Table_TerrMult_SP,2,FALSE),VLOOKUP(C17,Table_TerrMult,2,FALSE))) - IF(AND((C31)="Yes",ISNUMBER(B31)),B31,0) -IF(AND(ISNUMBER(C33),Q48="TM"),C33,0)</f>
        <v>1.1499999999999999</v>
      </c>
      <c r="Q11" s="207">
        <v>1</v>
      </c>
      <c r="R11" s="207">
        <v>1</v>
      </c>
      <c r="S11" s="207">
        <v>1</v>
      </c>
      <c r="V11" s="168" t="s">
        <v>1199</v>
      </c>
      <c r="W11" s="977">
        <f>IF(OR(C27="S",C27="T"),1,VLOOKUP(C17,Table_TerrMult,2,FALSE)) - IF(AND((C31)="Yes",ISNUMBER(B31)),B31,0) -IF(AND(ISNUMBER(C33),Q48="TM"),C33,0)</f>
        <v>1</v>
      </c>
      <c r="X11" s="207">
        <v>1</v>
      </c>
      <c r="Y11" s="207">
        <v>1</v>
      </c>
      <c r="Z11" s="207">
        <v>1</v>
      </c>
      <c r="AB11" s="266"/>
      <c r="AC11" s="545" t="s">
        <v>1020</v>
      </c>
      <c r="AD11" s="299">
        <f>IF(C7="PAC",VLOOKUP(B8,Table_PakMods,MATCH(C11,List_Company,0)+1,FALSE),1)</f>
        <v>1</v>
      </c>
      <c r="AE11" s="266"/>
      <c r="AF11" s="542"/>
      <c r="AG11" s="724" t="s">
        <v>1022</v>
      </c>
      <c r="AH11" s="279">
        <f>1+$AS$14</f>
        <v>1</v>
      </c>
      <c r="AI11" s="559"/>
      <c r="AK11" s="83" t="s">
        <v>1150</v>
      </c>
      <c r="AL11" s="2">
        <f>ROUND(PRODUCT(AL5:AL10),3)</f>
        <v>0</v>
      </c>
      <c r="AM11" s="2">
        <f>ROUND(PRODUCT(AM5:AM10),3)</f>
        <v>0</v>
      </c>
      <c r="AN11" s="2">
        <f>ROUND(PRODUCT(AN5:AN10),3)</f>
        <v>0</v>
      </c>
      <c r="AO11" s="2">
        <f>ROUND(PRODUCT(AO5:AO10),3)</f>
        <v>0</v>
      </c>
      <c r="AQ11" s="687" t="s">
        <v>1721</v>
      </c>
      <c r="AS11" s="155">
        <f>IF(AS30&lt;-0.075,-0.075,IF(AS30&gt;0.075,0.075,AS30))</f>
        <v>0</v>
      </c>
      <c r="AT11" s="385"/>
    </row>
    <row r="12" spans="1:46" ht="13.5" thickBot="1" x14ac:dyDescent="0.25">
      <c r="A12" s="415" t="s">
        <v>910</v>
      </c>
      <c r="B12" s="493">
        <f>IF(OR(C15=5,C15=6),1,2)</f>
        <v>2</v>
      </c>
      <c r="C12" s="1051" t="s">
        <v>894</v>
      </c>
      <c r="D12" s="159" t="s">
        <v>1223</v>
      </c>
      <c r="E12" s="950"/>
      <c r="F12" s="962"/>
      <c r="H12" s="168" t="s">
        <v>1046</v>
      </c>
      <c r="I12" s="248">
        <f>IF(AND(F3="Yes",F44="Yes"),W60,0)</f>
        <v>0</v>
      </c>
      <c r="J12" s="248"/>
      <c r="K12" s="248"/>
      <c r="L12" s="248"/>
      <c r="O12" s="1117" t="s">
        <v>2140</v>
      </c>
      <c r="P12" s="247">
        <f>DF_BI_BRF1</f>
        <v>0.8</v>
      </c>
      <c r="Q12" s="247">
        <f>DF_BI_BRF2</f>
        <v>0.65</v>
      </c>
      <c r="R12" s="247">
        <v>1</v>
      </c>
      <c r="S12" s="247">
        <v>1</v>
      </c>
      <c r="V12" s="168" t="s">
        <v>1100</v>
      </c>
      <c r="W12" s="207">
        <f>IF(C31="Yes",IF(B31&lt;&gt;"Sprinkler",1,VLOOKUP(C15,Table_SprLkg,IF(B3="B",2,3),FALSE)),1)</f>
        <v>1</v>
      </c>
      <c r="X12" s="207">
        <v>1</v>
      </c>
      <c r="Y12" s="207">
        <v>1</v>
      </c>
      <c r="Z12" s="207">
        <v>1</v>
      </c>
      <c r="AB12" s="542"/>
      <c r="AC12" s="724" t="s">
        <v>1022</v>
      </c>
      <c r="AD12" s="279">
        <f>1+$AS$14</f>
        <v>1</v>
      </c>
      <c r="AE12" s="385"/>
      <c r="AF12" s="385"/>
      <c r="AG12" s="685" t="s">
        <v>396</v>
      </c>
      <c r="AH12" s="385">
        <f>ROUND(PRODUCT(AH4:AH11),3)</f>
        <v>0</v>
      </c>
      <c r="AI12" s="385"/>
      <c r="AJ12" s="185"/>
      <c r="AK12" s="186" t="s">
        <v>1025</v>
      </c>
      <c r="AL12" s="238">
        <f>IF(ISNUMBER(E47),E47/100,0)</f>
        <v>0</v>
      </c>
      <c r="AM12" s="238">
        <f>IF(ISNUMBER(E47),E47/100,0)</f>
        <v>0</v>
      </c>
      <c r="AN12" s="238">
        <f>IF(ISNUMBER(E47),E47/100,0)</f>
        <v>0</v>
      </c>
      <c r="AO12" s="238">
        <f>IF(ISNUMBER(E47),E47/100,0)</f>
        <v>0</v>
      </c>
      <c r="AQ12" s="8" t="s">
        <v>1722</v>
      </c>
      <c r="AS12" s="155">
        <f>IF(AS31&lt;-0.05,-0.05,IF(AS31&gt;0.05,0.05,AS31))</f>
        <v>0</v>
      </c>
      <c r="AT12" s="385"/>
    </row>
    <row r="13" spans="1:46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52">
        <v>2</v>
      </c>
      <c r="D13" s="480"/>
      <c r="E13" s="815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168" t="s">
        <v>1047</v>
      </c>
      <c r="I13" s="248">
        <f>IF(AND(F3="Yes",F46="Yes"),AL48,0)</f>
        <v>0</v>
      </c>
      <c r="J13" s="248"/>
      <c r="K13" s="248"/>
      <c r="L13" s="248"/>
      <c r="O13" s="189" t="s">
        <v>1496</v>
      </c>
      <c r="P13" s="207">
        <v>1</v>
      </c>
      <c r="Q13" s="207">
        <f>IF(C34="Yes",VLOOKUP(C15,Table_Construction,3,FALSE),1)</f>
        <v>1</v>
      </c>
      <c r="R13" s="207">
        <v>1</v>
      </c>
      <c r="S13" s="207">
        <v>1</v>
      </c>
      <c r="V13" s="236" t="s">
        <v>1099</v>
      </c>
      <c r="W13" s="281">
        <f>B33</f>
        <v>0</v>
      </c>
      <c r="X13" s="211">
        <v>1</v>
      </c>
      <c r="Y13" s="211">
        <v>1</v>
      </c>
      <c r="Z13" s="211">
        <v>1</v>
      </c>
      <c r="AB13" s="385"/>
      <c r="AC13" s="685" t="s">
        <v>679</v>
      </c>
      <c r="AD13" s="558" t="e">
        <f>ROUND(PRODUCT(AD6:AD12),3)</f>
        <v>#N/A</v>
      </c>
      <c r="AE13" s="266"/>
      <c r="AF13" s="542"/>
      <c r="AG13" s="724" t="s">
        <v>1572</v>
      </c>
      <c r="AH13" s="238">
        <f>IF(ISNUMBER(F4),F4/100,0)</f>
        <v>5000</v>
      </c>
      <c r="AI13" s="478"/>
      <c r="AK13" s="83" t="s">
        <v>1647</v>
      </c>
      <c r="AL13" s="248">
        <f>ROUND(PRODUCT(AL11:AL12),0)</f>
        <v>0</v>
      </c>
      <c r="AM13" s="248">
        <f>ROUND(PRODUCT(AM11:AM12),0)</f>
        <v>0</v>
      </c>
      <c r="AN13" s="248">
        <f>ROUND(PRODUCT(AN11:AN12),0)</f>
        <v>0</v>
      </c>
      <c r="AO13" s="248">
        <f>ROUND(PRODUCT(AO11:AO12),0)</f>
        <v>0</v>
      </c>
      <c r="AQ13" s="8"/>
      <c r="AS13" s="155"/>
      <c r="AT13" s="385"/>
    </row>
    <row r="14" spans="1:46" ht="13.5" thickBot="1" x14ac:dyDescent="0.25">
      <c r="A14" s="108" t="s">
        <v>898</v>
      </c>
      <c r="B14" s="95"/>
      <c r="C14" s="1079">
        <f>IF(B3="B",TC8_BLDG1!C14,IF(B3="PP",TC8_PP1!C14,""))</f>
        <v>3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491" t="str">
        <f>IF(AND(E8="Yes",E14="Area"),ROUND(SUM(E13:F13)/SUM(E11:F11),3),IF(AND(E8="Yes",E14="Value"),ROUND(SUM(E12:F12)/SUM(E13:F13),3),""))</f>
        <v/>
      </c>
      <c r="I14" s="248"/>
      <c r="J14" s="248"/>
      <c r="K14" s="248"/>
      <c r="L14" s="248"/>
      <c r="N14" s="209"/>
      <c r="O14" s="210" t="s">
        <v>1016</v>
      </c>
      <c r="P14" s="212">
        <v>1</v>
      </c>
      <c r="Q14" s="212">
        <v>1</v>
      </c>
      <c r="R14" s="212">
        <v>1</v>
      </c>
      <c r="S14" s="212">
        <v>1</v>
      </c>
      <c r="U14" s="209"/>
      <c r="V14" s="210" t="s">
        <v>1016</v>
      </c>
      <c r="W14" s="212">
        <v>1</v>
      </c>
      <c r="X14" s="212">
        <v>1</v>
      </c>
      <c r="Y14" s="212">
        <v>1</v>
      </c>
      <c r="Z14" s="212">
        <v>1</v>
      </c>
      <c r="AB14" s="542"/>
      <c r="AC14" s="724" t="s">
        <v>1572</v>
      </c>
      <c r="AD14" s="238">
        <f>IF(ISNUMBER(F4),F4/100,0)</f>
        <v>5000</v>
      </c>
      <c r="AE14" s="266"/>
      <c r="AF14" s="266"/>
      <c r="AG14" s="568" t="s">
        <v>680</v>
      </c>
      <c r="AH14" s="248">
        <f>ROUND(PRODUCT(AH12:AH13),0)</f>
        <v>0</v>
      </c>
      <c r="AI14" s="248"/>
      <c r="AR14" s="60" t="s">
        <v>952</v>
      </c>
      <c r="AS14" s="157">
        <f>IF(SUM(AS4:AS13)&lt;-0.4,-0.4,IF(SUM(AS4:AS13)&gt;0.4,0.4,SUM(AS4:AS13)))</f>
        <v>0</v>
      </c>
      <c r="AT14" s="385"/>
    </row>
    <row r="15" spans="1:46" ht="13.5" customHeight="1" x14ac:dyDescent="0.2">
      <c r="A15" s="108" t="s">
        <v>1073</v>
      </c>
      <c r="B15" s="319" t="str">
        <f>IF(C15&lt;=4,"B","A")</f>
        <v>B</v>
      </c>
      <c r="C15" s="1080">
        <f>IF(B3="B",TC8_BLDG1!C15,IF(B3="PP",TC8_PP1!C15,""))</f>
        <v>1</v>
      </c>
      <c r="D15" s="84" t="s">
        <v>1224</v>
      </c>
      <c r="E15" s="193"/>
      <c r="F15" s="964" t="s">
        <v>857</v>
      </c>
      <c r="H15" s="568" t="s">
        <v>244</v>
      </c>
      <c r="I15" s="797">
        <f>SUM(I12:I13,I9:L9)</f>
        <v>0</v>
      </c>
      <c r="O15" s="168" t="s">
        <v>1250</v>
      </c>
      <c r="P15" s="207">
        <f>IF(F6="Yes",DF_BI_AV,1)</f>
        <v>1</v>
      </c>
      <c r="Q15" s="207">
        <f>IF(F6="Yes",DF_BI_AV,1)</f>
        <v>1</v>
      </c>
      <c r="R15" s="207">
        <f>IF(F6="Yes",DF_BI_AV,1)</f>
        <v>1</v>
      </c>
      <c r="S15" s="207">
        <f>IF(F6="Yes",DF_BI_AV,1)</f>
        <v>1</v>
      </c>
      <c r="V15" s="168" t="s">
        <v>1250</v>
      </c>
      <c r="W15" s="207">
        <f>IF(F6="Yes",DF_BI_AV,1)</f>
        <v>1</v>
      </c>
      <c r="X15" s="207">
        <f>IF(F6="Yes",DF_BI_AV,1)</f>
        <v>1</v>
      </c>
      <c r="Y15" s="207">
        <v>1</v>
      </c>
      <c r="Z15" s="207">
        <v>1</v>
      </c>
      <c r="AB15" s="266"/>
      <c r="AC15" s="568" t="s">
        <v>680</v>
      </c>
      <c r="AD15" s="248" t="e">
        <f>ROUND(PRODUCT(AD13:AD14),0)</f>
        <v>#N/A</v>
      </c>
      <c r="AE15" s="266"/>
      <c r="AF15" s="266"/>
      <c r="AG15" s="266"/>
      <c r="AH15" s="266"/>
      <c r="AI15" s="266"/>
      <c r="AK15" s="685" t="s">
        <v>549</v>
      </c>
      <c r="AL15" s="907">
        <f>IF(E48="Yes",IF(C12="SP",SUM(AL13:AN13),IF(C12="BR",SUM(AL13:AM13,AO13),SUM(AL13:AM13))),0)</f>
        <v>0</v>
      </c>
      <c r="AQ15" s="686"/>
      <c r="AR15" s="385"/>
      <c r="AS15" s="738"/>
      <c r="AT15" s="385"/>
    </row>
    <row r="16" spans="1:46" x14ac:dyDescent="0.2">
      <c r="A16" s="84" t="s">
        <v>975</v>
      </c>
      <c r="B16" s="160"/>
      <c r="C16" s="1080" t="str">
        <f>IF(B3="B",TC8_BLDG1!C16,IF(B3="PP",TC8_PP1!C16,""))</f>
        <v>A</v>
      </c>
      <c r="D16" s="159" t="s">
        <v>1244</v>
      </c>
      <c r="E16" s="963"/>
      <c r="F16" s="277"/>
      <c r="N16" s="146"/>
      <c r="O16" s="545" t="s">
        <v>1253</v>
      </c>
      <c r="P16" s="563">
        <f>IF(OR(ISBLANK(F7),F7="None"),1,IF(E8="Yes",F14+P18,VLOOKUP(F7,IF(F5="Yes",Table_BI_CoIns_EE,Table_BI_CoIns),F8+1,FALSE)+P18))</f>
        <v>0.54</v>
      </c>
      <c r="Q16" s="563">
        <f>IF(OR(ISBLANK(F7),F7="None"),1,IF(E8="Yes",F14,VLOOKUP(F7,IF(F5="Yes",Table_BI_CoIns_EE,Table_BI_CoIns),F8+1,FALSE)+Q18))</f>
        <v>0.54</v>
      </c>
      <c r="R16" s="299">
        <v>1</v>
      </c>
      <c r="S16" s="299">
        <v>1</v>
      </c>
      <c r="V16" s="83" t="s">
        <v>1251</v>
      </c>
      <c r="W16" s="207">
        <f>IF(F17="Yes",VLOOKUP(F8,Table_BI_MaxInd,E5,FALSE)+W18,1)</f>
        <v>1</v>
      </c>
      <c r="X16" s="207">
        <f>IF(F17="Yes",VLOOKUP(F8,Table_BI_MaxInd,E5,FALSE)+X18,1)</f>
        <v>1</v>
      </c>
      <c r="Y16" s="207">
        <v>1</v>
      </c>
      <c r="Z16" s="207">
        <v>1</v>
      </c>
      <c r="AB16" s="266"/>
      <c r="AC16" s="266"/>
      <c r="AD16" s="266"/>
      <c r="AE16" s="557"/>
      <c r="AF16" s="557"/>
      <c r="AG16" s="557"/>
      <c r="AH16" s="557"/>
      <c r="AI16" s="557"/>
      <c r="AK16" s="685"/>
      <c r="AL16" s="701"/>
      <c r="AQ16" s="385"/>
      <c r="AR16" s="385"/>
      <c r="AS16" s="738"/>
      <c r="AT16" s="385"/>
    </row>
    <row r="17" spans="1:48" ht="15" customHeight="1" thickBot="1" x14ac:dyDescent="0.25">
      <c r="A17" s="122" t="s">
        <v>974</v>
      </c>
      <c r="B17" s="95"/>
      <c r="C17" s="1079">
        <f>IF(B3="B",TC8_BLDG1!C17,IF(B3="PP",TC8_PP1!C17,""))</f>
        <v>1</v>
      </c>
      <c r="D17" s="84" t="s">
        <v>1204</v>
      </c>
      <c r="E17" s="193"/>
      <c r="F17" s="960" t="s">
        <v>857</v>
      </c>
      <c r="O17" s="83" t="s">
        <v>2241</v>
      </c>
      <c r="P17" s="207">
        <f>IF(F17="Yes",VLOOKUP(F8,Table_BI_MaxInd,E5,FALSE)+P18,1)</f>
        <v>1</v>
      </c>
      <c r="Q17" s="207">
        <f>IF(F17="Yes",VLOOKUP(F8,Table_BI_MaxInd,E5,FALSE)+Q18,1)</f>
        <v>1</v>
      </c>
      <c r="R17" s="207">
        <v>1</v>
      </c>
      <c r="S17" s="207">
        <v>1</v>
      </c>
      <c r="V17" s="83" t="s">
        <v>1252</v>
      </c>
      <c r="W17" s="207">
        <f ca="1">IF(F18="Yes",VLOOKUP(E19,INDIRECT("Table_BI_Mos"&amp;F8),E5,FALSE)+W18,1)</f>
        <v>1</v>
      </c>
      <c r="X17" s="207">
        <f ca="1">IF(F18="Yes",VLOOKUP(E19,INDIRECT("Table_BI_Mos"&amp;F8),E5,FALSE)+X18,1)</f>
        <v>1</v>
      </c>
      <c r="Y17" s="207">
        <v>1</v>
      </c>
      <c r="Z17" s="207">
        <v>1</v>
      </c>
      <c r="AB17" s="557"/>
      <c r="AC17" s="557"/>
      <c r="AD17" s="557"/>
      <c r="AE17" s="266"/>
      <c r="AF17" s="60" t="s">
        <v>684</v>
      </c>
      <c r="AH17" s="235"/>
      <c r="AI17" s="235"/>
      <c r="AQ17" s="385"/>
      <c r="AR17" s="701"/>
      <c r="AS17" s="738"/>
      <c r="AT17" s="385"/>
    </row>
    <row r="18" spans="1:48" x14ac:dyDescent="0.2">
      <c r="A18" s="1195" t="s">
        <v>2097</v>
      </c>
      <c r="B18" s="95"/>
      <c r="C18" s="1238">
        <v>2</v>
      </c>
      <c r="D18" s="84" t="s">
        <v>1203</v>
      </c>
      <c r="E18" s="193"/>
      <c r="F18" s="960" t="s">
        <v>857</v>
      </c>
      <c r="H18" s="483" t="s">
        <v>662</v>
      </c>
      <c r="I18" s="485"/>
      <c r="N18" s="266"/>
      <c r="O18" s="1420" t="s">
        <v>2240</v>
      </c>
      <c r="P18" s="426">
        <f>IF(F30="Yes",VLOOKUP(E31,Table_BI_Mining,2,FALSE),0)</f>
        <v>0</v>
      </c>
      <c r="Q18" s="426">
        <f>IF(F30="Yes",VLOOKUP(E31,Table_BI_Mining,3,FALSE),0)</f>
        <v>0</v>
      </c>
      <c r="R18" s="423">
        <v>1</v>
      </c>
      <c r="S18" s="423">
        <v>1</v>
      </c>
      <c r="U18" s="266"/>
      <c r="V18" s="267" t="s">
        <v>1592</v>
      </c>
      <c r="W18" s="426">
        <f>IF(F30="Yes",VLOOKUP(E31,Table_BI_Mining,2,FALSE),0)</f>
        <v>0</v>
      </c>
      <c r="X18" s="426">
        <f>IF(F30="Yes",VLOOKUP(E31,Table_BI_Mining,3,FALSE),0)</f>
        <v>0</v>
      </c>
      <c r="Y18" s="423">
        <v>1</v>
      </c>
      <c r="Z18" s="423">
        <v>1</v>
      </c>
      <c r="AB18" s="60" t="s">
        <v>681</v>
      </c>
      <c r="AD18" s="235"/>
      <c r="AE18" s="266"/>
      <c r="AF18" s="266"/>
      <c r="AG18" s="268" t="s">
        <v>1753</v>
      </c>
      <c r="AH18" s="426">
        <f>IF(F63="Yes",VLOOKUP(E64,Table_Other_WaterBuyback,6,FALSE),0)</f>
        <v>0</v>
      </c>
      <c r="AI18" s="426"/>
      <c r="AJ18" s="60" t="s">
        <v>551</v>
      </c>
      <c r="AL18" s="235" t="s">
        <v>1012</v>
      </c>
      <c r="AM18" s="235" t="s">
        <v>1013</v>
      </c>
      <c r="AN18" s="235" t="s">
        <v>838</v>
      </c>
      <c r="AO18" s="235" t="s">
        <v>837</v>
      </c>
      <c r="AQ18" s="136" t="s">
        <v>947</v>
      </c>
      <c r="AR18" s="137"/>
      <c r="AS18" s="137"/>
      <c r="AT18" s="137"/>
      <c r="AU18" s="136" t="s">
        <v>938</v>
      </c>
      <c r="AV18" s="517"/>
    </row>
    <row r="19" spans="1:48" ht="13.5" thickBot="1" x14ac:dyDescent="0.25">
      <c r="A19" s="126"/>
      <c r="B19" s="96"/>
      <c r="C19" s="1081"/>
      <c r="D19" s="159" t="s">
        <v>1225</v>
      </c>
      <c r="E19" s="965" t="s">
        <v>857</v>
      </c>
      <c r="F19" s="169"/>
      <c r="H19" s="486" t="s">
        <v>682</v>
      </c>
      <c r="I19" s="485">
        <f>IF(AND(F54="Yes",F56="Yes"),AD15,0)</f>
        <v>0</v>
      </c>
      <c r="O19" s="83" t="s">
        <v>1252</v>
      </c>
      <c r="P19" s="207">
        <f ca="1">IF(F18="Yes",VLOOKUP(E19,INDIRECT("Table_BI_Mos"&amp;F8),E5,FALSE)+P18,1)</f>
        <v>1</v>
      </c>
      <c r="Q19" s="207">
        <f ca="1">IF(F18="Yes",VLOOKUP(E19,INDIRECT("Table_BI_Mos"&amp;F8),E5,FALSE)+Q18,1)</f>
        <v>1</v>
      </c>
      <c r="R19" s="207">
        <v>1</v>
      </c>
      <c r="S19" s="207">
        <v>1</v>
      </c>
      <c r="V19" s="189" t="s">
        <v>1547</v>
      </c>
      <c r="W19" s="207">
        <f>IF(AND(F20="Yes",OR(E21=1,E21=3)),VLOOKUP(F7,Table_BI_Educ,E5,FALSE),1)</f>
        <v>1</v>
      </c>
      <c r="X19" s="207">
        <f>IF(AND(F20="Yes",OR(E21=1,E21=3)),VLOOKUP(F7,Table_BI_Educ,E5,FALSE),1)</f>
        <v>1</v>
      </c>
      <c r="Y19" s="207">
        <v>1</v>
      </c>
      <c r="Z19" s="207">
        <v>1</v>
      </c>
      <c r="AB19" s="266"/>
      <c r="AC19" s="268" t="s">
        <v>1724</v>
      </c>
      <c r="AD19" s="426">
        <f>IF(F29="Yes",B29,0)</f>
        <v>0</v>
      </c>
      <c r="AE19" s="266"/>
      <c r="AF19" s="558"/>
      <c r="AG19" s="755" t="s">
        <v>971</v>
      </c>
      <c r="AH19" s="558">
        <f>HLOOKUP(C11,Table_StateRates,6,FALSE)</f>
        <v>1.9</v>
      </c>
      <c r="AI19" s="558"/>
      <c r="AJ19" s="146"/>
      <c r="AK19" s="545" t="s">
        <v>1049</v>
      </c>
      <c r="AL19" s="146">
        <f>VLOOKUP(2,Table_Time_Utility,2,FALSE)</f>
        <v>4.3999999999999997E-2</v>
      </c>
      <c r="AM19" s="146">
        <f>VLOOKUP(2,Table_Time_Utility,3,FALSE)</f>
        <v>4.3999999999999997E-2</v>
      </c>
      <c r="AN19" s="146">
        <f>VLOOKUP(2,Table_Time_Utility,5,FALSE)</f>
        <v>2.9000000000000001E-2</v>
      </c>
      <c r="AO19" s="563">
        <f>VLOOKUP(2,Table_Time_Utility,4,FALSE)</f>
        <v>0.01</v>
      </c>
      <c r="AQ19" s="138" t="s">
        <v>939</v>
      </c>
      <c r="AR19" s="8"/>
      <c r="AS19" s="8"/>
      <c r="AT19" s="8"/>
      <c r="AU19" s="445" t="s">
        <v>940</v>
      </c>
      <c r="AV19" s="481"/>
    </row>
    <row r="20" spans="1:48" x14ac:dyDescent="0.2">
      <c r="A20" s="88" t="s">
        <v>954</v>
      </c>
      <c r="B20" s="89"/>
      <c r="C20" s="1053"/>
      <c r="D20" s="534" t="s">
        <v>1233</v>
      </c>
      <c r="E20" s="273"/>
      <c r="F20" s="960" t="s">
        <v>857</v>
      </c>
      <c r="H20" s="486" t="s">
        <v>681</v>
      </c>
      <c r="I20" s="485">
        <f>IF(AND(F54="Yes",F59="Yes"),AD29,0)</f>
        <v>0</v>
      </c>
      <c r="N20" s="185"/>
      <c r="O20" s="477" t="s">
        <v>1547</v>
      </c>
      <c r="P20" s="208">
        <f>IF(AND(F20="Yes",OR(E21=1,E21=3)),VLOOKUP(F7,Table_BI_Educ,E5,FALSE),1)</f>
        <v>1</v>
      </c>
      <c r="Q20" s="208">
        <f>IF(AND(F20="Yes",OR(E21=1,E21=3)),VLOOKUP(F7,Table_BI_Educ,E5,FALSE),1)</f>
        <v>1</v>
      </c>
      <c r="R20" s="208">
        <v>1</v>
      </c>
      <c r="S20" s="208">
        <v>1</v>
      </c>
      <c r="V20" s="83" t="s">
        <v>1549</v>
      </c>
      <c r="W20" s="207">
        <f>IF(AND(F20="Yes",E21=2),VLOOKUP(F7,Table_BI_Educ,E5,FALSE)+IF(F21&gt;4,SUM(4*0.02,(F21-4)*0.04),F21*0.02),1)</f>
        <v>1</v>
      </c>
      <c r="X20" s="207">
        <f>IF(AND(F20="Yes",E21=2),VLOOKUP(F7,Table_BI_Educ,E5,FALSE)+IF(F21&gt;4,SUM(4*0.02,(F21-4)*0.04),F21*0.02),1)</f>
        <v>1</v>
      </c>
      <c r="Y20" s="207">
        <v>1</v>
      </c>
      <c r="Z20" s="207">
        <v>1</v>
      </c>
      <c r="AB20" s="757"/>
      <c r="AC20" s="758" t="s">
        <v>971</v>
      </c>
      <c r="AD20" s="279">
        <f>HLOOKUP(C11,Table_StateRates,6,FALSE)</f>
        <v>1.9</v>
      </c>
      <c r="AE20" s="266"/>
      <c r="AF20" s="266"/>
      <c r="AG20" s="268" t="s">
        <v>1019</v>
      </c>
      <c r="AH20" s="423">
        <f>HLOOKUP(C11,Table_StateRates,5,FALSE)</f>
        <v>1.38</v>
      </c>
      <c r="AI20" s="423"/>
      <c r="AK20" s="168" t="s">
        <v>971</v>
      </c>
      <c r="AL20" s="207">
        <f>HLOOKUP(C11,Table_StateRates,6,FALSE)</f>
        <v>1.9</v>
      </c>
      <c r="AM20" s="207">
        <f>HLOOKUP(C11,Table_StateRates,6,FALSE)</f>
        <v>1.9</v>
      </c>
      <c r="AN20" s="207">
        <f>HLOOKUP(C11,Table_StateRates,6,FALSE)</f>
        <v>1.9</v>
      </c>
      <c r="AO20" s="207">
        <f>HLOOKUP(C11,Table_StateRates,6,FALSE)</f>
        <v>1.9</v>
      </c>
      <c r="AQ20" s="138" t="s">
        <v>941</v>
      </c>
      <c r="AR20" s="8"/>
      <c r="AS20" s="8"/>
      <c r="AT20" s="8"/>
      <c r="AU20" s="26"/>
      <c r="AV20" s="481"/>
    </row>
    <row r="21" spans="1:48" x14ac:dyDescent="0.2">
      <c r="A21" s="122" t="s">
        <v>956</v>
      </c>
      <c r="B21" s="319">
        <f>IF(C17=1,1,2)</f>
        <v>1</v>
      </c>
      <c r="C21" s="1082" t="str">
        <f>IF(B3="B",TC8_BLDG1!C21,IF(B3="PP",TC8_PP1!C21,""))</f>
        <v>Yes</v>
      </c>
      <c r="D21" s="535" t="s">
        <v>1550</v>
      </c>
      <c r="E21" s="948"/>
      <c r="F21" s="966"/>
      <c r="H21" s="486" t="s">
        <v>1742</v>
      </c>
      <c r="I21" s="485">
        <f>IF(AND(F54="Yes",F60="Yes"),AH14,0)</f>
        <v>0</v>
      </c>
      <c r="O21" s="83" t="s">
        <v>1420</v>
      </c>
      <c r="P21" s="1315">
        <f ca="1">ROUND(PRODUCT(P8,IF(AND(C31="Yes",B31="Sprinkler",C33&lt;&gt;1),P9-P10,P9),P11:P17,P19:P20),3)</f>
        <v>0.157</v>
      </c>
      <c r="Q21" s="1315">
        <f ca="1">ROUND(PRODUCT(Q8:Q17,Q19:Q20),3)</f>
        <v>3.9E-2</v>
      </c>
      <c r="R21" s="1315">
        <f>ROUND(PRODUCT(R8:R20),3)</f>
        <v>0.115</v>
      </c>
      <c r="S21" s="1315">
        <f>ROUND(PRODUCT(S8:S20),3)</f>
        <v>2.9000000000000001E-2</v>
      </c>
      <c r="V21" s="189" t="s">
        <v>1254</v>
      </c>
      <c r="W21" s="207">
        <f>IF(F27="Yes",VLOOKUP(E5,Table_BI_Seasonal,2,FALSE),1)</f>
        <v>1</v>
      </c>
      <c r="X21" s="207">
        <v>1</v>
      </c>
      <c r="Y21" s="207">
        <v>1</v>
      </c>
      <c r="Z21" s="207">
        <v>1</v>
      </c>
      <c r="AB21" s="266"/>
      <c r="AC21" s="568" t="s">
        <v>685</v>
      </c>
      <c r="AD21" s="266">
        <f>ROUND(PRODUCT(AD19:AD20),3)</f>
        <v>0</v>
      </c>
      <c r="AE21" s="266"/>
      <c r="AF21" s="266"/>
      <c r="AG21" s="268"/>
      <c r="AH21" s="423"/>
      <c r="AI21" s="423"/>
      <c r="AK21" s="168" t="s">
        <v>1019</v>
      </c>
      <c r="AL21" s="207">
        <f>HLOOKUP(C11,Table_StateRates,5,FALSE)</f>
        <v>1.38</v>
      </c>
      <c r="AM21" s="207">
        <f>HLOOKUP(C11,Table_StateRates,5,FALSE)</f>
        <v>1.38</v>
      </c>
      <c r="AN21" s="207">
        <f>HLOOKUP(C11,Table_StateRates,5,FALSE)</f>
        <v>1.38</v>
      </c>
      <c r="AO21" s="207">
        <f>HLOOKUP(C11,Table_StateRates,5,FALSE)</f>
        <v>1.38</v>
      </c>
      <c r="AQ21" s="26"/>
      <c r="AR21" s="8"/>
      <c r="AS21" s="8"/>
      <c r="AT21" s="8"/>
      <c r="AU21" s="727" t="s">
        <v>942</v>
      </c>
      <c r="AV21" s="481"/>
    </row>
    <row r="22" spans="1:48" x14ac:dyDescent="0.2">
      <c r="A22" s="911" t="s">
        <v>958</v>
      </c>
      <c r="B22" s="90"/>
      <c r="C22" s="570" t="str">
        <f>IF(B3="B",TC8_BLDG1!C22,IF(B3="PP",TC8_PP1!C22,""))</f>
        <v>No</v>
      </c>
      <c r="D22" s="536" t="s">
        <v>1228</v>
      </c>
      <c r="E22" s="294"/>
      <c r="F22" s="295"/>
      <c r="H22" s="597" t="s">
        <v>1743</v>
      </c>
      <c r="I22" s="487">
        <f>IF(AND(F54="Yes",F63="Yes"),AH28,0)</f>
        <v>0</v>
      </c>
      <c r="O22" s="83" t="s">
        <v>1549</v>
      </c>
      <c r="P22" s="207">
        <f>IF(AND(F20="Yes",E21=2),VLOOKUP(F7,Table_BI_Educ,E5,FALSE)+IF(F21&gt;4,SUM(4*0.02,(F21-4)*0.04),F21*0.02),1)</f>
        <v>1</v>
      </c>
      <c r="Q22" s="207">
        <f>IF(AND(F20="Yes",E21=2),VLOOKUP(F7,Table_BI_Educ,E5,FALSE)+IF(F21&gt;4,SUM(4*0.02,(F21-4)*0.04),F21*0.02),1)</f>
        <v>1</v>
      </c>
      <c r="R22" s="207">
        <v>1</v>
      </c>
      <c r="S22" s="207">
        <v>1</v>
      </c>
      <c r="V22" s="189" t="s">
        <v>1255</v>
      </c>
      <c r="W22" s="207">
        <f>IF(F15="Yes",VLOOKUP(E16,Table_BI_IndDays,2,FALSE),1)</f>
        <v>1</v>
      </c>
      <c r="X22" s="207">
        <f>IF(F15="Yes",VLOOKUP(E16,Table_BI_IndDays,2,FALSE),1)</f>
        <v>1</v>
      </c>
      <c r="Y22" s="207">
        <v>1</v>
      </c>
      <c r="Z22" s="207">
        <v>1</v>
      </c>
      <c r="AB22" s="542"/>
      <c r="AC22" s="724" t="s">
        <v>1740</v>
      </c>
      <c r="AD22" s="279">
        <f>DF_MoltenMaterial</f>
        <v>0.1</v>
      </c>
      <c r="AE22" s="385"/>
      <c r="AF22" s="266"/>
      <c r="AG22" s="268"/>
      <c r="AH22" s="423"/>
      <c r="AI22" s="423"/>
      <c r="AK22" s="168" t="s">
        <v>180</v>
      </c>
      <c r="AL22" s="207">
        <v>1</v>
      </c>
      <c r="AM22" s="207">
        <v>1</v>
      </c>
      <c r="AN22" s="207">
        <v>1</v>
      </c>
      <c r="AO22" s="207">
        <v>1</v>
      </c>
      <c r="AQ22" s="445" t="s">
        <v>943</v>
      </c>
      <c r="AR22" s="8"/>
      <c r="AS22" s="142" t="s">
        <v>944</v>
      </c>
      <c r="AT22" s="8"/>
      <c r="AU22" s="727" t="s">
        <v>945</v>
      </c>
      <c r="AV22" s="481"/>
    </row>
    <row r="23" spans="1:48" ht="13.5" thickBot="1" x14ac:dyDescent="0.25">
      <c r="A23" s="908" t="s">
        <v>955</v>
      </c>
      <c r="B23" s="910"/>
      <c r="C23" s="1055"/>
      <c r="D23" s="537" t="s">
        <v>1239</v>
      </c>
      <c r="E23" s="296"/>
      <c r="F23" s="295"/>
      <c r="H23" s="568" t="s">
        <v>1744</v>
      </c>
      <c r="I23" s="569">
        <f>SUM(I19:I22)</f>
        <v>0</v>
      </c>
      <c r="O23" s="189" t="s">
        <v>1254</v>
      </c>
      <c r="P23" s="207">
        <f>IF(F27="Yes",VLOOKUP(E5,Table_BI_Seasonal,2,FALSE),1)</f>
        <v>1</v>
      </c>
      <c r="Q23" s="207">
        <v>1</v>
      </c>
      <c r="R23" s="207">
        <v>1</v>
      </c>
      <c r="S23" s="207">
        <v>1</v>
      </c>
      <c r="V23" s="168" t="s">
        <v>1256</v>
      </c>
      <c r="W23" s="207">
        <f>IF(F24="Yes",VLOOKUP(E25,Table_BI_OrdPR,2,FALSE),1)</f>
        <v>1</v>
      </c>
      <c r="X23" s="207">
        <v>1</v>
      </c>
      <c r="Y23" s="207">
        <v>1</v>
      </c>
      <c r="Z23" s="207">
        <v>1</v>
      </c>
      <c r="AB23" s="266"/>
      <c r="AC23" s="568" t="s">
        <v>917</v>
      </c>
      <c r="AD23" s="426">
        <f>ROUND(PRODUCT(AD21:AD22),3)</f>
        <v>0</v>
      </c>
      <c r="AE23" s="423"/>
      <c r="AF23" s="266"/>
      <c r="AG23" s="268" t="s">
        <v>180</v>
      </c>
      <c r="AH23" s="423">
        <f>1+$AU$25</f>
        <v>1</v>
      </c>
      <c r="AI23" s="423"/>
      <c r="AJ23" s="146"/>
      <c r="AK23" s="545" t="s">
        <v>1020</v>
      </c>
      <c r="AL23" s="299">
        <f>IF(C7="PAC",VLOOKUP(B8,Table_PakMods,MATCH(C11,List_Company,0)+1,FALSE),1)</f>
        <v>1</v>
      </c>
      <c r="AM23" s="299">
        <f>IF(C7="PAC",VLOOKUP(B8,Table_PakMods,MATCH(C11,List_Company,0)+1,FALSE),1)</f>
        <v>1</v>
      </c>
      <c r="AN23" s="299">
        <f>IF(C7="PAC",VLOOKUP(B8,Table_PakMods,MATCH(C11,List_Company,0)+1,FALSE),1)</f>
        <v>1</v>
      </c>
      <c r="AO23" s="299">
        <f>IF(C7="PAC",VLOOKUP(B8,Table_PakMods,MATCH(C11,List_Company,0)+1,FALSE),1)</f>
        <v>1</v>
      </c>
      <c r="AQ23" s="140" t="s">
        <v>1715</v>
      </c>
      <c r="AR23" s="8"/>
      <c r="AS23" s="144"/>
      <c r="AT23" s="8"/>
      <c r="AU23" s="727" t="s">
        <v>946</v>
      </c>
      <c r="AV23" s="481"/>
    </row>
    <row r="24" spans="1:48" ht="13.5" thickBot="1" x14ac:dyDescent="0.25">
      <c r="A24" s="108" t="s">
        <v>957</v>
      </c>
      <c r="B24" s="896">
        <f>IF(B3="B",TC8_BLDG1!B24,IF(B3="PP",TC8_PP1!B24,""))</f>
        <v>0</v>
      </c>
      <c r="C24" s="885" t="str">
        <f>IF(B3="B",TC8_BLDG1!C24,IF(B3="PP",TC8_PP1!C24,""))</f>
        <v>Yes</v>
      </c>
      <c r="D24" s="444" t="s">
        <v>1229</v>
      </c>
      <c r="E24" s="103"/>
      <c r="F24" s="967" t="s">
        <v>857</v>
      </c>
      <c r="O24" s="189" t="s">
        <v>1255</v>
      </c>
      <c r="P24" s="207">
        <f>IF(F15="Yes",VLOOKUP(E16,Table_BI_IndDays,2,FALSE),1)</f>
        <v>1</v>
      </c>
      <c r="Q24" s="207">
        <f>IF(F15="Yes",VLOOKUP(E16,Table_BI_IndDays,2,FALSE),1)</f>
        <v>1</v>
      </c>
      <c r="R24" s="207">
        <v>1</v>
      </c>
      <c r="S24" s="207">
        <v>1</v>
      </c>
      <c r="V24" s="168" t="s">
        <v>1257</v>
      </c>
      <c r="W24" s="207">
        <f>IF(F26="Yes",DF_BI_Power,1)</f>
        <v>1</v>
      </c>
      <c r="X24" s="207">
        <v>1</v>
      </c>
      <c r="Y24" s="207">
        <v>1</v>
      </c>
      <c r="Z24" s="207">
        <v>1</v>
      </c>
      <c r="AB24" s="266"/>
      <c r="AC24" s="268" t="s">
        <v>180</v>
      </c>
      <c r="AD24" s="423">
        <f>1+$AU$25</f>
        <v>1</v>
      </c>
      <c r="AE24" s="559"/>
      <c r="AF24" s="266"/>
      <c r="AG24" s="545" t="s">
        <v>1020</v>
      </c>
      <c r="AH24" s="299">
        <f>IF(C7="PAC",VLOOKUP(B8,Table_PakMods,MATCH(C11,List_Company,0)+1,FALSE),1)</f>
        <v>1</v>
      </c>
      <c r="AI24" s="299"/>
      <c r="AJ24" s="542"/>
      <c r="AK24" s="724" t="s">
        <v>1022</v>
      </c>
      <c r="AL24" s="279">
        <v>1</v>
      </c>
      <c r="AM24" s="279">
        <v>1</v>
      </c>
      <c r="AN24" s="279">
        <v>1</v>
      </c>
      <c r="AO24" s="279">
        <v>1</v>
      </c>
      <c r="AQ24" s="141" t="s">
        <v>1714</v>
      </c>
      <c r="AR24" s="139"/>
      <c r="AS24" s="145"/>
      <c r="AT24" s="139"/>
      <c r="AU24" s="445"/>
      <c r="AV24" s="481"/>
    </row>
    <row r="25" spans="1:48" ht="13.5" thickBot="1" x14ac:dyDescent="0.25">
      <c r="A25" s="92"/>
      <c r="B25" s="93"/>
      <c r="C25" s="903"/>
      <c r="D25" s="819" t="s">
        <v>1243</v>
      </c>
      <c r="E25" s="965" t="s">
        <v>857</v>
      </c>
      <c r="F25" s="292"/>
      <c r="O25" s="168" t="s">
        <v>1256</v>
      </c>
      <c r="P25" s="207">
        <f>IF(F24="Yes",VLOOKUP(E25,Table_BI_OrdPR,2,FALSE),1)</f>
        <v>1</v>
      </c>
      <c r="Q25" s="207">
        <v>1</v>
      </c>
      <c r="R25" s="207">
        <f>IF(F24="Yes",VLOOKUP(E25,Table_BI_OrdPR,2,FALSE),1)</f>
        <v>1</v>
      </c>
      <c r="S25" s="207">
        <v>1</v>
      </c>
      <c r="U25" s="266"/>
      <c r="V25" s="268" t="s">
        <v>1259</v>
      </c>
      <c r="W25" s="423">
        <f>IF(F33="Yes",1,IF(F28="Yes",VLOOKUP(E29,Table_CivilAuth,2,FALSE),1))</f>
        <v>1</v>
      </c>
      <c r="X25" s="423">
        <f>IF(F33="Yes",1,IF(F28="Yes",VLOOKUP(E29,Table_CivilAuth,2,FALSE),1))</f>
        <v>1</v>
      </c>
      <c r="Y25" s="423">
        <v>1</v>
      </c>
      <c r="Z25" s="423">
        <v>1</v>
      </c>
      <c r="AB25" s="266"/>
      <c r="AC25" s="545" t="s">
        <v>1020</v>
      </c>
      <c r="AD25" s="299">
        <f>IF(C7="PAC",VLOOKUP(B8,Table_PakMods,MATCH(C11,List_Company,0)+1,FALSE),1)</f>
        <v>1</v>
      </c>
      <c r="AE25" s="426"/>
      <c r="AF25" s="542"/>
      <c r="AG25" s="724" t="s">
        <v>1022</v>
      </c>
      <c r="AH25" s="279">
        <f>1+$AS$14</f>
        <v>1</v>
      </c>
      <c r="AI25" s="559"/>
      <c r="AK25" s="83" t="s">
        <v>1150</v>
      </c>
      <c r="AL25" s="2">
        <f>ROUND(PRODUCT(AL19:AL24),3)</f>
        <v>0.115</v>
      </c>
      <c r="AM25" s="2">
        <f>ROUND(PRODUCT(AM19:AM24),3)</f>
        <v>0.115</v>
      </c>
      <c r="AN25" s="2">
        <f>ROUND(PRODUCT(AN19:AN24),3)</f>
        <v>7.5999999999999998E-2</v>
      </c>
      <c r="AO25" s="2">
        <f>ROUND(PRODUCT(AO19:AO24),3)</f>
        <v>2.5999999999999999E-2</v>
      </c>
      <c r="AQ25" s="141" t="s">
        <v>1716</v>
      </c>
      <c r="AR25" s="139"/>
      <c r="AS25" s="145"/>
      <c r="AT25" s="139"/>
      <c r="AU25" s="1597"/>
      <c r="AV25" s="1598"/>
    </row>
    <row r="26" spans="1:48" ht="13.5" thickBot="1" x14ac:dyDescent="0.25">
      <c r="A26" s="529" t="s">
        <v>1827</v>
      </c>
      <c r="B26" s="531"/>
      <c r="C26" s="904"/>
      <c r="D26" s="444" t="s">
        <v>1230</v>
      </c>
      <c r="E26" s="103"/>
      <c r="F26" s="967" t="s">
        <v>857</v>
      </c>
      <c r="H26" s="60" t="s">
        <v>663</v>
      </c>
      <c r="I26" s="2">
        <f>IF(F3="Yes",IF(AND(C21="Yes",C24="Yes"),AD47,IF(AND(C21="Yes",C24="No"),B24,0)),0)</f>
        <v>0</v>
      </c>
      <c r="O26" s="168" t="s">
        <v>1257</v>
      </c>
      <c r="P26" s="207">
        <f>IF(F26="Yes",DF_BI_Power,1)</f>
        <v>1</v>
      </c>
      <c r="Q26" s="207">
        <v>1</v>
      </c>
      <c r="R26" s="207">
        <v>1</v>
      </c>
      <c r="S26" s="207">
        <v>1</v>
      </c>
      <c r="U26" s="266"/>
      <c r="V26" s="268" t="s">
        <v>821</v>
      </c>
      <c r="W26" s="423">
        <f>IF(AND(F33="Yes",E34="24-HR"),VLOOKUP(E34,Table_BI_Wait,3,FALSE),1)</f>
        <v>1</v>
      </c>
      <c r="X26" s="423">
        <f>IF(AND(F33="Yes",E34="24-HR"),VLOOKUP(E34,Table_BI_Wait,3,FALSE),1)</f>
        <v>1</v>
      </c>
      <c r="Y26" s="423">
        <f>IF(AND(F33="Yes",E34="24-HR"),VLOOKUP(E34,Table_BI_Wait,3,FALSE),1)</f>
        <v>1</v>
      </c>
      <c r="Z26" s="423">
        <f>IF(AND(F33="Yes",E34="24-HR"),VLOOKUP(E34,Table_BI_Wait,3,FALSE),1)</f>
        <v>1</v>
      </c>
      <c r="AB26" s="542"/>
      <c r="AC26" s="724" t="s">
        <v>1022</v>
      </c>
      <c r="AD26" s="279">
        <f>1+$AS$14</f>
        <v>1</v>
      </c>
      <c r="AE26" s="385"/>
      <c r="AF26" s="385"/>
      <c r="AG26" s="685" t="s">
        <v>686</v>
      </c>
      <c r="AH26" s="385">
        <f>ROUND(PRODUCT(AH18:AH25),3)</f>
        <v>0</v>
      </c>
      <c r="AI26" s="385"/>
      <c r="AJ26" s="185"/>
      <c r="AK26" s="186" t="s">
        <v>1025</v>
      </c>
      <c r="AL26" s="238">
        <f>IF(ISNUMBER(E47),E47/100,0)</f>
        <v>0</v>
      </c>
      <c r="AM26" s="238">
        <f>IF(ISNUMBER(E47),E47/100,0)</f>
        <v>0</v>
      </c>
      <c r="AN26" s="238">
        <f>IF(ISNUMBER(E47),E47/100,0)</f>
        <v>0</v>
      </c>
      <c r="AO26" s="238">
        <f>IF(ISNUMBER(E47),E47/100,0)</f>
        <v>0</v>
      </c>
      <c r="AQ26" s="141" t="s">
        <v>1717</v>
      </c>
      <c r="AR26" s="139"/>
      <c r="AS26" s="145"/>
      <c r="AT26" s="139"/>
      <c r="AU26" s="445"/>
      <c r="AV26" s="481"/>
    </row>
    <row r="27" spans="1:48" x14ac:dyDescent="0.2">
      <c r="A27" s="521" t="s">
        <v>899</v>
      </c>
      <c r="B27" s="817" t="str">
        <f>IF(C27="C","Class",IF(C27="S","Specific",IF(C27="T","Tentative","")))</f>
        <v>Class</v>
      </c>
      <c r="C27" s="818" t="str">
        <f>IF(B3="B",IF(TC8_BLDG1!C28&lt;&gt;"SC",TC8_BLDG1!C28,"C"),IF(B3="PP",TC8_PP1!C28,""))</f>
        <v>C</v>
      </c>
      <c r="D27" s="444" t="s">
        <v>1232</v>
      </c>
      <c r="E27" s="103"/>
      <c r="F27" s="967" t="s">
        <v>857</v>
      </c>
      <c r="N27" s="266"/>
      <c r="O27" s="268" t="s">
        <v>1259</v>
      </c>
      <c r="P27" s="423">
        <f>IF(F28="Yes",VLOOKUP(E29,Table_CivilAuth,2,FALSE),1)</f>
        <v>1</v>
      </c>
      <c r="Q27" s="423">
        <f>IF(F28="Yes",VLOOKUP(E29,Table_CivilAuth,2,FALSE),1)</f>
        <v>1</v>
      </c>
      <c r="R27" s="423">
        <f>IF(F28="Yes",VLOOKUP(E29,Table_CivilAuth,2,FALSE),1)</f>
        <v>1</v>
      </c>
      <c r="S27" s="423">
        <f>IF(F28="Yes",VLOOKUP(E29,Table_CivilAuth,2,FALSE),1)</f>
        <v>1</v>
      </c>
      <c r="U27" s="266"/>
      <c r="V27" s="568" t="s">
        <v>822</v>
      </c>
      <c r="W27" s="423">
        <f>IF(AND(F33="Yes",E34="None"),VLOOKUP(E34,Table_BI_Wait,3,FALSE),1)</f>
        <v>1</v>
      </c>
      <c r="X27" s="423">
        <f>IF(AND(F33="Yes",E34="None"),VLOOKUP(E34,Table_BI_Wait,3,FALSE),1)</f>
        <v>1</v>
      </c>
      <c r="Y27" s="423">
        <f>IF(AND(F33="Yes",E34="None"),VLOOKUP(E34,Table_BI_Wait,3,FALSE),1)</f>
        <v>1</v>
      </c>
      <c r="Z27" s="423">
        <f>IF(AND(F33="Yes",E34="None"),VLOOKUP(E34,Table_BI_Wait,3,FALSE),1)</f>
        <v>1</v>
      </c>
      <c r="AB27" s="385"/>
      <c r="AC27" s="685" t="s">
        <v>1741</v>
      </c>
      <c r="AD27" s="558">
        <f>ROUND(PRODUCT(AD23:AD26),3)</f>
        <v>0</v>
      </c>
      <c r="AE27" s="266"/>
      <c r="AF27" s="542"/>
      <c r="AG27" s="724" t="s">
        <v>1572</v>
      </c>
      <c r="AH27" s="238">
        <f>IF(ISNUMBER(F4),F4/100,0)</f>
        <v>5000</v>
      </c>
      <c r="AI27" s="478"/>
      <c r="AK27" s="83" t="s">
        <v>1647</v>
      </c>
      <c r="AL27" s="248">
        <f>ROUND(PRODUCT(AL25:AL26),0)</f>
        <v>0</v>
      </c>
      <c r="AM27" s="248">
        <f>ROUND(PRODUCT(AM25:AM26),0)</f>
        <v>0</v>
      </c>
      <c r="AN27" s="248">
        <f>ROUND(PRODUCT(AN25:AN26),0)</f>
        <v>0</v>
      </c>
      <c r="AO27" s="248">
        <f>ROUND(PRODUCT(AO25:AO26),0)</f>
        <v>0</v>
      </c>
      <c r="AQ27" s="141" t="s">
        <v>1718</v>
      </c>
      <c r="AR27" s="8"/>
      <c r="AS27" s="145"/>
      <c r="AT27" s="8"/>
      <c r="AU27" s="26"/>
      <c r="AV27" s="481"/>
    </row>
    <row r="28" spans="1:48" x14ac:dyDescent="0.2">
      <c r="A28" s="108" t="s">
        <v>953</v>
      </c>
      <c r="B28" s="95"/>
      <c r="C28" s="570" t="str">
        <f>IF(B3="B",TC8_BLDG1!C30,IF(B3="PP",TC8_PP1!C30,0))</f>
        <v>No</v>
      </c>
      <c r="D28" s="538" t="s">
        <v>1545</v>
      </c>
      <c r="E28" s="103"/>
      <c r="F28" s="967" t="s">
        <v>857</v>
      </c>
      <c r="N28" s="266"/>
      <c r="O28" s="268" t="s">
        <v>821</v>
      </c>
      <c r="P28" s="423">
        <f>IF(AND(F33="Yes",E34="24-HR"),VLOOKUP(E34,Table_BI_Wait,3,FALSE),1)</f>
        <v>1</v>
      </c>
      <c r="Q28" s="423">
        <f>IF(AND(F33="Yes",E34="24-HR"),VLOOKUP(E34,Table_BI_Wait,3,FALSE),1)</f>
        <v>1</v>
      </c>
      <c r="R28" s="423">
        <f>IF(AND(F33="Yes",E34="24-HR"),VLOOKUP(E34,Table_BI_Wait,3,FALSE),1)</f>
        <v>1</v>
      </c>
      <c r="S28" s="423">
        <f>IF(AND(F33="Yes",E34="24-HR"),VLOOKUP(E34,Table_BI_Wait,3,FALSE),1)</f>
        <v>1</v>
      </c>
      <c r="V28" s="168" t="s">
        <v>1019</v>
      </c>
      <c r="W28" s="207">
        <f>HLOOKUP(C11,Table_StateRates,5,FALSE)</f>
        <v>1.38</v>
      </c>
      <c r="X28" s="207">
        <f>HLOOKUP(C11,Table_StateRates,5,FALSE)</f>
        <v>1.38</v>
      </c>
      <c r="Y28" s="207">
        <f>HLOOKUP(C11,Table_StateRates,5,FALSE)</f>
        <v>1.38</v>
      </c>
      <c r="Z28" s="207">
        <f>HLOOKUP(C11,Table_StateRates,5,FALSE)</f>
        <v>1.38</v>
      </c>
      <c r="AB28" s="542"/>
      <c r="AC28" s="724" t="s">
        <v>1572</v>
      </c>
      <c r="AD28" s="238">
        <f>IF(ISNUMBER(F4),F4/100,0)</f>
        <v>5000</v>
      </c>
      <c r="AE28" s="266"/>
      <c r="AF28" s="266"/>
      <c r="AG28" s="568" t="s">
        <v>687</v>
      </c>
      <c r="AH28" s="248">
        <f>ROUND(PRODUCT(AH26:AH27),0)</f>
        <v>0</v>
      </c>
      <c r="AI28" s="248"/>
      <c r="AQ28" s="141" t="s">
        <v>181</v>
      </c>
      <c r="AR28" s="8"/>
      <c r="AS28" s="145"/>
      <c r="AT28" s="8"/>
      <c r="AU28" s="26"/>
      <c r="AV28" s="481"/>
    </row>
    <row r="29" spans="1:48" ht="13.5" thickBot="1" x14ac:dyDescent="0.25">
      <c r="A29" s="743" t="str">
        <f>IF(B3="B","80% Bldg LC - Grp I / II",IF(B3="PP","80% Pers. Pty LC - Grp I / II","No Rating Available"))</f>
        <v>80% Bldg LC - Grp I / II</v>
      </c>
      <c r="B29" s="1421">
        <f>IF(B3="B",TC8_BLDG1!P5,IF(B3="PP",TC8_PP1!P5,0))</f>
        <v>0.126</v>
      </c>
      <c r="C29" s="749">
        <f>IF(B3="B",TC8_BLDG1!Q5,IF(B3="PP",TC8_PP1!Q5,0))</f>
        <v>4.2000000000000003E-2</v>
      </c>
      <c r="D29" s="518" t="s">
        <v>1555</v>
      </c>
      <c r="E29" s="948">
        <v>90</v>
      </c>
      <c r="F29" s="169"/>
      <c r="H29" s="60" t="s">
        <v>2288</v>
      </c>
      <c r="I29" s="1468">
        <f>SUM(I5:L5,I15,I23)</f>
        <v>0</v>
      </c>
      <c r="N29" s="542"/>
      <c r="O29" s="1419" t="s">
        <v>822</v>
      </c>
      <c r="P29" s="279">
        <f>IF(AND(F33="Yes",E34="None"),VLOOKUP(E34,Table_BI_Wait,3,FALSE),1)</f>
        <v>1</v>
      </c>
      <c r="Q29" s="279">
        <f>IF(AND(F33="Yes",E34="None"),VLOOKUP(E34,Table_BI_Wait,3,FALSE),1)</f>
        <v>1</v>
      </c>
      <c r="R29" s="279">
        <f>IF(AND(F33="Yes",E34="None"),VLOOKUP(E34,Table_BI_Wait,3,FALSE),1)</f>
        <v>1</v>
      </c>
      <c r="S29" s="279">
        <f>IF(AND(F33="Yes",E34="None"),VLOOKUP(E34,Table_BI_Wait,3,FALSE),1)</f>
        <v>1</v>
      </c>
      <c r="U29" s="266"/>
      <c r="V29" s="268" t="s">
        <v>180</v>
      </c>
      <c r="W29" s="423">
        <f>1+$AU$25</f>
        <v>1</v>
      </c>
      <c r="X29" s="423">
        <f>1+$AU$25</f>
        <v>1</v>
      </c>
      <c r="Y29" s="423">
        <f>1+$AU$25</f>
        <v>1</v>
      </c>
      <c r="Z29" s="423">
        <f>1+$AU$25</f>
        <v>1</v>
      </c>
      <c r="AB29" s="266"/>
      <c r="AC29" s="568" t="s">
        <v>681</v>
      </c>
      <c r="AD29" s="248">
        <f>ROUND(PRODUCT(AD27:AD28),0)</f>
        <v>0</v>
      </c>
      <c r="AE29" s="266"/>
      <c r="AF29" s="266"/>
      <c r="AG29" s="266"/>
      <c r="AH29" s="266"/>
      <c r="AI29" s="266"/>
      <c r="AK29" s="685" t="s">
        <v>549</v>
      </c>
      <c r="AL29" s="907">
        <f>IF(E50="Yes",IF(C12="SP",SUM(AL27:AN27),IF(C12="BR",SUM(AL27:AM27,AO27),SUM(AL27:AM27))),0)</f>
        <v>0</v>
      </c>
      <c r="AQ29" s="141" t="s">
        <v>1720</v>
      </c>
      <c r="AR29" s="8"/>
      <c r="AS29" s="145"/>
      <c r="AT29" s="8"/>
      <c r="AU29" s="26"/>
      <c r="AV29" s="481"/>
    </row>
    <row r="30" spans="1:48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IF(B3="B",TC8_BLDG1!C33,IF(B3="PP",TC8_PP1!C33,""))</f>
        <v>6</v>
      </c>
      <c r="D30" s="538" t="s">
        <v>1246</v>
      </c>
      <c r="E30" s="103"/>
      <c r="F30" s="967" t="s">
        <v>857</v>
      </c>
      <c r="O30" s="83" t="s">
        <v>2239</v>
      </c>
      <c r="P30" s="1315">
        <f ca="1">ROUND(PRODUCT(P21:P29),3)</f>
        <v>0.157</v>
      </c>
      <c r="Q30" s="1315">
        <f ca="1">ROUND(PRODUCT(Q21:Q29),3)</f>
        <v>3.9E-2</v>
      </c>
      <c r="R30" s="1315">
        <f>ROUND(PRODUCT(R21:R29),3)</f>
        <v>0.115</v>
      </c>
      <c r="S30" s="1315">
        <f>ROUND(PRODUCT(S21:S29),3)</f>
        <v>2.9000000000000001E-2</v>
      </c>
      <c r="U30" s="146"/>
      <c r="V30" s="545" t="s">
        <v>1020</v>
      </c>
      <c r="W30" s="299">
        <f>IF(C7="PAC",VLOOKUP(B8,Table_PakMods,MATCH(C11,List_Company,0)+1,FALSE),1)</f>
        <v>1</v>
      </c>
      <c r="X30" s="299">
        <f>IF(C7="PAC",VLOOKUP(B8,Table_PakMods,MATCH(C11,List_Company,0)+1,FALSE),1)</f>
        <v>1</v>
      </c>
      <c r="Y30" s="299">
        <f>IF(C7="PAC",VLOOKUP(B8,Table_PakMods,MATCH(C11,List_Company,0)+1,FALSE),1)</f>
        <v>1</v>
      </c>
      <c r="Z30" s="299">
        <f>IF(C7="PAC",VLOOKUP(B8,Table_PakMods,MATCH(C11,List_Company,0)+1,FALSE),1)</f>
        <v>1</v>
      </c>
      <c r="AC30" s="83"/>
      <c r="AD30" s="248"/>
      <c r="AQ30" s="141" t="s">
        <v>182</v>
      </c>
      <c r="AR30" s="8"/>
      <c r="AS30" s="145"/>
      <c r="AT30" s="8"/>
      <c r="AU30" s="26"/>
      <c r="AV30" s="481"/>
    </row>
    <row r="31" spans="1:48" ht="13.5" thickBot="1" x14ac:dyDescent="0.25">
      <c r="A31" s="108" t="s">
        <v>1813</v>
      </c>
      <c r="B31" s="939" t="str">
        <f>IF(B3="B",TC8_BLDG1!C61,IF(B3="PP",TC8_PP1!C57,0))</f>
        <v>NA</v>
      </c>
      <c r="C31" s="570" t="str">
        <f>IF(B3="B",TC8_BLDG1!C59,IF(B3="PP",TC8_PP1!C55,0))</f>
        <v>No</v>
      </c>
      <c r="D31" s="507" t="s">
        <v>1589</v>
      </c>
      <c r="E31" s="948" t="s">
        <v>857</v>
      </c>
      <c r="F31" s="169"/>
      <c r="H31" s="60" t="s">
        <v>2291</v>
      </c>
      <c r="I31" s="1470">
        <f>SUM(I26,I29)</f>
        <v>0</v>
      </c>
      <c r="N31" s="266"/>
      <c r="O31" s="268" t="s">
        <v>180</v>
      </c>
      <c r="P31" s="423">
        <f>1+$AU$25</f>
        <v>1</v>
      </c>
      <c r="Q31" s="423">
        <f>1+$AU$25</f>
        <v>1</v>
      </c>
      <c r="R31" s="423">
        <f>1+$AU$25</f>
        <v>1</v>
      </c>
      <c r="S31" s="423">
        <f>1+$AU$25</f>
        <v>1</v>
      </c>
      <c r="U31" s="542"/>
      <c r="V31" s="724" t="s">
        <v>1022</v>
      </c>
      <c r="W31" s="279">
        <f>1+$AS$14</f>
        <v>1</v>
      </c>
      <c r="X31" s="279">
        <f>1+$AS$14</f>
        <v>1</v>
      </c>
      <c r="Y31" s="279">
        <f>1+$AS$14</f>
        <v>1</v>
      </c>
      <c r="Z31" s="279">
        <f>1+$AS$14</f>
        <v>1</v>
      </c>
      <c r="AJ31" s="266"/>
      <c r="AK31" s="266"/>
      <c r="AL31" s="266"/>
      <c r="AM31" s="558"/>
      <c r="AN31" s="558"/>
      <c r="AO31" s="558"/>
      <c r="AQ31" s="141" t="s">
        <v>1722</v>
      </c>
      <c r="AR31" s="8"/>
      <c r="AS31" s="145"/>
      <c r="AT31" s="8"/>
      <c r="AU31" s="26"/>
      <c r="AV31" s="481"/>
    </row>
    <row r="32" spans="1:48" ht="13.5" thickBot="1" x14ac:dyDescent="0.25">
      <c r="A32" s="108" t="s">
        <v>1825</v>
      </c>
      <c r="B32" s="747"/>
      <c r="C32" s="570" t="str">
        <f>IF(B3="B",TC8_BLDG1!B60,IF(B3="PP",TC8_PP1!B56,0))</f>
        <v>No</v>
      </c>
      <c r="D32" s="499"/>
      <c r="E32" s="146"/>
      <c r="F32" s="481"/>
      <c r="N32" s="146"/>
      <c r="O32" s="545" t="s">
        <v>1020</v>
      </c>
      <c r="P32" s="299">
        <f>IF(C7="PAC",VLOOKUP(B8,Table_PakMods,MATCH(C11,List_Company,0)+1,FALSE),1)</f>
        <v>1</v>
      </c>
      <c r="Q32" s="299">
        <f>IF(C7="PAC",VLOOKUP(B8,Table_PakMods,MATCH(C11,List_Company,0)+1,FALSE),1)</f>
        <v>1</v>
      </c>
      <c r="R32" s="299">
        <f>IF(C7="PAC",VLOOKUP(B8,Table_PakMods,MATCH(C11,List_Company,0)+1,FALSE),1)</f>
        <v>1</v>
      </c>
      <c r="S32" s="299">
        <f>IF(C7="PAC",VLOOKUP(B8,Table_PakMods,MATCH(C11,List_Company,0)+1,FALSE),1)</f>
        <v>1</v>
      </c>
      <c r="V32" s="83" t="s">
        <v>1150</v>
      </c>
      <c r="W32" s="247">
        <f ca="1">ROUND(PRODUCT(W8:W11,IF(AND(C31="Yes",B31="Sprinkler",C33&lt;&gt;1),W12-W13,W12),W14:W17,W19:W31),3)</f>
        <v>0.17100000000000001</v>
      </c>
      <c r="X32" s="247">
        <f ca="1">ROUND(PRODUCT(X8:X12,X14:X17,X19:X31),3)</f>
        <v>5.8999999999999997E-2</v>
      </c>
      <c r="Y32" s="247">
        <f>ROUND(PRODUCT(Y8:Y31),3)</f>
        <v>0.11600000000000001</v>
      </c>
      <c r="Z32" s="247">
        <f>ROUND(PRODUCT(Z8:Z31),3)</f>
        <v>2.9000000000000001E-2</v>
      </c>
      <c r="AJ32" s="60" t="s">
        <v>552</v>
      </c>
      <c r="AL32" s="235" t="s">
        <v>1012</v>
      </c>
      <c r="AM32" s="235" t="s">
        <v>1013</v>
      </c>
      <c r="AN32" s="235" t="s">
        <v>838</v>
      </c>
      <c r="AO32" s="235" t="s">
        <v>837</v>
      </c>
      <c r="AQ32" s="85"/>
      <c r="AR32" s="86"/>
      <c r="AS32" s="86"/>
      <c r="AT32" s="86"/>
      <c r="AU32" s="85"/>
      <c r="AV32" s="196"/>
    </row>
    <row r="33" spans="1:46" ht="13.5" thickBot="1" x14ac:dyDescent="0.25">
      <c r="A33" s="108" t="s">
        <v>1824</v>
      </c>
      <c r="B33" s="748"/>
      <c r="C33" s="570">
        <f>IF(AND(B3="B",TC8_BLDG1!C62="Yes"),TC8_BLDG1!P14,IF(AND(B3="PP",TC8_PP1!C58="Yes"),TC8_PP1!P14,0))</f>
        <v>0</v>
      </c>
      <c r="D33" s="527" t="s">
        <v>1608</v>
      </c>
      <c r="E33" s="422"/>
      <c r="F33" s="967" t="s">
        <v>857</v>
      </c>
      <c r="N33" s="542"/>
      <c r="O33" s="724" t="s">
        <v>1022</v>
      </c>
      <c r="P33" s="279">
        <f>1+$AS$14</f>
        <v>1</v>
      </c>
      <c r="Q33" s="279">
        <f>1+$AS$14</f>
        <v>1</v>
      </c>
      <c r="R33" s="279">
        <f>1+$AS$14</f>
        <v>1</v>
      </c>
      <c r="S33" s="279">
        <f>1+$AS$14</f>
        <v>1</v>
      </c>
      <c r="U33" s="185"/>
      <c r="V33" s="186" t="s">
        <v>1025</v>
      </c>
      <c r="W33" s="238">
        <f>IF(ISNUMBER(F38),F38/100,0)</f>
        <v>0</v>
      </c>
      <c r="X33" s="238">
        <f>IF(ISNUMBER(F38),F38/100,0)</f>
        <v>0</v>
      </c>
      <c r="Y33" s="238">
        <f>IF(ISNUMBER(F38),F38/100,0)</f>
        <v>0</v>
      </c>
      <c r="Z33" s="238">
        <f>IF(ISNUMBER(F38),F38/100,0)</f>
        <v>0</v>
      </c>
      <c r="AJ33" s="146"/>
      <c r="AK33" s="545" t="s">
        <v>1049</v>
      </c>
      <c r="AL33" s="146">
        <f>VLOOKUP(3,Table_Time_Utility,2,FALSE)</f>
        <v>1.0999999999999999E-2</v>
      </c>
      <c r="AM33" s="146">
        <f>VLOOKUP(3,Table_Time_Utility,3,FALSE)</f>
        <v>2.7E-2</v>
      </c>
      <c r="AN33" s="146">
        <f>VLOOKUP(3,Table_Time_Utility,5,FALSE)</f>
        <v>5.2999999999999999E-2</v>
      </c>
      <c r="AO33" s="563">
        <f>VLOOKUP(3,Table_Time_Utility,4,FALSE)</f>
        <v>0.01</v>
      </c>
      <c r="AQ33" s="742"/>
      <c r="AR33" s="686"/>
      <c r="AS33" s="737"/>
      <c r="AT33" s="737"/>
    </row>
    <row r="34" spans="1:46" ht="13.5" thickBot="1" x14ac:dyDescent="0.25">
      <c r="A34" s="122" t="s">
        <v>1469</v>
      </c>
      <c r="B34" s="747"/>
      <c r="C34" s="571" t="str">
        <f>IF(B3="B",TC8_BLDG1!C64,IF(B3="PP",TC8_PP1!C60,0))</f>
        <v>No</v>
      </c>
      <c r="D34" s="539" t="s">
        <v>1609</v>
      </c>
      <c r="E34" s="968" t="s">
        <v>857</v>
      </c>
      <c r="F34" s="169"/>
      <c r="N34" s="385"/>
      <c r="O34" s="685" t="s">
        <v>2236</v>
      </c>
      <c r="P34" s="1314">
        <f>ROUND(PRODUCT(P31:P33),3)</f>
        <v>1</v>
      </c>
      <c r="Q34" s="1314">
        <f>ROUND(PRODUCT(Q31:Q33),3)</f>
        <v>1</v>
      </c>
      <c r="R34" s="1314">
        <f>ROUND(PRODUCT(R31:R33),3)</f>
        <v>1</v>
      </c>
      <c r="S34" s="1314">
        <f>ROUND(PRODUCT(S31:S33),3)</f>
        <v>1</v>
      </c>
      <c r="V34" s="83" t="s">
        <v>977</v>
      </c>
      <c r="W34" s="248">
        <f ca="1">ROUND(PRODUCT(W32:W33),0)</f>
        <v>0</v>
      </c>
      <c r="X34" s="248">
        <f ca="1">ROUND(PRODUCT(X32:X33),0)</f>
        <v>0</v>
      </c>
      <c r="Y34" s="248">
        <f>ROUND(PRODUCT(Y32:Y33),0)</f>
        <v>0</v>
      </c>
      <c r="Z34" s="248">
        <f>ROUND(PRODUCT(Z32:Z33),0)</f>
        <v>0</v>
      </c>
      <c r="AB34" s="1602" t="s">
        <v>388</v>
      </c>
      <c r="AC34" s="1603"/>
      <c r="AD34" s="1603"/>
      <c r="AE34" s="1603"/>
      <c r="AF34" s="1603"/>
      <c r="AG34" s="1603"/>
      <c r="AH34" s="1604"/>
      <c r="AJ34" s="185"/>
      <c r="AK34" s="186" t="s">
        <v>1050</v>
      </c>
      <c r="AL34" s="238">
        <f>F51</f>
        <v>0</v>
      </c>
      <c r="AM34" s="238">
        <f>F51</f>
        <v>0</v>
      </c>
      <c r="AN34" s="238">
        <f>F51</f>
        <v>0</v>
      </c>
      <c r="AO34" s="785">
        <f>F51</f>
        <v>0</v>
      </c>
      <c r="AQ34" s="742"/>
      <c r="AR34" s="686"/>
      <c r="AS34" s="737"/>
      <c r="AT34" s="737"/>
    </row>
    <row r="35" spans="1:46" ht="13.5" thickBot="1" x14ac:dyDescent="0.25">
      <c r="A35" s="526"/>
      <c r="B35" s="96"/>
      <c r="C35" s="516"/>
      <c r="D35" s="91"/>
      <c r="E35" s="195"/>
      <c r="F35" s="101"/>
      <c r="N35" s="542"/>
      <c r="O35" s="1211" t="s">
        <v>2239</v>
      </c>
      <c r="P35" s="757">
        <f ca="1">P30</f>
        <v>0.157</v>
      </c>
      <c r="Q35" s="757">
        <f ca="1">Q30</f>
        <v>3.9E-2</v>
      </c>
      <c r="R35" s="757">
        <f>R30</f>
        <v>0.115</v>
      </c>
      <c r="S35" s="757">
        <f>S30</f>
        <v>2.9000000000000001E-2</v>
      </c>
      <c r="V35" s="83"/>
      <c r="W35" s="248"/>
      <c r="X35" s="248"/>
      <c r="Y35" s="248"/>
      <c r="Z35" s="248"/>
      <c r="AB35" s="266"/>
      <c r="AC35" s="266"/>
      <c r="AD35" s="266"/>
      <c r="AE35" s="266"/>
      <c r="AF35" s="266"/>
      <c r="AG35" s="266"/>
      <c r="AJ35" s="146"/>
      <c r="AK35" s="301" t="s">
        <v>1051</v>
      </c>
      <c r="AL35" s="146">
        <f>ROUND(PRODUCT(AL33:AL34),3)</f>
        <v>0</v>
      </c>
      <c r="AM35" s="146">
        <f>ROUND(PRODUCT(AM33:AM34),3)</f>
        <v>0</v>
      </c>
      <c r="AN35" s="146">
        <f>ROUND(PRODUCT(AN33:AN34),3)</f>
        <v>0</v>
      </c>
      <c r="AO35" s="146">
        <f>ROUND(PRODUCT(AO33:AO34),3)</f>
        <v>0</v>
      </c>
      <c r="AQ35" s="742"/>
      <c r="AR35" s="686"/>
      <c r="AS35" s="737"/>
      <c r="AT35" s="737"/>
    </row>
    <row r="36" spans="1:46" ht="13.5" thickBot="1" x14ac:dyDescent="0.25">
      <c r="D36" s="529" t="s">
        <v>897</v>
      </c>
      <c r="E36" s="217"/>
      <c r="F36" s="218"/>
      <c r="O36" s="83" t="s">
        <v>1421</v>
      </c>
      <c r="P36" s="1315">
        <f ca="1">ROUND(PRODUCT(P34:P35),3)</f>
        <v>0.157</v>
      </c>
      <c r="Q36" s="1315">
        <f ca="1">ROUND(PRODUCT(Q34:Q35),3)</f>
        <v>3.9E-2</v>
      </c>
      <c r="R36" s="1315">
        <f>ROUND(PRODUCT(R34:R35),3)</f>
        <v>0.115</v>
      </c>
      <c r="S36" s="1315">
        <f>ROUND(PRODUCT(S34:S35),3)</f>
        <v>2.9000000000000001E-2</v>
      </c>
      <c r="V36" s="83"/>
      <c r="W36" s="248"/>
      <c r="X36" s="248"/>
      <c r="Y36" s="248"/>
      <c r="Z36" s="248"/>
      <c r="AA36" s="793"/>
      <c r="AB36" s="566" t="s">
        <v>1172</v>
      </c>
      <c r="AC36" s="266"/>
      <c r="AD36" s="266"/>
      <c r="AE36" s="266"/>
      <c r="AF36" s="566"/>
      <c r="AG36" s="266"/>
      <c r="AK36" s="168" t="s">
        <v>971</v>
      </c>
      <c r="AL36" s="207">
        <f>HLOOKUP(C11,Table_StateRates,6,FALSE)</f>
        <v>1.9</v>
      </c>
      <c r="AM36" s="207">
        <f>HLOOKUP(C11,Table_StateRates,6,FALSE)</f>
        <v>1.9</v>
      </c>
      <c r="AN36" s="207">
        <f>HLOOKUP(C11,Table_StateRates,6,FALSE)</f>
        <v>1.9</v>
      </c>
      <c r="AO36" s="207">
        <f>HLOOKUP(C11,Table_StateRates,6,FALSE)</f>
        <v>1.9</v>
      </c>
      <c r="AQ36" s="742"/>
      <c r="AR36" s="686"/>
      <c r="AS36" s="737"/>
      <c r="AT36" s="737"/>
    </row>
    <row r="37" spans="1:46" x14ac:dyDescent="0.2">
      <c r="D37" s="123" t="s">
        <v>964</v>
      </c>
      <c r="E37" s="474"/>
      <c r="F37" s="956" t="s">
        <v>857</v>
      </c>
      <c r="N37" s="185"/>
      <c r="O37" s="186" t="s">
        <v>1025</v>
      </c>
      <c r="P37" s="238">
        <f>IF(ISNUMBER(F4),F4/100,0)</f>
        <v>5000</v>
      </c>
      <c r="Q37" s="238">
        <f>IF(ISNUMBER(F4),F4/100,0)</f>
        <v>5000</v>
      </c>
      <c r="R37" s="238">
        <f>IF(ISNUMBER(F4),F4/100,0)</f>
        <v>5000</v>
      </c>
      <c r="S37" s="238">
        <f>IF(ISNUMBER(F4),F4/100,0)</f>
        <v>5000</v>
      </c>
      <c r="AA37" s="266"/>
      <c r="AB37" s="266"/>
      <c r="AC37" s="486" t="s">
        <v>228</v>
      </c>
      <c r="AD37" s="426">
        <f>IF(C21="Yes",HLOOKUP(B21,Table_Terrorism,3,FALSE),0)</f>
        <v>1.4999999999999999E-2</v>
      </c>
      <c r="AE37" s="266"/>
      <c r="AF37" s="385"/>
      <c r="AG37" s="702"/>
      <c r="AK37" s="168" t="s">
        <v>1019</v>
      </c>
      <c r="AL37" s="207">
        <f>HLOOKUP(C11,Table_StateRates,5,FALSE)</f>
        <v>1.38</v>
      </c>
      <c r="AM37" s="207">
        <f>HLOOKUP(C11,Table_StateRates,5,FALSE)</f>
        <v>1.38</v>
      </c>
      <c r="AN37" s="207">
        <f>HLOOKUP(C11,Table_StateRates,5,FALSE)</f>
        <v>1.38</v>
      </c>
      <c r="AO37" s="207">
        <f>HLOOKUP(C11,Table_StateRates,5,FALSE)</f>
        <v>1.38</v>
      </c>
      <c r="AP37" s="814"/>
      <c r="AQ37" s="742"/>
      <c r="AR37" s="686"/>
      <c r="AS37" s="737"/>
      <c r="AT37" s="737"/>
    </row>
    <row r="38" spans="1:46" x14ac:dyDescent="0.2">
      <c r="D38" s="107" t="s">
        <v>1242</v>
      </c>
      <c r="E38" s="272"/>
      <c r="F38" s="959"/>
      <c r="O38" s="83" t="s">
        <v>977</v>
      </c>
      <c r="P38" s="248">
        <f ca="1">ROUND(PRODUCT(P36:P37),0)</f>
        <v>785</v>
      </c>
      <c r="Q38" s="248">
        <f ca="1">ROUND(PRODUCT(Q36:Q37),0)</f>
        <v>195</v>
      </c>
      <c r="R38" s="248">
        <f>ROUND(PRODUCT(R36:R37),0)</f>
        <v>575</v>
      </c>
      <c r="S38" s="248">
        <f>ROUND(PRODUCT(S36:S37),0)</f>
        <v>145</v>
      </c>
      <c r="W38" s="235" t="s">
        <v>1012</v>
      </c>
      <c r="X38" s="235" t="s">
        <v>1013</v>
      </c>
      <c r="Y38" s="235" t="s">
        <v>838</v>
      </c>
      <c r="Z38" s="235" t="s">
        <v>837</v>
      </c>
      <c r="AA38" s="266"/>
      <c r="AB38" s="209"/>
      <c r="AC38" s="280" t="s">
        <v>1176</v>
      </c>
      <c r="AD38" s="212">
        <v>1</v>
      </c>
      <c r="AE38" s="385"/>
      <c r="AF38" s="385"/>
      <c r="AG38" s="702"/>
      <c r="AK38" s="168" t="s">
        <v>180</v>
      </c>
      <c r="AL38" s="207">
        <v>1</v>
      </c>
      <c r="AM38" s="207">
        <v>1</v>
      </c>
      <c r="AN38" s="207">
        <v>1</v>
      </c>
      <c r="AO38" s="207">
        <v>1</v>
      </c>
      <c r="AP38" s="266"/>
    </row>
    <row r="39" spans="1:46" x14ac:dyDescent="0.2">
      <c r="D39" s="108" t="s">
        <v>904</v>
      </c>
      <c r="E39" s="319" t="str">
        <f>IF(ISBLANK(F39),"",VLOOKUP(F39,Table_G1_LC,2,FALSE))</f>
        <v/>
      </c>
      <c r="F39" s="942"/>
      <c r="U39" s="60" t="s">
        <v>1053</v>
      </c>
      <c r="AA39" s="558"/>
      <c r="AB39" s="266"/>
      <c r="AC39" s="486" t="s">
        <v>1177</v>
      </c>
      <c r="AD39" s="423">
        <f>IF(C22="Yes",VLOOKUP(B21,Table_TerrorNBC,2,FALSE),1)</f>
        <v>1</v>
      </c>
      <c r="AE39" s="423"/>
      <c r="AF39" s="385"/>
      <c r="AG39" s="702"/>
      <c r="AJ39" s="146"/>
      <c r="AK39" s="545" t="s">
        <v>1020</v>
      </c>
      <c r="AL39" s="299">
        <f>IF(C7="PAC",VLOOKUP(B8,Table_PakMods,MATCH(C11,List_Company,0)+1,FALSE),1)</f>
        <v>1</v>
      </c>
      <c r="AM39" s="299">
        <f>IF(C7="PAC",VLOOKUP(B8,Table_PakMods,MATCH(C11,List_Company,0)+1,FALSE),1)</f>
        <v>1</v>
      </c>
      <c r="AN39" s="299">
        <f>IF(C7="PAC",VLOOKUP(B8,Table_PakMods,MATCH(C11,List_Company,0)+1,FALSE),1)</f>
        <v>1</v>
      </c>
      <c r="AO39" s="299">
        <f>IF(C7="PAC",VLOOKUP(B8,Table_PakMods,MATCH(C11,List_Company,0)+1,FALSE),1)</f>
        <v>1</v>
      </c>
      <c r="AP39" s="266"/>
    </row>
    <row r="40" spans="1:46" x14ac:dyDescent="0.2">
      <c r="D40" s="482" t="str">
        <f>IF(F39="1190","Special Form Class Only - Choose Again",IF(F39="1180","Enter Prior/Intended Occ. Class Code Below",""))</f>
        <v/>
      </c>
      <c r="E40" s="273"/>
      <c r="F40" s="274"/>
      <c r="V40" s="168" t="s">
        <v>1175</v>
      </c>
      <c r="W40" s="247">
        <f ca="1">P36</f>
        <v>0.157</v>
      </c>
      <c r="X40" s="247">
        <f ca="1">Q36</f>
        <v>3.9E-2</v>
      </c>
      <c r="Y40" s="247">
        <f>R36</f>
        <v>0.115</v>
      </c>
      <c r="Z40" s="247">
        <f>S36</f>
        <v>2.9000000000000001E-2</v>
      </c>
      <c r="AA40" s="559"/>
      <c r="AB40" s="266"/>
      <c r="AC40" s="486" t="s">
        <v>971</v>
      </c>
      <c r="AD40" s="423">
        <f>HLOOKUP(C11,Table_StateRates,6,FALSE)</f>
        <v>1.9</v>
      </c>
      <c r="AE40" s="559"/>
      <c r="AF40" s="559"/>
      <c r="AG40" s="877"/>
      <c r="AJ40" s="542"/>
      <c r="AK40" s="724" t="s">
        <v>1022</v>
      </c>
      <c r="AL40" s="279">
        <v>1</v>
      </c>
      <c r="AM40" s="279">
        <v>1</v>
      </c>
      <c r="AN40" s="279">
        <v>1</v>
      </c>
      <c r="AO40" s="279">
        <v>1</v>
      </c>
      <c r="AP40" s="558"/>
    </row>
    <row r="41" spans="1:46" x14ac:dyDescent="0.2">
      <c r="D41" s="108" t="s">
        <v>960</v>
      </c>
      <c r="E41" s="160"/>
      <c r="F41" s="942"/>
      <c r="U41" s="185"/>
      <c r="V41" s="186" t="s">
        <v>108</v>
      </c>
      <c r="W41" s="208">
        <f>DF_Time_Law</f>
        <v>1.2</v>
      </c>
      <c r="X41" s="208">
        <f>DF_Time_Law</f>
        <v>1.2</v>
      </c>
      <c r="Y41" s="208">
        <f>DF_Time_Law</f>
        <v>1.2</v>
      </c>
      <c r="Z41" s="208">
        <f>DF_Time_Law</f>
        <v>1.2</v>
      </c>
      <c r="AA41" s="559"/>
      <c r="AB41" s="542"/>
      <c r="AC41" s="597" t="s">
        <v>1019</v>
      </c>
      <c r="AD41" s="279">
        <f>HLOOKUP(C11,Table_StateRates,5,FALSE)</f>
        <v>1.38</v>
      </c>
      <c r="AE41" s="426"/>
      <c r="AF41" s="559"/>
      <c r="AG41" s="899"/>
      <c r="AK41" s="83" t="s">
        <v>1150</v>
      </c>
      <c r="AL41" s="2">
        <f>ROUND(PRODUCT(AL35:AL40),3)</f>
        <v>0</v>
      </c>
      <c r="AM41" s="2">
        <f>ROUND(PRODUCT(AM35:AM40),3)</f>
        <v>0</v>
      </c>
      <c r="AN41" s="2">
        <f>ROUND(PRODUCT(AN35:AN40),3)</f>
        <v>0</v>
      </c>
      <c r="AO41" s="2">
        <f>ROUND(PRODUCT(AO35:AO40),3)</f>
        <v>0</v>
      </c>
      <c r="AP41" s="559"/>
    </row>
    <row r="42" spans="1:46" ht="13.5" customHeight="1" x14ac:dyDescent="0.2">
      <c r="D42" s="191" t="s">
        <v>1065</v>
      </c>
      <c r="E42" s="456">
        <f>IF(ISBLANK(F41),0,IF(ISERROR(VLOOKUP(F41,List_VacantClasses,1,FALSE)),VLOOKUP(F41,Table_G1_LC,MATCH(C15&amp;"B",List_ClassLC,0)+2),0))</f>
        <v>0</v>
      </c>
      <c r="F42" s="213"/>
      <c r="N42" s="60" t="s">
        <v>554</v>
      </c>
      <c r="Q42" s="60" t="s">
        <v>557</v>
      </c>
      <c r="V42" s="83" t="s">
        <v>109</v>
      </c>
      <c r="W42" s="247">
        <f ca="1">ROUND(PRODUCT(W40:W41),3)</f>
        <v>0.188</v>
      </c>
      <c r="X42" s="247">
        <f ca="1">ROUND(PRODUCT(X40:X41),3)</f>
        <v>4.7E-2</v>
      </c>
      <c r="Y42" s="247">
        <f>ROUND(PRODUCT(Y40:Y41),3)</f>
        <v>0.13800000000000001</v>
      </c>
      <c r="Z42" s="247">
        <f>ROUND(PRODUCT(Z40:Z41),3)</f>
        <v>3.5000000000000003E-2</v>
      </c>
      <c r="AA42" s="558"/>
      <c r="AB42" s="385"/>
      <c r="AC42" s="685" t="s">
        <v>1134</v>
      </c>
      <c r="AD42" s="558">
        <f>ROUND(PRODUCT(AD37:AD41),3)</f>
        <v>3.9E-2</v>
      </c>
      <c r="AE42" s="385"/>
      <c r="AF42" s="559"/>
      <c r="AG42" s="877"/>
      <c r="AJ42" s="185"/>
      <c r="AK42" s="186" t="s">
        <v>1025</v>
      </c>
      <c r="AL42" s="238">
        <f>IF(ISNUMBER(E47),E47/100,0)</f>
        <v>0</v>
      </c>
      <c r="AM42" s="238">
        <f>IF(ISNUMBER(E47),E47/100,0)</f>
        <v>0</v>
      </c>
      <c r="AN42" s="238">
        <f>IF(ISNUMBER(E47),E47/100,0)</f>
        <v>0</v>
      </c>
      <c r="AO42" s="238">
        <f>IF(ISNUMBER(E47),E47/100,0)</f>
        <v>0</v>
      </c>
      <c r="AP42" s="559"/>
    </row>
    <row r="43" spans="1:46" ht="12.75" customHeight="1" thickBot="1" x14ac:dyDescent="0.25">
      <c r="D43" s="91"/>
      <c r="E43" s="195"/>
      <c r="F43" s="101"/>
      <c r="N43" s="2" t="s">
        <v>555</v>
      </c>
      <c r="Q43" s="834">
        <f>IF(OR(C31&lt;&gt;"Yes",AND(C31="Yes",B31&lt;&gt;"Sprinkler")),0,2)</f>
        <v>0</v>
      </c>
      <c r="R43" s="2" t="s">
        <v>558</v>
      </c>
      <c r="AA43" s="558"/>
      <c r="AB43" s="385"/>
      <c r="AC43" s="702" t="s">
        <v>1178</v>
      </c>
      <c r="AD43" s="559">
        <f>IF(OR(C27="S",C27="T"),1,VLOOKUP(C14,Table_ProtClass,IF(C15&lt;=3,2,3),FALSE))</f>
        <v>0.96</v>
      </c>
      <c r="AE43" s="266"/>
      <c r="AF43" s="266"/>
      <c r="AG43" s="266"/>
      <c r="AK43" s="83" t="s">
        <v>1647</v>
      </c>
      <c r="AL43" s="248">
        <f>ROUND(PRODUCT(AL41:AL42),0)</f>
        <v>0</v>
      </c>
      <c r="AM43" s="248">
        <f>ROUND(PRODUCT(AM41:AM42),0)</f>
        <v>0</v>
      </c>
      <c r="AN43" s="248">
        <f>ROUND(PRODUCT(AN41:AN42),0)</f>
        <v>0</v>
      </c>
      <c r="AO43" s="248">
        <f>ROUND(PRODUCT(AO41:AO42),0)</f>
        <v>0</v>
      </c>
      <c r="AP43" s="558"/>
    </row>
    <row r="44" spans="1:46" x14ac:dyDescent="0.2">
      <c r="D44" s="905" t="s">
        <v>1607</v>
      </c>
      <c r="E44" s="902"/>
      <c r="F44" s="969" t="s">
        <v>857</v>
      </c>
      <c r="N44" s="834">
        <f>IF(OR(C27="S",C27="T"),0,2)</f>
        <v>2</v>
      </c>
      <c r="O44" s="2" t="s">
        <v>556</v>
      </c>
      <c r="Q44" s="834">
        <f>IF(OR(C27="S",C27="T"),0,4)</f>
        <v>4</v>
      </c>
      <c r="R44" s="2" t="s">
        <v>556</v>
      </c>
      <c r="V44" s="568" t="s">
        <v>110</v>
      </c>
      <c r="W44" s="893">
        <f ca="1">IF(J12="SP",SUM(W42:Y42),IF(J12="BR",SUM(W42:X42,Z42),SUM(W42:X42)))</f>
        <v>0.23499999999999999</v>
      </c>
      <c r="AA44" s="558"/>
      <c r="AB44" s="542"/>
      <c r="AC44" s="597" t="s">
        <v>229</v>
      </c>
      <c r="AD44" s="279">
        <f>IF(OR(ISBLANK(F7),F7="None"),1,IF(E8="Yes",F14,VLOOKUP(F7,IF(F5="Yes",Table_BI_CoIns_EE,Table_BI_CoIns),F8+1,FALSE)+P18))</f>
        <v>0.54</v>
      </c>
      <c r="AE44" s="558"/>
      <c r="AF44" s="558"/>
      <c r="AG44" s="558"/>
      <c r="AP44" s="558"/>
    </row>
    <row r="45" spans="1:46" ht="13.5" thickBot="1" x14ac:dyDescent="0.25">
      <c r="D45" s="528"/>
      <c r="E45" s="750"/>
      <c r="F45" s="901"/>
      <c r="N45" s="917">
        <f>IF(OR(C27="S",C27="T"),0,4)</f>
        <v>4</v>
      </c>
      <c r="O45" s="185" t="s">
        <v>1161</v>
      </c>
      <c r="Q45" s="917">
        <f>IF(OR(C27="S",C27="T"),0,5)</f>
        <v>5</v>
      </c>
      <c r="R45" s="185" t="s">
        <v>1161</v>
      </c>
      <c r="AA45" s="575"/>
      <c r="AB45" s="423"/>
      <c r="AC45" s="810" t="s">
        <v>1150</v>
      </c>
      <c r="AD45" s="426">
        <f>ROUND(PRODUCT(AD42:AD44),3)</f>
        <v>0.02</v>
      </c>
      <c r="AE45" s="559"/>
      <c r="AF45" s="559"/>
      <c r="AG45" s="559"/>
      <c r="AK45" s="685" t="s">
        <v>549</v>
      </c>
      <c r="AL45" s="907">
        <f>IF(E52="Yes",IF(C12="SP",SUM(AL43:AN43),IF(C12="BR",SUM(AL43:AM43,AO43),SUM(AL43:AM43))),0)</f>
        <v>0</v>
      </c>
      <c r="AP45" s="558"/>
    </row>
    <row r="46" spans="1:46" x14ac:dyDescent="0.2">
      <c r="D46" s="123" t="s">
        <v>1470</v>
      </c>
      <c r="E46" s="474"/>
      <c r="F46" s="956" t="s">
        <v>857</v>
      </c>
      <c r="N46" s="834">
        <f>SUM(N44:N45)</f>
        <v>6</v>
      </c>
      <c r="O46" s="53" t="str">
        <f>"Subtract from the " &amp; IF(OR(N46=6,N46=2),"Terr Mult",IF(N46=4,"Prot Class","Loss Cost"))</f>
        <v>Subtract from the Terr Mult</v>
      </c>
      <c r="Q46" s="834">
        <f>SUM(Q43:Q45)</f>
        <v>9</v>
      </c>
      <c r="R46" s="53" t="str">
        <f>"Subtract from the " &amp; IF(OR(Q46=2,Q46=6,Q46=7,Q46=11),"Sprk Lkg",IF(OR(Q46=4,Q46=9),"Terr Mult",IF(Q46=5,"Prot Class","Loss Cost")))</f>
        <v>Subtract from the Terr Mult</v>
      </c>
      <c r="V46" s="545" t="s">
        <v>184</v>
      </c>
      <c r="W46" s="248">
        <f>F4/100</f>
        <v>5000</v>
      </c>
      <c r="AA46" s="575"/>
      <c r="AB46" s="279"/>
      <c r="AC46" s="809" t="s">
        <v>1174</v>
      </c>
      <c r="AD46" s="487">
        <f>IF(F3="Yes",F4/100,0)</f>
        <v>0</v>
      </c>
      <c r="AE46" s="559"/>
      <c r="AF46" s="559"/>
      <c r="AG46" s="559"/>
      <c r="AP46" s="575"/>
    </row>
    <row r="47" spans="1:46" ht="13.5" thickBot="1" x14ac:dyDescent="0.25">
      <c r="D47" s="677" t="s">
        <v>1646</v>
      </c>
      <c r="E47" s="950"/>
      <c r="F47" s="446"/>
      <c r="N47" s="146"/>
      <c r="U47" s="185"/>
      <c r="V47" s="186" t="s">
        <v>111</v>
      </c>
      <c r="W47" s="455">
        <f>IF(F44="Yes",W44,0)</f>
        <v>0</v>
      </c>
      <c r="AA47" s="266"/>
      <c r="AB47" s="426"/>
      <c r="AC47" s="811" t="s">
        <v>1173</v>
      </c>
      <c r="AD47" s="812">
        <f>ROUND(PRODUCT(AD45:AD46),0)</f>
        <v>0</v>
      </c>
      <c r="AE47" s="558"/>
      <c r="AF47" s="558"/>
      <c r="AG47" s="558"/>
      <c r="AP47" s="575"/>
    </row>
    <row r="48" spans="1:46" ht="13.5" thickBot="1" x14ac:dyDescent="0.25">
      <c r="D48" s="518" t="s">
        <v>317</v>
      </c>
      <c r="E48" s="948" t="s">
        <v>857</v>
      </c>
      <c r="F48" s="891">
        <f>COUNTIF(E48:E49,"Yes")</f>
        <v>0</v>
      </c>
      <c r="N48" s="479" t="str">
        <f>IF(OR(N46=6,N46=2),"TM",IF(N46=4,"PC","LC"))</f>
        <v>TM</v>
      </c>
      <c r="O48" s="919" t="s">
        <v>559</v>
      </c>
      <c r="Q48" s="479" t="str">
        <f>IF(AND(B31="Sprinkler",OR(Q46=2,Q46=6,Q46=7,Q46=11)),"SL",IF(AND(OR(B31="NA",ISNUMBER(B31)),OR(Q46=4,Q46=9)),"TM",IF(AND(OR(B31="NA",ISNUMBER(B31)),Q46=5),"PC","LC")))</f>
        <v>TM</v>
      </c>
      <c r="V48" s="83" t="s">
        <v>1514</v>
      </c>
      <c r="W48" s="248">
        <f>ROUND(PRODUCT(W46:W47),0)</f>
        <v>0</v>
      </c>
      <c r="AA48" s="266"/>
      <c r="AJ48" s="916" t="s">
        <v>553</v>
      </c>
      <c r="AL48" s="734">
        <f>SUM(AL15,AL29,AL45)</f>
        <v>0</v>
      </c>
      <c r="AP48" s="266"/>
    </row>
    <row r="49" spans="4:42" x14ac:dyDescent="0.2">
      <c r="D49" s="518" t="s">
        <v>315</v>
      </c>
      <c r="E49" s="948" t="s">
        <v>857</v>
      </c>
      <c r="F49" s="891"/>
      <c r="V49" s="83"/>
      <c r="W49" s="248"/>
      <c r="AP49" s="266"/>
    </row>
    <row r="50" spans="4:42" x14ac:dyDescent="0.2">
      <c r="D50" s="518" t="s">
        <v>316</v>
      </c>
      <c r="E50" s="948" t="s">
        <v>857</v>
      </c>
      <c r="F50" s="891"/>
      <c r="U50" s="60" t="s">
        <v>1518</v>
      </c>
      <c r="V50" s="83"/>
      <c r="W50" s="248"/>
    </row>
    <row r="51" spans="4:42" x14ac:dyDescent="0.2">
      <c r="D51" s="518" t="s">
        <v>1574</v>
      </c>
      <c r="E51" s="948" t="s">
        <v>857</v>
      </c>
      <c r="F51" s="891">
        <f>COUNTIF(E51:E52,"Yes")</f>
        <v>0</v>
      </c>
      <c r="G51" s="8"/>
      <c r="V51" s="189" t="s">
        <v>1519</v>
      </c>
      <c r="W51" s="248">
        <f ca="1">P38</f>
        <v>785</v>
      </c>
    </row>
    <row r="52" spans="4:42" x14ac:dyDescent="0.2">
      <c r="D52" s="518" t="s">
        <v>1575</v>
      </c>
      <c r="E52" s="948" t="s">
        <v>857</v>
      </c>
      <c r="F52" s="891"/>
      <c r="G52" s="146"/>
      <c r="V52" s="189" t="s">
        <v>1520</v>
      </c>
      <c r="W52" s="248">
        <f ca="1">Q38</f>
        <v>195</v>
      </c>
    </row>
    <row r="53" spans="4:42" ht="13.5" thickBot="1" x14ac:dyDescent="0.25">
      <c r="D53" s="91"/>
      <c r="E53" s="195"/>
      <c r="F53" s="101"/>
      <c r="V53" s="189" t="s">
        <v>1521</v>
      </c>
      <c r="W53" s="248">
        <f>IF(C12="SP",R38,0)</f>
        <v>575</v>
      </c>
    </row>
    <row r="54" spans="4:42" x14ac:dyDescent="0.2">
      <c r="D54" s="980" t="s">
        <v>662</v>
      </c>
      <c r="E54" s="474"/>
      <c r="F54" s="956" t="s">
        <v>857</v>
      </c>
      <c r="U54" s="185"/>
      <c r="V54" s="477" t="s">
        <v>1522</v>
      </c>
      <c r="W54" s="238">
        <f>IF(C12="BR",S38,0)</f>
        <v>0</v>
      </c>
    </row>
    <row r="55" spans="4:42" x14ac:dyDescent="0.2">
      <c r="D55" s="473" t="s">
        <v>1766</v>
      </c>
      <c r="E55" s="216"/>
      <c r="F55" s="763">
        <f>IF(F54="No",0,F4)</f>
        <v>0</v>
      </c>
      <c r="V55" s="83" t="s">
        <v>1523</v>
      </c>
      <c r="W55" s="248">
        <f ca="1">SUM(W51:W54)</f>
        <v>1555</v>
      </c>
      <c r="AB55" s="793"/>
      <c r="AC55" s="793"/>
      <c r="AD55" s="793"/>
      <c r="AE55" s="793"/>
      <c r="AF55" s="793"/>
      <c r="AG55" s="793"/>
      <c r="AH55" s="793"/>
      <c r="AI55" s="793"/>
    </row>
    <row r="56" spans="4:42" x14ac:dyDescent="0.2">
      <c r="D56" s="669" t="s">
        <v>1833</v>
      </c>
      <c r="E56" s="216"/>
      <c r="F56" s="954" t="s">
        <v>833</v>
      </c>
      <c r="V56" s="83"/>
      <c r="W56" s="248"/>
      <c r="AB56" s="266"/>
      <c r="AC56" s="266"/>
      <c r="AD56" s="266"/>
      <c r="AE56" s="266"/>
      <c r="AF56" s="266"/>
      <c r="AG56" s="266"/>
      <c r="AH56" s="266"/>
      <c r="AI56" s="266"/>
    </row>
    <row r="57" spans="4:42" x14ac:dyDescent="0.2">
      <c r="D57" s="507" t="s">
        <v>677</v>
      </c>
      <c r="E57" s="947" t="s">
        <v>459</v>
      </c>
      <c r="F57" s="772" t="str">
        <f>IF(F56="Yes","B","")</f>
        <v>B</v>
      </c>
      <c r="U57" s="82" t="s">
        <v>1515</v>
      </c>
      <c r="V57" s="60"/>
      <c r="W57" s="83"/>
      <c r="AB57" s="266"/>
      <c r="AC57" s="266"/>
      <c r="AD57" s="266"/>
      <c r="AE57" s="266"/>
      <c r="AF57" s="266"/>
      <c r="AG57" s="266"/>
      <c r="AH57" s="266"/>
      <c r="AI57" s="266"/>
    </row>
    <row r="58" spans="4:42" x14ac:dyDescent="0.2">
      <c r="D58" s="507" t="s">
        <v>1748</v>
      </c>
      <c r="E58" s="947">
        <v>25</v>
      </c>
      <c r="F58" s="771" t="str">
        <f>IF(F56="Yes",E58&amp;"_"&amp;E57,"")</f>
        <v>25_5A</v>
      </c>
      <c r="V58" s="168" t="s">
        <v>1165</v>
      </c>
      <c r="W58" s="248">
        <f>W48</f>
        <v>0</v>
      </c>
      <c r="AB58" s="558"/>
      <c r="AC58" s="558"/>
      <c r="AD58" s="558"/>
      <c r="AE58" s="558"/>
      <c r="AF58" s="558"/>
      <c r="AG58" s="558"/>
      <c r="AH58" s="558"/>
      <c r="AI58" s="558"/>
    </row>
    <row r="59" spans="4:42" x14ac:dyDescent="0.2">
      <c r="D59" s="669" t="s">
        <v>1834</v>
      </c>
      <c r="E59" s="261"/>
      <c r="F59" s="954" t="s">
        <v>857</v>
      </c>
      <c r="U59" s="185"/>
      <c r="V59" s="187" t="s">
        <v>1524</v>
      </c>
      <c r="W59" s="238">
        <f ca="1">W55</f>
        <v>1555</v>
      </c>
      <c r="AB59" s="559"/>
      <c r="AC59" s="559"/>
      <c r="AD59" s="559"/>
      <c r="AE59" s="559"/>
      <c r="AF59" s="559"/>
      <c r="AG59" s="559"/>
      <c r="AH59" s="559"/>
      <c r="AI59" s="559"/>
    </row>
    <row r="60" spans="4:42" x14ac:dyDescent="0.2">
      <c r="D60" s="669" t="s">
        <v>1835</v>
      </c>
      <c r="E60" s="261"/>
      <c r="F60" s="954" t="s">
        <v>857</v>
      </c>
      <c r="V60" s="83" t="s">
        <v>1517</v>
      </c>
      <c r="W60" s="260">
        <f ca="1">W58-W59</f>
        <v>-1555</v>
      </c>
      <c r="AB60" s="559"/>
      <c r="AC60" s="559"/>
      <c r="AD60" s="559"/>
      <c r="AE60" s="559"/>
      <c r="AF60" s="559"/>
      <c r="AG60" s="559"/>
      <c r="AH60" s="559"/>
      <c r="AI60" s="559"/>
    </row>
    <row r="61" spans="4:42" x14ac:dyDescent="0.2">
      <c r="D61" s="507" t="s">
        <v>1836</v>
      </c>
      <c r="E61" s="947"/>
      <c r="F61" s="293"/>
      <c r="AB61" s="558"/>
      <c r="AC61" s="558"/>
      <c r="AD61" s="558"/>
      <c r="AE61" s="558"/>
      <c r="AF61" s="558"/>
      <c r="AG61" s="558"/>
      <c r="AH61" s="558"/>
      <c r="AI61" s="558"/>
    </row>
    <row r="62" spans="4:42" x14ac:dyDescent="0.2">
      <c r="D62" s="762"/>
      <c r="E62" s="774"/>
      <c r="F62" s="773"/>
      <c r="AB62" s="558"/>
      <c r="AC62" s="558"/>
      <c r="AD62" s="558"/>
      <c r="AE62" s="558"/>
      <c r="AF62" s="558"/>
      <c r="AG62" s="558"/>
      <c r="AH62" s="558"/>
      <c r="AI62" s="558"/>
    </row>
    <row r="63" spans="4:42" x14ac:dyDescent="0.2">
      <c r="D63" s="669" t="s">
        <v>1234</v>
      </c>
      <c r="E63" s="261"/>
      <c r="F63" s="954" t="s">
        <v>857</v>
      </c>
      <c r="AB63" s="558"/>
      <c r="AC63" s="558"/>
      <c r="AD63" s="558"/>
      <c r="AE63" s="558"/>
      <c r="AF63" s="558"/>
      <c r="AG63" s="558"/>
      <c r="AH63" s="558"/>
      <c r="AI63" s="558"/>
    </row>
    <row r="64" spans="4:42" x14ac:dyDescent="0.2">
      <c r="D64" s="507" t="s">
        <v>1235</v>
      </c>
      <c r="E64" s="947"/>
      <c r="F64" s="293"/>
      <c r="AB64" s="575"/>
      <c r="AC64" s="575"/>
      <c r="AD64" s="575"/>
      <c r="AE64" s="575"/>
      <c r="AF64" s="575"/>
      <c r="AG64" s="575"/>
      <c r="AH64" s="575"/>
      <c r="AI64" s="575"/>
    </row>
    <row r="65" spans="4:35" ht="13.5" thickBot="1" x14ac:dyDescent="0.25">
      <c r="D65" s="514"/>
      <c r="E65" s="515"/>
      <c r="F65" s="516"/>
      <c r="AB65" s="575"/>
      <c r="AC65" s="575"/>
      <c r="AD65" s="575"/>
      <c r="AE65" s="575"/>
      <c r="AF65" s="575"/>
      <c r="AG65" s="575"/>
      <c r="AH65" s="575"/>
      <c r="AI65" s="575"/>
    </row>
    <row r="66" spans="4:35" x14ac:dyDescent="0.2">
      <c r="AB66" s="266"/>
      <c r="AC66" s="266"/>
      <c r="AD66" s="266"/>
      <c r="AE66" s="266"/>
      <c r="AF66" s="266"/>
      <c r="AG66" s="266"/>
      <c r="AH66" s="266"/>
      <c r="AI66" s="266"/>
    </row>
    <row r="67" spans="4:35" x14ac:dyDescent="0.2">
      <c r="AB67" s="266"/>
      <c r="AC67" s="266"/>
      <c r="AD67" s="266"/>
      <c r="AE67" s="266"/>
      <c r="AF67" s="266"/>
      <c r="AG67" s="266"/>
      <c r="AH67" s="266"/>
      <c r="AI67" s="266"/>
    </row>
  </sheetData>
  <mergeCells count="5">
    <mergeCell ref="H1:L1"/>
    <mergeCell ref="AB1:AH1"/>
    <mergeCell ref="AQ1:AS1"/>
    <mergeCell ref="AU25:AV25"/>
    <mergeCell ref="AB34:AH34"/>
  </mergeCells>
  <conditionalFormatting sqref="B24">
    <cfRule type="expression" dxfId="84" priority="2" stopIfTrue="1">
      <formula>IF($C$24="Yes",FALSE,TRUE)</formula>
    </cfRule>
  </conditionalFormatting>
  <conditionalFormatting sqref="A18">
    <cfRule type="expression" dxfId="83" priority="1">
      <formula>IF($C$12="SP",TRUE,FALSE)</formula>
    </cfRule>
  </conditionalFormatting>
  <dataValidations count="77"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58">
      <formula1>OFFSET(Table_EQ_Tiers,0,0,,1)</formula1>
    </dataValidation>
    <dataValidation type="custom" allowBlank="1" showInputMessage="1" showErrorMessage="1" prompt="EQ Table Lookup Value" sqref="F58">
      <formula1>FALSE</formula1>
    </dataValidation>
    <dataValidation type="custom" allowBlank="1" showInputMessage="1" showErrorMessage="1" prompt="EQ Sprinkler Leakage Extension Factor Lookup value." sqref="F57">
      <formula1>FALSE</formula1>
    </dataValidation>
    <dataValidation type="custom" allowBlank="1" showInputMessage="1" showErrorMessage="1" promptTitle="OH Lines Utility Svc Multiplier" prompt="Displays the multiplier for the Overhead Power Trans &amp; Comm Lines premium calculations." sqref="F51">
      <formula1>FALSE</formula1>
    </dataValidation>
    <dataValidation type="custom" allowBlank="1" showInputMessage="1" showErrorMessage="1" promptTitle="P&amp;W Utility Svc Multiplier" prompt="Displays the multiplier for Power &amp; Water Supply premium calculations." sqref="F48">
      <formula1>FALSE</formula1>
    </dataValidation>
    <dataValidation type="list" allowBlank="1" showInputMessage="1" showErrorMessage="1" promptTitle="OH Power Transmission Lines" prompt="Please Select:_x000a_{ Yes or No }" sqref="E51">
      <formula1>IF($F$46="Yes",List_YN, List_No)</formula1>
    </dataValidation>
    <dataValidation type="list" allowBlank="1" showInputMessage="1" showErrorMessage="1" promptTitle="Ovhd Communication Lines" prompt="Please Select:_x000a_{ Yes or No }" sqref="E52">
      <formula1>IF($F$46="Yes",List_YN, List_No)</formula1>
    </dataValidation>
    <dataValidation type="list" allowBlank="1" showInputMessage="1" showErrorMessage="1" promptTitle="Communications Supply" prompt="Please Select:_x000a_{ Yes or No }" sqref="E50">
      <formula1>IF($F$46="Yes",List_YN, List_No)</formula1>
    </dataValidation>
    <dataValidation type="list" allowBlank="1" showInputMessage="1" showErrorMessage="1" promptTitle="Power &amp; Water Supply" prompt="Please Select:_x000a_{ Yes or No }" sqref="E48:E49">
      <formula1>IF($F$46="Yes",List_YN, List_No)</formula1>
    </dataValidation>
    <dataValidation type="list" allowBlank="1" showInputMessage="1" showErrorMessage="1" errorTitle="Coverage Not Available" error="Extra Expense coverage has already been applied to this policy." promptTitle="Please Select:" prompt="Yes = Apply Coverage_x000a_No  = Do Not Apply_x000a__x000a_* Note: If you have EE has an optional coverage already applied to policy, you cannot include EE on BI." sqref="F3">
      <formula1>List_YN</formula1>
    </dataValidation>
    <dataValidation type="custom" allowBlank="1" showInputMessage="1" showErrorMessage="1" promptTitle="BI Availability Indicator:" prompt="EE - indicates that Extra Expense Coverage has already been applied to policy._x000a__x000a_Available - indicates that BI is still available to be added to the policy." sqref="E3">
      <formula1>FALSE</formula1>
    </dataValidation>
    <dataValidation type="custom" allowBlank="1" showInputMessage="1" showErrorMessage="1" promptTitle="BI &quot;Special&quot; Col. Reference" prompt="Checks to see if Extra Expense is included within the rating for Business Income.  If so it will give the column reference for &quot;All Other&quot;." sqref="E4">
      <formula1>FALSE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="Relates to Special Form Reference" sqref="B15">
      <formula1>FALSE</formula1>
    </dataValidation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custom" allowBlank="1" showInputMessage="1" showErrorMessage="1" promptTitle="Exclusion Options" prompt="KY does not have exclusion options." sqref="B23">
      <formula1>FALSE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IF($E$8="No",List_No,List_BI_OccType)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IF($E$8="Yes",List_No,List_BI_OccType)</formula1>
    </dataValidation>
    <dataValidation type="list" allowBlank="1" showInputMessage="1" showErrorMessage="1" promptTitle="Include Extra Expense Coverage" prompt="Please Select:_x000a_Yes or No" sqref="F5">
      <formula1>IF($E$3="Available",List_YN,List_No)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IF(OR($F$17="Yes"),List_No,List_YN)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IF($F$15="Yes",OFFSET(Table_BI_IndDays,0,0,,1),List_No)</formula1>
    </dataValidation>
    <dataValidation type="list" allowBlank="1" showInputMessage="1" showErrorMessage="1" promptTitle="Apply Monthly Limitation?" prompt="Please Select:_x000a_Yes or No" sqref="F18">
      <formula1>IF(ISNUMBER($F$7),List_No,List_YN)</formula1>
    </dataValidation>
    <dataValidation type="list" allowBlank="1" showInputMessage="1" showErrorMessage="1" promptTitle="Monthly Limitation Period:" prompt="Please Select:_x000a_3rd - 1/3_x000a_4th - 1/4_x000a_6th - 1/6" sqref="E19">
      <formula1>IF($F$18&lt;&gt;"Yes",List_No,List_MosLimit)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4">
      <formula1>IF($F$33="Yes", OFFSET(Table_BI_Wait,0,0,,1),List_No)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3">
      <formula1>List_YN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31">
      <formula1>IF($F$30="Yes",List_BI_Mining,List_No)</formula1>
    </dataValidation>
    <dataValidation type="list" allowBlank="1" showInputMessage="1" showErrorMessage="1" promptTitle="Extension Period" prompt="Please Select:_x000a_1 - 180 Days_x000a_2 - No Limit" sqref="E23">
      <formula1>IF($F$22="Yes",OFFSET(Table_BI_EMR,0,0,,1),List_No)</formula1>
    </dataValidation>
    <dataValidation type="list" allowBlank="1" showInputMessage="1" showErrorMessage="1" promptTitle="Apply Electronic Media &amp; Recs?" prompt="Please Select:_x000a_Yes or No" sqref="F22">
      <formula1>List_YN</formula1>
    </dataValidation>
    <dataValidation type="list" allowBlank="1" showInputMessage="1" showErrorMessage="1" promptTitle="Seasonal Leases:" prompt="Please Select:_x000a_Yes or No_x000a__x000a_* This coverage relates to rental property only." sqref="F27">
      <formula1>IF($F$8&lt;&gt;3,List_No,List_YN)</formula1>
    </dataValidation>
    <dataValidation type="list" allowBlank="1" showInputMessage="1" showErrorMessage="1" promptTitle="Apply Mining Property Coverage?" prompt="Please Select:_x000a_Yes or No" sqref="F30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5">
      <formula1>IF($F$24="Yes",OFFSET(Table_BI_OrdPR,0,0,,1),List_No)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6">
      <formula1>IF(ISNUMBER($F$7),List_YN,List_No)</formula1>
    </dataValidation>
    <dataValidation type="list" allowBlank="1" showInputMessage="1" showErrorMessage="1" promptTitle="Ordinary Payroll Exclusion" prompt="Please Select:_x000a_Yes or No" sqref="F24">
      <formula1>List_YN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Apply Educational Inst Coverage?" prompt="Please Select:_x000a_Yes or No" sqref="F20">
      <formula1>IF($F$7&gt;=50,List_No,List_YN)</formula1>
    </dataValidation>
    <dataValidation type="list" allowBlank="1" showInputMessage="1" showErrorMessage="1" promptTitle="Increased Coverage Period" prompt="Please Select # of Days:_x000a_{ 60, 90, 180 }" sqref="E29">
      <formula1>IF($F$28="Yes",OFFSET(Table_CivilAuth,0,0,,1),List_No)</formula1>
    </dataValidation>
    <dataValidation type="list" allowBlank="1" showInputMessage="1" showErrorMessage="1" promptTitle="Civil Authority Inc. Coverage" prompt="Please Select:_x000a_Yes or No" sqref="F28">
      <formula1>List_YN</formula1>
    </dataValidation>
    <dataValidation type="list" allowBlank="1" showInputMessage="1" showErrorMessage="1" promptTitle="Basic Group I - Class Codes" prompt="Please select your building class code" sqref="F39">
      <formula1>OFFSET(Table_G1_LC,0,0,,1)</formula1>
    </dataValidation>
    <dataValidation type="custom" allowBlank="1" showInputMessage="1" showErrorMessage="1" promptTitle="Class Rating Group" prompt="Displays Rating Group for Class Code selected." sqref="E39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42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F41">
      <formula1>OFFSET(Table_G1_LC,0,0,,1)</formula1>
    </dataValidation>
    <dataValidation type="list" allowBlank="1" showInputMessage="1" showErrorMessage="1" promptTitle="Please Select:" prompt="Yes = Apply Coverage_x000a_No  = Do Not Apply" sqref="F37 F46 F54">
      <formula1>List_YN</formula1>
    </dataValidation>
    <dataValidation type="list" allowBlank="1" showInputMessage="1" showErrorMessage="1" promptTitle="Increased Period of Restoration" prompt="Please Select:_x000a_Yes or No" sqref="F44">
      <formula1>List_YN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B5:C5 C7 B8 C4 C24 C10:C11 C14:C15 C21:C22 C17">
      <formula1>FALSE</formula1>
    </dataValidation>
    <dataValidation type="custom" allowBlank="1" showInputMessage="1" showErrorMessage="1" errorTitle="Do Not Touch" error="This is used to generate the Coinsurance rate." sqref="B34 E63">
      <formula1>FALSE</formula1>
    </dataValidation>
    <dataValidation type="custom" allowBlank="1" showInputMessage="1" showErrorMessage="1" sqref="O8 A29 E13:F13 F55 D14 B30:B31 C25 O5">
      <formula1>FALSE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9">
      <formula1>IF(C12="SP",List_No,IF(F54="Yes",List_YN,List_No))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60">
      <formula1>IF(C12="SP",List_No,IF(F54="Yes",List_YN,List_No))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3">
      <formula1>IF(OR(C12="BR",C12="BA"),List_No,IF(F54="Yes",List_YN,List_No))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6">
      <formula1>IF(AND(F54="Yes",C31&lt;&gt;"Yes"),List_YN,List_No)</formula1>
    </dataValidation>
    <dataValidation type="list" allowBlank="1" showInputMessage="1" showErrorMessage="1" promptTitle="EQ Building Class" prompt="Please Select a class from the drop down list." sqref="E57">
      <formula1>IF(F56="Yes",List_EQBldgClass,List_No)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1">
      <formula1>IF($F60="Yes",OFFSET(Table_Other_PierWharf,0,0,,1),List_No)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4">
      <formula1>IF(F63="Yes",OFFSET(Table_Other_WaterBuyback,0,0,,1),List_No)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sqref="E47">
      <formula1>IF(F46="Yes",TRUE,FALSE)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6" manualBreakCount="6">
    <brk id="6" max="1048575" man="1"/>
    <brk id="13" max="64" man="1"/>
    <brk id="20" max="64" man="1"/>
    <brk id="27" max="64" man="1"/>
    <brk id="35" max="64" man="1"/>
    <brk id="42" max="64" man="1"/>
  </colBreak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6"/>
  <sheetViews>
    <sheetView zoomScale="90" zoomScaleNormal="90" workbookViewId="0">
      <selection activeCell="H4" sqref="H4"/>
    </sheetView>
  </sheetViews>
  <sheetFormatPr defaultRowHeight="12.75" x14ac:dyDescent="0.2"/>
  <cols>
    <col min="1" max="1" width="27.7109375" style="2" customWidth="1"/>
    <col min="2" max="2" width="13.42578125" style="2" customWidth="1"/>
    <col min="3" max="3" width="13.85546875" style="2" customWidth="1"/>
    <col min="4" max="4" width="32.140625" style="2" customWidth="1"/>
    <col min="5" max="5" width="13.140625" style="2" customWidth="1"/>
    <col min="6" max="6" width="12.42578125" style="2" customWidth="1"/>
    <col min="7" max="7" width="9.140625" style="2"/>
    <col min="8" max="8" width="39.140625" style="2" customWidth="1"/>
    <col min="9" max="12" width="12.85546875" style="2" customWidth="1"/>
    <col min="13" max="13" width="8.140625" style="2" customWidth="1"/>
    <col min="14" max="14" width="15.140625" style="2" customWidth="1"/>
    <col min="15" max="15" width="27" style="2" customWidth="1"/>
    <col min="16" max="16" width="12.28515625" style="2" customWidth="1"/>
    <col min="17" max="18" width="12.42578125" style="2" customWidth="1"/>
    <col min="19" max="19" width="11.85546875" style="2" customWidth="1"/>
    <col min="20" max="20" width="5.42578125" style="2" customWidth="1"/>
    <col min="21" max="21" width="19.85546875" style="2" customWidth="1"/>
    <col min="22" max="22" width="25.85546875" style="2" customWidth="1"/>
    <col min="23" max="23" width="12.7109375" style="2" customWidth="1"/>
    <col min="24" max="24" width="15.140625" style="2" customWidth="1"/>
    <col min="25" max="25" width="15.42578125" style="2" customWidth="1"/>
    <col min="26" max="26" width="13" style="2" customWidth="1"/>
    <col min="27" max="27" width="5.42578125" style="2" customWidth="1"/>
    <col min="28" max="28" width="25.85546875" style="2" customWidth="1"/>
    <col min="29" max="29" width="13.7109375" style="2" customWidth="1"/>
    <col min="30" max="30" width="11.7109375" style="2" customWidth="1"/>
    <col min="31" max="32" width="13.140625" style="2" customWidth="1"/>
    <col min="33" max="33" width="11.28515625" style="2" customWidth="1"/>
    <col min="34" max="34" width="9.140625" style="2"/>
    <col min="35" max="35" width="34.28515625" style="2" customWidth="1"/>
    <col min="36" max="36" width="23.7109375" style="2" customWidth="1"/>
    <col min="37" max="37" width="14.28515625" style="2" customWidth="1"/>
    <col min="38" max="16384" width="9.140625" style="2"/>
  </cols>
  <sheetData>
    <row r="1" spans="1:37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1757</v>
      </c>
      <c r="I1" s="1595"/>
      <c r="J1" s="1595"/>
      <c r="K1" s="1595"/>
      <c r="L1" s="1596"/>
      <c r="N1" s="60" t="s">
        <v>978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152" t="s">
        <v>949</v>
      </c>
    </row>
    <row r="2" spans="1:37" ht="12.75" customHeight="1" thickBot="1" x14ac:dyDescent="0.25">
      <c r="A2" s="529" t="s">
        <v>832</v>
      </c>
      <c r="B2" s="530"/>
      <c r="C2" s="7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1053</v>
      </c>
      <c r="AB2" s="60" t="s">
        <v>550</v>
      </c>
      <c r="AD2" s="235"/>
      <c r="AE2" s="235"/>
      <c r="AF2" s="235"/>
      <c r="AG2" s="235"/>
    </row>
    <row r="3" spans="1:37" ht="13.5" thickBot="1" x14ac:dyDescent="0.25">
      <c r="A3" s="744" t="s">
        <v>195</v>
      </c>
      <c r="B3" s="745" t="str">
        <f>IF(C3="Building","B",IF(C3="Pers Pty","PP","None"))</f>
        <v>B</v>
      </c>
      <c r="C3" s="746" t="str">
        <f>IF(AND(TC8_BLDG1!C27="Yes",TC8_PP1!C27="Yes"),"Building",IF(AND(TC8_BLDG1!C27="No",TC8_PP1!C27="Yes"),"Pers Pty",IF(AND(TC8_BLDG1!C27="Yes",TC8_PP1!C27="No"),"Building","Neither")))</f>
        <v>Building</v>
      </c>
      <c r="D3" s="521" t="s">
        <v>1419</v>
      </c>
      <c r="E3" s="820" t="str">
        <f>IF(TC8_BI1!F5="Yes","BI","Available")</f>
        <v>Available</v>
      </c>
      <c r="F3" s="1100" t="s">
        <v>857</v>
      </c>
      <c r="H3" s="1273">
        <f>Summary8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107</v>
      </c>
      <c r="W3" s="247" t="e">
        <f>P24</f>
        <v>#N/A</v>
      </c>
      <c r="X3" s="247" t="e">
        <f>Q24</f>
        <v>#N/A</v>
      </c>
      <c r="Y3" s="247">
        <f>R24</f>
        <v>0.16300000000000001</v>
      </c>
      <c r="Z3" s="247">
        <f>S24</f>
        <v>0.06</v>
      </c>
      <c r="AB3" s="146"/>
      <c r="AC3" s="545" t="s">
        <v>1049</v>
      </c>
      <c r="AD3" s="146">
        <f>VLOOKUP(1,Table_Time_Utility,2,FALSE)</f>
        <v>2.1999999999999999E-2</v>
      </c>
      <c r="AE3" s="146">
        <f>VLOOKUP(1,Table_Time_Utility,3,FALSE)</f>
        <v>1.0999999999999999E-2</v>
      </c>
      <c r="AF3" s="146">
        <f>VLOOKUP(1,Table_Time_Utility,5,FALSE)</f>
        <v>1.9E-2</v>
      </c>
      <c r="AG3" s="563">
        <f>VLOOKUP(1,Table_Time_Utility,4,FALSE)</f>
        <v>6.0000000000000001E-3</v>
      </c>
      <c r="AI3" s="154" t="s">
        <v>950</v>
      </c>
      <c r="AJ3" s="86"/>
      <c r="AK3" s="156" t="s">
        <v>951</v>
      </c>
    </row>
    <row r="4" spans="1:37" x14ac:dyDescent="0.2">
      <c r="A4" s="120" t="s">
        <v>1024</v>
      </c>
      <c r="B4" s="95"/>
      <c r="C4" s="1086" t="str">
        <f>IF(B3="B",TC8_BLDG1!C3,IF(B3="PP",TC8_PP1!C3,""))</f>
        <v>CT</v>
      </c>
      <c r="D4" s="107" t="s">
        <v>1241</v>
      </c>
      <c r="E4" s="272"/>
      <c r="F4" s="704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85"/>
      <c r="V4" s="186" t="s">
        <v>108</v>
      </c>
      <c r="W4" s="208">
        <f>DF_Time_Law</f>
        <v>1.2</v>
      </c>
      <c r="X4" s="208">
        <f>DF_Time_Law</f>
        <v>1.2</v>
      </c>
      <c r="Y4" s="208">
        <f>DF_Time_Law</f>
        <v>1.2</v>
      </c>
      <c r="Z4" s="208">
        <f>DF_Time_Law</f>
        <v>1.2</v>
      </c>
      <c r="AB4" s="185"/>
      <c r="AC4" s="186" t="s">
        <v>1050</v>
      </c>
      <c r="AD4" s="238">
        <f>F22</f>
        <v>0</v>
      </c>
      <c r="AE4" s="238">
        <f>F22</f>
        <v>0</v>
      </c>
      <c r="AF4" s="238">
        <f>F22</f>
        <v>0</v>
      </c>
      <c r="AG4" s="785">
        <f>F22</f>
        <v>0</v>
      </c>
      <c r="AI4" s="686" t="s">
        <v>1715</v>
      </c>
      <c r="AK4" s="155">
        <f>IF(AK22&lt;-0.05,-0.05,IF(AK22&gt;0.05,0.05,AK22))</f>
        <v>0</v>
      </c>
    </row>
    <row r="5" spans="1:37" x14ac:dyDescent="0.2">
      <c r="A5" s="120" t="s">
        <v>1828</v>
      </c>
      <c r="B5" s="729">
        <f>IF(B3="B",TC8_BLDG1!B4,IF(B3="PP",TC8_PP1!B4,""))</f>
        <v>0</v>
      </c>
      <c r="C5" s="1086">
        <f>IF(B3="B",TC8_BLDG1!C4,IF(B3="PP",TC8_PP1!C4,""))</f>
        <v>0</v>
      </c>
      <c r="D5" s="84" t="s">
        <v>1610</v>
      </c>
      <c r="E5" s="193"/>
      <c r="F5" s="704"/>
      <c r="H5" s="483" t="s">
        <v>978</v>
      </c>
      <c r="I5" s="485">
        <f>IF(F3="Yes",P26,0)</f>
        <v>0</v>
      </c>
      <c r="J5" s="485">
        <f>IF(F3="Yes",Q26,0)</f>
        <v>0</v>
      </c>
      <c r="K5" s="485">
        <f>IF(AND(F3="Yes",C12="SP"),R26,0)</f>
        <v>0</v>
      </c>
      <c r="L5" s="485">
        <f>IF(AND(F3="Yes",C12="BR"),S26,0)</f>
        <v>0</v>
      </c>
      <c r="O5" s="168" t="str">
        <f>C3&amp;" - Loss Cost"</f>
        <v>Building - Loss Cost</v>
      </c>
      <c r="P5" s="247">
        <f>B29</f>
        <v>0.126</v>
      </c>
      <c r="Q5" s="247">
        <f>C29</f>
        <v>4.2000000000000003E-2</v>
      </c>
      <c r="R5" s="247">
        <f>IF(C12="SP",VLOOKUP(B13,Table_Time_Special,3,FALSE),0)</f>
        <v>6.2E-2</v>
      </c>
      <c r="S5" s="247">
        <f>HLOOKUP(B12,Table_BroadTime,3,FALSE)</f>
        <v>2.3E-2</v>
      </c>
      <c r="V5" s="83" t="s">
        <v>109</v>
      </c>
      <c r="W5" s="247" t="e">
        <f>ROUND(PRODUCT(W3:W4),3)</f>
        <v>#N/A</v>
      </c>
      <c r="X5" s="247" t="e">
        <f>ROUND(PRODUCT(X3:X4),3)</f>
        <v>#N/A</v>
      </c>
      <c r="Y5" s="247">
        <f>ROUND(PRODUCT(Y3:Y4),3)</f>
        <v>0.19600000000000001</v>
      </c>
      <c r="Z5" s="247">
        <f>ROUND(PRODUCT(Z3:Z4),3)</f>
        <v>7.1999999999999995E-2</v>
      </c>
      <c r="AB5" s="146"/>
      <c r="AC5" s="301" t="s">
        <v>1051</v>
      </c>
      <c r="AD5" s="146">
        <f>ROUND(PRODUCT(AD3:AD4),3)</f>
        <v>0</v>
      </c>
      <c r="AE5" s="146">
        <f>ROUND(PRODUCT(AE3:AE4),3)</f>
        <v>0</v>
      </c>
      <c r="AF5" s="146">
        <f>ROUND(PRODUCT(AF3:AF4),3)</f>
        <v>0</v>
      </c>
      <c r="AG5" s="146">
        <f>ROUND(PRODUCT(AG3:AG4),3)</f>
        <v>0</v>
      </c>
      <c r="AI5" s="151" t="s">
        <v>1714</v>
      </c>
      <c r="AK5" s="155">
        <f>IF(AK23&lt;-0.06,-0.06,IF(AK23&gt;0.06,0.06,AK23))</f>
        <v>0</v>
      </c>
    </row>
    <row r="6" spans="1:37" x14ac:dyDescent="0.2">
      <c r="A6" s="120"/>
      <c r="B6" s="95"/>
      <c r="C6" s="1039"/>
      <c r="D6" s="499"/>
      <c r="E6" s="146"/>
      <c r="F6" s="1072"/>
      <c r="H6" s="483"/>
      <c r="I6" s="485"/>
      <c r="J6" s="485"/>
      <c r="K6" s="485"/>
      <c r="L6" s="485"/>
      <c r="O6" s="168" t="s">
        <v>972</v>
      </c>
      <c r="P6" s="207">
        <f>IF(OR(C27="S",C27="T"),1,VLOOKUP(C14,Table_ProtClass,IF(C15&lt;=3,2,3),FALSE)) - IF(AND(C33=1,ISNUMBER(B31),P13=1),B31,0)</f>
        <v>0.96</v>
      </c>
      <c r="Q6" s="207">
        <v>1</v>
      </c>
      <c r="R6" s="207">
        <v>1</v>
      </c>
      <c r="S6" s="207">
        <v>1</v>
      </c>
      <c r="AC6" s="168" t="s">
        <v>971</v>
      </c>
      <c r="AD6" s="207">
        <f>HLOOKUP(C11,Table_StateRates,6,FALSE)</f>
        <v>1.9</v>
      </c>
      <c r="AE6" s="207">
        <f>HLOOKUP(C11,Table_StateRates,6,FALSE)</f>
        <v>1.9</v>
      </c>
      <c r="AF6" s="207">
        <f>HLOOKUP(C11,Table_StateRates,6,FALSE)</f>
        <v>1.9</v>
      </c>
      <c r="AG6" s="207">
        <f>HLOOKUP(C11,Table_StateRates,6,FALSE)</f>
        <v>1.9</v>
      </c>
      <c r="AI6" s="8" t="s">
        <v>1716</v>
      </c>
      <c r="AK6" s="155">
        <f>IF(AK24&lt;-0.06,-0.06,IF(AK24&gt;0.06,0.06,AK24))</f>
        <v>0</v>
      </c>
    </row>
    <row r="7" spans="1:37" x14ac:dyDescent="0.2">
      <c r="A7" s="120" t="s">
        <v>969</v>
      </c>
      <c r="B7" s="95"/>
      <c r="C7" s="1087" t="str">
        <f>IF(B3="B",TC8_BLDG1!C6,IF(B3="PP",TC8_PP1!C6,""))</f>
        <v>CPP</v>
      </c>
      <c r="D7" s="538" t="s">
        <v>1545</v>
      </c>
      <c r="E7" s="103"/>
      <c r="F7" s="413" t="s">
        <v>857</v>
      </c>
      <c r="H7" s="168"/>
      <c r="I7" s="485"/>
      <c r="J7" s="485"/>
      <c r="K7" s="485"/>
      <c r="L7" s="485"/>
      <c r="N7" s="185"/>
      <c r="O7" s="186" t="s">
        <v>970</v>
      </c>
      <c r="P7" s="208">
        <f>IF(B30="Yes",DF_Sprinkler50,1)</f>
        <v>1</v>
      </c>
      <c r="Q7" s="208">
        <v>1</v>
      </c>
      <c r="R7" s="208">
        <v>1</v>
      </c>
      <c r="S7" s="208">
        <v>1</v>
      </c>
      <c r="V7" s="568" t="s">
        <v>110</v>
      </c>
      <c r="W7" s="893" t="e">
        <f>IF(C12="SP",SUM(W5:Y5),IF(C12="BR",SUM(W5:X5,Z5),SUM(W5:X5)))</f>
        <v>#N/A</v>
      </c>
      <c r="AC7" s="168" t="s">
        <v>1019</v>
      </c>
      <c r="AD7" s="207">
        <f>HLOOKUP(C11,Table_StateRates,5,FALSE)</f>
        <v>1.38</v>
      </c>
      <c r="AE7" s="207">
        <f>HLOOKUP(C11,Table_StateRates,5,FALSE)</f>
        <v>1.38</v>
      </c>
      <c r="AF7" s="207">
        <f>HLOOKUP(C11,Table_StateRates,5,FALSE)</f>
        <v>1.38</v>
      </c>
      <c r="AG7" s="207">
        <f>HLOOKUP(C11,Table_StateRates,5,FALSE)</f>
        <v>1.38</v>
      </c>
      <c r="AI7" s="8" t="s">
        <v>1717</v>
      </c>
      <c r="AK7" s="155">
        <f>IF(AK25&lt;-0.1,-0.1,IF(AK25&gt;0.1,0.1,AK25))</f>
        <v>0</v>
      </c>
    </row>
    <row r="8" spans="1:37" x14ac:dyDescent="0.2">
      <c r="A8" s="143" t="s">
        <v>923</v>
      </c>
      <c r="B8" s="1236" t="str">
        <f>IF(B3="B",TC8_BLDG1!B7,IF(B3="PP",TC8_PP1!B7,""))</f>
        <v>No</v>
      </c>
      <c r="C8" s="1039"/>
      <c r="D8" s="518" t="s">
        <v>1555</v>
      </c>
      <c r="E8" s="414" t="s">
        <v>857</v>
      </c>
      <c r="F8" s="1065"/>
      <c r="H8" s="82" t="s">
        <v>1661</v>
      </c>
      <c r="I8" s="485"/>
      <c r="J8" s="485"/>
      <c r="K8" s="485"/>
      <c r="L8" s="485"/>
      <c r="O8" s="83" t="s">
        <v>1134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0.16300000000000001</v>
      </c>
      <c r="S8" s="1315">
        <f>ROUND(PRODUCT(S4:S7),3)</f>
        <v>0.06</v>
      </c>
      <c r="AC8" s="168" t="s">
        <v>180</v>
      </c>
      <c r="AD8" s="207">
        <v>1</v>
      </c>
      <c r="AE8" s="207">
        <v>1</v>
      </c>
      <c r="AF8" s="207">
        <v>1</v>
      </c>
      <c r="AG8" s="207">
        <v>1</v>
      </c>
      <c r="AI8" s="687" t="s">
        <v>1718</v>
      </c>
      <c r="AK8" s="155">
        <f>IF(AK26&lt;-0.06,-0.06,IF(AK26&gt;0.06,0.06,AK26))</f>
        <v>0</v>
      </c>
    </row>
    <row r="9" spans="1:37" ht="13.5" thickBot="1" x14ac:dyDescent="0.25">
      <c r="A9" s="120"/>
      <c r="B9" s="95"/>
      <c r="C9" s="1039"/>
      <c r="D9" s="91"/>
      <c r="E9" s="195"/>
      <c r="F9" s="101"/>
      <c r="H9" s="189" t="s">
        <v>1826</v>
      </c>
      <c r="I9" s="485">
        <f>IF(AND(F3="Yes",F11="Yes"),P49,0)</f>
        <v>0</v>
      </c>
      <c r="J9" s="485">
        <f>IF(AND(F3="Yes",F11="Yes"),Q49,0)</f>
        <v>0</v>
      </c>
      <c r="K9" s="485">
        <f>IF(AND(F11="Yes",C12="SP"),R49,0)</f>
        <v>0</v>
      </c>
      <c r="L9" s="485">
        <f>IF(AND(F11="Yes",C12="BR"),S49,0)</f>
        <v>0</v>
      </c>
      <c r="O9" s="1117" t="s">
        <v>2140</v>
      </c>
      <c r="P9" s="247">
        <f>DF_BI_BRF1</f>
        <v>0.8</v>
      </c>
      <c r="Q9" s="247">
        <f>DF_BI_BRF2</f>
        <v>0.65</v>
      </c>
      <c r="R9" s="247">
        <v>1</v>
      </c>
      <c r="S9" s="247">
        <v>1</v>
      </c>
      <c r="V9" s="545" t="s">
        <v>184</v>
      </c>
      <c r="W9" s="248">
        <f>F4/100</f>
        <v>0</v>
      </c>
      <c r="AB9" s="146"/>
      <c r="AC9" s="545" t="s">
        <v>1020</v>
      </c>
      <c r="AD9" s="299">
        <f>IF(C7="PAC",VLOOKUP(B8,Table_PakMods,MATCH(C11,List_Company,0)+1,FALSE),1)</f>
        <v>1</v>
      </c>
      <c r="AE9" s="299">
        <f>IF(C7="PAC",VLOOKUP(B8,Table_PakMods,MATCH(C11,List_Company,0)+1,FALSE),1)</f>
        <v>1</v>
      </c>
      <c r="AF9" s="299">
        <f>IF(C7="PAC",VLOOKUP(B8,Table_PakMods,MATCH(C11,List_Company,0)+1,FALSE),1)</f>
        <v>1</v>
      </c>
      <c r="AG9" s="299">
        <f>IF(C7="PAC",VLOOKUP(B8,Table_PakMods,MATCH(C11,List_Company,0)+1,FALSE),1)</f>
        <v>1</v>
      </c>
      <c r="AI9" s="153" t="s">
        <v>1719</v>
      </c>
      <c r="AK9" s="155">
        <f>IF(AK27&lt;-0.025,-0.025,IF(AK27&gt;0.025,0.025,AK27))</f>
        <v>0</v>
      </c>
    </row>
    <row r="10" spans="1:37" ht="13.5" thickBot="1" x14ac:dyDescent="0.25">
      <c r="A10" s="120" t="s">
        <v>1829</v>
      </c>
      <c r="B10" s="95"/>
      <c r="C10" s="1086">
        <f>IF(B3="B",TC8_BLDG1!C9,IF(B3="PP",TC8_PP1!C9,""))</f>
        <v>1</v>
      </c>
      <c r="D10" s="529" t="s">
        <v>897</v>
      </c>
      <c r="E10" s="217"/>
      <c r="F10" s="218"/>
      <c r="H10" s="83"/>
      <c r="I10" s="248"/>
      <c r="J10" s="248"/>
      <c r="K10" s="248"/>
      <c r="L10" s="248"/>
      <c r="N10" s="185"/>
      <c r="O10" s="186" t="s">
        <v>1258</v>
      </c>
      <c r="P10" s="208" t="e">
        <f>VLOOKUP(F5,Table_EE_CoIns,3,FALSE)</f>
        <v>#N/A</v>
      </c>
      <c r="Q10" s="208" t="e">
        <f>VLOOKUP(F5,Table_EE_CoIns,3,FALSE)</f>
        <v>#N/A</v>
      </c>
      <c r="R10" s="208">
        <v>1</v>
      </c>
      <c r="S10" s="208">
        <v>1</v>
      </c>
      <c r="U10" s="185"/>
      <c r="V10" s="186" t="s">
        <v>111</v>
      </c>
      <c r="W10" s="455">
        <f>IF(F18="Yes",W7,0)</f>
        <v>0</v>
      </c>
      <c r="AB10" s="542"/>
      <c r="AC10" s="724" t="s">
        <v>1022</v>
      </c>
      <c r="AD10" s="279">
        <v>1</v>
      </c>
      <c r="AE10" s="279">
        <v>1</v>
      </c>
      <c r="AF10" s="279">
        <v>1</v>
      </c>
      <c r="AG10" s="279">
        <v>1</v>
      </c>
      <c r="AI10" s="687" t="s">
        <v>1720</v>
      </c>
      <c r="AK10" s="155">
        <f>IF(AK28&lt;-0.025,-0.025,IF(AK28&gt;0.025,0.025,AK28))</f>
        <v>0</v>
      </c>
    </row>
    <row r="11" spans="1:37" x14ac:dyDescent="0.2">
      <c r="A11" s="120" t="s">
        <v>835</v>
      </c>
      <c r="B11" s="95"/>
      <c r="C11" s="1087" t="str">
        <f>IF(B3="B",TC8_BLDG1!C11,IF(B3="PP",TC8_PP1!C11,""))</f>
        <v>GAIC</v>
      </c>
      <c r="D11" s="123" t="s">
        <v>964</v>
      </c>
      <c r="E11" s="474"/>
      <c r="F11" s="475" t="s">
        <v>857</v>
      </c>
      <c r="L11" s="890" t="s">
        <v>1048</v>
      </c>
      <c r="N11" s="266"/>
      <c r="O11" s="568" t="s">
        <v>917</v>
      </c>
      <c r="P11" s="1422" t="e">
        <f>ROUND(PRODUCT(P8:P10),3)</f>
        <v>#N/A</v>
      </c>
      <c r="Q11" s="1422" t="e">
        <f>ROUND(PRODUCT(Q8:Q10),3)</f>
        <v>#N/A</v>
      </c>
      <c r="R11" s="1422">
        <f>ROUND(PRODUCT(R8:R10),3)</f>
        <v>0.16300000000000001</v>
      </c>
      <c r="S11" s="1422">
        <f>ROUND(PRODUCT(S8:S10),3)</f>
        <v>0.06</v>
      </c>
      <c r="V11" s="83" t="s">
        <v>1514</v>
      </c>
      <c r="W11" s="248">
        <f>ROUND(PRODUCT(W9:W10),0)</f>
        <v>0</v>
      </c>
      <c r="AC11" s="83" t="s">
        <v>1150</v>
      </c>
      <c r="AD11" s="2">
        <f>ROUND(PRODUCT(AD5:AD10),3)</f>
        <v>0</v>
      </c>
      <c r="AE11" s="2">
        <f>ROUND(PRODUCT(AE5:AE10),3)</f>
        <v>0</v>
      </c>
      <c r="AF11" s="2">
        <f>ROUND(PRODUCT(AF5:AF10),3)</f>
        <v>0</v>
      </c>
      <c r="AG11" s="2">
        <f>ROUND(PRODUCT(AG5:AG10),3)</f>
        <v>0</v>
      </c>
      <c r="AI11" s="687" t="s">
        <v>1721</v>
      </c>
      <c r="AK11" s="155">
        <f>IF(AK29&lt;-0.075,-0.075,IF(AK29&gt;0.075,0.075,AK29))</f>
        <v>0</v>
      </c>
    </row>
    <row r="12" spans="1:37" ht="13.5" thickBot="1" x14ac:dyDescent="0.25">
      <c r="A12" s="415" t="s">
        <v>910</v>
      </c>
      <c r="B12" s="493">
        <f>IF(OR(C15=5,C15=6),1,2)</f>
        <v>2</v>
      </c>
      <c r="C12" s="704" t="s">
        <v>894</v>
      </c>
      <c r="D12" s="107" t="s">
        <v>1242</v>
      </c>
      <c r="E12" s="272"/>
      <c r="F12" s="476"/>
      <c r="H12" s="168" t="s">
        <v>1507</v>
      </c>
      <c r="I12" s="248">
        <f>IF(AND(F3="Yes",F18="Yes"),W23,0)</f>
        <v>0</v>
      </c>
      <c r="J12" s="248"/>
      <c r="K12" s="248"/>
      <c r="L12" s="248"/>
      <c r="O12" s="189" t="s">
        <v>1496</v>
      </c>
      <c r="P12" s="207">
        <v>1</v>
      </c>
      <c r="Q12" s="207">
        <f>IF(C32="Yes",VLOOKUP(C15,Table_Construction,3,FALSE),1)</f>
        <v>1</v>
      </c>
      <c r="R12" s="207">
        <v>1</v>
      </c>
      <c r="S12" s="207">
        <v>1</v>
      </c>
      <c r="V12" s="83"/>
      <c r="W12" s="248"/>
      <c r="Y12" s="168"/>
      <c r="AB12" s="185"/>
      <c r="AC12" s="186" t="s">
        <v>1025</v>
      </c>
      <c r="AD12" s="238">
        <f>IF(ISNUMBER(E21),E21/100,0)</f>
        <v>0</v>
      </c>
      <c r="AE12" s="238">
        <f>IF(ISNUMBER(E21),E21/100,0)</f>
        <v>0</v>
      </c>
      <c r="AF12" s="238">
        <f>IF(ISNUMBER(E21),E21/100,0)</f>
        <v>0</v>
      </c>
      <c r="AG12" s="238">
        <f>IF(ISNUMBER(E21),E21/100,0)</f>
        <v>0</v>
      </c>
      <c r="AI12" s="8" t="s">
        <v>1722</v>
      </c>
      <c r="AK12" s="155">
        <f>IF(AK30&lt;-0.05,-0.05,IF(AK30&gt;0.05,0.05,AK30))</f>
        <v>0</v>
      </c>
    </row>
    <row r="13" spans="1:37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88">
        <v>2</v>
      </c>
      <c r="D13" s="108" t="s">
        <v>904</v>
      </c>
      <c r="E13" s="319" t="str">
        <f>IF(ISBLANK(F13),"",VLOOKUP(F13,Table_G1_LC,2,FALSE))</f>
        <v/>
      </c>
      <c r="F13" s="188"/>
      <c r="H13" s="168" t="s">
        <v>1047</v>
      </c>
      <c r="I13" s="248">
        <f>IF(AND(F3="Yes",F20="Yes"),AD48,0)</f>
        <v>0</v>
      </c>
      <c r="J13" s="248"/>
      <c r="K13" s="248"/>
      <c r="L13" s="248"/>
      <c r="O13" s="168" t="s">
        <v>1199</v>
      </c>
      <c r="P13" s="247">
        <f>IF(OR(C27="S",C27="T"),1,VLOOKUP(C17,Table_TerrMult,2,FALSE)) - IF(AND((C31)="Yes",ISNUMBER(B31)),B31,0)</f>
        <v>1</v>
      </c>
      <c r="Q13" s="207">
        <v>1</v>
      </c>
      <c r="R13" s="207">
        <v>1</v>
      </c>
      <c r="S13" s="207">
        <v>1</v>
      </c>
      <c r="U13" s="60" t="s">
        <v>1508</v>
      </c>
      <c r="V13" s="83"/>
      <c r="W13" s="248"/>
      <c r="AC13" s="83" t="s">
        <v>1647</v>
      </c>
      <c r="AD13" s="248">
        <f>ROUND(PRODUCT(AD11:AD12),0)</f>
        <v>0</v>
      </c>
      <c r="AE13" s="248">
        <f>ROUND(PRODUCT(AE11:AE12),0)</f>
        <v>0</v>
      </c>
      <c r="AF13" s="248">
        <f>ROUND(PRODUCT(AF11:AF12),0)</f>
        <v>0</v>
      </c>
      <c r="AG13" s="248">
        <f>ROUND(PRODUCT(AG11:AG12),0)</f>
        <v>0</v>
      </c>
      <c r="AI13" s="8"/>
      <c r="AK13" s="155"/>
    </row>
    <row r="14" spans="1:37" x14ac:dyDescent="0.2">
      <c r="A14" s="108" t="s">
        <v>898</v>
      </c>
      <c r="B14" s="95"/>
      <c r="C14" s="1087">
        <f>IF(B3="B",TC8_BLDG1!C14,IF(B3="PP",TC8_PP1!C14,""))</f>
        <v>3</v>
      </c>
      <c r="D14" s="482" t="str">
        <f>IF(F13="1190","Special Form Class Only - Choose Again",IF(F13="1180","Enter Prior/Intended Occ. Class Code Below",""))</f>
        <v/>
      </c>
      <c r="E14" s="273"/>
      <c r="F14" s="274"/>
      <c r="I14" s="248"/>
      <c r="J14" s="248"/>
      <c r="K14" s="248"/>
      <c r="L14" s="248"/>
      <c r="O14" s="168" t="s">
        <v>1100</v>
      </c>
      <c r="P14" s="207">
        <f>IF(C31="Yes",IF(ISNUMBER(B31),1,VLOOKUP(C15,Table_SprLkg,IF(B3="B",2,3),FALSE)),1)</f>
        <v>1</v>
      </c>
      <c r="Q14" s="207">
        <v>1</v>
      </c>
      <c r="R14" s="207">
        <v>1</v>
      </c>
      <c r="S14" s="207">
        <v>1</v>
      </c>
      <c r="V14" s="189" t="s">
        <v>1510</v>
      </c>
      <c r="W14" s="248" t="e">
        <f>P26</f>
        <v>#N/A</v>
      </c>
      <c r="AJ14" s="60" t="s">
        <v>952</v>
      </c>
      <c r="AK14" s="157">
        <f>IF(SUM(AK4:AK13)&lt;-0.4,-0.4,IF(SUM(AK4:AK13)&gt;0.4,0.4,SUM(AK4:AK13)))</f>
        <v>0</v>
      </c>
    </row>
    <row r="15" spans="1:37" ht="13.5" customHeight="1" x14ac:dyDescent="0.2">
      <c r="A15" s="108" t="s">
        <v>1073</v>
      </c>
      <c r="B15" s="319" t="str">
        <f>IF(C15&lt;=4,"B","A")</f>
        <v>B</v>
      </c>
      <c r="C15" s="1089">
        <f>IF(B3="B",TC8_BLDG1!C15,IF(B3="PP",TC8_PP1!C15,""))</f>
        <v>1</v>
      </c>
      <c r="D15" s="108" t="s">
        <v>960</v>
      </c>
      <c r="E15" s="160"/>
      <c r="F15" s="188"/>
      <c r="H15" s="990" t="s">
        <v>244</v>
      </c>
      <c r="I15" s="797">
        <f>SUM(I12:I13,I9:L9)</f>
        <v>0</v>
      </c>
      <c r="O15" s="236" t="s">
        <v>1099</v>
      </c>
      <c r="P15" s="281">
        <f>C33</f>
        <v>0</v>
      </c>
      <c r="Q15" s="211">
        <v>1</v>
      </c>
      <c r="R15" s="211">
        <v>1</v>
      </c>
      <c r="S15" s="211">
        <v>1</v>
      </c>
      <c r="V15" s="189" t="s">
        <v>1511</v>
      </c>
      <c r="W15" s="248" t="e">
        <f>Q26</f>
        <v>#N/A</v>
      </c>
      <c r="AC15" s="685" t="s">
        <v>549</v>
      </c>
      <c r="AD15" s="907">
        <f>IF(F20="Yes",IF(C12="SP",SUM(AD13:AF13),IF(C12="BR",SUM(AD13:AE13,AG13),SUM(AD13:AE13))),0)</f>
        <v>0</v>
      </c>
    </row>
    <row r="16" spans="1:37" ht="13.5" thickBot="1" x14ac:dyDescent="0.25">
      <c r="A16" s="84" t="s">
        <v>975</v>
      </c>
      <c r="B16" s="160"/>
      <c r="C16" s="1080" t="str">
        <f>IF(B3="B",TC8_BLDG1!C16,IF(B3="PP",TC8_PP1!C16,""))</f>
        <v>A</v>
      </c>
      <c r="D16" s="191" t="s">
        <v>1065</v>
      </c>
      <c r="E16" s="456">
        <f>IF(ISBLANK(F15),0,IF(ISERROR(VLOOKUP(F15,List_VacantClasses,1,FALSE)),VLOOKUP(F15,Table_G1_LC,MATCH(C15&amp;"B",List_ClassLC,0)+2),0))</f>
        <v>0</v>
      </c>
      <c r="F16" s="213"/>
      <c r="N16" s="209"/>
      <c r="O16" s="210" t="s">
        <v>1016</v>
      </c>
      <c r="P16" s="212">
        <v>1</v>
      </c>
      <c r="Q16" s="212">
        <v>1</v>
      </c>
      <c r="R16" s="212">
        <v>1</v>
      </c>
      <c r="S16" s="212">
        <v>1</v>
      </c>
      <c r="V16" s="189" t="s">
        <v>1509</v>
      </c>
      <c r="W16" s="248">
        <f>IF(C12="SP",R26,0)</f>
        <v>0</v>
      </c>
      <c r="AC16" s="685"/>
      <c r="AD16" s="701"/>
    </row>
    <row r="17" spans="1:40" ht="15" customHeight="1" thickBot="1" x14ac:dyDescent="0.25">
      <c r="A17" s="122" t="s">
        <v>974</v>
      </c>
      <c r="B17" s="95"/>
      <c r="C17" s="1087">
        <f>IF(B3="B",TC8_BLDG1!C17,IF(B3="PP",TC8_PP1!C17,""))</f>
        <v>1</v>
      </c>
      <c r="D17" s="91"/>
      <c r="E17" s="195"/>
      <c r="F17" s="101"/>
      <c r="N17" s="185"/>
      <c r="O17" s="186" t="s">
        <v>1259</v>
      </c>
      <c r="P17" s="208">
        <f>IF(F7="Yes",VLOOKUP(E8,Table_CivilAuth,2,FALSE),1)</f>
        <v>1</v>
      </c>
      <c r="Q17" s="208">
        <f>IF(F7="Yes",VLOOKUP(E8,Table_CivilAuth,2,FALSE),1)</f>
        <v>1</v>
      </c>
      <c r="R17" s="208">
        <f>IF(F7="Yes",VLOOKUP(E8,Table_CivilAuth,2,FALSE),1)</f>
        <v>1</v>
      </c>
      <c r="S17" s="208">
        <f>IF(F7="Yes",VLOOKUP(E8,Table_CivilAuth,2,FALSE),1)</f>
        <v>1</v>
      </c>
      <c r="U17" s="185"/>
      <c r="V17" s="477" t="s">
        <v>1512</v>
      </c>
      <c r="W17" s="238">
        <f>IF(C12="BR",S26,0)</f>
        <v>0</v>
      </c>
      <c r="AI17" s="136" t="s">
        <v>947</v>
      </c>
      <c r="AJ17" s="137"/>
      <c r="AK17" s="137"/>
      <c r="AL17" s="137"/>
      <c r="AM17" s="136" t="s">
        <v>938</v>
      </c>
      <c r="AN17" s="517"/>
    </row>
    <row r="18" spans="1:40" x14ac:dyDescent="0.2">
      <c r="A18" s="1195" t="s">
        <v>2097</v>
      </c>
      <c r="B18" s="95"/>
      <c r="C18" s="1238">
        <v>2</v>
      </c>
      <c r="D18" s="872" t="s">
        <v>1052</v>
      </c>
      <c r="E18" s="422"/>
      <c r="F18" s="892" t="s">
        <v>857</v>
      </c>
      <c r="H18" s="566" t="s">
        <v>663</v>
      </c>
      <c r="I18" s="2" t="e">
        <f>IF(AND(C21="Yes",C24="Yes"),W51,IF(AND(C21="Yes",C24="No"),B24,0))</f>
        <v>#N/A</v>
      </c>
      <c r="O18" s="83" t="s">
        <v>2167</v>
      </c>
      <c r="P18" s="1312" t="e">
        <f>ROUND(PRODUCT(P11:P13,IF(AND(C31="Yes",B31="Sprinkler",C33&lt;&gt;1),P14-P15,P14),P16:P17),3)</f>
        <v>#N/A</v>
      </c>
      <c r="Q18" s="1312" t="e">
        <f>ROUND(PRODUCT(Q11:Q17),3)</f>
        <v>#N/A</v>
      </c>
      <c r="R18" s="1312">
        <f>ROUND(PRODUCT(R11:R17),3)</f>
        <v>0.16300000000000001</v>
      </c>
      <c r="S18" s="1312">
        <f>ROUND(PRODUCT(S11:S17),3)</f>
        <v>0.06</v>
      </c>
      <c r="V18" s="83" t="s">
        <v>1513</v>
      </c>
      <c r="W18" s="248" t="e">
        <f>SUM(W14:W17)</f>
        <v>#N/A</v>
      </c>
      <c r="AB18" s="60" t="s">
        <v>551</v>
      </c>
      <c r="AD18" s="235" t="s">
        <v>1012</v>
      </c>
      <c r="AE18" s="235" t="s">
        <v>1013</v>
      </c>
      <c r="AF18" s="235" t="s">
        <v>838</v>
      </c>
      <c r="AG18" s="235" t="s">
        <v>837</v>
      </c>
      <c r="AI18" s="138" t="s">
        <v>939</v>
      </c>
      <c r="AJ18" s="8"/>
      <c r="AK18" s="8"/>
      <c r="AL18" s="8"/>
      <c r="AM18" s="445" t="s">
        <v>940</v>
      </c>
      <c r="AN18" s="481"/>
    </row>
    <row r="19" spans="1:40" ht="13.5" thickBot="1" x14ac:dyDescent="0.25">
      <c r="A19" s="126"/>
      <c r="B19" s="96"/>
      <c r="C19" s="192"/>
      <c r="D19" s="91"/>
      <c r="E19" s="195"/>
      <c r="F19" s="101"/>
      <c r="O19" s="168" t="s">
        <v>180</v>
      </c>
      <c r="P19" s="207">
        <v>1</v>
      </c>
      <c r="Q19" s="207">
        <v>1</v>
      </c>
      <c r="R19" s="207">
        <v>1</v>
      </c>
      <c r="S19" s="207">
        <v>1</v>
      </c>
      <c r="V19" s="83"/>
      <c r="W19" s="248"/>
      <c r="AB19" s="146"/>
      <c r="AC19" s="545" t="s">
        <v>1049</v>
      </c>
      <c r="AD19" s="146">
        <f>VLOOKUP(2,Table_Time_Utility,2,FALSE)</f>
        <v>4.3999999999999997E-2</v>
      </c>
      <c r="AE19" s="146">
        <f>VLOOKUP(2,Table_Time_Utility,3,FALSE)</f>
        <v>4.3999999999999997E-2</v>
      </c>
      <c r="AF19" s="146">
        <f>VLOOKUP(2,Table_Time_Utility,5,FALSE)</f>
        <v>2.9000000000000001E-2</v>
      </c>
      <c r="AG19" s="563">
        <f>VLOOKUP(2,Table_Time_Utility,4,FALSE)</f>
        <v>0.01</v>
      </c>
      <c r="AI19" s="138" t="s">
        <v>941</v>
      </c>
      <c r="AJ19" s="8"/>
      <c r="AK19" s="8"/>
      <c r="AL19" s="8"/>
      <c r="AM19" s="26"/>
      <c r="AN19" s="481"/>
    </row>
    <row r="20" spans="1:40" x14ac:dyDescent="0.2">
      <c r="A20" s="88" t="s">
        <v>954</v>
      </c>
      <c r="B20" s="89"/>
      <c r="C20" s="118"/>
      <c r="D20" s="897" t="s">
        <v>1668</v>
      </c>
      <c r="E20" s="447"/>
      <c r="F20" s="873" t="s">
        <v>857</v>
      </c>
      <c r="N20" s="146"/>
      <c r="O20" s="545" t="s">
        <v>1020</v>
      </c>
      <c r="P20" s="299">
        <f>IF(C7="PAC",VLOOKUP(B8,Table_PakMods,MATCH(C11,List_Company,0)+1,FALSE),1)</f>
        <v>1</v>
      </c>
      <c r="Q20" s="299">
        <f>IF(C7="PAC",VLOOKUP(B8,Table_PakMods,MATCH(C11,List_Company,0)+1,FALSE),1)</f>
        <v>1</v>
      </c>
      <c r="R20" s="299">
        <f>IF(C7="PAC",VLOOKUP(B8,Table_PakMods,MATCH(C11,List_Company,0)+1,FALSE),1)</f>
        <v>1</v>
      </c>
      <c r="S20" s="299">
        <f>IF(C7="PAC",VLOOKUP(B8,Table_PakMods,MATCH(C11,List_Company,0)+1,FALSE),1)</f>
        <v>1</v>
      </c>
      <c r="U20" s="82" t="s">
        <v>1515</v>
      </c>
      <c r="V20" s="60"/>
      <c r="W20" s="83"/>
      <c r="AC20" s="168" t="s">
        <v>971</v>
      </c>
      <c r="AD20" s="207">
        <f>HLOOKUP(C11,Table_StateRates,6,FALSE)</f>
        <v>1.9</v>
      </c>
      <c r="AE20" s="207">
        <f>HLOOKUP(C11,Table_StateRates,6,FALSE)</f>
        <v>1.9</v>
      </c>
      <c r="AF20" s="207">
        <f>HLOOKUP(C11,Table_StateRates,6,FALSE)</f>
        <v>1.9</v>
      </c>
      <c r="AG20" s="207">
        <f>HLOOKUP(C11,Table_StateRates,6,FALSE)</f>
        <v>1.9</v>
      </c>
      <c r="AI20" s="26"/>
      <c r="AJ20" s="8"/>
      <c r="AK20" s="8"/>
      <c r="AL20" s="8"/>
      <c r="AM20" s="140" t="s">
        <v>942</v>
      </c>
      <c r="AN20" s="481"/>
    </row>
    <row r="21" spans="1:40" x14ac:dyDescent="0.2">
      <c r="A21" s="122" t="s">
        <v>956</v>
      </c>
      <c r="B21" s="319">
        <f>IF(C17=1,1,2)</f>
        <v>1</v>
      </c>
      <c r="C21" s="1090" t="str">
        <f>IF(B3="B",TC8_BLDG1!C21,IF(B3="PP",TC8_PP1!C21,""))</f>
        <v>Yes</v>
      </c>
      <c r="D21" s="898" t="s">
        <v>1646</v>
      </c>
      <c r="E21" s="519"/>
      <c r="F21" s="446"/>
      <c r="H21" s="60" t="s">
        <v>2288</v>
      </c>
      <c r="I21" s="1468">
        <f>SUM(I5:L5,I15)</f>
        <v>0</v>
      </c>
      <c r="N21" s="542"/>
      <c r="O21" s="724" t="s">
        <v>1022</v>
      </c>
      <c r="P21" s="279">
        <v>1</v>
      </c>
      <c r="Q21" s="279">
        <v>1</v>
      </c>
      <c r="R21" s="279">
        <v>1</v>
      </c>
      <c r="S21" s="279">
        <v>1</v>
      </c>
      <c r="V21" s="168" t="s">
        <v>1165</v>
      </c>
      <c r="W21" s="248">
        <f>W11</f>
        <v>0</v>
      </c>
      <c r="AC21" s="168" t="s">
        <v>1019</v>
      </c>
      <c r="AD21" s="207">
        <f>HLOOKUP(C11,Table_StateRates,5,FALSE)</f>
        <v>1.38</v>
      </c>
      <c r="AE21" s="207">
        <f>HLOOKUP(C11,Table_StateRates,5,FALSE)</f>
        <v>1.38</v>
      </c>
      <c r="AF21" s="207">
        <f>HLOOKUP(C11,Table_StateRates,5,FALSE)</f>
        <v>1.38</v>
      </c>
      <c r="AG21" s="207">
        <f>HLOOKUP(C11,Table_StateRates,5,FALSE)</f>
        <v>1.38</v>
      </c>
      <c r="AI21" s="445" t="s">
        <v>943</v>
      </c>
      <c r="AJ21" s="8"/>
      <c r="AK21" s="142" t="s">
        <v>944</v>
      </c>
      <c r="AM21" s="140" t="s">
        <v>945</v>
      </c>
      <c r="AN21" s="481"/>
    </row>
    <row r="22" spans="1:40" x14ac:dyDescent="0.2">
      <c r="A22" s="911" t="s">
        <v>958</v>
      </c>
      <c r="B22" s="90"/>
      <c r="C22" s="571" t="str">
        <f>IF(B3="B",TC8_BLDG1!C22,IF(B3="PP",TC8_PP1!C22,""))</f>
        <v>No</v>
      </c>
      <c r="D22" s="518" t="s">
        <v>317</v>
      </c>
      <c r="E22" s="414"/>
      <c r="F22" s="891">
        <f>COUNTIF(E22:E23,"Yes")</f>
        <v>0</v>
      </c>
      <c r="N22" s="385"/>
      <c r="O22" s="685" t="s">
        <v>2236</v>
      </c>
      <c r="P22" s="1314">
        <f>ROUND(PRODUCT(P19:P21),3)</f>
        <v>1</v>
      </c>
      <c r="Q22" s="1314">
        <f>ROUND(PRODUCT(Q19:Q21),3)</f>
        <v>1</v>
      </c>
      <c r="R22" s="1314">
        <f>ROUND(PRODUCT(R19:R21),3)</f>
        <v>1</v>
      </c>
      <c r="S22" s="1314">
        <f>ROUND(PRODUCT(S19:S21),3)</f>
        <v>1</v>
      </c>
      <c r="U22" s="185"/>
      <c r="V22" s="187" t="s">
        <v>1516</v>
      </c>
      <c r="W22" s="238" t="e">
        <f>W18</f>
        <v>#N/A</v>
      </c>
      <c r="AC22" s="168" t="s">
        <v>180</v>
      </c>
      <c r="AD22" s="207">
        <v>1</v>
      </c>
      <c r="AE22" s="207">
        <v>1</v>
      </c>
      <c r="AF22" s="207">
        <v>1</v>
      </c>
      <c r="AG22" s="207">
        <v>1</v>
      </c>
      <c r="AI22" s="140" t="s">
        <v>1715</v>
      </c>
      <c r="AJ22" s="8"/>
      <c r="AK22" s="144"/>
      <c r="AM22" s="140" t="s">
        <v>946</v>
      </c>
      <c r="AN22" s="481"/>
    </row>
    <row r="23" spans="1:40" ht="13.5" thickBot="1" x14ac:dyDescent="0.25">
      <c r="A23" s="908" t="s">
        <v>955</v>
      </c>
      <c r="B23" s="910"/>
      <c r="C23" s="1091"/>
      <c r="D23" s="518" t="s">
        <v>315</v>
      </c>
      <c r="E23" s="414"/>
      <c r="F23" s="891"/>
      <c r="H23" s="60" t="s">
        <v>2291</v>
      </c>
      <c r="I23" s="1469" t="e">
        <f>SUM(I21,I18)</f>
        <v>#N/A</v>
      </c>
      <c r="N23" s="542"/>
      <c r="O23" s="1211" t="s">
        <v>2167</v>
      </c>
      <c r="P23" s="757" t="e">
        <f>P18</f>
        <v>#N/A</v>
      </c>
      <c r="Q23" s="757" t="e">
        <f>Q18</f>
        <v>#N/A</v>
      </c>
      <c r="R23" s="757">
        <f>R18</f>
        <v>0.16300000000000001</v>
      </c>
      <c r="S23" s="757">
        <f>S18</f>
        <v>0.06</v>
      </c>
      <c r="V23" s="83" t="s">
        <v>1517</v>
      </c>
      <c r="W23" s="260" t="e">
        <f>W21-W22</f>
        <v>#N/A</v>
      </c>
      <c r="AB23" s="146"/>
      <c r="AC23" s="545" t="s">
        <v>1020</v>
      </c>
      <c r="AD23" s="299">
        <f>IF(C7="PAC",VLOOKUP(B8,Table_PakMods,MATCH(C11,List_Company,0)+1,FALSE),1)</f>
        <v>1</v>
      </c>
      <c r="AE23" s="299">
        <f>IF(C7="PAC",VLOOKUP(B8,Table_PakMods,MATCH(C11,List_Company,0)+1,FALSE),1)</f>
        <v>1</v>
      </c>
      <c r="AF23" s="299">
        <f>IF(C7="PAC",VLOOKUP(B8,Table_PakMods,MATCH(C11,List_Company,0)+1,FALSE),1)</f>
        <v>1</v>
      </c>
      <c r="AG23" s="299">
        <f>IF(C7="PAC",VLOOKUP(B8,Table_PakMods,MATCH(C11,List_Company,0)+1,FALSE),1)</f>
        <v>1</v>
      </c>
      <c r="AI23" s="141" t="s">
        <v>1714</v>
      </c>
      <c r="AJ23" s="139"/>
      <c r="AK23" s="145"/>
      <c r="AM23" s="445"/>
      <c r="AN23" s="481"/>
    </row>
    <row r="24" spans="1:40" ht="13.5" thickBot="1" x14ac:dyDescent="0.25">
      <c r="A24" s="108" t="s">
        <v>957</v>
      </c>
      <c r="B24" s="896"/>
      <c r="C24" s="889" t="str">
        <f>IF(B3="B",TC8_BLDG1!C24,IF(B3="PP",TC8_PP1!C24,""))</f>
        <v>Yes</v>
      </c>
      <c r="D24" s="518" t="s">
        <v>316</v>
      </c>
      <c r="E24" s="414"/>
      <c r="F24" s="891"/>
      <c r="O24" s="83" t="s">
        <v>2242</v>
      </c>
      <c r="P24" s="1315" t="e">
        <f>ROUND(PRODUCT(P22:P23),3)</f>
        <v>#N/A</v>
      </c>
      <c r="Q24" s="1315" t="e">
        <f>ROUND(PRODUCT(Q22:Q23),3)</f>
        <v>#N/A</v>
      </c>
      <c r="R24" s="1315">
        <f>ROUND(PRODUCT(R22:R23),3)</f>
        <v>0.16300000000000001</v>
      </c>
      <c r="S24" s="1315">
        <f>ROUND(PRODUCT(S22:S23),3)</f>
        <v>0.06</v>
      </c>
      <c r="V24" s="83"/>
      <c r="AB24" s="542"/>
      <c r="AC24" s="724" t="s">
        <v>1022</v>
      </c>
      <c r="AD24" s="279">
        <v>1</v>
      </c>
      <c r="AE24" s="279">
        <v>1</v>
      </c>
      <c r="AF24" s="279">
        <v>1</v>
      </c>
      <c r="AG24" s="279">
        <v>1</v>
      </c>
      <c r="AI24" s="141" t="s">
        <v>1716</v>
      </c>
      <c r="AJ24" s="139"/>
      <c r="AK24" s="145"/>
      <c r="AM24" s="1618"/>
      <c r="AN24" s="1619"/>
    </row>
    <row r="25" spans="1:40" ht="13.5" thickBot="1" x14ac:dyDescent="0.25">
      <c r="A25" s="92"/>
      <c r="B25" s="93"/>
      <c r="C25" s="119"/>
      <c r="D25" s="518" t="s">
        <v>1574</v>
      </c>
      <c r="E25" s="414"/>
      <c r="F25" s="891">
        <f>COUNTIF(E25:E26,"Yes")</f>
        <v>0</v>
      </c>
      <c r="N25" s="185"/>
      <c r="O25" s="186" t="s">
        <v>1025</v>
      </c>
      <c r="P25" s="238">
        <f>IF(ISNUMBER(F4),F4/100,0)</f>
        <v>0</v>
      </c>
      <c r="Q25" s="238">
        <f>IF(ISNUMBER(F4),F4/100,0)</f>
        <v>0</v>
      </c>
      <c r="R25" s="238">
        <f>IF(ISNUMBER(F4),F4/100,0)</f>
        <v>0</v>
      </c>
      <c r="S25" s="238">
        <f>IF(ISNUMBER(F4),F4/100,0)</f>
        <v>0</v>
      </c>
      <c r="V25" s="83"/>
      <c r="AC25" s="83" t="s">
        <v>1150</v>
      </c>
      <c r="AD25" s="2">
        <f>ROUND(PRODUCT(AD19:AD24),3)</f>
        <v>0.115</v>
      </c>
      <c r="AE25" s="2">
        <f>ROUND(PRODUCT(AE19:AE24),3)</f>
        <v>0.115</v>
      </c>
      <c r="AF25" s="2">
        <f>ROUND(PRODUCT(AF19:AF24),3)</f>
        <v>7.5999999999999998E-2</v>
      </c>
      <c r="AG25" s="2">
        <f>ROUND(PRODUCT(AG19:AG24),3)</f>
        <v>2.5999999999999999E-2</v>
      </c>
      <c r="AI25" s="141" t="s">
        <v>1717</v>
      </c>
      <c r="AJ25" s="139"/>
      <c r="AK25" s="145"/>
      <c r="AM25" s="445"/>
      <c r="AN25" s="481"/>
    </row>
    <row r="26" spans="1:40" x14ac:dyDescent="0.2">
      <c r="A26" s="161" t="s">
        <v>1827</v>
      </c>
      <c r="B26" s="217"/>
      <c r="C26" s="986"/>
      <c r="D26" s="518" t="s">
        <v>1575</v>
      </c>
      <c r="E26" s="414"/>
      <c r="F26" s="891"/>
      <c r="O26" s="83" t="s">
        <v>978</v>
      </c>
      <c r="P26" s="248" t="e">
        <f>ROUND(PRODUCT(P24:P25),0)</f>
        <v>#N/A</v>
      </c>
      <c r="Q26" s="248" t="e">
        <f>ROUND(PRODUCT(Q24:Q25),0)</f>
        <v>#N/A</v>
      </c>
      <c r="R26" s="248">
        <f>ROUND(PRODUCT(R24:R25),0)</f>
        <v>0</v>
      </c>
      <c r="S26" s="248">
        <f>ROUND(PRODUCT(S24:S25),0)</f>
        <v>0</v>
      </c>
      <c r="AB26" s="185"/>
      <c r="AC26" s="186" t="s">
        <v>1025</v>
      </c>
      <c r="AD26" s="238">
        <f>IF(ISNUMBER(E21),E21/100,0)</f>
        <v>0</v>
      </c>
      <c r="AE26" s="238">
        <f>IF(ISNUMBER(E21),E21/100,0)</f>
        <v>0</v>
      </c>
      <c r="AF26" s="238">
        <f>IF(ISNUMBER(E21),E21/100,0)</f>
        <v>0</v>
      </c>
      <c r="AG26" s="238">
        <f>IF(ISNUMBER(E21),E21/100,0)</f>
        <v>0</v>
      </c>
      <c r="AI26" s="141" t="s">
        <v>1718</v>
      </c>
      <c r="AJ26" s="8"/>
      <c r="AK26" s="145"/>
      <c r="AM26" s="26"/>
      <c r="AN26" s="481"/>
    </row>
    <row r="27" spans="1:40" ht="13.5" thickBot="1" x14ac:dyDescent="0.25">
      <c r="A27" s="521" t="s">
        <v>899</v>
      </c>
      <c r="B27" s="817" t="str">
        <f>IF(C27="C","Class",IF(C27="S","Specific",IF(C27="T","Tentative","")))</f>
        <v>Class</v>
      </c>
      <c r="C27" s="818" t="str">
        <f>IF(B3="B",IF(TC8_BLDG1!C28&lt;&gt;"SC",TC8_BLDG1!C28,"C"),IF(B3="PP",TC8_PP1!C28,""))</f>
        <v>C</v>
      </c>
      <c r="D27" s="91"/>
      <c r="E27" s="195"/>
      <c r="F27" s="101"/>
      <c r="N27" s="146"/>
      <c r="O27" s="300"/>
      <c r="P27" s="299"/>
      <c r="Q27" s="146"/>
      <c r="R27" s="146"/>
      <c r="S27" s="146"/>
      <c r="U27" s="60" t="s">
        <v>554</v>
      </c>
      <c r="X27" s="60" t="s">
        <v>557</v>
      </c>
      <c r="AC27" s="83" t="s">
        <v>1647</v>
      </c>
      <c r="AD27" s="248">
        <f>ROUND(PRODUCT(AD25:AD26),0)</f>
        <v>0</v>
      </c>
      <c r="AE27" s="248">
        <f>ROUND(PRODUCT(AE25:AE26),0)</f>
        <v>0</v>
      </c>
      <c r="AF27" s="248">
        <f>ROUND(PRODUCT(AF25:AF26),0)</f>
        <v>0</v>
      </c>
      <c r="AG27" s="248">
        <f>ROUND(PRODUCT(AG25:AG26),0)</f>
        <v>0</v>
      </c>
      <c r="AI27" s="141" t="s">
        <v>1719</v>
      </c>
      <c r="AJ27" s="8"/>
      <c r="AK27" s="145"/>
      <c r="AM27" s="26"/>
      <c r="AN27" s="481"/>
    </row>
    <row r="28" spans="1:40" x14ac:dyDescent="0.2">
      <c r="A28" s="108" t="s">
        <v>953</v>
      </c>
      <c r="B28" s="95"/>
      <c r="C28" s="570" t="str">
        <f>IF(B3="B",TC8_BLDG1!C30,IF(B3="PP",TC8_PP1!C30,0))</f>
        <v>No</v>
      </c>
      <c r="D28" s="980" t="s">
        <v>662</v>
      </c>
      <c r="E28" s="474"/>
      <c r="F28" s="956" t="s">
        <v>857</v>
      </c>
      <c r="N28" s="146"/>
      <c r="O28" s="301"/>
      <c r="P28" s="299"/>
      <c r="Q28" s="146"/>
      <c r="R28" s="146"/>
      <c r="S28" s="146"/>
      <c r="U28" s="2" t="s">
        <v>555</v>
      </c>
      <c r="X28" s="834">
        <f>IF(P14=1,0,2)</f>
        <v>0</v>
      </c>
      <c r="Y28" s="2" t="s">
        <v>558</v>
      </c>
      <c r="AI28" s="141" t="s">
        <v>1720</v>
      </c>
      <c r="AJ28" s="8"/>
      <c r="AK28" s="145"/>
      <c r="AM28" s="26"/>
      <c r="AN28" s="481"/>
    </row>
    <row r="29" spans="1:40" ht="13.5" thickBot="1" x14ac:dyDescent="0.25">
      <c r="A29" s="743" t="str">
        <f>IF(B3="B","80% Bldg LC - Grp I / II",IF(B3="PP","80% Pers. Pty LC - Grp I / II","No Rating Available"))</f>
        <v>80% Bldg LC - Grp I / II</v>
      </c>
      <c r="B29" s="749">
        <f>IF(B3="B",TC8_BLDG1!P5,IF(B3="PP",TC8_PP1!P5,0))</f>
        <v>0.126</v>
      </c>
      <c r="C29" s="749">
        <f>IF(B3="B",TC8_BLDG1!Q5,IF(B3="PP",TC8_PP1!Q5,0))</f>
        <v>4.2000000000000003E-2</v>
      </c>
      <c r="D29" s="473" t="s">
        <v>1766</v>
      </c>
      <c r="E29" s="216"/>
      <c r="F29" s="763">
        <f>IF(F28="No",0,F4)</f>
        <v>0</v>
      </c>
      <c r="N29" s="60" t="s">
        <v>1612</v>
      </c>
      <c r="P29" s="235" t="s">
        <v>1012</v>
      </c>
      <c r="Q29" s="235" t="s">
        <v>1013</v>
      </c>
      <c r="R29" s="235" t="s">
        <v>838</v>
      </c>
      <c r="S29" s="235" t="s">
        <v>837</v>
      </c>
      <c r="U29" s="834">
        <f>IF(P13=1,0,2)</f>
        <v>0</v>
      </c>
      <c r="V29" s="2" t="s">
        <v>556</v>
      </c>
      <c r="X29" s="834">
        <f>IF(P13=1,0,4)</f>
        <v>0</v>
      </c>
      <c r="Y29" s="2" t="s">
        <v>556</v>
      </c>
      <c r="AC29" s="685" t="s">
        <v>1433</v>
      </c>
      <c r="AD29" s="907">
        <f>IF(F20="Yes",IF(C12="SP",SUM(AD27:AF27),IF(C12="BR",SUM(AD27:AE27,AG27),SUM(AD27:AE27))),0)</f>
        <v>0</v>
      </c>
      <c r="AI29" s="141" t="s">
        <v>1721</v>
      </c>
      <c r="AJ29" s="8"/>
      <c r="AK29" s="145"/>
      <c r="AM29" s="26"/>
      <c r="AN29" s="481"/>
    </row>
    <row r="30" spans="1:40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IF(B3="B",TC8_BLDG1!C33,IF(B3="PP",TC8_PP1!C33,""))</f>
        <v>6</v>
      </c>
      <c r="D30" s="669" t="s">
        <v>1833</v>
      </c>
      <c r="E30" s="216"/>
      <c r="F30" s="954" t="s">
        <v>857</v>
      </c>
      <c r="O30" s="168" t="str">
        <f>C3&amp;" - Loss Cost"</f>
        <v>Building - Loss Cost</v>
      </c>
      <c r="P30" s="247">
        <f>B29</f>
        <v>0.126</v>
      </c>
      <c r="Q30" s="247">
        <f>C29</f>
        <v>4.2000000000000003E-2</v>
      </c>
      <c r="R30" s="247">
        <f>IF(C12="SP",VLOOKUP(B13,Table_Time_Special,3,FALSE),0)</f>
        <v>6.2E-2</v>
      </c>
      <c r="S30" s="247">
        <f>HLOOKUP(B12,Table_BroadTime,3,FALSE)</f>
        <v>2.3E-2</v>
      </c>
      <c r="U30" s="917">
        <f>IF(P6=1,0,4)</f>
        <v>4</v>
      </c>
      <c r="V30" s="185" t="s">
        <v>1161</v>
      </c>
      <c r="X30" s="917">
        <f>IF(P6=1,0,5)</f>
        <v>5</v>
      </c>
      <c r="Y30" s="185" t="s">
        <v>1161</v>
      </c>
      <c r="AI30" s="141" t="s">
        <v>1722</v>
      </c>
      <c r="AJ30" s="8"/>
      <c r="AK30" s="145"/>
      <c r="AM30" s="26"/>
      <c r="AN30" s="481"/>
    </row>
    <row r="31" spans="1:40" ht="13.5" thickBot="1" x14ac:dyDescent="0.25">
      <c r="A31" s="108" t="s">
        <v>1813</v>
      </c>
      <c r="B31" s="939" t="str">
        <f>IF(B3="B",TC8_BLDG1!C61,IF(B3="PP",TC8_PP1!C57,0))</f>
        <v>NA</v>
      </c>
      <c r="C31" s="570" t="str">
        <f>IF(B3="B",TC8_BLDG1!C59,IF(B3="PP",TC8_PP1!C55,0))</f>
        <v>No</v>
      </c>
      <c r="D31" s="507" t="s">
        <v>677</v>
      </c>
      <c r="E31" s="947" t="s">
        <v>459</v>
      </c>
      <c r="F31" s="772" t="str">
        <f>IF(F30="Yes","B","")</f>
        <v/>
      </c>
      <c r="O31" s="168" t="s">
        <v>970</v>
      </c>
      <c r="P31" s="207">
        <f>IF(C30="Yes",DF_Sprinkler50,1)</f>
        <v>1</v>
      </c>
      <c r="Q31" s="207">
        <v>1</v>
      </c>
      <c r="R31" s="207">
        <v>1</v>
      </c>
      <c r="S31" s="299">
        <v>1</v>
      </c>
      <c r="U31" s="834">
        <f>SUM(U29:U30)</f>
        <v>4</v>
      </c>
      <c r="V31" s="53" t="str">
        <f>"Subtract from the " &amp; IF(OR(U31=6,U31=2),"Terr Mult",IF(U31=4,"Prot Class","Loss Cost"))</f>
        <v>Subtract from the Prot Class</v>
      </c>
      <c r="X31" s="834">
        <f>SUM(X28:X30)</f>
        <v>5</v>
      </c>
      <c r="Y31" s="53" t="str">
        <f>"Subtract from the " &amp; IF(OR(X31=2,X31=6,X31=7,X31=11),"Sprk Lkg",IF(OR(X31=4,X31=9),"Terr Mult",IF(X31=5,"Prot Class","Loss Cost")))</f>
        <v>Subtract from the Prot Class</v>
      </c>
      <c r="AB31" s="266"/>
      <c r="AC31" s="266"/>
      <c r="AD31" s="266"/>
      <c r="AE31" s="558"/>
      <c r="AF31" s="558"/>
      <c r="AG31" s="558"/>
      <c r="AI31" s="85"/>
      <c r="AJ31" s="86"/>
      <c r="AK31" s="86"/>
      <c r="AL31" s="86"/>
      <c r="AM31" s="85"/>
      <c r="AN31" s="196"/>
    </row>
    <row r="32" spans="1:40" ht="13.5" thickBot="1" x14ac:dyDescent="0.25">
      <c r="A32" s="108" t="s">
        <v>1825</v>
      </c>
      <c r="B32" s="747"/>
      <c r="C32" s="570" t="str">
        <f>IF(B3="B",TC8_BLDG1!B60,IF(B3="PP",TC8_PP1!B56,0))</f>
        <v>No</v>
      </c>
      <c r="D32" s="507" t="s">
        <v>1748</v>
      </c>
      <c r="E32" s="947">
        <v>25</v>
      </c>
      <c r="F32" s="771" t="str">
        <f>IF(F30="Yes",E32&amp;"_"&amp;E31,"")</f>
        <v/>
      </c>
      <c r="N32" s="185"/>
      <c r="O32" s="186" t="s">
        <v>971</v>
      </c>
      <c r="P32" s="208">
        <f>HLOOKUP(C11,Table_StateRates,6,FALSE)</f>
        <v>1.9</v>
      </c>
      <c r="Q32" s="208">
        <f>HLOOKUP(C11,Table_StateRates,6,FALSE)</f>
        <v>1.9</v>
      </c>
      <c r="R32" s="208">
        <f>HLOOKUP(C11,Table_StateRates,6,FALSE)</f>
        <v>1.9</v>
      </c>
      <c r="S32" s="208">
        <f>HLOOKUP(C11,Table_StateRates,6,FALSE)</f>
        <v>1.9</v>
      </c>
      <c r="U32" s="146"/>
      <c r="AB32" s="60" t="s">
        <v>552</v>
      </c>
      <c r="AD32" s="235" t="s">
        <v>1012</v>
      </c>
      <c r="AE32" s="235" t="s">
        <v>1013</v>
      </c>
      <c r="AF32" s="235" t="s">
        <v>838</v>
      </c>
      <c r="AG32" s="235" t="s">
        <v>837</v>
      </c>
    </row>
    <row r="33" spans="1:33" ht="13.5" thickBot="1" x14ac:dyDescent="0.25">
      <c r="A33" s="108" t="s">
        <v>1824</v>
      </c>
      <c r="B33" s="748"/>
      <c r="C33" s="570">
        <f>IF(AND(B3="B",TC8_BLDG1!C62="Yes"),TC8_BLDG1!P14,IF(AND(B3="PP",TC8_PP1!C58="Yes"),TC8_PP1!P14,0))</f>
        <v>0</v>
      </c>
      <c r="D33" s="669" t="s">
        <v>1834</v>
      </c>
      <c r="E33" s="261"/>
      <c r="F33" s="954" t="s">
        <v>857</v>
      </c>
      <c r="O33" s="83" t="s">
        <v>1134</v>
      </c>
      <c r="P33" s="247">
        <f>ROUND(PRODUCT(P30:P32),3)</f>
        <v>0.23899999999999999</v>
      </c>
      <c r="Q33" s="247">
        <f>ROUND(PRODUCT(Q30:Q32),3)</f>
        <v>0.08</v>
      </c>
      <c r="R33" s="247">
        <f>ROUND(PRODUCT(R30:R32),3)</f>
        <v>0.11799999999999999</v>
      </c>
      <c r="S33" s="247">
        <f>ROUND(PRODUCT(S30:S32),3)</f>
        <v>4.3999999999999997E-2</v>
      </c>
      <c r="U33" s="479" t="str">
        <f>IF(OR(U31=6,U31=2),"TM",IF(U31=4,"PC","LC"))</f>
        <v>PC</v>
      </c>
      <c r="V33" s="919" t="s">
        <v>559</v>
      </c>
      <c r="X33" s="479" t="str">
        <f>IF(AND(B31="Sprinkler",OR(X31=2,X31=6,X31=7,X31=11)),"SL",IF(AND(OR(B31="NA",ISNUMBER(B31)),OR(X31=4,X31=9)),"TM",IF(AND(OR(B31="NA",ISNUMBER(B31)),X31=5),"PC","LC")))</f>
        <v>PC</v>
      </c>
      <c r="AB33" s="146"/>
      <c r="AC33" s="545" t="s">
        <v>1049</v>
      </c>
      <c r="AD33" s="146">
        <f>VLOOKUP(3,Table_Time_Utility,2,FALSE)</f>
        <v>1.0999999999999999E-2</v>
      </c>
      <c r="AE33" s="146">
        <f>VLOOKUP(3,Table_Time_Utility,3,FALSE)</f>
        <v>2.7E-2</v>
      </c>
      <c r="AF33" s="146">
        <f>VLOOKUP(3,Table_Time_Utility,5,FALSE)</f>
        <v>5.2999999999999999E-2</v>
      </c>
      <c r="AG33" s="563">
        <f>VLOOKUP(3,Table_Time_Utility,4,FALSE)</f>
        <v>0.01</v>
      </c>
    </row>
    <row r="34" spans="1:33" x14ac:dyDescent="0.2">
      <c r="A34" s="122" t="s">
        <v>1469</v>
      </c>
      <c r="B34" s="747"/>
      <c r="C34" s="570" t="str">
        <f>IF(B3="B",TC8_BLDG1!C64,IF(B3="PP",TC8_PP1!C60,0))</f>
        <v>No</v>
      </c>
      <c r="D34" s="669" t="s">
        <v>1835</v>
      </c>
      <c r="E34" s="261"/>
      <c r="F34" s="954" t="s">
        <v>857</v>
      </c>
      <c r="N34" s="185"/>
      <c r="O34" s="186" t="s">
        <v>1258</v>
      </c>
      <c r="P34" s="208" t="e">
        <f>VLOOKUP(F5,Table_EE_CoIns,3,FALSE)</f>
        <v>#N/A</v>
      </c>
      <c r="Q34" s="208" t="e">
        <f>VLOOKUP(F5,Table_EE_CoIns,3,FALSE)</f>
        <v>#N/A</v>
      </c>
      <c r="R34" s="208">
        <v>1</v>
      </c>
      <c r="S34" s="208">
        <v>1</v>
      </c>
      <c r="AB34" s="185"/>
      <c r="AC34" s="186" t="s">
        <v>1050</v>
      </c>
      <c r="AD34" s="238">
        <f>F25</f>
        <v>0</v>
      </c>
      <c r="AE34" s="238">
        <f>F25</f>
        <v>0</v>
      </c>
      <c r="AF34" s="238">
        <f>F25</f>
        <v>0</v>
      </c>
      <c r="AG34" s="785">
        <f>F25</f>
        <v>0</v>
      </c>
    </row>
    <row r="35" spans="1:33" ht="13.5" thickBot="1" x14ac:dyDescent="0.25">
      <c r="A35" s="526"/>
      <c r="B35" s="96"/>
      <c r="C35" s="987"/>
      <c r="D35" s="507" t="s">
        <v>1836</v>
      </c>
      <c r="E35" s="947"/>
      <c r="F35" s="293"/>
      <c r="O35" s="83" t="s">
        <v>917</v>
      </c>
      <c r="P35" s="247" t="e">
        <f>ROUND(PRODUCT(P33:P34),3)</f>
        <v>#N/A</v>
      </c>
      <c r="Q35" s="247" t="e">
        <f>ROUND(PRODUCT(Q33:Q34),3)</f>
        <v>#N/A</v>
      </c>
      <c r="R35" s="247">
        <f>ROUND(PRODUCT(R33:R34),3)</f>
        <v>0.11799999999999999</v>
      </c>
      <c r="S35" s="247">
        <f>ROUND(PRODUCT(S33:S34),3)</f>
        <v>4.3999999999999997E-2</v>
      </c>
      <c r="AB35" s="146"/>
      <c r="AC35" s="301" t="s">
        <v>1051</v>
      </c>
      <c r="AD35" s="146">
        <f>ROUND(PRODUCT(AD33:AD34),3)</f>
        <v>0</v>
      </c>
      <c r="AE35" s="146">
        <f>ROUND(PRODUCT(AE33:AE34),3)</f>
        <v>0</v>
      </c>
      <c r="AF35" s="146">
        <f>ROUND(PRODUCT(AF33:AF34),3)</f>
        <v>0</v>
      </c>
      <c r="AG35" s="146">
        <f>ROUND(PRODUCT(AG33:AG34),3)</f>
        <v>0</v>
      </c>
    </row>
    <row r="36" spans="1:33" x14ac:dyDescent="0.2">
      <c r="D36" s="762"/>
      <c r="E36" s="774"/>
      <c r="F36" s="773"/>
      <c r="O36" s="189" t="s">
        <v>1496</v>
      </c>
      <c r="P36" s="247">
        <v>1</v>
      </c>
      <c r="Q36" s="207">
        <f>IF(C32="Yes",VLOOKUP(C15,Table_Construction,3,FALSE),1)</f>
        <v>1</v>
      </c>
      <c r="R36" s="207">
        <v>1</v>
      </c>
      <c r="S36" s="207">
        <v>1</v>
      </c>
      <c r="AC36" s="168" t="s">
        <v>971</v>
      </c>
      <c r="AD36" s="207">
        <f>HLOOKUP(C11,Table_StateRates,6,FALSE)</f>
        <v>1.9</v>
      </c>
      <c r="AE36" s="207">
        <f>HLOOKUP(C11,Table_StateRates,6,FALSE)</f>
        <v>1.9</v>
      </c>
      <c r="AF36" s="207">
        <f>HLOOKUP(C11,Table_StateRates,6,FALSE)</f>
        <v>1.9</v>
      </c>
      <c r="AG36" s="207">
        <f>HLOOKUP(C11,Table_StateRates,6,FALSE)</f>
        <v>1.9</v>
      </c>
    </row>
    <row r="37" spans="1:33" ht="13.5" thickBot="1" x14ac:dyDescent="0.25">
      <c r="A37" s="739"/>
      <c r="B37" s="686"/>
      <c r="C37" s="686"/>
      <c r="D37" s="669" t="s">
        <v>1234</v>
      </c>
      <c r="E37" s="261"/>
      <c r="F37" s="954" t="s">
        <v>857</v>
      </c>
      <c r="O37" s="168" t="s">
        <v>972</v>
      </c>
      <c r="P37" s="207">
        <f>IF(OR(C27="S",C27="T"),1,VLOOKUP(C14,Table_ProtClass,IF(C15&lt;=3,2,3),FALSE)) - IF(AND(C33=1,ISNUMBER(B31),P13=1),B31,0)</f>
        <v>0.96</v>
      </c>
      <c r="Q37" s="207">
        <v>1</v>
      </c>
      <c r="R37" s="207">
        <v>1</v>
      </c>
      <c r="S37" s="207">
        <v>1</v>
      </c>
      <c r="AC37" s="168" t="s">
        <v>1019</v>
      </c>
      <c r="AD37" s="207">
        <f>HLOOKUP(C11,Table_StateRates,5,FALSE)</f>
        <v>1.38</v>
      </c>
      <c r="AE37" s="207">
        <f>HLOOKUP(C11,Table_StateRates,5,FALSE)</f>
        <v>1.38</v>
      </c>
      <c r="AF37" s="207">
        <f>HLOOKUP(C11,Table_StateRates,5,FALSE)</f>
        <v>1.38</v>
      </c>
      <c r="AG37" s="207">
        <f>HLOOKUP(C11,Table_StateRates,5,FALSE)</f>
        <v>1.38</v>
      </c>
    </row>
    <row r="38" spans="1:33" ht="13.5" thickBot="1" x14ac:dyDescent="0.25">
      <c r="A38" s="740"/>
      <c r="B38" s="686"/>
      <c r="C38" s="686"/>
      <c r="D38" s="507" t="s">
        <v>1235</v>
      </c>
      <c r="E38" s="947"/>
      <c r="F38" s="293"/>
      <c r="G38" s="385"/>
      <c r="O38" s="168" t="s">
        <v>1199</v>
      </c>
      <c r="P38" s="247">
        <f>IF(OR(C27="S",C27="T"),1,VLOOKUP(C17,Table_TerrMult,2,FALSE)) - IF(AND((C31)="Yes",ISNUMBER(B31)),B31,0)</f>
        <v>1</v>
      </c>
      <c r="Q38" s="207">
        <v>1</v>
      </c>
      <c r="R38" s="207">
        <v>1</v>
      </c>
      <c r="S38" s="207">
        <v>1</v>
      </c>
      <c r="U38" s="1602" t="s">
        <v>388</v>
      </c>
      <c r="V38" s="1603"/>
      <c r="W38" s="1603"/>
      <c r="X38" s="1603"/>
      <c r="Y38" s="1603"/>
      <c r="Z38" s="1604"/>
      <c r="AC38" s="168" t="s">
        <v>180</v>
      </c>
      <c r="AD38" s="207">
        <v>1</v>
      </c>
      <c r="AE38" s="207">
        <v>1</v>
      </c>
      <c r="AF38" s="207">
        <v>1</v>
      </c>
      <c r="AG38" s="207">
        <v>1</v>
      </c>
    </row>
    <row r="39" spans="1:33" ht="13.5" thickBot="1" x14ac:dyDescent="0.25">
      <c r="A39" s="740"/>
      <c r="B39" s="686"/>
      <c r="C39" s="686"/>
      <c r="D39" s="514"/>
      <c r="E39" s="515"/>
      <c r="F39" s="516"/>
      <c r="G39" s="385"/>
      <c r="O39" s="168" t="s">
        <v>1100</v>
      </c>
      <c r="P39" s="207">
        <f>IF(C31="Yes",IF(ISNUMBER(B31),1,VLOOKUP(C15,Table_SprLkg,IF(B3="B",2,3),FALSE)),1)</f>
        <v>1</v>
      </c>
      <c r="Q39" s="207">
        <v>1</v>
      </c>
      <c r="R39" s="207">
        <v>1</v>
      </c>
      <c r="S39" s="207">
        <v>1</v>
      </c>
      <c r="U39" s="266"/>
      <c r="V39" s="266"/>
      <c r="W39" s="266"/>
      <c r="X39" s="266"/>
      <c r="Y39" s="266"/>
      <c r="Z39" s="266"/>
      <c r="AB39" s="146"/>
      <c r="AC39" s="545" t="s">
        <v>1020</v>
      </c>
      <c r="AD39" s="299">
        <f>IF(C7="PAC",VLOOKUP(B8,Table_PakMods,MATCH(C11,List_Company,0)+1,FALSE),1)</f>
        <v>1</v>
      </c>
      <c r="AE39" s="299">
        <f>IF(C7="PAC",VLOOKUP(B8,Table_PakMods,MATCH(C11,List_Company,0)+1,FALSE),1)</f>
        <v>1</v>
      </c>
      <c r="AF39" s="299">
        <f>IF(C7="PAC",VLOOKUP(B8,Table_PakMods,MATCH(C11,List_Company,0)+1,FALSE),1)</f>
        <v>1</v>
      </c>
      <c r="AG39" s="299">
        <f>IF(C7="PAC",VLOOKUP(B8,Table_PakMods,MATCH(C11,List_Company,0)+1,FALSE),1)</f>
        <v>1</v>
      </c>
    </row>
    <row r="40" spans="1:33" x14ac:dyDescent="0.2">
      <c r="A40" s="686"/>
      <c r="B40" s="686"/>
      <c r="C40" s="686"/>
      <c r="D40" s="737"/>
      <c r="E40" s="686"/>
      <c r="F40" s="385"/>
      <c r="G40" s="385"/>
      <c r="O40" s="236" t="s">
        <v>1099</v>
      </c>
      <c r="P40" s="281">
        <f>C33</f>
        <v>0</v>
      </c>
      <c r="Q40" s="211">
        <v>1</v>
      </c>
      <c r="R40" s="211">
        <v>1</v>
      </c>
      <c r="S40" s="211">
        <v>1</v>
      </c>
      <c r="U40" s="566" t="s">
        <v>1172</v>
      </c>
      <c r="V40" s="266"/>
      <c r="W40" s="266"/>
      <c r="X40" s="266"/>
      <c r="Y40" s="566"/>
      <c r="Z40" s="266"/>
      <c r="AB40" s="542"/>
      <c r="AC40" s="724" t="s">
        <v>1022</v>
      </c>
      <c r="AD40" s="279">
        <v>1</v>
      </c>
      <c r="AE40" s="279">
        <v>1</v>
      </c>
      <c r="AF40" s="279">
        <v>1</v>
      </c>
      <c r="AG40" s="279">
        <v>1</v>
      </c>
    </row>
    <row r="41" spans="1:33" x14ac:dyDescent="0.2">
      <c r="A41" s="739"/>
      <c r="B41" s="686"/>
      <c r="C41" s="686"/>
      <c r="D41" s="737"/>
      <c r="E41" s="686"/>
      <c r="F41" s="385"/>
      <c r="G41" s="385"/>
      <c r="N41" s="209"/>
      <c r="O41" s="210" t="s">
        <v>1016</v>
      </c>
      <c r="P41" s="212">
        <v>1</v>
      </c>
      <c r="Q41" s="212">
        <v>1</v>
      </c>
      <c r="R41" s="212">
        <v>1</v>
      </c>
      <c r="S41" s="212">
        <v>1</v>
      </c>
      <c r="U41" s="266"/>
      <c r="V41" s="486" t="s">
        <v>228</v>
      </c>
      <c r="W41" s="426">
        <f>IF(C21="Yes",HLOOKUP(B21,Table_Terrorism,3,FALSE),0)</f>
        <v>1.4999999999999999E-2</v>
      </c>
      <c r="X41" s="266"/>
      <c r="Y41" s="385"/>
      <c r="Z41" s="702"/>
      <c r="AC41" s="83" t="s">
        <v>1150</v>
      </c>
      <c r="AD41" s="2">
        <f>ROUND(PRODUCT(AD35:AD40),3)</f>
        <v>0</v>
      </c>
      <c r="AE41" s="2">
        <f>ROUND(PRODUCT(AE35:AE40),3)</f>
        <v>0</v>
      </c>
      <c r="AF41" s="2">
        <f>ROUND(PRODUCT(AF35:AF40),3)</f>
        <v>0</v>
      </c>
      <c r="AG41" s="2">
        <f>ROUND(PRODUCT(AG35:AG40),3)</f>
        <v>0</v>
      </c>
    </row>
    <row r="42" spans="1:33" ht="13.5" customHeight="1" x14ac:dyDescent="0.2">
      <c r="A42" s="741"/>
      <c r="B42" s="686"/>
      <c r="C42" s="686"/>
      <c r="D42" s="737"/>
      <c r="E42" s="686"/>
      <c r="F42" s="385"/>
      <c r="G42" s="385"/>
      <c r="O42" s="168" t="s">
        <v>1259</v>
      </c>
      <c r="P42" s="207">
        <f>IF(F7="Yes",VLOOKUP(E8,Table_CivilAuth,2,FALSE),1)</f>
        <v>1</v>
      </c>
      <c r="Q42" s="207">
        <f>IF(F7="Yes",VLOOKUP(E8,Table_CivilAuth,2,FALSE),1)</f>
        <v>1</v>
      </c>
      <c r="R42" s="207">
        <f>IF(F7="Yes",VLOOKUP(E8,Table_CivilAuth,2,FALSE),1)</f>
        <v>1</v>
      </c>
      <c r="S42" s="207">
        <f>IF(F7="Yes",VLOOKUP(E8,Table_CivilAuth,2,FALSE),1)</f>
        <v>1</v>
      </c>
      <c r="U42" s="209"/>
      <c r="V42" s="280" t="s">
        <v>1176</v>
      </c>
      <c r="W42" s="212">
        <v>1</v>
      </c>
      <c r="X42" s="385"/>
      <c r="Y42" s="385"/>
      <c r="Z42" s="702"/>
      <c r="AB42" s="185"/>
      <c r="AC42" s="186" t="s">
        <v>1025</v>
      </c>
      <c r="AD42" s="238">
        <f>IF(ISNUMBER(E21),E21/100,0)</f>
        <v>0</v>
      </c>
      <c r="AE42" s="238">
        <f>IF(ISNUMBER(E21),E21/100,0)</f>
        <v>0</v>
      </c>
      <c r="AF42" s="238">
        <f>IF(ISNUMBER(E21),E21/100,0)</f>
        <v>0</v>
      </c>
      <c r="AG42" s="238">
        <f>IF(ISNUMBER(E21),E21/100,0)</f>
        <v>0</v>
      </c>
    </row>
    <row r="43" spans="1:33" ht="12.75" customHeight="1" x14ac:dyDescent="0.2">
      <c r="A43" s="742"/>
      <c r="B43" s="739"/>
      <c r="C43" s="739"/>
      <c r="D43" s="737"/>
      <c r="E43" s="686"/>
      <c r="F43" s="385"/>
      <c r="G43" s="385"/>
      <c r="O43" s="168" t="s">
        <v>1019</v>
      </c>
      <c r="P43" s="207">
        <f>HLOOKUP(C11,Table_StateRates,5,FALSE)</f>
        <v>1.38</v>
      </c>
      <c r="Q43" s="207">
        <f>HLOOKUP(C11,Table_StateRates,5,FALSE)</f>
        <v>1.38</v>
      </c>
      <c r="R43" s="207">
        <f>HLOOKUP(C11,Table_StateRates,5,FALSE)</f>
        <v>1.38</v>
      </c>
      <c r="S43" s="207">
        <f>HLOOKUP(C11,Table_StateRates,5,FALSE)</f>
        <v>1.38</v>
      </c>
      <c r="U43" s="266"/>
      <c r="V43" s="486" t="s">
        <v>1177</v>
      </c>
      <c r="W43" s="423">
        <f>IF(C22="Yes",VLOOKUP(B21,Table_TerrorNBC,2,FALSE),1)</f>
        <v>1</v>
      </c>
      <c r="X43" s="423"/>
      <c r="Y43" s="385"/>
      <c r="Z43" s="702"/>
      <c r="AC43" s="83" t="s">
        <v>1647</v>
      </c>
      <c r="AD43" s="248">
        <f>ROUND(PRODUCT(AD41:AD42),0)</f>
        <v>0</v>
      </c>
      <c r="AE43" s="248">
        <f>ROUND(PRODUCT(AE41:AE42),0)</f>
        <v>0</v>
      </c>
      <c r="AF43" s="248">
        <f>ROUND(PRODUCT(AF41:AF42),0)</f>
        <v>0</v>
      </c>
      <c r="AG43" s="248">
        <f>ROUND(PRODUCT(AG41:AG42),0)</f>
        <v>0</v>
      </c>
    </row>
    <row r="44" spans="1:33" x14ac:dyDescent="0.2">
      <c r="A44" s="742"/>
      <c r="B44" s="739"/>
      <c r="C44" s="739"/>
      <c r="D44" s="737"/>
      <c r="E44" s="686"/>
      <c r="F44" s="385"/>
      <c r="G44" s="385"/>
      <c r="O44" s="168" t="s">
        <v>180</v>
      </c>
      <c r="P44" s="207">
        <v>1</v>
      </c>
      <c r="Q44" s="207">
        <v>1</v>
      </c>
      <c r="R44" s="207">
        <v>1</v>
      </c>
      <c r="S44" s="207">
        <v>1</v>
      </c>
      <c r="U44" s="266"/>
      <c r="V44" s="486" t="s">
        <v>971</v>
      </c>
      <c r="W44" s="423">
        <f>HLOOKUP(C11,Table_StateRates,6,FALSE)</f>
        <v>1.9</v>
      </c>
      <c r="X44" s="559"/>
      <c r="Y44" s="559"/>
      <c r="Z44" s="877"/>
    </row>
    <row r="45" spans="1:33" x14ac:dyDescent="0.2">
      <c r="A45" s="742"/>
      <c r="B45" s="739"/>
      <c r="C45" s="739"/>
      <c r="D45" s="737"/>
      <c r="E45" s="686"/>
      <c r="F45" s="385"/>
      <c r="G45" s="385"/>
      <c r="N45" s="146"/>
      <c r="O45" s="545" t="s">
        <v>1020</v>
      </c>
      <c r="P45" s="299">
        <f>IF(C7="PAC",VLOOKUP(B8,Table_PakMods,MATCH(C11,List_Company,0)+1,FALSE),1)</f>
        <v>1</v>
      </c>
      <c r="Q45" s="299">
        <f>IF(C7="PAC",VLOOKUP(B8,Table_PakMods,MATCH(C11,List_Company,0)+1,FALSE),1)</f>
        <v>1</v>
      </c>
      <c r="R45" s="299">
        <f>IF(C7="PAC",VLOOKUP(B8,Table_PakMods,MATCH(C11,List_Company,0)+1,FALSE),1)</f>
        <v>1</v>
      </c>
      <c r="S45" s="299">
        <f>IF(C7="PAC",VLOOKUP(B8,Table_PakMods,MATCH(C11,List_Company,0)+1,FALSE),1)</f>
        <v>1</v>
      </c>
      <c r="U45" s="542"/>
      <c r="V45" s="597" t="s">
        <v>1019</v>
      </c>
      <c r="W45" s="279">
        <f>HLOOKUP(C11,Table_StateRates,5,FALSE)</f>
        <v>1.38</v>
      </c>
      <c r="X45" s="426"/>
      <c r="Y45" s="559"/>
      <c r="Z45" s="899"/>
      <c r="AC45" s="685" t="s">
        <v>1434</v>
      </c>
      <c r="AD45" s="907">
        <f>IF(F20="Yes",IF(C12="SP",SUM(AD43:AF43),IF(C12="BR",SUM(AD43:AE43,AG43),SUM(AD43:AE43))),0)</f>
        <v>0</v>
      </c>
    </row>
    <row r="46" spans="1:33" x14ac:dyDescent="0.2">
      <c r="A46" s="742"/>
      <c r="B46" s="686"/>
      <c r="C46" s="686"/>
      <c r="D46" s="737"/>
      <c r="E46" s="686"/>
      <c r="F46" s="385"/>
      <c r="G46" s="385"/>
      <c r="N46" s="542"/>
      <c r="O46" s="724" t="s">
        <v>1022</v>
      </c>
      <c r="P46" s="279">
        <v>1</v>
      </c>
      <c r="Q46" s="279">
        <v>1</v>
      </c>
      <c r="R46" s="279">
        <v>1</v>
      </c>
      <c r="S46" s="279">
        <v>1</v>
      </c>
      <c r="U46" s="385"/>
      <c r="V46" s="685" t="s">
        <v>1134</v>
      </c>
      <c r="W46" s="558">
        <f>ROUND(PRODUCT(W41:W45),3)</f>
        <v>3.9E-2</v>
      </c>
      <c r="X46" s="385"/>
      <c r="Y46" s="559"/>
      <c r="Z46" s="877"/>
    </row>
    <row r="47" spans="1:33" ht="13.5" thickBot="1" x14ac:dyDescent="0.25">
      <c r="A47" s="742"/>
      <c r="B47" s="686"/>
      <c r="C47" s="686"/>
      <c r="D47" s="385"/>
      <c r="E47" s="385"/>
      <c r="F47" s="385"/>
      <c r="G47" s="385"/>
      <c r="O47" s="83" t="s">
        <v>1150</v>
      </c>
      <c r="P47" s="247" t="e">
        <f>ROUND(PRODUCT(P35:P38,IF(AND(C31="Yes",B31="Sprinkler",C33&lt;&gt;1),P39-P40,P39),P41:P46),3)</f>
        <v>#N/A</v>
      </c>
      <c r="Q47" s="247" t="e">
        <f>ROUND(PRODUCT(Q35:Q46),3)</f>
        <v>#N/A</v>
      </c>
      <c r="R47" s="247">
        <f>ROUND(PRODUCT(R35:R46),3)</f>
        <v>0.16300000000000001</v>
      </c>
      <c r="S47" s="247">
        <f>ROUND(PRODUCT(S35:S46),3)</f>
        <v>6.0999999999999999E-2</v>
      </c>
      <c r="U47" s="385"/>
      <c r="V47" s="702" t="s">
        <v>1178</v>
      </c>
      <c r="W47" s="559">
        <f>VLOOKUP(C14,Table_ProtClass,IF(C15&lt;=3,2,3),FALSE)</f>
        <v>0.96</v>
      </c>
      <c r="X47" s="266"/>
      <c r="Y47" s="266"/>
      <c r="Z47" s="266"/>
    </row>
    <row r="48" spans="1:33" ht="13.5" thickBot="1" x14ac:dyDescent="0.25">
      <c r="A48" s="742"/>
      <c r="B48" s="686"/>
      <c r="C48" s="686"/>
      <c r="D48" s="385"/>
      <c r="E48" s="385"/>
      <c r="F48" s="385"/>
      <c r="G48" s="385"/>
      <c r="N48" s="185"/>
      <c r="O48" s="186" t="s">
        <v>1025</v>
      </c>
      <c r="P48" s="238">
        <f>IF(ISNUMBER(F12),F12/100,0)</f>
        <v>0</v>
      </c>
      <c r="Q48" s="238">
        <f>IF(ISNUMBER(F12),F12/100,0)</f>
        <v>0</v>
      </c>
      <c r="R48" s="238">
        <f>IF(ISNUMBER(F12),F12/100,0)</f>
        <v>0</v>
      </c>
      <c r="S48" s="238">
        <f>IF(ISNUMBER(F12),F12/100,0)</f>
        <v>0</v>
      </c>
      <c r="U48" s="542"/>
      <c r="V48" s="597" t="s">
        <v>1475</v>
      </c>
      <c r="W48" s="279" t="e">
        <f>VLOOKUP(F5,Table_EE_CoIns,3,FALSE)</f>
        <v>#N/A</v>
      </c>
      <c r="X48" s="558"/>
      <c r="Y48" s="558"/>
      <c r="Z48" s="558"/>
      <c r="AB48" s="916" t="s">
        <v>553</v>
      </c>
      <c r="AD48" s="734">
        <f>SUM(AD15,AD29,AD45)</f>
        <v>0</v>
      </c>
    </row>
    <row r="49" spans="1:26" x14ac:dyDescent="0.2">
      <c r="A49" s="742"/>
      <c r="B49" s="686"/>
      <c r="C49" s="686"/>
      <c r="D49" s="385"/>
      <c r="E49" s="385"/>
      <c r="F49" s="385"/>
      <c r="G49" s="385"/>
      <c r="O49" s="83" t="s">
        <v>978</v>
      </c>
      <c r="P49" s="248" t="e">
        <f>ROUND(PRODUCT(P47:P48),0)</f>
        <v>#N/A</v>
      </c>
      <c r="Q49" s="248" t="e">
        <f>ROUND(PRODUCT(Q47:Q48),0)</f>
        <v>#N/A</v>
      </c>
      <c r="R49" s="248">
        <f>ROUND(PRODUCT(R47:R48),0)</f>
        <v>0</v>
      </c>
      <c r="S49" s="248">
        <f>ROUND(PRODUCT(S47:S48),0)</f>
        <v>0</v>
      </c>
      <c r="U49" s="423"/>
      <c r="V49" s="810" t="s">
        <v>1150</v>
      </c>
      <c r="W49" s="426" t="e">
        <f>ROUND(PRODUCT(W46:W48),3)</f>
        <v>#N/A</v>
      </c>
      <c r="X49" s="559"/>
      <c r="Y49" s="559"/>
      <c r="Z49" s="559"/>
    </row>
    <row r="50" spans="1:26" x14ac:dyDescent="0.2">
      <c r="A50" s="742"/>
      <c r="B50" s="686"/>
      <c r="C50" s="686"/>
      <c r="G50" s="385"/>
      <c r="U50" s="279"/>
      <c r="V50" s="809" t="s">
        <v>1473</v>
      </c>
      <c r="W50" s="487">
        <f>IF(ISNUMBER(F4),F4/100,0)</f>
        <v>0</v>
      </c>
      <c r="X50" s="559"/>
      <c r="Y50" s="559"/>
      <c r="Z50" s="559"/>
    </row>
    <row r="51" spans="1:26" x14ac:dyDescent="0.2">
      <c r="A51" s="742"/>
      <c r="B51" s="686"/>
      <c r="C51" s="686"/>
      <c r="G51" s="385"/>
      <c r="U51" s="426"/>
      <c r="V51" s="811" t="s">
        <v>1474</v>
      </c>
      <c r="W51" s="812" t="e">
        <f>ROUND(PRODUCT(W49:W50),0)</f>
        <v>#N/A</v>
      </c>
      <c r="X51" s="558"/>
      <c r="Y51" s="558"/>
      <c r="Z51" s="558"/>
    </row>
    <row r="52" spans="1:26" x14ac:dyDescent="0.2">
      <c r="A52" s="742"/>
      <c r="B52" s="686"/>
      <c r="C52" s="686"/>
      <c r="G52" s="385"/>
    </row>
    <row r="53" spans="1:26" x14ac:dyDescent="0.2">
      <c r="A53" s="742"/>
      <c r="B53" s="686"/>
      <c r="C53" s="686"/>
      <c r="G53" s="385"/>
    </row>
    <row r="54" spans="1:26" x14ac:dyDescent="0.2">
      <c r="A54" s="385"/>
      <c r="B54" s="385"/>
      <c r="C54" s="385"/>
      <c r="G54" s="385"/>
      <c r="U54" s="566" t="s">
        <v>1732</v>
      </c>
      <c r="V54" s="266"/>
      <c r="W54" s="266"/>
    </row>
    <row r="55" spans="1:26" x14ac:dyDescent="0.2">
      <c r="A55" s="385"/>
      <c r="B55" s="385"/>
      <c r="C55" s="385"/>
      <c r="F55" s="8"/>
      <c r="G55" s="385"/>
      <c r="U55" s="266"/>
      <c r="V55" s="268" t="s">
        <v>1693</v>
      </c>
      <c r="W55" s="426">
        <f>B29</f>
        <v>0.126</v>
      </c>
    </row>
    <row r="56" spans="1:26" x14ac:dyDescent="0.2">
      <c r="A56" s="385"/>
      <c r="B56" s="385"/>
      <c r="C56" s="385"/>
      <c r="F56" s="139"/>
      <c r="G56" s="385"/>
      <c r="U56" s="266"/>
      <c r="V56" s="268" t="s">
        <v>1695</v>
      </c>
      <c r="W56" s="423" t="e">
        <f>IF(#REF!="Yes",DF_TerrorDT,1)</f>
        <v>#REF!</v>
      </c>
    </row>
    <row r="57" spans="1:26" x14ac:dyDescent="0.2">
      <c r="F57" s="139"/>
      <c r="G57" s="385"/>
      <c r="U57" s="542"/>
      <c r="V57" s="724" t="s">
        <v>1696</v>
      </c>
      <c r="W57" s="757" t="e">
        <f>IF(#REF!="Yes",DF_TerrorDTnbc,1)</f>
        <v>#REF!</v>
      </c>
    </row>
    <row r="58" spans="1:26" x14ac:dyDescent="0.2">
      <c r="F58" s="139"/>
      <c r="U58" s="266"/>
      <c r="V58" s="568" t="s">
        <v>1694</v>
      </c>
      <c r="W58" s="426" t="e">
        <f>ROUND(PRODUCT(W55:W57),3)</f>
        <v>#REF!</v>
      </c>
    </row>
    <row r="59" spans="1:26" x14ac:dyDescent="0.2">
      <c r="G59" s="8"/>
      <c r="U59" s="542"/>
      <c r="V59" s="809" t="s">
        <v>1473</v>
      </c>
      <c r="W59" s="988">
        <f>IF(ISBLANK(F4),0,F4/100)</f>
        <v>0</v>
      </c>
    </row>
    <row r="60" spans="1:26" x14ac:dyDescent="0.2">
      <c r="G60" s="8"/>
      <c r="U60" s="385"/>
      <c r="V60" s="568" t="s">
        <v>1733</v>
      </c>
      <c r="W60" s="989" t="e">
        <f>ROUND(PRODUCT(W55:W59),0)</f>
        <v>#REF!</v>
      </c>
    </row>
    <row r="61" spans="1:26" x14ac:dyDescent="0.2">
      <c r="G61" s="8"/>
      <c r="U61" s="385"/>
      <c r="V61" s="702"/>
      <c r="W61" s="559"/>
    </row>
    <row r="62" spans="1:26" x14ac:dyDescent="0.2">
      <c r="G62" s="8"/>
      <c r="U62" s="385"/>
      <c r="V62" s="702"/>
      <c r="W62" s="559"/>
    </row>
    <row r="63" spans="1:26" x14ac:dyDescent="0.2">
      <c r="G63" s="8"/>
      <c r="U63" s="559"/>
      <c r="V63" s="877"/>
      <c r="W63" s="558"/>
    </row>
    <row r="64" spans="1:26" x14ac:dyDescent="0.2">
      <c r="U64" s="559"/>
      <c r="V64" s="899"/>
      <c r="W64" s="575"/>
    </row>
    <row r="65" spans="7:23" x14ac:dyDescent="0.2">
      <c r="U65" s="558"/>
      <c r="V65" s="900"/>
      <c r="W65" s="575"/>
    </row>
    <row r="66" spans="7:23" x14ac:dyDescent="0.2">
      <c r="O66" s="168"/>
    </row>
    <row r="67" spans="7:23" x14ac:dyDescent="0.2">
      <c r="O67" s="168"/>
    </row>
    <row r="68" spans="7:23" x14ac:dyDescent="0.2">
      <c r="G68" s="8"/>
    </row>
    <row r="69" spans="7:23" x14ac:dyDescent="0.2">
      <c r="G69" s="8"/>
    </row>
    <row r="70" spans="7:23" x14ac:dyDescent="0.2">
      <c r="G70" s="8"/>
    </row>
    <row r="71" spans="7:23" x14ac:dyDescent="0.2">
      <c r="G71" s="8"/>
    </row>
    <row r="72" spans="7:23" x14ac:dyDescent="0.2">
      <c r="G72" s="8"/>
    </row>
    <row r="73" spans="7:23" x14ac:dyDescent="0.2">
      <c r="G73" s="8"/>
    </row>
    <row r="74" spans="7:23" x14ac:dyDescent="0.2">
      <c r="G74" s="8"/>
    </row>
    <row r="75" spans="7:23" x14ac:dyDescent="0.2">
      <c r="G75" s="8"/>
    </row>
    <row r="76" spans="7:23" x14ac:dyDescent="0.2">
      <c r="G76" s="146"/>
    </row>
  </sheetData>
  <mergeCells count="3">
    <mergeCell ref="H1:L1"/>
    <mergeCell ref="AM24:AN24"/>
    <mergeCell ref="U38:Z38"/>
  </mergeCells>
  <conditionalFormatting sqref="B24">
    <cfRule type="expression" dxfId="82" priority="2" stopIfTrue="1">
      <formula>IF($C$24="Yes",FALSE,TRUE)</formula>
    </cfRule>
  </conditionalFormatting>
  <conditionalFormatting sqref="A18">
    <cfRule type="expression" dxfId="81" priority="1">
      <formula>IF($C$12="SP",TRUE,FALSE)</formula>
    </cfRule>
  </conditionalFormatting>
  <dataValidations count="47"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EQ Building Class" prompt="Please Select a class from the drop down list." sqref="E31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5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8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32">
      <formula1>OFFSET(Table_EQ_Tiers,0,0,,1)</formula1>
    </dataValidation>
    <dataValidation type="custom" allowBlank="1" showInputMessage="1" showErrorMessage="1" prompt="EQ Table Lookup Value" sqref="F32">
      <formula1>FALSE</formula1>
    </dataValidation>
    <dataValidation type="custom" allowBlank="1" showInputMessage="1" showErrorMessage="1" prompt="EQ Sprinkler Leakage Extension Factor Lookup value." sqref="F31">
      <formula1>FALSE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33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34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37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30">
      <formula1>IF(AND($F$45="Yes",$C$56&lt;&gt;"Yes"),List_YN,List_No)</formula1>
    </dataValidation>
    <dataValidation type="custom" allowBlank="1" showInputMessage="1" showErrorMessage="1" prompt="Relates to Special Form Reference" sqref="B15">
      <formula1>FALSE</formula1>
    </dataValidation>
    <dataValidation type="list" allowBlank="1" showInputMessage="1" showErrorMessage="1" promptTitle="Power &amp; Water Supply" prompt="Please Select:_x000a_{ Yes or No }" sqref="E22:E23">
      <formula1>IF($F$20="Yes",List_YN, List_No)</formula1>
    </dataValidation>
    <dataValidation type="list" allowBlank="1" showInputMessage="1" showErrorMessage="1" promptTitle="Communications Supply" prompt="Please Select:_x000a_{ Yes or No }" sqref="E24">
      <formula1>IF($F$20="Yes",List_YN, List_No)</formula1>
    </dataValidation>
    <dataValidation type="list" allowBlank="1" showInputMessage="1" showErrorMessage="1" promptTitle="Ovhd Communication Lines" prompt="Please Select:_x000a_{ Yes or No }" sqref="E26">
      <formula1>IF($F$20="Yes",List_YN, List_No)</formula1>
    </dataValidation>
    <dataValidation type="list" allowBlank="1" showInputMessage="1" showErrorMessage="1" promptTitle="OH Power Transmission Lines" prompt="Please Select:_x000a_{ Yes or No }" sqref="E25">
      <formula1>IF($F$20="Yes",List_YN, List_No)</formula1>
    </dataValidation>
    <dataValidation type="custom" allowBlank="1" showInputMessage="1" showErrorMessage="1" promptTitle="P&amp;W Utility Svc Multiplier" prompt="Displays the multiplier for Power &amp; Water Supply premium calculations." sqref="F22">
      <formula1>FALSE</formula1>
    </dataValidation>
    <dataValidation type="custom" allowBlank="1" showInputMessage="1" showErrorMessage="1" promptTitle="OH Lines Utility Svc Multiplier" prompt="Displays the multiplier for the Overhead Power Trans &amp; Comm Lines premium calculations." sqref="F25">
      <formula1>FALSE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custom" allowBlank="1" showInputMessage="1" showErrorMessage="1" promptTitle="EE Availability Indicator:" prompt="BI - indicates that Business Income Coverage has already been applied to the policy._x000a__x000a_Available - indicates EE is still available to be added to the policy." sqref="E3">
      <formula1>FALSE</formula1>
    </dataValidation>
    <dataValidation type="list" allowBlank="1" showInputMessage="1" showErrorMessage="1" errorTitle="Coverage Not Allowed" error="Business Income Coverage has already been applied to this policy." promptTitle="Please Select:" prompt="Yes = Apply Coverage_x000a_No  = Do Not Apply_x000a__x000a_* Coverage not available if Business Income Coverage has already been applied to policy." sqref="F3">
      <formula1>IF($E$3="BI",List_No,List_YN)</formula1>
    </dataValidation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Limits on Loss Payment" prompt="Please Select:_x000a_  35 = 35%-70%-100%_x000a_  40 = 40%-80%-100%_x000a_100 = 100%-100%-100%" sqref="F5">
      <formula1>OFFSET(Table_EE_CoIns,0,0,,1)</formula1>
    </dataValidation>
    <dataValidation type="list" allowBlank="1" showInputMessage="1" showErrorMessage="1" promptTitle="Civil Authority Inc. Coverage" prompt="Please Select:_x000a_Yes or No" sqref="F7">
      <formula1>List_YN</formula1>
    </dataValidation>
    <dataValidation type="list" allowBlank="1" showInputMessage="1" showErrorMessage="1" promptTitle="Basic Group I - Class Codes" prompt="Please select your building class code" sqref="F13">
      <formula1>OFFSET(Table_G1_LC,0,0,,1)</formula1>
    </dataValidation>
    <dataValidation type="custom" allowBlank="1" showInputMessage="1" showErrorMessage="1" promptTitle="Class Rating Group" prompt="Displays Rating Group for Class Code selected." sqref="E13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16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F15">
      <formula1>OFFSET(Table_G1_LC,0,0,,1)</formula1>
    </dataValidation>
    <dataValidation type="list" allowBlank="1" showInputMessage="1" showErrorMessage="1" promptTitle="Please Select:" prompt="Yes = Apply Coverage_x000a_No  = Do Not Apply" sqref="F11 F28">
      <formula1>List_YN</formula1>
    </dataValidation>
    <dataValidation type="list" allowBlank="1" showInputMessage="1" showErrorMessage="1" promptTitle="Increased Period of Restoration" prompt="Please Select:_x000a_Yes or No" sqref="F18">
      <formula1>List_YN</formula1>
    </dataValidation>
    <dataValidation type="list" allowBlank="1" showInputMessage="1" showErrorMessage="1" promptTitle="Utility Services Coverage" prompt="Please Select:_x000a_Yes or No" sqref="F20">
      <formula1>List_YN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C10:C11 C7 B8 C14:C15 B5:C5 C4 C21:C22 C24 C17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errorTitle="Do Not Touch" error="This is used to generate the Coinsurance rate." sqref="B34 E37">
      <formula1>FALSE</formula1>
    </dataValidation>
    <dataValidation type="custom" allowBlank="1" showInputMessage="1" showErrorMessage="1" sqref="O30 A29 F29 B30 C25 O5">
      <formula1>FALSE</formula1>
    </dataValidation>
    <dataValidation type="list" allowBlank="1" showInputMessage="1" showErrorMessage="1" promptTitle="Increased Coverage Period" prompt="Please Select # of Days:_x000a_{ 60, 90, 180 }" sqref="E8">
      <formula1>IF(F7="Yes",OFFSET(Table_CivilAuth,0,0,,1),List_No)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sqref="E21">
      <formula1>IF(F20="Yes",TRUE,FALSE)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5" manualBreakCount="5">
    <brk id="6" max="1048575" man="1"/>
    <brk id="13" max="52" man="1"/>
    <brk id="20" max="52" man="1"/>
    <brk id="27" max="52" man="1"/>
    <brk id="34" max="52" man="1"/>
  </colBreak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Z57"/>
  <sheetViews>
    <sheetView topLeftCell="A16"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2.5703125" style="2" customWidth="1"/>
    <col min="3" max="3" width="12.85546875" style="2" customWidth="1"/>
    <col min="4" max="4" width="26.85546875" style="2" customWidth="1"/>
    <col min="5" max="5" width="12.5703125" style="2" customWidth="1"/>
    <col min="6" max="6" width="11.85546875" style="2" customWidth="1"/>
    <col min="7" max="7" width="9.140625" style="2"/>
    <col min="8" max="8" width="20.85546875" style="2" customWidth="1"/>
    <col min="9" max="9" width="17.85546875" style="2" customWidth="1"/>
    <col min="10" max="10" width="12.85546875" style="2" customWidth="1"/>
    <col min="11" max="11" width="19.5703125" style="2" customWidth="1"/>
    <col min="12" max="12" width="9.140625" style="2"/>
    <col min="13" max="13" width="14.7109375" style="2" customWidth="1"/>
    <col min="14" max="14" width="25.85546875" style="2" customWidth="1"/>
    <col min="15" max="15" width="14.140625" style="2" customWidth="1"/>
    <col min="16" max="16" width="9.140625" style="2"/>
    <col min="17" max="17" width="14.7109375" style="2" customWidth="1"/>
    <col min="18" max="18" width="23.85546875" style="2" customWidth="1"/>
    <col min="19" max="19" width="14.140625" style="2" customWidth="1"/>
    <col min="20" max="20" width="9.140625" style="2"/>
    <col min="21" max="21" width="34.28515625" style="2" customWidth="1"/>
    <col min="22" max="22" width="23.7109375" style="2" customWidth="1"/>
    <col min="23" max="23" width="14.28515625" style="2" customWidth="1"/>
    <col min="24" max="16384" width="9.140625" style="2"/>
  </cols>
  <sheetData>
    <row r="1" spans="1:23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1723</v>
      </c>
      <c r="I1" s="1595"/>
      <c r="J1" s="1595"/>
      <c r="K1" s="1596"/>
      <c r="U1" s="1617" t="s">
        <v>949</v>
      </c>
      <c r="V1" s="1617"/>
      <c r="W1" s="1617"/>
    </row>
    <row r="2" spans="1:23" ht="12.75" customHeight="1" thickBot="1" x14ac:dyDescent="0.25">
      <c r="A2" s="161" t="s">
        <v>832</v>
      </c>
      <c r="B2" s="162"/>
      <c r="C2" s="163"/>
      <c r="D2" s="529" t="s">
        <v>897</v>
      </c>
      <c r="E2" s="531"/>
      <c r="F2" s="532"/>
      <c r="M2" s="60" t="s">
        <v>1767</v>
      </c>
      <c r="Q2" s="60" t="s">
        <v>1769</v>
      </c>
    </row>
    <row r="3" spans="1:23" ht="13.5" thickBot="1" x14ac:dyDescent="0.25">
      <c r="A3" s="120" t="s">
        <v>1024</v>
      </c>
      <c r="B3" s="95"/>
      <c r="C3" s="1085" t="str">
        <f>DF_State</f>
        <v>CT</v>
      </c>
      <c r="D3" s="203" t="s">
        <v>306</v>
      </c>
      <c r="E3" s="216"/>
      <c r="F3" s="204" t="s">
        <v>857</v>
      </c>
      <c r="H3" s="1273">
        <f>Summary8</f>
        <v>0</v>
      </c>
      <c r="I3" s="557"/>
      <c r="J3" s="557"/>
      <c r="N3" s="168" t="s">
        <v>1761</v>
      </c>
      <c r="O3" s="247">
        <f>IF(C31="Yes",VLOOKUP(B32,Table_EQ_LC,3,FALSE),0)</f>
        <v>0</v>
      </c>
      <c r="R3" s="168" t="s">
        <v>1761</v>
      </c>
      <c r="S3" s="247" t="e">
        <f>IF(C31="Yes",VLOOKUP(B32,Table_EQ_LC,3,FALSE),VLOOKUP(B42,Table_EQ_LC,MATCH(C47,List_PPGrade,0)+3,FALSE))</f>
        <v>#N/A</v>
      </c>
      <c r="U3" s="154" t="s">
        <v>950</v>
      </c>
      <c r="V3" s="86"/>
      <c r="W3" s="156" t="s">
        <v>951</v>
      </c>
    </row>
    <row r="4" spans="1:23" x14ac:dyDescent="0.2">
      <c r="A4" s="1036" t="s">
        <v>1828</v>
      </c>
      <c r="B4" s="1041"/>
      <c r="C4" s="1098"/>
      <c r="D4" s="107" t="s">
        <v>961</v>
      </c>
      <c r="E4" s="272"/>
      <c r="F4" s="704"/>
      <c r="H4" s="82"/>
      <c r="I4" s="189"/>
      <c r="J4" s="4"/>
      <c r="M4" s="146"/>
      <c r="N4" s="545" t="s">
        <v>971</v>
      </c>
      <c r="O4" s="299" t="e">
        <f>HLOOKUP(C10,Table_StateRates,6,FALSE)</f>
        <v>#N/A</v>
      </c>
      <c r="Q4" s="146"/>
      <c r="R4" s="545" t="s">
        <v>971</v>
      </c>
      <c r="S4" s="299" t="e">
        <f>HLOOKUP(C10,Table_StateRates,6,FALSE)</f>
        <v>#N/A</v>
      </c>
      <c r="U4" s="686" t="s">
        <v>1715</v>
      </c>
      <c r="W4" s="155">
        <f>IF(W22&lt;-0.05,-0.05,IF(W22&gt;0.05,0.05,W22))</f>
        <v>0</v>
      </c>
    </row>
    <row r="5" spans="1:23" x14ac:dyDescent="0.2">
      <c r="A5" s="120"/>
      <c r="B5" s="95"/>
      <c r="C5" s="1039"/>
      <c r="D5" s="124" t="s">
        <v>1218</v>
      </c>
      <c r="E5" s="417">
        <f>IF(F5="Yes",2,3)</f>
        <v>3</v>
      </c>
      <c r="F5" s="704" t="s">
        <v>857</v>
      </c>
      <c r="H5" s="82" t="s">
        <v>1759</v>
      </c>
      <c r="I5" s="258"/>
      <c r="J5" s="259">
        <f>IF(C31="Yes",O15,0)</f>
        <v>0</v>
      </c>
      <c r="N5" s="189" t="s">
        <v>1497</v>
      </c>
      <c r="O5" s="207">
        <v>1</v>
      </c>
      <c r="R5" s="189" t="s">
        <v>1253</v>
      </c>
      <c r="S5" s="247">
        <f>IF(OR(ISBLANK(F7),F7="None"),1,IF(E8="Yes",F14,VLOOKUP(F7,IF(F5="Yes",Table_BI_CoIns_EE,Table_BI_CoIns),F8+1,FALSE)))</f>
        <v>1</v>
      </c>
      <c r="U5" s="151" t="s">
        <v>1714</v>
      </c>
      <c r="W5" s="155">
        <f>IF(W23&lt;-0.06,-0.06,IF(W23&gt;0.06,0.06,W23))</f>
        <v>0</v>
      </c>
    </row>
    <row r="6" spans="1:23" x14ac:dyDescent="0.2">
      <c r="A6" s="120" t="s">
        <v>969</v>
      </c>
      <c r="B6" s="95"/>
      <c r="C6" s="1093" t="s">
        <v>980</v>
      </c>
      <c r="D6" s="84" t="s">
        <v>1227</v>
      </c>
      <c r="E6" s="193"/>
      <c r="F6" s="704" t="s">
        <v>857</v>
      </c>
      <c r="H6" s="189"/>
      <c r="I6" s="258"/>
      <c r="J6" s="259"/>
      <c r="N6" s="168" t="s">
        <v>1017</v>
      </c>
      <c r="O6" s="247">
        <f>VLOOKUP(C27,Table_EQ_CoIns,2,FALSE)</f>
        <v>1</v>
      </c>
      <c r="R6" s="168" t="s">
        <v>1086</v>
      </c>
      <c r="S6" s="207">
        <f>IF(F6="Yes",DF_BI_AV,1)</f>
        <v>1</v>
      </c>
      <c r="U6" s="8" t="s">
        <v>1716</v>
      </c>
      <c r="W6" s="155">
        <f>IF(W24&lt;-0.06,-0.06,IF(W24&gt;0.06,0.06,W24))</f>
        <v>0</v>
      </c>
    </row>
    <row r="7" spans="1:23" ht="13.5" thickBot="1" x14ac:dyDescent="0.25">
      <c r="A7" s="143" t="s">
        <v>923</v>
      </c>
      <c r="B7" s="940" t="s">
        <v>857</v>
      </c>
      <c r="C7" s="1039"/>
      <c r="D7" s="84" t="s">
        <v>1085</v>
      </c>
      <c r="E7" s="103"/>
      <c r="F7" s="704" t="s">
        <v>1883</v>
      </c>
      <c r="H7" s="82" t="s">
        <v>1758</v>
      </c>
      <c r="I7" s="248"/>
      <c r="N7" s="168" t="s">
        <v>1018</v>
      </c>
      <c r="O7" s="1417">
        <f>IF(C31="Yes",VLOOKUP(B38,Table_EQ_Deductible,MATCH(IF(B37&gt;C37,B37,C37),List_EQDeductibles,0)+1,FALSE),0)</f>
        <v>0</v>
      </c>
      <c r="R7" s="168" t="s">
        <v>1088</v>
      </c>
      <c r="S7" s="207">
        <f>IF(OR(C20="S",C20="T"),VLOOKUP(IF(C31="Yes",C39,C51),Table_EQ_OptStory,3,FALSE),1)</f>
        <v>1</v>
      </c>
      <c r="U7" s="8" t="s">
        <v>1717</v>
      </c>
      <c r="W7" s="155">
        <f>IF(W25&lt;-0.1,-0.1,IF(W25&gt;0.1,0.1,W25))</f>
        <v>0</v>
      </c>
    </row>
    <row r="8" spans="1:23" ht="13.5" thickBot="1" x14ac:dyDescent="0.25">
      <c r="A8" s="120"/>
      <c r="B8" s="95"/>
      <c r="C8" s="1039"/>
      <c r="D8" s="84" t="s">
        <v>1205</v>
      </c>
      <c r="E8" s="479" t="s">
        <v>857</v>
      </c>
      <c r="F8" s="706"/>
      <c r="H8" s="82"/>
      <c r="I8" s="972" t="s">
        <v>1797</v>
      </c>
      <c r="J8" s="259">
        <f>IF(C41="Yes",O30,0)</f>
        <v>0</v>
      </c>
      <c r="N8" s="168" t="s">
        <v>1086</v>
      </c>
      <c r="O8" s="207">
        <f>IF(C28="Yes",DF_AgreedFctr,1)</f>
        <v>1.05</v>
      </c>
      <c r="R8" s="83" t="s">
        <v>1251</v>
      </c>
      <c r="S8" s="207">
        <f>IF(F17="Yes",VLOOKUP(F8,Table_BI_MaxInd,E5,FALSE)+S17,1)</f>
        <v>1</v>
      </c>
      <c r="U8" s="687" t="s">
        <v>1718</v>
      </c>
      <c r="W8" s="155">
        <f>IF(W26&lt;-0.06,-0.06,IF(W26&gt;0.06,0.06,W26))</f>
        <v>0</v>
      </c>
    </row>
    <row r="9" spans="1:23" x14ac:dyDescent="0.2">
      <c r="A9" s="120" t="s">
        <v>1829</v>
      </c>
      <c r="B9" s="95"/>
      <c r="C9" s="1094">
        <v>1</v>
      </c>
      <c r="D9" s="695" t="str">
        <f>IF(F3="No","",IF(E8="Yes","Please Select the 2 Occ. Types below","Select 1 Occ. Type in the shaded cell above"))</f>
        <v/>
      </c>
      <c r="E9" s="487"/>
      <c r="F9" s="533"/>
      <c r="H9" s="82"/>
      <c r="I9" s="972" t="s">
        <v>1798</v>
      </c>
      <c r="J9" s="259">
        <f>IF(B54="Yes",O39,0)</f>
        <v>0</v>
      </c>
      <c r="N9" s="168" t="s">
        <v>1768</v>
      </c>
      <c r="O9" s="207">
        <f>IF(OR(C33="1C",C33="1D"),VLOOKUP(B36,Table_EQ_Masonry,3,FALSE),1)</f>
        <v>1</v>
      </c>
      <c r="R9" s="83" t="s">
        <v>1252</v>
      </c>
      <c r="S9" s="207">
        <f ca="1">IF(F18="Yes",VLOOKUP(E19,INDIRECT("Table_BI_Mos"&amp;F8),E5,FALSE)+S17,1)</f>
        <v>1</v>
      </c>
      <c r="U9" s="153" t="s">
        <v>1719</v>
      </c>
      <c r="W9" s="155">
        <f>IF(W27&lt;-0.025,-0.025,IF(W27&gt;0.025,0.025,W27))</f>
        <v>0</v>
      </c>
    </row>
    <row r="10" spans="1:23" x14ac:dyDescent="0.2">
      <c r="A10" s="120" t="s">
        <v>835</v>
      </c>
      <c r="B10" s="95"/>
      <c r="C10" s="1093" t="s">
        <v>1862</v>
      </c>
      <c r="D10" s="159" t="s">
        <v>1662</v>
      </c>
      <c r="E10" s="443"/>
      <c r="F10" s="704"/>
      <c r="H10" s="82"/>
      <c r="I10" s="972" t="s">
        <v>1799</v>
      </c>
      <c r="J10" s="259">
        <f>IF(B55="Yes",O44,0)</f>
        <v>0</v>
      </c>
      <c r="N10" s="168" t="s">
        <v>180</v>
      </c>
      <c r="O10" s="207">
        <f>1+ $Y$24</f>
        <v>1</v>
      </c>
      <c r="R10" s="882" t="s">
        <v>1547</v>
      </c>
      <c r="S10" s="299">
        <f>IF(AND(F20="Yes",OR(E21=1,E21=3)),VLOOKUP(F7,Table_BI_Educ,E5,FALSE),1)</f>
        <v>1</v>
      </c>
      <c r="U10" s="687" t="s">
        <v>1720</v>
      </c>
      <c r="W10" s="155">
        <f>IF(W28&lt;-0.025,-0.025,IF(W28&gt;0.025,0.025,W28))</f>
        <v>0</v>
      </c>
    </row>
    <row r="11" spans="1:23" ht="13.5" thickBot="1" x14ac:dyDescent="0.25">
      <c r="A11" s="415" t="s">
        <v>910</v>
      </c>
      <c r="B11" s="493">
        <f>IF(OR(C14=5,C14=6),1,2)</f>
        <v>2</v>
      </c>
      <c r="C11" s="704" t="s">
        <v>1678</v>
      </c>
      <c r="D11" s="159" t="s">
        <v>1663</v>
      </c>
      <c r="E11" s="442"/>
      <c r="F11" s="704"/>
      <c r="H11" s="82"/>
      <c r="I11" s="972" t="s">
        <v>1795</v>
      </c>
      <c r="J11" s="259">
        <f>IF(B56="Yes",O49,0)</f>
        <v>0</v>
      </c>
      <c r="M11" s="146"/>
      <c r="N11" s="545" t="s">
        <v>1020</v>
      </c>
      <c r="O11" s="299">
        <f>IF(C6="PAC",VLOOKUP(B7,Table_PakMods,MATCH(C11,List_Company,0)+1,FALSE),1)</f>
        <v>1</v>
      </c>
      <c r="R11" s="83" t="s">
        <v>1549</v>
      </c>
      <c r="S11" s="207">
        <f>IF(AND(F20="Yes",E21=2),VLOOKUP(F7,Table_BI_Educ,E5,FALSE)+IF(F21&gt;4,SUM(4*0.02,(F21-4)*0.04),F21*0.02),1)</f>
        <v>1</v>
      </c>
      <c r="U11" s="687" t="s">
        <v>1721</v>
      </c>
      <c r="W11" s="155">
        <f>IF(W29&lt;-0.075,-0.075,IF(W29&gt;0.075,0.075,W29))</f>
        <v>0</v>
      </c>
    </row>
    <row r="12" spans="1:23" ht="13.5" thickBot="1" x14ac:dyDescent="0.25">
      <c r="A12" s="507" t="s">
        <v>1069</v>
      </c>
      <c r="B12" s="498">
        <f>IF(C12=1,2,IF(C14&lt;4,3,4))</f>
        <v>3</v>
      </c>
      <c r="C12" s="1088" t="s">
        <v>857</v>
      </c>
      <c r="D12" s="159" t="s">
        <v>1223</v>
      </c>
      <c r="E12" s="442"/>
      <c r="F12" s="704"/>
      <c r="H12" s="975"/>
      <c r="I12" s="795" t="s">
        <v>1796</v>
      </c>
      <c r="J12" s="884">
        <f>IF(B57="Yes",O54,0)</f>
        <v>0</v>
      </c>
      <c r="M12" s="542"/>
      <c r="N12" s="724" t="s">
        <v>1022</v>
      </c>
      <c r="O12" s="279">
        <f>1+$W$14</f>
        <v>1</v>
      </c>
      <c r="R12" s="189" t="s">
        <v>1254</v>
      </c>
      <c r="S12" s="207">
        <f>IF(F25="Yes",VLOOKUP(E5,Table_BI_Seasonal,2,FALSE),1)</f>
        <v>1</v>
      </c>
      <c r="U12" s="8" t="s">
        <v>1722</v>
      </c>
      <c r="W12" s="155">
        <f>IF(W30&lt;-0.05,-0.05,IF(W30&gt;0.05,0.05,W30))</f>
        <v>0</v>
      </c>
    </row>
    <row r="13" spans="1:23" ht="13.5" thickBot="1" x14ac:dyDescent="0.25">
      <c r="A13" s="108" t="s">
        <v>898</v>
      </c>
      <c r="B13" s="95"/>
      <c r="C13" s="1093">
        <v>3</v>
      </c>
      <c r="D13" s="480"/>
      <c r="E13" s="489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82"/>
      <c r="I13" s="890" t="s">
        <v>1802</v>
      </c>
      <c r="J13" s="259">
        <f>SUM(J8:J12)</f>
        <v>0</v>
      </c>
      <c r="N13" s="83" t="s">
        <v>1150</v>
      </c>
      <c r="O13" s="247" t="e">
        <f>ROUND(PRODUCT(O3:O12),3)</f>
        <v>#N/A</v>
      </c>
      <c r="R13" s="189" t="s">
        <v>1255</v>
      </c>
      <c r="S13" s="207">
        <f>IF(F15="Yes",VLOOKUP(E16,Table_BI_IndDays,2,FALSE),1)</f>
        <v>1</v>
      </c>
      <c r="U13" s="8"/>
      <c r="W13" s="155"/>
    </row>
    <row r="14" spans="1:23" ht="13.5" thickBot="1" x14ac:dyDescent="0.25">
      <c r="A14" s="108" t="s">
        <v>1073</v>
      </c>
      <c r="B14" s="494"/>
      <c r="C14" s="704">
        <v>1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696" t="str">
        <f>IF(AND(E8="Yes",E14="Area"),ROUND(SUM(E13:F13)/SUM(E11:F11),3),IF(AND(E8="Yes",E14="Value"),ROUND(SUM(E12:F12)/SUM(E13:F13),3),""))</f>
        <v/>
      </c>
      <c r="H14" s="82"/>
      <c r="I14" s="248"/>
      <c r="J14" s="259"/>
      <c r="M14" s="185"/>
      <c r="N14" s="186" t="s">
        <v>1025</v>
      </c>
      <c r="O14" s="238">
        <f>IF(ISNUMBER(C32),C32/100,0)</f>
        <v>0</v>
      </c>
      <c r="R14" s="168" t="s">
        <v>1256</v>
      </c>
      <c r="S14" s="207">
        <f>IF(F22="Yes",VLOOKUP(E23,Table_BI_OrdPR,2,FALSE),1)</f>
        <v>1</v>
      </c>
      <c r="V14" s="60" t="s">
        <v>952</v>
      </c>
      <c r="W14" s="157">
        <f>IF(SUM(W4:W13)&lt;-0.4,-0.4,IF(SUM(W4:W13)&gt;0.4,0.4,SUM(W4:W13)))</f>
        <v>0</v>
      </c>
    </row>
    <row r="15" spans="1:23" ht="13.5" customHeight="1" x14ac:dyDescent="0.2">
      <c r="A15" s="84" t="s">
        <v>975</v>
      </c>
      <c r="B15" s="160"/>
      <c r="C15" s="1116" t="s">
        <v>18</v>
      </c>
      <c r="D15" s="84" t="s">
        <v>1224</v>
      </c>
      <c r="E15" s="193"/>
      <c r="F15" s="1101" t="s">
        <v>857</v>
      </c>
      <c r="H15" s="82"/>
      <c r="I15" s="248"/>
      <c r="J15" s="259"/>
      <c r="N15" s="83" t="s">
        <v>1767</v>
      </c>
      <c r="O15" s="248" t="e">
        <f>ROUND(PRODUCT(O13:O14),0)</f>
        <v>#N/A</v>
      </c>
      <c r="R15" s="168" t="s">
        <v>1257</v>
      </c>
      <c r="S15" s="207">
        <f>IF(F24="Yes",DF_BI_Power,1)</f>
        <v>1</v>
      </c>
    </row>
    <row r="16" spans="1:23" ht="13.5" thickBot="1" x14ac:dyDescent="0.25">
      <c r="A16" s="122" t="s">
        <v>974</v>
      </c>
      <c r="B16" s="95"/>
      <c r="C16" s="1048">
        <v>1</v>
      </c>
      <c r="D16" s="159" t="s">
        <v>1244</v>
      </c>
      <c r="E16" s="963"/>
      <c r="F16" s="277"/>
      <c r="H16" s="576"/>
      <c r="I16" s="248"/>
      <c r="J16" s="248"/>
      <c r="R16" s="268" t="s">
        <v>1259</v>
      </c>
      <c r="S16" s="423">
        <f>IF(F26="Yes",VLOOKUP(E27,Table_CivilAuth,2,FALSE),1)</f>
        <v>1</v>
      </c>
    </row>
    <row r="17" spans="1:26" ht="15" customHeight="1" x14ac:dyDescent="0.2">
      <c r="A17" s="1195" t="s">
        <v>2097</v>
      </c>
      <c r="B17" s="95"/>
      <c r="C17" s="1194"/>
      <c r="D17" s="84" t="s">
        <v>1204</v>
      </c>
      <c r="E17" s="193"/>
      <c r="F17" s="962" t="s">
        <v>857</v>
      </c>
      <c r="H17" s="483" t="s">
        <v>1661</v>
      </c>
      <c r="I17" s="248"/>
      <c r="J17" s="248"/>
      <c r="R17" s="267" t="s">
        <v>1592</v>
      </c>
      <c r="S17" s="426">
        <f>IF(F28="Yes",VLOOKUP(E29,Table_BI_Mining,2,FALSE),0)</f>
        <v>0</v>
      </c>
      <c r="U17" s="136" t="s">
        <v>947</v>
      </c>
      <c r="V17" s="137"/>
      <c r="W17" s="137"/>
      <c r="X17" s="137"/>
      <c r="Y17" s="136" t="s">
        <v>938</v>
      </c>
      <c r="Z17" s="517"/>
    </row>
    <row r="18" spans="1:26" ht="13.5" thickBot="1" x14ac:dyDescent="0.25">
      <c r="A18" s="526"/>
      <c r="B18" s="96"/>
      <c r="C18" s="1099"/>
      <c r="D18" s="84" t="s">
        <v>1203</v>
      </c>
      <c r="E18" s="193"/>
      <c r="F18" s="962" t="s">
        <v>857</v>
      </c>
      <c r="H18" s="486"/>
      <c r="I18" s="486" t="s">
        <v>977</v>
      </c>
      <c r="J18" s="259">
        <f>IF(AND(C31="Yes",F3="Yes"),S25,0)</f>
        <v>0</v>
      </c>
      <c r="M18" s="60" t="s">
        <v>1797</v>
      </c>
      <c r="R18" s="268" t="s">
        <v>821</v>
      </c>
      <c r="S18" s="423">
        <f>IF(AND(F31="Yes",E32="24-HR"),VLOOKUP(E32,Table_BI_Wait,3,FALSE),1)</f>
        <v>1</v>
      </c>
      <c r="U18" s="138" t="s">
        <v>939</v>
      </c>
      <c r="V18" s="8"/>
      <c r="W18" s="8"/>
      <c r="X18" s="8"/>
      <c r="Y18" s="445" t="s">
        <v>940</v>
      </c>
      <c r="Z18" s="481"/>
    </row>
    <row r="19" spans="1:26" ht="15" customHeight="1" thickBot="1" x14ac:dyDescent="0.25">
      <c r="A19" s="529" t="s">
        <v>300</v>
      </c>
      <c r="B19" s="531"/>
      <c r="C19" s="532"/>
      <c r="D19" s="159" t="s">
        <v>1225</v>
      </c>
      <c r="E19" s="965" t="s">
        <v>857</v>
      </c>
      <c r="F19" s="1065"/>
      <c r="H19" s="486"/>
      <c r="I19" s="486" t="s">
        <v>978</v>
      </c>
      <c r="J19" s="259">
        <f>IF(AND(C31="Yes",F34="Yes"),S38,0)</f>
        <v>0</v>
      </c>
      <c r="N19" s="168" t="s">
        <v>1083</v>
      </c>
      <c r="O19" s="247">
        <f>IF(C41="Yes",VLOOKUP(B42,Table_EQ_LC,MATCH(C47,List_PPGrade,0)+3,FALSE),0)</f>
        <v>0</v>
      </c>
      <c r="R19" s="568" t="s">
        <v>822</v>
      </c>
      <c r="S19" s="423">
        <f>IF(AND(F31="Yes",E32="None"),VLOOKUP(E32,Table_BI_Wait,3,FALSE),1)</f>
        <v>1</v>
      </c>
      <c r="U19" s="138" t="s">
        <v>941</v>
      </c>
      <c r="V19" s="8"/>
      <c r="W19" s="8"/>
      <c r="X19" s="8"/>
      <c r="Y19" s="26"/>
      <c r="Z19" s="481"/>
    </row>
    <row r="20" spans="1:26" x14ac:dyDescent="0.2">
      <c r="A20" s="521" t="s">
        <v>899</v>
      </c>
      <c r="B20" s="95"/>
      <c r="C20" s="1094" t="s">
        <v>83</v>
      </c>
      <c r="D20" s="534" t="s">
        <v>1233</v>
      </c>
      <c r="E20" s="273"/>
      <c r="F20" s="962" t="s">
        <v>857</v>
      </c>
      <c r="H20" s="486"/>
      <c r="I20" s="705"/>
      <c r="J20" s="485"/>
      <c r="M20" s="146"/>
      <c r="N20" s="545" t="s">
        <v>971</v>
      </c>
      <c r="O20" s="299" t="e">
        <f>HLOOKUP(C10,Table_StateRates,6,FALSE)</f>
        <v>#N/A</v>
      </c>
      <c r="R20" s="168" t="s">
        <v>180</v>
      </c>
      <c r="S20" s="207">
        <f>1+ $Y$24</f>
        <v>1</v>
      </c>
      <c r="U20" s="26"/>
      <c r="V20" s="8"/>
      <c r="W20" s="8"/>
      <c r="X20" s="8"/>
      <c r="Y20" s="727" t="s">
        <v>942</v>
      </c>
      <c r="Z20" s="481"/>
    </row>
    <row r="21" spans="1:26" x14ac:dyDescent="0.2">
      <c r="A21" s="124" t="s">
        <v>959</v>
      </c>
      <c r="B21" s="496"/>
      <c r="C21" s="1064"/>
      <c r="D21" s="535" t="s">
        <v>1550</v>
      </c>
      <c r="E21" s="948"/>
      <c r="F21" s="966"/>
      <c r="H21" s="189"/>
      <c r="I21" s="705" t="s">
        <v>1084</v>
      </c>
      <c r="J21" s="260">
        <f>SUM(J18:J19)</f>
        <v>0</v>
      </c>
      <c r="N21" s="189" t="s">
        <v>1497</v>
      </c>
      <c r="O21" s="207">
        <v>1</v>
      </c>
      <c r="Q21" s="146"/>
      <c r="R21" s="545" t="s">
        <v>1020</v>
      </c>
      <c r="S21" s="299">
        <f>IF(C6="PAC",VLOOKUP(B7,Table_PakMods,MATCH(C11,List_Company,0)+1,FALSE),1)</f>
        <v>1</v>
      </c>
      <c r="U21" s="445" t="s">
        <v>943</v>
      </c>
      <c r="V21" s="8"/>
      <c r="W21" s="142" t="s">
        <v>944</v>
      </c>
      <c r="X21" s="8"/>
      <c r="Y21" s="727" t="s">
        <v>945</v>
      </c>
      <c r="Z21" s="481"/>
    </row>
    <row r="22" spans="1:26" x14ac:dyDescent="0.2">
      <c r="A22" s="108" t="s">
        <v>953</v>
      </c>
      <c r="B22" s="95"/>
      <c r="C22" s="735" t="s">
        <v>857</v>
      </c>
      <c r="D22" s="444" t="s">
        <v>1229</v>
      </c>
      <c r="E22" s="103"/>
      <c r="F22" s="966" t="s">
        <v>857</v>
      </c>
      <c r="H22" s="486"/>
      <c r="I22" s="485"/>
      <c r="J22" s="485"/>
      <c r="N22" s="168" t="s">
        <v>1017</v>
      </c>
      <c r="O22" s="247">
        <f>VLOOKUP(C27,Table_EQ_CoIns,2,FALSE)</f>
        <v>1</v>
      </c>
      <c r="Q22" s="542"/>
      <c r="R22" s="724" t="s">
        <v>1022</v>
      </c>
      <c r="S22" s="279">
        <f>1+$W$14</f>
        <v>1</v>
      </c>
      <c r="U22" s="140" t="s">
        <v>1715</v>
      </c>
      <c r="V22" s="8"/>
      <c r="W22" s="144"/>
      <c r="X22" s="8"/>
      <c r="Y22" s="727" t="s">
        <v>946</v>
      </c>
      <c r="Z22" s="481"/>
    </row>
    <row r="23" spans="1:26" ht="13.5" thickBot="1" x14ac:dyDescent="0.25">
      <c r="A23" s="120"/>
      <c r="B23" s="95"/>
      <c r="C23" s="1039"/>
      <c r="D23" s="819" t="s">
        <v>1243</v>
      </c>
      <c r="E23" s="965" t="s">
        <v>857</v>
      </c>
      <c r="F23" s="1102"/>
      <c r="H23" s="486"/>
      <c r="I23" s="485"/>
      <c r="J23" s="485"/>
      <c r="N23" s="168" t="s">
        <v>1018</v>
      </c>
      <c r="O23" s="207">
        <f>IF(C41="Yes",VLOOKUP(B50,Table_EQ_Deductible,MATCH(IF(B49&gt;C49,B49,C49),List_EQDeductibles,0)+1,FALSE),0)</f>
        <v>0</v>
      </c>
      <c r="R23" s="83" t="s">
        <v>1150</v>
      </c>
      <c r="S23" s="247" t="e">
        <f>ROUND(PRODUCT(S3:S16,S18:S22),3)</f>
        <v>#N/A</v>
      </c>
      <c r="U23" s="141" t="s">
        <v>1714</v>
      </c>
      <c r="V23" s="139"/>
      <c r="W23" s="145"/>
      <c r="X23" s="139"/>
      <c r="Y23" s="445"/>
      <c r="Z23" s="481"/>
    </row>
    <row r="24" spans="1:26" ht="13.5" thickBot="1" x14ac:dyDescent="0.25">
      <c r="A24" s="670" t="s">
        <v>307</v>
      </c>
      <c r="B24" s="683">
        <v>40502</v>
      </c>
      <c r="C24" s="736">
        <v>1</v>
      </c>
      <c r="D24" s="444" t="s">
        <v>1230</v>
      </c>
      <c r="E24" s="103"/>
      <c r="F24" s="966" t="s">
        <v>857</v>
      </c>
      <c r="H24" s="483" t="s">
        <v>1760</v>
      </c>
      <c r="I24" s="485"/>
      <c r="J24" s="569">
        <f>SUM(J5,J8,J21)</f>
        <v>0</v>
      </c>
      <c r="N24" s="168" t="s">
        <v>1768</v>
      </c>
      <c r="O24" s="207">
        <f>IF(OR(C43="1C",C43="1D"),VLOOKUP(B46,Table_EQ_Masonry,3,FALSE),1)</f>
        <v>1</v>
      </c>
      <c r="Q24" s="185"/>
      <c r="R24" s="186" t="s">
        <v>1025</v>
      </c>
      <c r="S24" s="238">
        <f>IF(ISNUMBER(F4),F4/100,0)</f>
        <v>0</v>
      </c>
      <c r="U24" s="141" t="s">
        <v>1716</v>
      </c>
      <c r="V24" s="139"/>
      <c r="W24" s="145"/>
      <c r="X24" s="139"/>
      <c r="Y24" s="1597"/>
      <c r="Z24" s="1598"/>
    </row>
    <row r="25" spans="1:26" ht="13.5" thickBot="1" x14ac:dyDescent="0.25">
      <c r="A25" s="671" t="s">
        <v>308</v>
      </c>
      <c r="B25" s="678">
        <f>IF(ISBLANK(C24),"N/A",VLOOKUP(C24,Table_EQ_Tiers,2,FALSE))</f>
        <v>1</v>
      </c>
      <c r="C25" s="1039"/>
      <c r="D25" s="444" t="s">
        <v>1232</v>
      </c>
      <c r="E25" s="103"/>
      <c r="F25" s="966" t="s">
        <v>857</v>
      </c>
      <c r="H25" s="486"/>
      <c r="I25" s="485"/>
      <c r="J25" s="485"/>
      <c r="N25" s="168" t="s">
        <v>180</v>
      </c>
      <c r="O25" s="207">
        <f>1+ $Y$24</f>
        <v>1</v>
      </c>
      <c r="R25" s="83" t="s">
        <v>1769</v>
      </c>
      <c r="S25" s="248" t="e">
        <f>ROUND(PRODUCT(S23:S24),0)</f>
        <v>#N/A</v>
      </c>
      <c r="U25" s="141" t="s">
        <v>1717</v>
      </c>
      <c r="V25" s="139"/>
      <c r="W25" s="145"/>
      <c r="X25" s="139"/>
      <c r="Y25" s="445"/>
      <c r="Z25" s="481"/>
    </row>
    <row r="26" spans="1:26" x14ac:dyDescent="0.2">
      <c r="A26" s="84" t="s">
        <v>310</v>
      </c>
      <c r="B26" s="675"/>
      <c r="C26" s="1093">
        <v>99</v>
      </c>
      <c r="D26" s="538" t="s">
        <v>1545</v>
      </c>
      <c r="E26" s="103"/>
      <c r="F26" s="966" t="s">
        <v>857</v>
      </c>
      <c r="M26" s="146"/>
      <c r="N26" s="545" t="s">
        <v>1020</v>
      </c>
      <c r="O26" s="299">
        <f>IF(C6="PAC",VLOOKUP(B7,Table_PakMods,MATCH(C11,List_Company,0)+1,FALSE),1)</f>
        <v>1</v>
      </c>
      <c r="U26" s="141" t="s">
        <v>1718</v>
      </c>
      <c r="V26" s="8"/>
      <c r="W26" s="145"/>
      <c r="X26" s="8"/>
      <c r="Y26" s="26"/>
      <c r="Z26" s="481"/>
    </row>
    <row r="27" spans="1:26" x14ac:dyDescent="0.2">
      <c r="A27" s="108" t="s">
        <v>309</v>
      </c>
      <c r="B27" s="95"/>
      <c r="C27" s="1093">
        <v>80</v>
      </c>
      <c r="D27" s="518" t="s">
        <v>1555</v>
      </c>
      <c r="E27" s="948">
        <v>180</v>
      </c>
      <c r="F27" s="1065"/>
      <c r="M27" s="542"/>
      <c r="N27" s="724" t="s">
        <v>1022</v>
      </c>
      <c r="O27" s="279">
        <f>1+$W$14</f>
        <v>1</v>
      </c>
      <c r="U27" s="141" t="s">
        <v>181</v>
      </c>
      <c r="V27" s="8"/>
      <c r="W27" s="145"/>
      <c r="X27" s="8"/>
      <c r="Y27" s="26"/>
      <c r="Z27" s="481"/>
    </row>
    <row r="28" spans="1:26" x14ac:dyDescent="0.2">
      <c r="A28" s="108" t="s">
        <v>908</v>
      </c>
      <c r="B28" s="912" t="str">
        <f>IF(OR(TC8_BLDG1!C59="Yes",TC8_PP1!C53="Yes"),"Repl Cost","Available")</f>
        <v>Available</v>
      </c>
      <c r="C28" s="962" t="s">
        <v>833</v>
      </c>
      <c r="D28" s="538" t="s">
        <v>1246</v>
      </c>
      <c r="E28" s="103"/>
      <c r="F28" s="966" t="s">
        <v>857</v>
      </c>
      <c r="N28" s="83" t="s">
        <v>1150</v>
      </c>
      <c r="O28" s="247" t="e">
        <f>ROUND(PRODUCT(O19:O27),3)</f>
        <v>#N/A</v>
      </c>
      <c r="Q28" s="60" t="s">
        <v>1770</v>
      </c>
      <c r="U28" s="141" t="s">
        <v>1720</v>
      </c>
      <c r="V28" s="8"/>
      <c r="W28" s="145"/>
      <c r="X28" s="8"/>
      <c r="Y28" s="26"/>
      <c r="Z28" s="481"/>
    </row>
    <row r="29" spans="1:26" ht="13.5" thickBot="1" x14ac:dyDescent="0.25">
      <c r="A29" s="526"/>
      <c r="B29" s="515"/>
      <c r="C29" s="540"/>
      <c r="D29" s="507" t="s">
        <v>1589</v>
      </c>
      <c r="E29" s="948"/>
      <c r="F29" s="1065"/>
      <c r="M29" s="185"/>
      <c r="N29" s="186" t="s">
        <v>1025</v>
      </c>
      <c r="O29" s="238">
        <f>IF(ISNUMBER(C42),C42/100,0)</f>
        <v>0</v>
      </c>
      <c r="R29" s="168" t="s">
        <v>1761</v>
      </c>
      <c r="S29" s="247" t="e">
        <f>IF(C31="Yes",VLOOKUP(B32,Table_EQ_LC,3,FALSE),VLOOKUP(B42,Table_EQ_LC,MATCH(C47,List_PPGrade,0)+3,FALSE))</f>
        <v>#N/A</v>
      </c>
      <c r="U29" s="141" t="s">
        <v>182</v>
      </c>
      <c r="V29" s="8"/>
      <c r="W29" s="145"/>
      <c r="X29" s="8"/>
      <c r="Y29" s="26"/>
      <c r="Z29" s="481"/>
    </row>
    <row r="30" spans="1:26" ht="13.5" thickBot="1" x14ac:dyDescent="0.25">
      <c r="A30" s="529" t="s">
        <v>1831</v>
      </c>
      <c r="B30" s="531"/>
      <c r="C30" s="532"/>
      <c r="D30" s="499"/>
      <c r="E30" s="146"/>
      <c r="F30" s="1072"/>
      <c r="N30" s="83" t="s">
        <v>1797</v>
      </c>
      <c r="O30" s="248" t="e">
        <f>ROUND(PRODUCT(O28:O29),0)</f>
        <v>#N/A</v>
      </c>
      <c r="Q30" s="146"/>
      <c r="R30" s="545" t="s">
        <v>971</v>
      </c>
      <c r="S30" s="299" t="e">
        <f>HLOOKUP(C10,Table_StateRates,6,FALSE)</f>
        <v>#N/A</v>
      </c>
      <c r="U30" s="141" t="s">
        <v>1722</v>
      </c>
      <c r="V30" s="8"/>
      <c r="W30" s="145"/>
      <c r="X30" s="8"/>
      <c r="Y30" s="26"/>
      <c r="Z30" s="481"/>
    </row>
    <row r="31" spans="1:26" ht="13.5" thickBot="1" x14ac:dyDescent="0.25">
      <c r="A31" s="203" t="s">
        <v>301</v>
      </c>
      <c r="B31" s="216"/>
      <c r="C31" s="1100" t="s">
        <v>857</v>
      </c>
      <c r="D31" s="527" t="s">
        <v>1608</v>
      </c>
      <c r="E31" s="422"/>
      <c r="F31" s="966" t="s">
        <v>857</v>
      </c>
      <c r="R31" s="168" t="s">
        <v>1258</v>
      </c>
      <c r="S31" s="207">
        <f>IF(F34="Yes",VLOOKUP(F36,Table_EE_CoIns,3,FALSE),1)</f>
        <v>1</v>
      </c>
      <c r="U31" s="85"/>
      <c r="V31" s="86"/>
      <c r="W31" s="86"/>
      <c r="X31" s="86"/>
      <c r="Y31" s="85"/>
      <c r="Z31" s="196"/>
    </row>
    <row r="32" spans="1:26" x14ac:dyDescent="0.2">
      <c r="A32" s="107" t="s">
        <v>1242</v>
      </c>
      <c r="B32" s="690" t="str">
        <f>IF(ISBLANK(C33),"",IF(C33=6,"Invalid",C24&amp;"_"&amp;IF(C33=7,B33,C33)))</f>
        <v/>
      </c>
      <c r="C32" s="704"/>
      <c r="D32" s="539" t="s">
        <v>1609</v>
      </c>
      <c r="E32" s="968" t="s">
        <v>1599</v>
      </c>
      <c r="F32" s="1065"/>
      <c r="R32" s="168" t="s">
        <v>1088</v>
      </c>
      <c r="S32" s="207">
        <f>IF(OR(C20="S",C20="T"),VLOOKUP(IF(C31="Yes",C39,C51),Table_EQ_OptStory,3,FALSE),1)</f>
        <v>1</v>
      </c>
    </row>
    <row r="33" spans="1:19" ht="13.5" thickBot="1" x14ac:dyDescent="0.25">
      <c r="A33" s="81" t="s">
        <v>302</v>
      </c>
      <c r="B33" s="697" t="str">
        <f>IF(C33=7,VLOOKUP(C34,Table_EQ_Class7,2,FALSE),"N/A")</f>
        <v>N/A</v>
      </c>
      <c r="C33" s="735"/>
      <c r="D33" s="87"/>
      <c r="E33" s="194"/>
      <c r="F33" s="1103"/>
      <c r="N33" s="974" t="s">
        <v>1800</v>
      </c>
      <c r="O33" s="883" t="e">
        <f>O28</f>
        <v>#N/A</v>
      </c>
      <c r="R33" s="168" t="s">
        <v>180</v>
      </c>
      <c r="S33" s="207">
        <f>1+ $Y$24</f>
        <v>1</v>
      </c>
    </row>
    <row r="34" spans="1:19" x14ac:dyDescent="0.2">
      <c r="A34" s="693" t="str">
        <f>IF(C33=6,"Invalid Bldg Class, Choose Again",IF(C33=7, "Select Special Structure Item #","Lookup Value is:"&amp;"  "&amp;B32))</f>
        <v xml:space="preserve">Lookup Value is:  </v>
      </c>
      <c r="B34" s="272"/>
      <c r="C34" s="692" t="s">
        <v>857</v>
      </c>
      <c r="D34" s="123" t="s">
        <v>962</v>
      </c>
      <c r="E34" s="474"/>
      <c r="F34" s="1104" t="s">
        <v>857</v>
      </c>
      <c r="Q34" s="146"/>
      <c r="R34" s="545" t="s">
        <v>1020</v>
      </c>
      <c r="S34" s="299">
        <f>IF(C6="PAC",VLOOKUP(B7,Table_PakMods,MATCH(C11,List_Company,0)+1,FALSE),1)</f>
        <v>1</v>
      </c>
    </row>
    <row r="35" spans="1:19" x14ac:dyDescent="0.2">
      <c r="A35" s="694" t="e">
        <f>IF(AND(C33=7,ISBLANK(C34)=FALSE),VLOOKUP(C34,Table_EQ_Class7,4,FALSE),VLOOKUP(C33,Table_EQ_BldgClass,2,FALSE))</f>
        <v>#N/A</v>
      </c>
      <c r="B35" s="193"/>
      <c r="C35" s="691"/>
      <c r="D35" s="107" t="s">
        <v>1241</v>
      </c>
      <c r="E35" s="272"/>
      <c r="F35" s="704"/>
      <c r="Q35" s="542"/>
      <c r="R35" s="724" t="s">
        <v>1022</v>
      </c>
      <c r="S35" s="279">
        <f>1+$W$14</f>
        <v>1</v>
      </c>
    </row>
    <row r="36" spans="1:19" x14ac:dyDescent="0.2">
      <c r="A36" s="81" t="s">
        <v>1377</v>
      </c>
      <c r="B36" s="414" t="s">
        <v>857</v>
      </c>
      <c r="C36" s="169"/>
      <c r="D36" s="81" t="s">
        <v>1610</v>
      </c>
      <c r="E36" s="193"/>
      <c r="F36" s="704"/>
      <c r="M36" s="60" t="s">
        <v>1798</v>
      </c>
      <c r="R36" s="83" t="s">
        <v>1150</v>
      </c>
      <c r="S36" s="247" t="e">
        <f>ROUND(PRODUCT(S29:S35),3)</f>
        <v>#N/A</v>
      </c>
    </row>
    <row r="37" spans="1:19" ht="13.5" thickBot="1" x14ac:dyDescent="0.25">
      <c r="A37" s="669" t="s">
        <v>303</v>
      </c>
      <c r="B37" s="414">
        <v>10</v>
      </c>
      <c r="C37" s="699" t="str">
        <f>IF(C31="Yes",VLOOKUP(B32,Table_EQ_LC,2,FALSE),"")</f>
        <v/>
      </c>
      <c r="D37" s="87"/>
      <c r="E37" s="194"/>
      <c r="F37" s="100"/>
      <c r="N37" s="168" t="s">
        <v>1801</v>
      </c>
      <c r="O37" s="247" t="e">
        <f>$O$33</f>
        <v>#N/A</v>
      </c>
      <c r="Q37" s="185"/>
      <c r="R37" s="186" t="s">
        <v>1025</v>
      </c>
      <c r="S37" s="238">
        <f>IF(ISNUMBER(F35),F35/100,0)</f>
        <v>0</v>
      </c>
    </row>
    <row r="38" spans="1:19" x14ac:dyDescent="0.2">
      <c r="A38" s="676" t="s">
        <v>1764</v>
      </c>
      <c r="B38" s="355" t="str">
        <f>IF(C31="Yes",B25&amp;"_"&amp;IF(C33=7,B33,C33),"N/A")</f>
        <v>N/A</v>
      </c>
      <c r="C38" s="698"/>
      <c r="M38" s="185"/>
      <c r="N38" s="186" t="s">
        <v>1025</v>
      </c>
      <c r="O38" s="238">
        <f>IF(B54="Yes",C54/100,0)</f>
        <v>0</v>
      </c>
      <c r="R38" s="83" t="s">
        <v>1770</v>
      </c>
      <c r="S38" s="248" t="e">
        <f>ROUND(PRODUCT(S36:S37),0)</f>
        <v>#N/A</v>
      </c>
    </row>
    <row r="39" spans="1:19" x14ac:dyDescent="0.2">
      <c r="A39" s="676" t="s">
        <v>126</v>
      </c>
      <c r="B39" s="414">
        <v>2</v>
      </c>
      <c r="C39" s="684">
        <f>IF(ISBLANK(B39),"",IF(B39&lt;9,1,IF(B39&lt;21,2,3)))</f>
        <v>1</v>
      </c>
      <c r="N39" s="83" t="s">
        <v>1794</v>
      </c>
      <c r="O39" s="248" t="e">
        <f>ROUND(PRODUCT(O37:O38),0)</f>
        <v>#N/A</v>
      </c>
    </row>
    <row r="40" spans="1:19" ht="13.5" thickBot="1" x14ac:dyDescent="0.25">
      <c r="A40" s="87"/>
      <c r="B40" s="194"/>
      <c r="C40" s="100"/>
    </row>
    <row r="41" spans="1:19" x14ac:dyDescent="0.2">
      <c r="A41" s="203" t="s">
        <v>304</v>
      </c>
      <c r="B41" s="216"/>
      <c r="C41" s="1100" t="s">
        <v>857</v>
      </c>
      <c r="M41" s="60" t="s">
        <v>1799</v>
      </c>
    </row>
    <row r="42" spans="1:19" ht="13.5" customHeight="1" x14ac:dyDescent="0.2">
      <c r="A42" s="107" t="s">
        <v>1242</v>
      </c>
      <c r="B42" s="690" t="str">
        <f>IF(ISBLANK(C43),"",IF(C43=6,"Invalid",C24&amp;"_"&amp;IF(C43=7,B43,C43)))</f>
        <v/>
      </c>
      <c r="C42" s="413"/>
      <c r="N42" s="168" t="s">
        <v>1801</v>
      </c>
      <c r="O42" s="247" t="e">
        <f>$O$33</f>
        <v>#N/A</v>
      </c>
    </row>
    <row r="43" spans="1:19" ht="12.75" customHeight="1" x14ac:dyDescent="0.2">
      <c r="A43" s="81" t="s">
        <v>302</v>
      </c>
      <c r="B43" s="697" t="str">
        <f>IF(C43=7,VLOOKUP(C44,Table_EQ_Class7,2,FALSE),"N/A")</f>
        <v>N/A</v>
      </c>
      <c r="C43" s="735"/>
      <c r="M43" s="185"/>
      <c r="N43" s="186" t="s">
        <v>1025</v>
      </c>
      <c r="O43" s="238">
        <f>IF(B55="Yes",C55/100,0)</f>
        <v>0</v>
      </c>
    </row>
    <row r="44" spans="1:19" x14ac:dyDescent="0.2">
      <c r="A44" s="693" t="str">
        <f>IF(C43=6,"Invalid Bldg Class, Choose Again",IF(C43=7, "Select Special Structure Item #","Lookup Value is:"&amp;"  "&amp;B42))</f>
        <v xml:space="preserve">Lookup Value is:  </v>
      </c>
      <c r="B44" s="272"/>
      <c r="C44" s="692" t="s">
        <v>857</v>
      </c>
      <c r="N44" s="83" t="s">
        <v>1793</v>
      </c>
      <c r="O44" s="248" t="e">
        <f>ROUND(PRODUCT(O42:O43),0)</f>
        <v>#N/A</v>
      </c>
    </row>
    <row r="45" spans="1:19" x14ac:dyDescent="0.2">
      <c r="A45" s="694" t="e">
        <f>IF(AND(C43=7,ISBLANK(C44)=FALSE),VLOOKUP(C44,Table_EQ_Class7,4,FALSE),VLOOKUP(C43,Table_EQ_BldgClass,2,FALSE))</f>
        <v>#N/A</v>
      </c>
      <c r="B45" s="193"/>
      <c r="C45" s="691"/>
    </row>
    <row r="46" spans="1:19" ht="13.5" thickBot="1" x14ac:dyDescent="0.25">
      <c r="A46" s="81" t="s">
        <v>1377</v>
      </c>
      <c r="B46" s="414" t="s">
        <v>857</v>
      </c>
      <c r="C46" s="169"/>
      <c r="M46" s="60" t="s">
        <v>1795</v>
      </c>
    </row>
    <row r="47" spans="1:19" ht="13.5" thickBot="1" x14ac:dyDescent="0.25">
      <c r="A47" s="669" t="s">
        <v>305</v>
      </c>
      <c r="B47" s="273"/>
      <c r="C47" s="703" t="str">
        <f>IF(C41="Yes",VLOOKUP(A48,Table_EQ_PPGrade,2,FALSE),"N/A")</f>
        <v>N/A</v>
      </c>
      <c r="N47" s="168" t="s">
        <v>1801</v>
      </c>
      <c r="O47" s="247" t="e">
        <f>$O$33</f>
        <v>#N/A</v>
      </c>
    </row>
    <row r="48" spans="1:19" x14ac:dyDescent="0.2">
      <c r="A48" s="1620" t="s">
        <v>708</v>
      </c>
      <c r="B48" s="1621"/>
      <c r="C48" s="1622"/>
      <c r="M48" s="185"/>
      <c r="N48" s="186" t="s">
        <v>1025</v>
      </c>
      <c r="O48" s="238">
        <f>IF(B56="Yes",C56/100,0)</f>
        <v>0</v>
      </c>
    </row>
    <row r="49" spans="1:15" x14ac:dyDescent="0.2">
      <c r="A49" s="669" t="s">
        <v>303</v>
      </c>
      <c r="B49" s="414"/>
      <c r="C49" s="699" t="str">
        <f>IF(C41="Yes",VLOOKUP(B42,Table_EQ_LC,2,FALSE),"")</f>
        <v/>
      </c>
      <c r="N49" s="83" t="s">
        <v>1792</v>
      </c>
      <c r="O49" s="248" t="e">
        <f>ROUND(PRODUCT(O47:O48),0)</f>
        <v>#N/A</v>
      </c>
    </row>
    <row r="50" spans="1:15" x14ac:dyDescent="0.2">
      <c r="A50" s="676" t="s">
        <v>1764</v>
      </c>
      <c r="B50" s="355" t="str">
        <f>IF(C41="Yes",B25&amp;"_"&amp;IF(C43=7,B43,C43),"N/A")</f>
        <v>N/A</v>
      </c>
      <c r="C50" s="698"/>
    </row>
    <row r="51" spans="1:15" x14ac:dyDescent="0.2">
      <c r="A51" s="676" t="s">
        <v>126</v>
      </c>
      <c r="B51" s="414"/>
      <c r="C51" s="684" t="str">
        <f>IF(ISBLANK(B51),"",IF(B51&lt;9,1,IF(B51&lt;21,2,3)))</f>
        <v/>
      </c>
      <c r="M51" s="60" t="s">
        <v>1796</v>
      </c>
    </row>
    <row r="52" spans="1:15" ht="13.5" thickBot="1" x14ac:dyDescent="0.25">
      <c r="A52" s="87"/>
      <c r="B52" s="194"/>
      <c r="C52" s="100"/>
      <c r="N52" s="168" t="s">
        <v>1801</v>
      </c>
      <c r="O52" s="247" t="e">
        <f>$O$33</f>
        <v>#N/A</v>
      </c>
    </row>
    <row r="53" spans="1:15" ht="13.5" thickBot="1" x14ac:dyDescent="0.25">
      <c r="A53" s="529" t="s">
        <v>1141</v>
      </c>
      <c r="B53" s="531"/>
      <c r="C53" s="532"/>
      <c r="M53" s="185"/>
      <c r="N53" s="186" t="s">
        <v>1025</v>
      </c>
      <c r="O53" s="238">
        <f>IF(B57="Yes",C57/100,0)</f>
        <v>0</v>
      </c>
    </row>
    <row r="54" spans="1:15" x14ac:dyDescent="0.2">
      <c r="A54" s="783" t="s">
        <v>1142</v>
      </c>
      <c r="B54" s="948" t="s">
        <v>857</v>
      </c>
      <c r="C54" s="1101"/>
      <c r="N54" s="83" t="s">
        <v>1791</v>
      </c>
      <c r="O54" s="248" t="e">
        <f>ROUND(PRODUCT(O52:O53),0)</f>
        <v>#N/A</v>
      </c>
    </row>
    <row r="55" spans="1:15" x14ac:dyDescent="0.2">
      <c r="A55" s="783" t="s">
        <v>1143</v>
      </c>
      <c r="B55" s="948" t="s">
        <v>857</v>
      </c>
      <c r="C55" s="1101"/>
      <c r="M55" s="60"/>
    </row>
    <row r="56" spans="1:15" x14ac:dyDescent="0.2">
      <c r="A56" s="783" t="s">
        <v>1144</v>
      </c>
      <c r="B56" s="948" t="s">
        <v>857</v>
      </c>
      <c r="C56" s="1101"/>
    </row>
    <row r="57" spans="1:15" x14ac:dyDescent="0.2">
      <c r="A57" s="784" t="s">
        <v>1145</v>
      </c>
      <c r="B57" s="948" t="s">
        <v>857</v>
      </c>
      <c r="C57" s="962"/>
    </row>
  </sheetData>
  <mergeCells count="4">
    <mergeCell ref="H1:K1"/>
    <mergeCell ref="U1:W1"/>
    <mergeCell ref="Y24:Z24"/>
    <mergeCell ref="A48:C48"/>
  </mergeCells>
  <conditionalFormatting sqref="C17">
    <cfRule type="expression" dxfId="80" priority="8">
      <formula>IF($C$12="SP",TRUE,FALSE)</formula>
    </cfRule>
    <cfRule type="expression" dxfId="79" priority="9">
      <formula>IF($C$12="SP",TRUE,FALSE)</formula>
    </cfRule>
  </conditionalFormatting>
  <conditionalFormatting sqref="A17">
    <cfRule type="expression" dxfId="78" priority="7">
      <formula>IF($C$12="SP",TRUE,FALSE)</formula>
    </cfRule>
  </conditionalFormatting>
  <conditionalFormatting sqref="C17">
    <cfRule type="expression" dxfId="77" priority="5">
      <formula>IF($C$12="SP",TRUE,FALSE)</formula>
    </cfRule>
    <cfRule type="expression" dxfId="76" priority="6">
      <formula>IF($C$12="SP",TRUE,FALSE)</formula>
    </cfRule>
  </conditionalFormatting>
  <conditionalFormatting sqref="C17">
    <cfRule type="expression" dxfId="75" priority="3">
      <formula>IF($C$12="SP",TRUE,FALSE)</formula>
    </cfRule>
    <cfRule type="expression" dxfId="74" priority="4">
      <formula>IF($C$12="SP",TRUE,FALSE)</formula>
    </cfRule>
  </conditionalFormatting>
  <conditionalFormatting sqref="C17">
    <cfRule type="expression" dxfId="73" priority="1">
      <formula>IF($C$12="SP",TRUE,FALSE)</formula>
    </cfRule>
    <cfRule type="expression" dxfId="72" priority="2">
      <formula>IF($C$12="SP",TRUE,FALSE)</formula>
    </cfRule>
  </conditionalFormatting>
  <dataValidations count="73"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5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54">
      <formula1>IF($C$29="No",List_No,List_YN)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55">
      <formula1>IF($C$29="No",List_No,List_YN)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56">
      <formula1>IF($C$29="No",List_No,List_YN)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57">
      <formula1>IF($C$29="No",List_No,List_YN)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1">
      <formula1>List_YN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2">
      <formula1>IF(#REF!="Yes", OFFSET(Table_BI_Wait,0,0,,1),List_No)</formula1>
    </dataValidation>
    <dataValidation type="list" allowBlank="1" showInputMessage="1" showErrorMessage="1" promptTitle="Civil Authority Inc. Coverage" prompt="Please Select:_x000a_Yes or No" sqref="F26">
      <formula1>List_YN</formula1>
    </dataValidation>
    <dataValidation type="list" allowBlank="1" showInputMessage="1" showErrorMessage="1" promptTitle="Increased Coverage Period" prompt="Please Select # of Days:_x000a_{ 60, 90, 180 }" sqref="E27">
      <formula1>IF($F$28="Yes",OFFSET(Table_CivilAuth,0,0,,1),List_No)</formula1>
    </dataValidation>
    <dataValidation type="list" allowBlank="1" showInputMessage="1" showErrorMessage="1" promptTitle="Ordinary Payroll Exclusion" prompt="Please Select:_x000a_Yes or No" sqref="F22">
      <formula1>List_YN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4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3">
      <formula1>IF($F$24="Yes",OFFSET(Table_BI_OrdPR,0,0,,1),List_No)</formula1>
    </dataValidation>
    <dataValidation type="list" allowBlank="1" showInputMessage="1" showErrorMessage="1" promptTitle="Apply Mining Property Coverage?" prompt="Please Select:_x000a_Yes or No" sqref="F28">
      <formula1>IF(ISNUMBER($F$7),List_YN,List_No)</formula1>
    </dataValidation>
    <dataValidation type="list" allowBlank="1" showInputMessage="1" showErrorMessage="1" promptTitle="Seasonal Leases:" prompt="Please Select:_x000a_Yes or No_x000a__x000a_* This coverage relates to rental property only." sqref="F25">
      <formula1>IF($F$8&lt;&gt;3,List_No,List_YN)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29">
      <formula1>IF($F$33="Yes",List_BI_Mining,List_No)</formula1>
    </dataValidation>
    <dataValidation type="custom" allowBlank="1" showInputMessage="1" showErrorMessage="1" promptTitle="Replacement Cost on Policy" prompt="If replacement cost is present on the policy, then Agreed Value cannot be applied." sqref="B28">
      <formula1>FALSE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28">
      <formula1>IF($B$28="Available",List_YN,List_No)</formula1>
    </dataValidation>
    <dataValidation type="list" allowBlank="1" showInputMessage="1" showErrorMessage="1" sqref="C27">
      <formula1>OFFSET(Table_EQ_CoIns,0,0,,1)</formula1>
    </dataValidation>
    <dataValidation type="custom" allowBlank="1" showInputMessage="1" showErrorMessage="1" promptTitle="Earthquake Tier:" prompt="Determined by the Territory supplied." sqref="B2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C24">
      <formula1>OFFSET(Table_EQ_Tiers,0,0,,1)</formula1>
    </dataValidation>
    <dataValidation allowBlank="1" showInputMessage="1" showErrorMessage="1" promptTitle="Enter EQ Zipcode:" prompt="Please supply the Zipcode for the EQ Building Property." sqref="B24"/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26">
      <formula1>IF(OR($C$20="S",$C$20="T"),OFFSET(Table_BCEG,0,0,,1),List_BCEG99)</formula1>
    </dataValidation>
    <dataValidation type="list" allowBlank="1" showInputMessage="1" showErrorMessage="1" promptTitle="Please Select Cause of Loss:" prompt="BA  = Basic_x000a_BR  = Broad_x000a_SP  = Special_x000a_EQ = Earthquake" sqref="C11">
      <formula1>List_CauseBldg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4">
      <formula1>List_ConstrNum</formula1>
    </dataValidation>
    <dataValidation type="list" allowBlank="1" showInputMessage="1" showErrorMessage="1" promptTitle="Protection Class:" prompt="Please select a number (1 - 10)" sqref="C13">
      <formula1>OFFSET(Table_ProtClass,0,0,,1)</formula1>
    </dataValidation>
    <dataValidation type="list" allowBlank="1" showInputMessage="1" showErrorMessage="1" promptTitle="Special - Cause of Loss" prompt="Please select:_x000a_1 - Excluding Theft (Special)_x000a_2 - Including Theft  (Special)" sqref="C12">
      <formula1>IF($C$11="SP",List_SPTheft,List_No)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custom" allowBlank="1" showInputMessage="1" showErrorMessage="1" promptTitle="SPECIAL Form - Column Ref." prompt="This factor is used to determine the which column to use in the SPECIAL Form - Loss Cost table." sqref="B12">
      <formula1>FALSE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allowBlank="1" showInputMessage="1" showErrorMessage="1" promptTitle="Policy Term" prompt="Please Select:_x000a_1 - 1-Yr Policy_x000a_3 - 3-Yr Policy" sqref="C9"/>
    <dataValidation type="list" allowBlank="1" showInputMessage="1" showErrorMessage="1" promptTitle="Please Select:" prompt="C   = Class_x000a_S   = Specific_x000a_T   = Tentative" sqref="C20">
      <formula1>OFFSET(List_RatingType,0,0,3,1)</formula1>
    </dataValidation>
    <dataValidation type="list" allowBlank="1" showInputMessage="1" showErrorMessage="1" promptTitle="Masonry Veneer Limitation:" prompt="Please select the % of the Exterior Wall Faced with Masonry Veneer:_x000a_1:  Less Than 10%_x000a_2:  10 - 25%_x000a_3:  25 - 50%_x000a_4:  Over 50%_x000a__x000a_* Applies only to Building Classes 1C or 1D" sqref="B36 B46">
      <formula1>IF(OR($C$33="1C",$C$33="1D"),OFFSET(Table_EQ_Masonry,0,0,,1),List_No)</formula1>
    </dataValidation>
    <dataValidation type="custom" allowBlank="1" showInputMessage="1" showErrorMessage="1" promptTitle="Personal Pty Grade:" prompt="Displays the Grade of the Personal Property type you select below." sqref="C47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A48:C48">
      <formula1>IF($C$41="Yes",OFFSET(Table_EQ_PPGrade,0,0,,1),List_No)</formula1>
    </dataValidation>
    <dataValidation type="custom" allowBlank="1" showInputMessage="1" showErrorMessage="1" promptTitle="Building Class 7" prompt="Displays equivalent Building Class for the Special Structure selected." sqref="B33 B43">
      <formula1>FALSE</formula1>
    </dataValidation>
    <dataValidation type="custom" allowBlank="1" showInputMessage="1" showErrorMessage="1" prompt="Bldg Loss Cost lookup value" sqref="B32 B42">
      <formula1>FALSE</formula1>
    </dataValidation>
    <dataValidation type="custom" allowBlank="1" showInputMessage="1" showErrorMessage="1" promptTitle="Building Class Description" prompt="Displays a description of the Building Class selected whether it be one of the standard building class types or a Class 7 Special Structure type." sqref="A35 A45">
      <formula1>FALSE</formula1>
    </dataValidation>
    <dataValidation type="list" allowBlank="1" showInputMessage="1" showErrorMessage="1" errorTitle="Selection Not Available" error="Unless the building class specified is Class 7; No entry is allowed." promptTitle="Bldg Class 7: Special Structures" prompt="Please select an Item # from the drop down list, the description of the special structure will be displayed below." sqref="C34 C44">
      <formula1>IF($C$33=7,OFFSET(Table_EQ_Class7,0,0,,1),List_No)</formula1>
    </dataValidation>
    <dataValidation type="list" allowBlank="1" showInputMessage="1" showErrorMessage="1" sqref="C33 C43">
      <formula1>OFFSET(Table_EQ_BldgClass,0,0,,1)</formula1>
    </dataValidation>
    <dataValidation type="custom" allowBlank="1" showInputMessage="1" showErrorMessage="1" prompt="Mandatory Deductible Minimum" sqref="C49 C37">
      <formula1>FALSE</formula1>
    </dataValidation>
    <dataValidation type="custom" allowBlank="1" showInputMessage="1" showErrorMessage="1" promptTitle="Tier / Bldg Class:" prompt="Lookup value for the EQ Deductible Table.  Will generate automatically based upon your selections." sqref="B38 B50">
      <formula1>FALSE</formula1>
    </dataValidation>
    <dataValidation type="list" allowBlank="1" showInputMessage="1" showErrorMessage="1" sqref="B49 B37">
      <formula1>List_EQDeductibles</formula1>
    </dataValidation>
    <dataValidation type="list" allowBlank="1" showInputMessage="1" showErrorMessage="1" promptTitle="Apply Educational Inst Coverage?" prompt="Please Select:_x000a_Yes or No" sqref="F20">
      <formula1>IF($C$35&gt;=50,List_No,List_YN)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Monthly Limitation Period:" prompt="Please Select:_x000a_3rd - 1/3_x000a_4th - 1/4_x000a_6th - 1/6" sqref="E19">
      <formula1>IF($C$46&lt;&gt;"Yes",List_No,List_MosLimit)</formula1>
    </dataValidation>
    <dataValidation type="list" allowBlank="1" showInputMessage="1" showErrorMessage="1" promptTitle="Apply Monthly Limitation?" prompt="Please Select:_x000a_Yes or No" sqref="F18">
      <formula1>IF(ISNUMBER($C$35),List_No,List_YN)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IF($C$43="Yes",OFFSET(Table_BI_IndDays,0,0,,1),List_No)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IF(OR($C$45="Yes"),List_No,List_YN)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custom" allowBlank="1" showInputMessage="1" showErrorMessage="1" sqref="E13:F13 D14">
      <formula1>FALSE</formula1>
    </dataValidation>
    <dataValidation type="list" allowBlank="1" showInputMessage="1" showErrorMessage="1" promptTitle="Include Extra Expense Coverage" prompt="Please Select:_x000a_Yes or No" sqref="F5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IF($B$52="Yes",List_No,List_BI_OccType)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IF($B$52="No",List_No,List_BI_OccType)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list" allowBlank="1" showInputMessage="1" showErrorMessage="1" promptTitle="Limits on Loss Payment" prompt="Please Select:_x000a_  35 = 35%-70%-100%_x000a_  40 = 40%-80%-100%_x000a_100 = 100%-100%-100%" sqref="F36">
      <formula1>OFFSET(Table_EE_CoIns,0,0,,1)</formula1>
    </dataValidation>
    <dataValidation type="list" allowBlank="1" showInputMessage="1" showErrorMessage="1" promptTitle="Please Select:" prompt="Yes = Apply Coverage_x000a_No  = Do Not Apply" sqref="F34 F3 C22 C41 C31">
      <formula1>List_YN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54:C57">
      <formula1>IF(B54="Yes",TRUE,FALSE)</formula1>
    </dataValidation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errorTitle="Rating Type Incompatible" error="You have not selected Specific or Tentative Rating Type for this policy." promptTitle="Specific or Tentative Rate Type:" prompt="If you have selected Specific or Tentative Rate type you will need to supply the Loss Cost." sqref="B21">
      <formula1>IF(OR(C20="S",C20="T"),TRUE,FALSE)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7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6">
      <formula1>OFFSET(Table_TerrMult,0,0,,1)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2" manualBreakCount="2">
    <brk id="6" max="1048575" man="1"/>
    <brk id="12" max="1048575" man="1"/>
  </colBreak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FFFF00"/>
  </sheetPr>
  <dimension ref="A1:G51"/>
  <sheetViews>
    <sheetView topLeftCell="A3" zoomScale="90" zoomScaleNormal="90" workbookViewId="0">
      <selection activeCell="C48" sqref="C48:E48"/>
    </sheetView>
  </sheetViews>
  <sheetFormatPr defaultRowHeight="12.75" x14ac:dyDescent="0.2"/>
  <cols>
    <col min="1" max="1" width="18" style="2" customWidth="1"/>
    <col min="2" max="2" width="16.85546875" style="2" customWidth="1"/>
    <col min="3" max="3" width="17" style="2" customWidth="1"/>
    <col min="4" max="4" width="5.42578125" style="2" customWidth="1"/>
    <col min="5" max="5" width="17.85546875" style="2" customWidth="1"/>
    <col min="6" max="6" width="13.7109375" style="2" customWidth="1"/>
    <col min="7" max="7" width="16.85546875" style="2" customWidth="1"/>
    <col min="8" max="16384" width="9.140625" style="2"/>
  </cols>
  <sheetData>
    <row r="1" spans="1:7" ht="15.75" x14ac:dyDescent="0.2">
      <c r="A1" s="1440" t="s">
        <v>2256</v>
      </c>
    </row>
    <row r="2" spans="1:7" x14ac:dyDescent="0.2">
      <c r="A2" s="1227"/>
    </row>
    <row r="3" spans="1:7" ht="14.25" customHeight="1" x14ac:dyDescent="0.2">
      <c r="A3" s="82" t="s">
        <v>1024</v>
      </c>
      <c r="B3" s="917" t="str">
        <f>DF_State</f>
        <v>CT</v>
      </c>
    </row>
    <row r="4" spans="1:7" ht="17.25" customHeight="1" x14ac:dyDescent="0.2">
      <c r="A4" s="82" t="s">
        <v>2104</v>
      </c>
      <c r="B4" s="1441" t="str">
        <f>UI_CustNumber</f>
        <v>0004514584</v>
      </c>
    </row>
    <row r="5" spans="1:7" ht="16.5" customHeight="1" x14ac:dyDescent="0.2">
      <c r="A5" s="82"/>
      <c r="B5" s="984"/>
    </row>
    <row r="6" spans="1:7" x14ac:dyDescent="0.2">
      <c r="A6" s="82" t="s">
        <v>2258</v>
      </c>
      <c r="B6" s="1442"/>
      <c r="F6" s="1443"/>
      <c r="G6" s="1444"/>
    </row>
    <row r="7" spans="1:7" ht="16.5" customHeight="1" x14ac:dyDescent="0.2">
      <c r="A7" s="82"/>
      <c r="B7" s="834"/>
      <c r="F7" s="1443"/>
      <c r="G7" s="1444"/>
    </row>
    <row r="8" spans="1:7" x14ac:dyDescent="0.2">
      <c r="A8" s="82" t="s">
        <v>2259</v>
      </c>
      <c r="B8" s="1442"/>
      <c r="F8" s="1443"/>
      <c r="G8" s="1444"/>
    </row>
    <row r="9" spans="1:7" ht="16.5" customHeight="1" x14ac:dyDescent="0.2">
      <c r="A9" s="82"/>
      <c r="B9" s="984"/>
      <c r="F9" s="1443"/>
      <c r="G9" s="1444"/>
    </row>
    <row r="10" spans="1:7" x14ac:dyDescent="0.2">
      <c r="A10" s="82" t="s">
        <v>2257</v>
      </c>
      <c r="B10" s="1593"/>
      <c r="C10" s="1593"/>
      <c r="D10" s="1593"/>
      <c r="G10" s="834"/>
    </row>
    <row r="13" spans="1:7" ht="13.5" thickBot="1" x14ac:dyDescent="0.25">
      <c r="A13" s="1464" t="s">
        <v>55</v>
      </c>
      <c r="B13" s="1465"/>
      <c r="C13" s="1465"/>
      <c r="D13" s="1465"/>
      <c r="E13" s="1465"/>
    </row>
    <row r="14" spans="1:7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</row>
    <row r="15" spans="1:7" x14ac:dyDescent="0.2">
      <c r="A15" s="1445">
        <v>1</v>
      </c>
      <c r="B15" s="1453"/>
      <c r="C15" s="1446" t="str">
        <f ca="1">IF(ISBLANK(B15),"",INDIRECT($B15&amp;"!"&amp;"$I$47"))</f>
        <v/>
      </c>
      <c r="E15" s="1446" t="str">
        <f ca="1">IF(ISBLANK(B15),"",INDIRECT($B15&amp;"!"&amp;"$I$44"))</f>
        <v/>
      </c>
    </row>
    <row r="16" spans="1:7" x14ac:dyDescent="0.2">
      <c r="A16" s="1453">
        <v>2</v>
      </c>
      <c r="B16" s="1453"/>
      <c r="C16" s="1446" t="str">
        <f t="shared" ref="C16:C19" ca="1" si="0">IF(ISBLANK(B16),"",INDIRECT($B16&amp;"!"&amp;"$I$47"))</f>
        <v/>
      </c>
      <c r="E16" s="1446" t="str">
        <f t="shared" ref="E16:E19" ca="1" si="1">IF(ISBLANK(B16),"",INDIRECT($B16&amp;"!"&amp;"$I$44"))</f>
        <v/>
      </c>
    </row>
    <row r="17" spans="1:5" ht="17.25" customHeight="1" x14ac:dyDescent="0.2">
      <c r="A17" s="1453">
        <v>3</v>
      </c>
      <c r="B17" s="1453"/>
      <c r="C17" s="1446" t="str">
        <f t="shared" ca="1" si="0"/>
        <v/>
      </c>
      <c r="E17" s="1446" t="str">
        <f t="shared" ca="1" si="1"/>
        <v/>
      </c>
    </row>
    <row r="18" spans="1:5" x14ac:dyDescent="0.2">
      <c r="A18" s="1453">
        <v>4</v>
      </c>
      <c r="B18" s="1453"/>
      <c r="C18" s="1446" t="str">
        <f t="shared" ca="1" si="0"/>
        <v/>
      </c>
      <c r="E18" s="1446" t="str">
        <f t="shared" ca="1" si="1"/>
        <v/>
      </c>
    </row>
    <row r="19" spans="1:5" ht="13.5" thickBot="1" x14ac:dyDescent="0.25">
      <c r="A19" s="1084">
        <v>5</v>
      </c>
      <c r="B19" s="1453"/>
      <c r="C19" s="1446" t="str">
        <f t="shared" ca="1" si="0"/>
        <v/>
      </c>
      <c r="E19" s="1446" t="str">
        <f t="shared" ca="1" si="1"/>
        <v/>
      </c>
    </row>
    <row r="20" spans="1:5" x14ac:dyDescent="0.2">
      <c r="A20" s="1450"/>
      <c r="B20" s="1451" t="s">
        <v>2271</v>
      </c>
      <c r="C20" s="1452">
        <f ca="1">SUM(C15:C19)</f>
        <v>0</v>
      </c>
      <c r="D20" s="1450"/>
      <c r="E20" s="1452">
        <f ca="1">SUM(E15:E19)</f>
        <v>0</v>
      </c>
    </row>
    <row r="21" spans="1:5" ht="19.5" customHeight="1" x14ac:dyDescent="0.2"/>
    <row r="22" spans="1:5" ht="19.5" customHeight="1" thickBot="1" x14ac:dyDescent="0.25">
      <c r="A22" s="1464" t="s">
        <v>2219</v>
      </c>
      <c r="B22" s="1465"/>
      <c r="C22" s="1465"/>
      <c r="D22" s="1465"/>
      <c r="E22" s="1465"/>
    </row>
    <row r="23" spans="1:5" ht="18.75" customHeight="1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</row>
    <row r="24" spans="1:5" x14ac:dyDescent="0.2">
      <c r="A24" s="1445">
        <v>1</v>
      </c>
      <c r="B24" s="1445"/>
      <c r="C24" s="1446" t="str">
        <f ca="1">IF(ISBLANK(B24),"",INDIRECT($B24&amp;"!"&amp;"$I$54"))</f>
        <v/>
      </c>
      <c r="E24" s="1446" t="str">
        <f ca="1">IF(ISBLANK(B24),"",INDIRECT($B24&amp;"!"&amp;"$I$49"))</f>
        <v/>
      </c>
    </row>
    <row r="25" spans="1:5" x14ac:dyDescent="0.2">
      <c r="A25" s="1453">
        <v>2</v>
      </c>
      <c r="B25" s="1453"/>
      <c r="C25" s="1446" t="str">
        <f t="shared" ref="C25:C28" ca="1" si="2">IF(ISBLANK(B25),"",INDIRECT($B25&amp;"!"&amp;"$I$54"))</f>
        <v/>
      </c>
      <c r="D25" s="146"/>
      <c r="E25" s="1446" t="str">
        <f t="shared" ref="E25:E28" ca="1" si="3">IF(ISBLANK(B25),"",INDIRECT($B25&amp;"!"&amp;"$I$49"))</f>
        <v/>
      </c>
    </row>
    <row r="26" spans="1:5" x14ac:dyDescent="0.2">
      <c r="A26" s="1445">
        <v>3</v>
      </c>
      <c r="B26" s="1453"/>
      <c r="C26" s="1446" t="str">
        <f t="shared" ca="1" si="2"/>
        <v/>
      </c>
      <c r="D26" s="146"/>
      <c r="E26" s="1446" t="str">
        <f t="shared" ca="1" si="3"/>
        <v/>
      </c>
    </row>
    <row r="27" spans="1:5" x14ac:dyDescent="0.2">
      <c r="A27" s="1453">
        <v>4</v>
      </c>
      <c r="B27" s="1453"/>
      <c r="C27" s="1446" t="str">
        <f t="shared" ca="1" si="2"/>
        <v/>
      </c>
      <c r="D27" s="146"/>
      <c r="E27" s="1446" t="str">
        <f t="shared" ca="1" si="3"/>
        <v/>
      </c>
    </row>
    <row r="28" spans="1:5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</row>
    <row r="29" spans="1:5" x14ac:dyDescent="0.2">
      <c r="A29" s="1450"/>
      <c r="B29" s="1451" t="s">
        <v>2271</v>
      </c>
      <c r="C29" s="1452">
        <f ca="1">SUM(C24:C28)</f>
        <v>0</v>
      </c>
      <c r="D29" s="1450"/>
      <c r="E29" s="1452">
        <f ca="1">SUM(E24:E28)</f>
        <v>0</v>
      </c>
    </row>
    <row r="31" spans="1:5" ht="13.5" thickBot="1" x14ac:dyDescent="0.25">
      <c r="A31" s="1464" t="s">
        <v>2220</v>
      </c>
      <c r="B31" s="1465"/>
      <c r="C31" s="1465"/>
      <c r="D31" s="1465"/>
      <c r="E31" s="1465"/>
    </row>
    <row r="32" spans="1:5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</row>
    <row r="33" spans="1:5" x14ac:dyDescent="0.2">
      <c r="A33" s="1445">
        <v>1</v>
      </c>
      <c r="B33" s="1445"/>
      <c r="C33" s="1446" t="str">
        <f ca="1">IF(ISBLANK(B33),"",INDIRECT($B33&amp;"!"&amp;"$I$29"))</f>
        <v/>
      </c>
      <c r="E33" s="1446" t="str">
        <f ca="1">IF(ISBLANK(B33),"",INDIRECT($B33&amp;"!"&amp;"$I$26"))</f>
        <v/>
      </c>
    </row>
    <row r="34" spans="1:5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E34" s="1446" t="str">
        <f t="shared" ref="E34:E37" ca="1" si="5">IF(ISBLANK(B34),"",INDIRECT($B34&amp;"!"&amp;"$I$26"))</f>
        <v/>
      </c>
    </row>
    <row r="35" spans="1:5" x14ac:dyDescent="0.2">
      <c r="A35" s="1445">
        <v>3</v>
      </c>
      <c r="B35" s="1453"/>
      <c r="C35" s="1446" t="str">
        <f t="shared" ca="1" si="4"/>
        <v/>
      </c>
      <c r="E35" s="1446" t="str">
        <f t="shared" ca="1" si="5"/>
        <v/>
      </c>
    </row>
    <row r="36" spans="1:5" x14ac:dyDescent="0.2">
      <c r="A36" s="1453">
        <v>4</v>
      </c>
      <c r="B36" s="1453"/>
      <c r="C36" s="1446" t="str">
        <f t="shared" ca="1" si="4"/>
        <v/>
      </c>
      <c r="E36" s="1446" t="str">
        <f t="shared" ca="1" si="5"/>
        <v/>
      </c>
    </row>
    <row r="37" spans="1:5" ht="13.5" thickBot="1" x14ac:dyDescent="0.25">
      <c r="A37" s="1084">
        <v>5</v>
      </c>
      <c r="B37" s="1453"/>
      <c r="C37" s="1446" t="str">
        <f t="shared" ca="1" si="4"/>
        <v/>
      </c>
      <c r="E37" s="1446" t="str">
        <f t="shared" ca="1" si="5"/>
        <v/>
      </c>
    </row>
    <row r="38" spans="1:5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</row>
    <row r="41" spans="1:5" ht="13.5" thickBot="1" x14ac:dyDescent="0.25">
      <c r="A41" s="1464" t="s">
        <v>2221</v>
      </c>
      <c r="B41" s="1465"/>
      <c r="C41" s="1465"/>
      <c r="D41" s="1465"/>
      <c r="E41" s="1465"/>
    </row>
    <row r="42" spans="1:5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</row>
    <row r="43" spans="1:5" x14ac:dyDescent="0.2">
      <c r="A43" s="1445">
        <v>1</v>
      </c>
      <c r="B43" s="1445"/>
      <c r="C43" s="1446" t="str">
        <f ca="1">IF(ISBLANK(B43),"",INDIRECT($B43&amp;"!"&amp;"$I$21"))</f>
        <v/>
      </c>
      <c r="E43" s="1446" t="str">
        <f ca="1">IF(ISBLANK(B43),"",INDIRECT($B43&amp;"!"&amp;"$I$18"))</f>
        <v/>
      </c>
    </row>
    <row r="44" spans="1:5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E44" s="1446" t="str">
        <f t="shared" ref="E44:E47" ca="1" si="7">IF(ISBLANK(B44),"",INDIRECT($B44&amp;"!"&amp;"$I$18"))</f>
        <v/>
      </c>
    </row>
    <row r="45" spans="1:5" x14ac:dyDescent="0.2">
      <c r="A45" s="1445">
        <v>3</v>
      </c>
      <c r="B45" s="1453"/>
      <c r="C45" s="1446" t="str">
        <f t="shared" ca="1" si="6"/>
        <v/>
      </c>
      <c r="E45" s="1446" t="str">
        <f t="shared" ca="1" si="7"/>
        <v/>
      </c>
    </row>
    <row r="46" spans="1:5" x14ac:dyDescent="0.2">
      <c r="A46" s="1453">
        <v>4</v>
      </c>
      <c r="B46" s="1453"/>
      <c r="C46" s="1446" t="str">
        <f t="shared" ca="1" si="6"/>
        <v/>
      </c>
      <c r="E46" s="1446" t="str">
        <f t="shared" ca="1" si="7"/>
        <v/>
      </c>
    </row>
    <row r="47" spans="1:5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</row>
    <row r="48" spans="1:5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</row>
    <row r="50" spans="4:5" ht="13.5" thickBot="1" x14ac:dyDescent="0.25"/>
    <row r="51" spans="4:5" ht="13.5" thickBot="1" x14ac:dyDescent="0.25">
      <c r="D51" s="788" t="s">
        <v>2272</v>
      </c>
      <c r="E51" s="1448">
        <f ca="1">SUM(C20:E20,C29:E29,C38:E38,C48:E48)</f>
        <v>0</v>
      </c>
    </row>
  </sheetData>
  <mergeCells count="1">
    <mergeCell ref="B10:D10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BR76"/>
  <sheetViews>
    <sheetView topLeftCell="B1" zoomScale="90" zoomScaleNormal="90" zoomScaleSheetLayoutView="85" workbookViewId="0">
      <selection activeCell="R34" sqref="R34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V2" s="168" t="s">
        <v>1019</v>
      </c>
      <c r="W2" s="207">
        <f>HLOOKUP(C11,Table_StateRates,5,FALSE)</f>
        <v>1.38</v>
      </c>
      <c r="X2" s="207">
        <f>HLOOKUP(C11,Table_StateRates,5,FALSE)</f>
        <v>1.38</v>
      </c>
      <c r="Y2" s="207">
        <f>HLOOKUP(C11,Table_StateRates,5,FALSE)</f>
        <v>1.38</v>
      </c>
      <c r="Z2" s="207">
        <f>HLOOKUP(C11,Table_StateRates,5,FALSE)</f>
        <v>1.38</v>
      </c>
      <c r="AB2" s="546"/>
      <c r="AC2" s="545" t="s">
        <v>1019</v>
      </c>
      <c r="AD2" s="207">
        <f>HLOOKUP(C11,Table_StateRates,5,FALSE)</f>
        <v>1.38</v>
      </c>
      <c r="AE2" s="207">
        <f>HLOOKUP(C11,Table_StateRates,5,FALSE)</f>
        <v>1.38</v>
      </c>
      <c r="AF2" s="207">
        <f>HLOOKUP(C11,Table_StateRates,5,FALSE)</f>
        <v>1.38</v>
      </c>
      <c r="AG2" s="207">
        <f>HLOOKUP(C11,Table_StateRates,5,FALSE)</f>
        <v>1.38</v>
      </c>
      <c r="AJ2" s="1117" t="s">
        <v>916</v>
      </c>
      <c r="AK2" s="207">
        <f>HLOOKUP(C11,Table_StateRates,5,FALSE)</f>
        <v>1.38</v>
      </c>
      <c r="AL2" s="207">
        <f>HLOOKUP(C11,Table_StateRates,5,FALSE)</f>
        <v>1.38</v>
      </c>
      <c r="AM2" s="207">
        <f>HLOOKUP(C11,Table_StateRates,5,FALSE)</f>
        <v>1.38</v>
      </c>
      <c r="AN2" s="207">
        <f>HLOOKUP(C11,Table_StateRates,5,FALSE)</f>
        <v>1.38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>
        <f>Summary9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46"/>
      <c r="V4" s="83" t="s">
        <v>2166</v>
      </c>
      <c r="W4" s="1312">
        <f>PRODUCT(W2:W3)</f>
        <v>2.6219999999999999</v>
      </c>
      <c r="X4" s="1312">
        <f>PRODUCT(X2:X3)</f>
        <v>2.6219999999999999</v>
      </c>
      <c r="Y4" s="1312">
        <f>PRODUCT(Y2:Y3)</f>
        <v>2.6219999999999999</v>
      </c>
      <c r="Z4" s="1312">
        <f>PRODUCT(Z2:Z3)</f>
        <v>2.6219999999999999</v>
      </c>
      <c r="AB4" s="60"/>
      <c r="AC4" s="83" t="s">
        <v>2166</v>
      </c>
      <c r="AD4" s="1312">
        <f>PRODUCT(AD2:AD3)</f>
        <v>2.6219999999999999</v>
      </c>
      <c r="AE4" s="1312">
        <f>PRODUCT(AE2:AE3)</f>
        <v>2.6219999999999999</v>
      </c>
      <c r="AF4" s="1312">
        <f>PRODUCT(AF2:AF3)</f>
        <v>2.6219999999999999</v>
      </c>
      <c r="AG4" s="1312">
        <f>PRODUCT(AG2:AG3)</f>
        <v>2.6219999999999999</v>
      </c>
      <c r="AI4" s="60"/>
      <c r="AJ4" s="83" t="s">
        <v>2166</v>
      </c>
      <c r="AK4" s="1312">
        <f>PRODUCT(AK2:AK3)</f>
        <v>2.6219999999999999</v>
      </c>
      <c r="AL4" s="1312">
        <f>PRODUCT(AL2:AL3)</f>
        <v>2.6219999999999999</v>
      </c>
      <c r="AM4" s="1312">
        <f>PRODUCT(AM2:AM3)</f>
        <v>2.6219999999999999</v>
      </c>
      <c r="AN4" s="1312">
        <f>PRODUCT(AN2:AN3)</f>
        <v>2.6219999999999999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793</v>
      </c>
      <c r="J5" s="258">
        <f>IF(C27="Yes",Q36,0)</f>
        <v>275</v>
      </c>
      <c r="K5" s="259">
        <f>IF(AND(C27="Yes",C12="SP"),R36,0)</f>
        <v>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0.126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0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0.126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0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0.126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0.126</v>
      </c>
      <c r="AL5" s="247">
        <f>Q5</f>
        <v>4.2000000000000003E-2</v>
      </c>
      <c r="AM5" s="247">
        <f>R5</f>
        <v>0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980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0.96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0.96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1.38</v>
      </c>
      <c r="AS6" s="299">
        <f>HLOOKUP(C11,Table_StateRates,5,FALSE)</f>
        <v>1.38</v>
      </c>
      <c r="AT6" s="299">
        <f>HLOOKUP(C11,Table_StateRates,5,FALSE)</f>
        <v>1.38</v>
      </c>
      <c r="AU6" s="299">
        <f>HLOOKUP(C11,Table_StateRates,5,FALSE)</f>
        <v>1.38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1.38</v>
      </c>
      <c r="BE6" s="453"/>
      <c r="BF6" s="186" t="s">
        <v>1019</v>
      </c>
      <c r="BG6" s="208">
        <f>HLOOKUP(C11,Table_StateRates,5,FALSE)</f>
        <v>1.38</v>
      </c>
      <c r="BH6" s="146"/>
      <c r="BI6" s="453"/>
      <c r="BJ6" s="186" t="s">
        <v>1019</v>
      </c>
      <c r="BK6" s="208">
        <f>HLOOKUP(C11,Table_StateRates,5,FALSE)</f>
        <v>1.38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0.96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0.96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0.317</v>
      </c>
      <c r="AE7" s="1315">
        <f>ROUND(PRODUCT(AE4:AE6),3)</f>
        <v>0.11</v>
      </c>
      <c r="AF7" s="1315">
        <f>ROUND(PRODUCT(AF4:AF6),3)</f>
        <v>2.5999999999999999E-2</v>
      </c>
      <c r="AG7" s="1315">
        <f>ROUND(PRODUCT(AG4:AG6),3)</f>
        <v>2.5999999999999999E-2</v>
      </c>
      <c r="AH7" s="207"/>
      <c r="AI7" s="146"/>
      <c r="AJ7" s="301" t="s">
        <v>2243</v>
      </c>
      <c r="AK7" s="1315">
        <f>ROUND(PRODUCT(AK4:AK6),3)</f>
        <v>0.317</v>
      </c>
      <c r="AL7" s="1315">
        <f>ROUND(PRODUCT(AL4:AL6),3)</f>
        <v>0.11</v>
      </c>
      <c r="AM7" s="1315">
        <f>ROUND(PRODUCT(AM4:AM6),3)</f>
        <v>0</v>
      </c>
      <c r="AN7" s="1315">
        <f>ROUND(PRODUCT(AN4:AN6),3)</f>
        <v>3.9E-2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1</v>
      </c>
      <c r="AS7" s="299">
        <f>IF(F7="Yes",1,IF(C48&gt;=80,VLOOKUP(C48,Table_CoIns1,2,FALSE),1+ IF(P5&lt;B49,VLOOKUP(B62,Table_CIUnder80,5,FALSE),0.5)))</f>
        <v>1</v>
      </c>
      <c r="AT7" s="299">
        <f>IF(F7="Yes",1,IF(C48&gt;=80,VLOOKUP(C48,Table_CoIns1,2,FALSE),1+ IF(P5&lt;B49,VLOOKUP(B62,Table_CIUnder80,5,FALSE),0.5)))</f>
        <v>1</v>
      </c>
      <c r="AU7" s="299">
        <f>IF(F7="Yes",1,IF(C48&gt;=80,VLOOKUP(C48,Table_CoIns1,2,FALSE),1+ IF(P5&lt;B49,VLOOKUP(B62,Table_CIUnder80,5,FALSE),0.5)))</f>
        <v>1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0.317</v>
      </c>
      <c r="X8" s="1315">
        <f>ROUND(PRODUCT(X4:X7),3)</f>
        <v>0.11</v>
      </c>
      <c r="Y8" s="1315">
        <f>ROUND(PRODUCT(Y4:Y7),3)</f>
        <v>0</v>
      </c>
      <c r="Z8" s="1315">
        <f>ROUND(PRODUCT(Z4:Z7),3)</f>
        <v>3.9E-2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1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0.317</v>
      </c>
      <c r="Q9" s="1313">
        <f>ROUND(PRODUCT(Q4:Q8),3)</f>
        <v>0.11</v>
      </c>
      <c r="R9" s="1313">
        <f>ROUND(PRODUCT(R4:R8),3)</f>
        <v>0</v>
      </c>
      <c r="S9" s="1313">
        <f>ROUND(PRODUCT(S4:S8),3)</f>
        <v>3.9E-2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1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833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1859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7.9000000000000001E-2</v>
      </c>
      <c r="X11" s="1315">
        <f>ROUND(PRODUCT(X8:X10),3)</f>
        <v>2.8000000000000001E-2</v>
      </c>
      <c r="Y11" s="1315">
        <f>ROUND(PRODUCT(Y8:Y10),3)</f>
        <v>0</v>
      </c>
      <c r="Z11" s="1315">
        <f>ROUND(PRODUCT(Z8:Z10),3)</f>
        <v>0.01</v>
      </c>
      <c r="AB11" s="146"/>
      <c r="AC11" s="83" t="s">
        <v>2167</v>
      </c>
      <c r="AD11" s="1313">
        <f>ROUND(PRODUCT(AD7:AD10),3)</f>
        <v>0.159</v>
      </c>
      <c r="AE11" s="1313">
        <f>ROUND(PRODUCT(AE7:AE10),3)</f>
        <v>5.5E-2</v>
      </c>
      <c r="AF11" s="1313">
        <f>ROUND(PRODUCT(AF7:AF10),3)</f>
        <v>2.5999999999999999E-2</v>
      </c>
      <c r="AG11" s="1313">
        <f>ROUND(PRODUCT(AG7:AG10),3)</f>
        <v>2.5999999999999999E-2</v>
      </c>
      <c r="AH11" s="426"/>
      <c r="AI11" s="146"/>
      <c r="AJ11" s="1210" t="s">
        <v>2243</v>
      </c>
      <c r="AK11" s="1424">
        <f>AK7</f>
        <v>0.317</v>
      </c>
      <c r="AL11" s="1424">
        <f>AL7</f>
        <v>0.11</v>
      </c>
      <c r="AM11" s="1424">
        <f>AM7</f>
        <v>0</v>
      </c>
      <c r="AN11" s="1424">
        <f>AN7</f>
        <v>3.9E-2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1006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3</v>
      </c>
      <c r="C13" s="1106" t="s">
        <v>857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4.8000000000000001E-2</v>
      </c>
      <c r="AL13" s="1423">
        <f>ROUND(PRODUCT(AL11:AL12),3)</f>
        <v>1.7000000000000001E-2</v>
      </c>
      <c r="AM13" s="1423">
        <f>ROUND(PRODUCT(AM11:AM12),3)</f>
        <v>0</v>
      </c>
      <c r="AN13" s="1423">
        <f>ROUND(PRODUCT(AN11:AN12),3)</f>
        <v>6.0000000000000001E-3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3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1.38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1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0.159</v>
      </c>
      <c r="AE16" s="757">
        <f>AE11</f>
        <v>5.5E-2</v>
      </c>
      <c r="AF16" s="757">
        <f>AF11</f>
        <v>2.5999999999999999E-2</v>
      </c>
      <c r="AG16" s="757">
        <f>AG11</f>
        <v>2.5999999999999999E-2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1.38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0.159</v>
      </c>
      <c r="AE17" s="1315">
        <f>ROUND(PRODUCT(AE15:AE16),3)</f>
        <v>5.5E-2</v>
      </c>
      <c r="AF17" s="1315">
        <f>ROUND(PRODUCT(AF15:AF16),3)</f>
        <v>2.5999999999999999E-2</v>
      </c>
      <c r="AG17" s="1315">
        <f>ROUND(PRODUCT(AG15:AG16),3)</f>
        <v>2.5999999999999999E-2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/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6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IF(TC9_PP1!F26="Yes","PP","Available")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1.38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0.317</v>
      </c>
      <c r="Q21" s="1312">
        <f>ROUND(PRODUCT(Q9:Q20),3)</f>
        <v>0.11</v>
      </c>
      <c r="R21" s="1312">
        <f>ROUND(PRODUCT(R9:R20),3)</f>
        <v>0</v>
      </c>
      <c r="S21" s="1315">
        <f>ROUND(PRODUCT(S9:S20),3)</f>
        <v>3.9E-2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11.4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1</v>
      </c>
      <c r="Q22" s="247">
        <f>IF(F7="Yes",1,IF(C48&gt;=80,VLOOKUP(C48,Table_CoIns2,2,FALSE),1+ IF(Q5&lt;B49,VLOOKUP(B62,Table_CIUnder80,5,FALSE),0.5)))</f>
        <v>1</v>
      </c>
      <c r="R22" s="247">
        <f>IF(F7="Yes",1,IF(C48&gt;=80,VLOOKUP(C48,Table_CoIns1,2,FALSE),1+ IF(P5&lt;B49,VLOOKUP(B62,Table_CIUnder80,5,FALSE),0.5)))</f>
        <v>1</v>
      </c>
      <c r="S22" s="247">
        <f>IF(F7="Yes",1,IF(C48&gt;=80,VLOOKUP(C48,Table_CoIns1,2,FALSE),1+ IF(P5&lt;B49,VLOOKUP(B62,Table_CIUnder80,5,FALSE),0.5)))</f>
        <v>1</v>
      </c>
      <c r="V22" s="83" t="s">
        <v>1150</v>
      </c>
      <c r="W22" s="1315">
        <f>ROUND(PRODUCT(W11:W14,IF(AND(C59="Yes",C61="Sprinkler",C62="Yes"),W15-W16,W15),W17:W21),3)</f>
        <v>7.9000000000000001E-2</v>
      </c>
      <c r="X22" s="1315">
        <f>ROUND(PRODUCT(X11:X21),3)</f>
        <v>2.8000000000000001E-2</v>
      </c>
      <c r="Y22" s="1315">
        <f>ROUND(PRODUCT(Y11:Y21),3)</f>
        <v>0</v>
      </c>
      <c r="Z22" s="1315">
        <f>ROUND(PRODUCT(Z11:Z21),3)</f>
        <v>0.01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1</v>
      </c>
      <c r="BD22" s="423"/>
      <c r="BE22" s="453"/>
      <c r="BF22" s="186" t="s">
        <v>1019</v>
      </c>
      <c r="BG22" s="208">
        <f>HLOOKUP(C11,Table_StateRates,5,FALSE)</f>
        <v>1.38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0.317</v>
      </c>
      <c r="AL23" s="1424">
        <f>AL7</f>
        <v>0.11</v>
      </c>
      <c r="AM23" s="1424">
        <f>AM7</f>
        <v>0</v>
      </c>
      <c r="AN23" s="1424">
        <f>AN7</f>
        <v>3.9E-2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1.1399999999999999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0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1.38</v>
      </c>
      <c r="AS24" s="299">
        <f>HLOOKUP(C11,Table_StateRates,5,FALSE)</f>
        <v>1.38</v>
      </c>
      <c r="AT24" s="299">
        <f>HLOOKUP(C11,Table_StateRates,5,FALSE)</f>
        <v>1.38</v>
      </c>
      <c r="AU24" s="299">
        <f>HLOOKUP(C11,Table_StateRates,5,FALSE)</f>
        <v>1.38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4.8000000000000001E-2</v>
      </c>
      <c r="AL25" s="1423">
        <f>ROUND(PRODUCT(AL23:AL24),3)</f>
        <v>1.7000000000000001E-2</v>
      </c>
      <c r="AM25" s="1423">
        <f>ROUND(PRODUCT(AM23:AM24),3)</f>
        <v>0</v>
      </c>
      <c r="AN25" s="1423">
        <f>ROUND(PRODUCT(AN23:AN24),3)</f>
        <v>6.0000000000000001E-3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1</v>
      </c>
      <c r="AS25" s="299">
        <f>IF(F7="Yes",1,IF(C48&gt;=80,VLOOKUP(C48,Table_CoIns1,2,FALSE),1+ IF(P5&lt;B49,VLOOKUP(B62,Table_CIUnder80,5,FALSE),0.5)))</f>
        <v>1</v>
      </c>
      <c r="AT25" s="299">
        <f>IF(F7="Yes",1,IF(C48&gt;=80,VLOOKUP(C48,Table_CoIns1,2,FALSE),1+ IF(P5&lt;B49,VLOOKUP(B62,Table_CIUnder80,5,FALSE),0.5)))</f>
        <v>1</v>
      </c>
      <c r="AU25" s="299">
        <f>IF(F7="Yes",1,IF(C48&gt;=80,VLOOKUP(C48,Table_CoIns1,2,FALSE),1+ IF(P5&lt;B49,VLOOKUP(B62,Table_CIUnder80,5,FALSE),0.5)))</f>
        <v>1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1</v>
      </c>
      <c r="Q26" s="1314">
        <f>ROUND(PRODUCT(Q22:Q25),3)</f>
        <v>1</v>
      </c>
      <c r="R26" s="1314">
        <f>ROUND(PRODUCT(R22:R25),3)</f>
        <v>1</v>
      </c>
      <c r="S26" s="1314">
        <f>ROUND(PRODUCT(S22:S25),3)</f>
        <v>1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0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1.38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0.317</v>
      </c>
      <c r="Q27" s="757">
        <f>Q21</f>
        <v>0.11</v>
      </c>
      <c r="R27" s="757">
        <f>R21</f>
        <v>0</v>
      </c>
      <c r="S27" s="757">
        <f>S21</f>
        <v>3.9E-2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1.1399999999999999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0.317</v>
      </c>
      <c r="Q28" s="1315">
        <f>IF($C$30="Yes",C31,ROUND(PRODUCT(Q26:Q27),3))</f>
        <v>0.11</v>
      </c>
      <c r="R28" s="1315">
        <f>IF($C$30="Yes",B32,ROUND(PRODUCT(R26:R27),3))</f>
        <v>0</v>
      </c>
      <c r="S28" s="1315">
        <f>IF($C$30="Yes",C32,ROUND(PRODUCT(S26:S27),3))</f>
        <v>3.9E-2</v>
      </c>
      <c r="AC28" s="168" t="s">
        <v>1019</v>
      </c>
      <c r="AD28" s="207">
        <f>HLOOKUP(C11,Table_StateRates,5,FALSE)</f>
        <v>1.38</v>
      </c>
      <c r="AE28" s="207">
        <f>HLOOKUP(C11,Table_StateRates,5,FALSE)</f>
        <v>1.38</v>
      </c>
      <c r="AF28" s="207">
        <f>HLOOKUP(C11,Table_StateRates,5,FALSE)</f>
        <v>1.38</v>
      </c>
      <c r="AG28" s="207">
        <f>HLOOKUP(C11,Table_StateRates,5,FALSE)</f>
        <v>1.38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1</v>
      </c>
      <c r="AE29" s="247">
        <f>IF(F7="Yes",1,IF(C48&gt;=80,VLOOKUP(C48,Table_CoIns1,2,FALSE),1+ IF(P5&lt;B49,VLOOKUP(B62,Table_CIUnder80,5,FALSE),0.5)))</f>
        <v>1</v>
      </c>
      <c r="AF29" s="247">
        <f>IF(F7="Yes",1,IF(C48&gt;=80,VLOOKUP(C48,Table_CoIns1,2,FALSE),1+ IF(P5&lt;B49,VLOOKUP(B62,Table_CIUnder80,5,FALSE),0.5)))</f>
        <v>1</v>
      </c>
      <c r="AG29" s="247">
        <f>IF(F7="Yes",1,IF(C48&gt;=80,VLOOKUP(C48,Table_CoIns1,2,FALSE),1+ IF(P5&lt;B49,VLOOKUP(B62,Table_CIUnder80,5,FALSE),0.5)))</f>
        <v>1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857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1.38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1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1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1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1</v>
      </c>
      <c r="V31" s="168" t="s">
        <v>407</v>
      </c>
      <c r="W31" s="247">
        <f>P28</f>
        <v>0.317</v>
      </c>
      <c r="X31" s="247">
        <f>Q28</f>
        <v>0.11</v>
      </c>
      <c r="Y31" s="247">
        <f>R28</f>
        <v>0</v>
      </c>
      <c r="Z31" s="247">
        <f>S28</f>
        <v>3.9E-2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2.1000000000000001E-2</v>
      </c>
      <c r="AS31" s="247">
        <f>ROUND(PRODUCT(AS21:AS30),3)</f>
        <v>1.6E-2</v>
      </c>
      <c r="AT31" s="247">
        <f>ROUND(PRODUCT(AT21:AT30),3)</f>
        <v>1.6E-2</v>
      </c>
      <c r="AU31" s="247">
        <f>ROUND(PRODUCT(AU21:AU30),3)</f>
        <v>1.6E-2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</v>
      </c>
      <c r="S32" s="247">
        <v>1</v>
      </c>
      <c r="U32" s="185"/>
      <c r="V32" s="187" t="s">
        <v>408</v>
      </c>
      <c r="W32" s="208">
        <f>IF(C48&gt;80,P22,1)</f>
        <v>1</v>
      </c>
      <c r="X32" s="208">
        <f>IF(C48&gt;80,Q22,1)</f>
        <v>1</v>
      </c>
      <c r="Y32" s="208">
        <f>IF(C48&gt;80,R22,1)</f>
        <v>1</v>
      </c>
      <c r="Z32" s="208">
        <f>IF(C48&gt;80,S22,1)</f>
        <v>1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2500</v>
      </c>
      <c r="Q33" s="238">
        <f>IF(ISNUMBER(C45),C45/100,0)</f>
        <v>2500</v>
      </c>
      <c r="R33" s="238">
        <f>IF(ISNUMBER(C45),C45/100,0)</f>
        <v>2500</v>
      </c>
      <c r="S33" s="238">
        <f>IF(ISNUMBER(C45),C45/100,0)</f>
        <v>2500</v>
      </c>
      <c r="U33" s="546"/>
      <c r="V33" s="301" t="s">
        <v>409</v>
      </c>
      <c r="W33" s="247">
        <f>ROUND(W31/W32,3)</f>
        <v>0.317</v>
      </c>
      <c r="X33" s="247">
        <f>ROUND(X31/X32,3)</f>
        <v>0.11</v>
      </c>
      <c r="Y33" s="247">
        <f>ROUND(Y31/Y32,3)</f>
        <v>0</v>
      </c>
      <c r="Z33" s="247">
        <f>ROUND(Z31/Z32,3)</f>
        <v>3.9E-2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793</v>
      </c>
      <c r="Q34" s="1481">
        <f>IF($C$30="Yes",ROUND(PRODUCT(Q28,Q33),0),ROUND(PRODUCT(Q28,Q31:Q33),0))</f>
        <v>275</v>
      </c>
      <c r="R34" s="1481">
        <f>IF($C$30="Yes",ROUND(PRODUCT(R28,R33),0),ROUND(PRODUCT(R28,R31:R33),0))</f>
        <v>0</v>
      </c>
      <c r="S34" s="1481">
        <f>IF($C$30="Yes",ROUND(PRODUCT(S28,S33),0),ROUND(PRODUCT(S28,S31:S33),0))</f>
        <v>98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0.11</v>
      </c>
      <c r="AF34" s="247">
        <f>ROUND(PRODUCT(AF26:AF33),3)</f>
        <v>0</v>
      </c>
      <c r="AG34" s="247">
        <f>ROUND(PRODUCT(AG26:AG33),3)</f>
        <v>3.9E-2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48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0.317</v>
      </c>
      <c r="AL35" s="247">
        <f>AL7</f>
        <v>0.11</v>
      </c>
      <c r="AM35" s="247">
        <f>AM7</f>
        <v>0</v>
      </c>
      <c r="AN35" s="247">
        <f>AN7</f>
        <v>3.9E-2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793</v>
      </c>
      <c r="Q36" s="248">
        <f>SUM(Q34:Q35)</f>
        <v>275</v>
      </c>
      <c r="R36" s="248">
        <f>SUM(R34:R35)</f>
        <v>0</v>
      </c>
      <c r="S36" s="248">
        <f>SUM(S34:S35)</f>
        <v>98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1.38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1.38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9.5000000000000001E-2</v>
      </c>
      <c r="X39" s="247">
        <f>ROUND(PRODUCT(X33:X38),3)</f>
        <v>3.3000000000000002E-2</v>
      </c>
      <c r="Y39" s="247">
        <f>ROUND(PRODUCT(Y33:Y38),3)</f>
        <v>0</v>
      </c>
      <c r="Z39" s="247">
        <f>ROUND(PRODUCT(Z33:Z38),3)</f>
        <v>1.2E-2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0.126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1.38</v>
      </c>
      <c r="AZ39" s="423"/>
      <c r="BA39" s="542"/>
      <c r="BB39" s="597" t="s">
        <v>1019</v>
      </c>
      <c r="BC39" s="279">
        <f>HLOOKUP(C11,Table_StateRates,5,FALSE)</f>
        <v>1.38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793</v>
      </c>
      <c r="Q40" s="248">
        <f>Q34</f>
        <v>275</v>
      </c>
      <c r="R40" s="248">
        <f>R34</f>
        <v>0</v>
      </c>
      <c r="S40" s="248">
        <f>S34</f>
        <v>98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3.9E-2</v>
      </c>
      <c r="AZ40" s="559"/>
      <c r="BA40" s="423"/>
      <c r="BB40" s="810" t="s">
        <v>1134</v>
      </c>
      <c r="BC40" s="426">
        <f>ROUND(PRODUCT(BC35:BC39),3)</f>
        <v>3.9E-2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0.96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0.96</v>
      </c>
      <c r="AZ41" s="559"/>
      <c r="BA41" s="423"/>
      <c r="BB41" s="906" t="s">
        <v>1178</v>
      </c>
      <c r="BC41" s="423">
        <f>IF(OR(C28="S",C28="T",C28="SC"),1,VLOOKUP(C14,Table_ProtClass,IF(C15&lt;=3,2,3),FALSE))</f>
        <v>0.96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0.128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1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93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0.317</v>
      </c>
      <c r="AL44" s="247">
        <f>AL7</f>
        <v>0.11</v>
      </c>
      <c r="AM44" s="247">
        <f>AM7</f>
        <v>0</v>
      </c>
      <c r="AN44" s="247">
        <f>AN7</f>
        <v>3.9E-2</v>
      </c>
      <c r="AO44" s="557"/>
      <c r="AP44" s="2"/>
      <c r="AQ44" s="168" t="s">
        <v>1019</v>
      </c>
      <c r="AR44" s="207">
        <f>HLOOKUP(C11,Table_StateRates,5,FALSE)</f>
        <v>1.38</v>
      </c>
      <c r="AS44" s="207">
        <f>HLOOKUP(C11,Table_StateRates,5,FALSE)</f>
        <v>1.38</v>
      </c>
      <c r="AT44" s="207">
        <f>HLOOKUP(C11,Table_StateRates,5,FALSE)</f>
        <v>1.38</v>
      </c>
      <c r="AU44" s="207">
        <f>HLOOKUP(C11,Table_StateRates,5,FALSE)</f>
        <v>1.38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8.9999999999999993E-3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250000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3.6999999999999998E-2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2500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1.38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1068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93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80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1161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0.126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0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0.159</v>
      </c>
      <c r="AS50" s="247">
        <f>ROUND(PRODUCT(AS39:AS49),3)</f>
        <v>5.5E-2</v>
      </c>
      <c r="AT50" s="247">
        <f>ROUND(PRODUCT(AT39:AT49),3)</f>
        <v>1.6E-2</v>
      </c>
      <c r="AU50" s="247">
        <f>ROUND(PRODUCT(AU39:AU49),3)</f>
        <v>1.6E-2</v>
      </c>
      <c r="AW50" s="566"/>
      <c r="AX50" s="990" t="s">
        <v>395</v>
      </c>
      <c r="AY50" s="813">
        <f>SUM(AY47,BC46)</f>
        <v>93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1.38</v>
      </c>
      <c r="X51" s="207">
        <f>HLOOKUP(C11,Table_StateRates,5,FALSE)</f>
        <v>1.38</v>
      </c>
      <c r="Y51" s="207">
        <f>HLOOKUP(C11,Table_StateRates,5,FALSE)</f>
        <v>1.38</v>
      </c>
      <c r="Z51" s="207">
        <f>HLOOKUP(C11,Table_StateRates,5,FALSE)</f>
        <v>1.38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4.2999999999999997E-2</v>
      </c>
      <c r="X56" s="247">
        <f>ROUND(PRODUCT(X49:X55),3)</f>
        <v>1.4E-2</v>
      </c>
      <c r="Y56" s="247">
        <f>ROUND(PRODUCT(Y49:Y55),3)</f>
        <v>0</v>
      </c>
      <c r="Z56" s="247">
        <f>ROUND(PRODUCT(Z49:Z55),3)</f>
        <v>3.9E-2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4.2999999999999997E-2</v>
      </c>
      <c r="X59" s="247">
        <f>MAX(X56:X57)</f>
        <v>1.4E-2</v>
      </c>
      <c r="Y59" s="247">
        <f>MAX(Y56:Y57)</f>
        <v>5.2999999999999999E-2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71" priority="19" stopIfTrue="1">
      <formula>IF($C$24="Yes",FALSE,TRUE)</formula>
    </cfRule>
  </conditionalFormatting>
  <conditionalFormatting sqref="E16">
    <cfRule type="expression" dxfId="70" priority="18" stopIfTrue="1">
      <formula>IF($C$58="Yes",TRUE,FALSE)</formula>
    </cfRule>
  </conditionalFormatting>
  <conditionalFormatting sqref="C18">
    <cfRule type="expression" dxfId="69" priority="16">
      <formula>IF($C$12="SP",TRUE,FALSE)</formula>
    </cfRule>
    <cfRule type="expression" dxfId="68" priority="17">
      <formula>IF($C$12="SP",TRUE,FALSE)</formula>
    </cfRule>
  </conditionalFormatting>
  <conditionalFormatting sqref="A18">
    <cfRule type="expression" dxfId="67" priority="15">
      <formula>IF($C$12="SP",TRUE,FALSE)</formula>
    </cfRule>
  </conditionalFormatting>
  <conditionalFormatting sqref="B21">
    <cfRule type="expression" dxfId="66" priority="14">
      <formula>IF($C$21="Yes",TRUE,FALSE)</formula>
    </cfRule>
  </conditionalFormatting>
  <conditionalFormatting sqref="C18">
    <cfRule type="expression" dxfId="65" priority="10">
      <formula>IF($C$12="SP",TRUE,FALSE)</formula>
    </cfRule>
    <cfRule type="expression" dxfId="64" priority="11">
      <formula>IF($C$12="SP",TRUE,FALSE)</formula>
    </cfRule>
  </conditionalFormatting>
  <conditionalFormatting sqref="C32">
    <cfRule type="expression" dxfId="63" priority="2">
      <formula>IF(AND($C$30="Yes",$C$12="BR"),TRUE,FALSE)</formula>
    </cfRule>
  </conditionalFormatting>
  <conditionalFormatting sqref="B32">
    <cfRule type="expression" dxfId="62" priority="1">
      <formula>IF(AND($C$30="Yes",$C$12="SP"),TRUE,FALSE)</formula>
    </cfRule>
  </conditionalFormatting>
  <conditionalFormatting sqref="B31:C31">
    <cfRule type="expression" dxfId="61" priority="3">
      <formula>IF($C$30="Yes",TRUE,FALSE)</formula>
    </cfRule>
  </conditionalFormatting>
  <dataValidations count="97"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custom" allowBlank="1" showInputMessage="1" showErrorMessage="1" sqref="C25 F46 D23 B10 D43:E43 F33:F35 F38:F39 A38 A43">
      <formula1>FALSE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allowBlank="1" showInputMessage="1" showErrorMessage="1" promptTitle="Occupancy Type Description" prompt="Displays the description of the choice made in the cell to the left.  " sqref="B33 B40"/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="Bldg Lookup Value" sqref="F36">
      <formula1>FALSE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custom" allowBlank="1" showInputMessage="1" showErrorMessage="1" prompt="EQ Table Lookup Value" sqref="F49">
      <formula1>FALSE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allowBlank="1" showInputMessage="1" showErrorMessage="1" promptTitle="Special Class Pty: Grp II Symbol" prompt="Group II Symbol supplied for the Special Class Property selected." sqref="E24"/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CA78"/>
  <sheetViews>
    <sheetView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1.38</v>
      </c>
      <c r="Q2" s="423">
        <f>HLOOKUP(C11,Table_StateRates,5,FALSE)</f>
        <v>1.38</v>
      </c>
      <c r="R2" s="423">
        <f>HLOOKUP(C11,Table_StateRates,5,FALSE)</f>
        <v>1.38</v>
      </c>
      <c r="S2" s="423">
        <f>HLOOKUP(C11,Table_StateRates,5,FALSE)</f>
        <v>1.38</v>
      </c>
      <c r="U2" s="1290"/>
      <c r="V2" s="1294" t="s">
        <v>2165</v>
      </c>
      <c r="W2" s="1300" t="e">
        <f ca="1">$P$28</f>
        <v>#N/A</v>
      </c>
      <c r="X2" s="1300" t="e">
        <f>$Q$28</f>
        <v>#N/A</v>
      </c>
      <c r="Y2" s="1300">
        <f>$R$28</f>
        <v>0</v>
      </c>
      <c r="Z2" s="1300">
        <f>$S$28</f>
        <v>5.5E-2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 t="e">
        <f ca="1">P28</f>
        <v>#N/A</v>
      </c>
      <c r="AU2" s="247" t="e">
        <f>Q28</f>
        <v>#N/A</v>
      </c>
      <c r="AV2" s="247">
        <f>IF(AND(C27="Yes",C12="SP"),VLOOKUP(C33,Table_Special_PP,3,0),0)</f>
        <v>0</v>
      </c>
      <c r="AW2" s="247">
        <f>S28</f>
        <v>5.5E-2</v>
      </c>
      <c r="AZ2" s="1117" t="s">
        <v>2154</v>
      </c>
      <c r="BA2" s="247" t="e">
        <f ca="1">P28</f>
        <v>#N/A</v>
      </c>
      <c r="BB2" s="2" t="e">
        <f>Q28</f>
        <v>#N/A</v>
      </c>
      <c r="BC2" s="558">
        <f>R28</f>
        <v>0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>
        <f>Summary9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 t="e">
        <f>P$31</f>
        <v>#N/A</v>
      </c>
      <c r="X3" s="247">
        <f t="shared" ref="X3:Z3" si="0">Q$31</f>
        <v>0.67200000000000004</v>
      </c>
      <c r="Y3" s="247">
        <f t="shared" si="0"/>
        <v>0.57899999999999996</v>
      </c>
      <c r="Z3" s="247">
        <f t="shared" si="0"/>
        <v>0.57899999999999996</v>
      </c>
      <c r="AC3" s="168" t="s">
        <v>1198</v>
      </c>
      <c r="AD3" s="247" t="e">
        <f ca="1">IF(OR(C28="S",C28="T"),B29,VLOOKUP(C35,IF(C36="Y",INDIRECT("Table_Content"&amp;B35),Table_G1_LC),MATCH(C15&amp;"C",List_ClassLC,0)+IF(C36="Y",-5,3),FALSE))  - IF(AND(P14&lt;&gt;1,AF50="LC"),P14,0)</f>
        <v>#N/A</v>
      </c>
      <c r="AE3" s="2" t="e">
        <f>IF(OR(C28="S",C28="T"),C29,VLOOKUP(C16,Table_G2SymLC,3,FALSE)*IF(C60&lt;&gt;"Yes",B16,1))</f>
        <v>#N/A</v>
      </c>
      <c r="AF3" s="247">
        <f>R5</f>
        <v>0</v>
      </c>
      <c r="AG3" s="2">
        <f>HLOOKUP(B12,Table_BroadLC,IF(C35&lt;&gt;"1150",3,4),FALSE)</f>
        <v>2.1000000000000001E-2</v>
      </c>
      <c r="AJ3" s="60"/>
      <c r="AK3" s="168" t="s">
        <v>1198</v>
      </c>
      <c r="AL3" s="780" t="e">
        <f ca="1">P28</f>
        <v>#N/A</v>
      </c>
      <c r="AM3" s="4" t="e">
        <f>Q28</f>
        <v>#N/A</v>
      </c>
      <c r="AN3" s="780">
        <f ca="1">IF(AND(C27="Yes",C12="SP"),IF(C13=1,R28,IF(C13=2,INDIRECT(VLOOKUP(C33,Table_Special_PP,6,FALSE)),"Select Type")),0)</f>
        <v>0</v>
      </c>
      <c r="AO3" s="4">
        <f>S28</f>
        <v>5.5E-2</v>
      </c>
      <c r="AP3" s="4">
        <f>IF(TC9_EQ1!C31="Yes",TC9_EQ1!O28,0)</f>
        <v>0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 t="e">
        <f ca="1">ROUND(AT2/AT3,3)</f>
        <v>#N/A</v>
      </c>
      <c r="AU4" s="247" t="e">
        <f>ROUND(AU2/AU3,3)</f>
        <v>#N/A</v>
      </c>
      <c r="AV4" s="247">
        <f>ROUND(AV2/AV3,3)</f>
        <v>0</v>
      </c>
      <c r="AW4" s="247">
        <f>ROUND(AW2/AW3,3)</f>
        <v>5.5E-2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 t="e">
        <f ca="1">IF(C27="Yes",P35,0)</f>
        <v>#N/A</v>
      </c>
      <c r="J5" s="258" t="e">
        <f>IF(C27="Yes",Q35,0)</f>
        <v>#N/A</v>
      </c>
      <c r="K5" s="258">
        <f>IF(AND(C27="Yes",C12="SP"),R35,0)</f>
        <v>0</v>
      </c>
      <c r="L5" s="258">
        <f>IF(AND(C27="Yes",C12="BR"),S35,0)</f>
        <v>0</v>
      </c>
      <c r="O5" s="168" t="s">
        <v>1198</v>
      </c>
      <c r="P5" s="247" t="e">
        <f ca="1">IF(OR(C28="S",C28="T"),B29,VLOOKUP(C35,IF(C36="Y",INDIRECT("Table_Content"&amp;B35),Table_G1_LC),MATCH(C15&amp;"C",List_ClassLC,0) + IF(C36="Y",-5,3),FALSE)) + B39 - IF(AND(P14&lt;&gt;1,AF50="LC"),P14,0)</f>
        <v>#N/A</v>
      </c>
      <c r="Q5" s="247" t="e">
        <f>IF(OR(C28="S",C28="T"),C29,VLOOKUP(C16,Table_G2SymLC,3,FALSE)*IF(C60&lt;&gt;"Yes",B16,1))</f>
        <v>#N/A</v>
      </c>
      <c r="R5" s="247">
        <f>IF(AND(C27="Yes",C12="SP"),VLOOKUP(C33,Table_Special_PP,3,0),0)</f>
        <v>0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 t="e">
        <f ca="1">ROUND(PRODUCT(W2:W4),0)</f>
        <v>#N/A</v>
      </c>
      <c r="X5" s="1306" t="e">
        <f>ROUND(PRODUCT(X2:X4),0)</f>
        <v>#N/A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 t="e">
        <f ca="1">ROUND(PRODUCT(AL3:AL4),3)</f>
        <v>#N/A</v>
      </c>
      <c r="AM5" s="4" t="e">
        <f>ROUND(PRODUCT(AM3:AM4),3)</f>
        <v>#N/A</v>
      </c>
      <c r="AN5" s="780">
        <f ca="1">ROUND(PRODUCT(AN3:AN4),3)</f>
        <v>0</v>
      </c>
      <c r="AO5" s="4">
        <f>ROUND(PRODUCT(AO3:AO4),3)</f>
        <v>6.0000000000000001E-3</v>
      </c>
      <c r="AP5" s="4">
        <f>ROUND(PRODUCT(AP3:AP4),3)</f>
        <v>0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1.38</v>
      </c>
      <c r="BJ5" s="299">
        <f>HLOOKUP(C11,Table_StateRates,5,FALSE)</f>
        <v>1.38</v>
      </c>
      <c r="BK5" s="299">
        <f>HLOOKUP(C11,Table_StateRates,5,FALSE)</f>
        <v>1.38</v>
      </c>
      <c r="BL5" s="299">
        <f>HLOOKUP(C11,Table_StateRates,5,FALSE)</f>
        <v>1.38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980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 t="e">
        <f>IF(OR(C28="S",C28="T"),1,VLOOKUP(C14,Table_ProtClass,IF(C15&lt;=3,2,3),FALSE)) - IF(AND(AB50="PC",ISNUMBER(C57)),C57,0) - IF(AND(C58="Yes",AF50="PC"),P14,0)</f>
        <v>#N/A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 t="e">
        <f ca="1">ROUND(PRODUCT(AD3:AD5),3)</f>
        <v>#N/A</v>
      </c>
      <c r="AE6" s="247" t="e">
        <f>ROUND(PRODUCT(AE3:AE5),3)</f>
        <v>#N/A</v>
      </c>
      <c r="AF6" s="247">
        <f>ROUND(PRODUCT(AF3:AF5),3)</f>
        <v>0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 t="e">
        <f ca="1">ROUND(PRODUCT(BA2,BA5),3)</f>
        <v>#N/A</v>
      </c>
      <c r="BB6" s="1315" t="e">
        <f>ROUND(PRODUCT(BB2,BB5),3)</f>
        <v>#N/A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1.38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 t="e">
        <f ca="1">SUM(W5:W6)</f>
        <v>#N/A</v>
      </c>
      <c r="X7" s="1301" t="e">
        <f>SUM(X5:X6)</f>
        <v>#N/A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#N/A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 t="e">
        <f ca="1">ROUND(PRODUCT(P4:P7),3)</f>
        <v>#N/A</v>
      </c>
      <c r="Q8" s="1315" t="e">
        <f>ROUND(PRODUCT(Q4:Q7),3)</f>
        <v>#N/A</v>
      </c>
      <c r="R8" s="1315">
        <f>ROUND(PRODUCT(R4:R7),3)</f>
        <v>0</v>
      </c>
      <c r="S8" s="1315">
        <f>ROUND(PRODUCT(S4:S7),3)</f>
        <v>5.5E-2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 t="e">
        <f ca="1">ROUND(PRODUCT(BA6:BA7),0)</f>
        <v>#N/A</v>
      </c>
      <c r="BB8" s="248" t="e">
        <f>ROUND(PRODUCT(BB6:BB7),0)</f>
        <v>#N/A</v>
      </c>
      <c r="BC8" s="248">
        <f>ROUND(PRODUCT(BC6:BC7),0)</f>
        <v>0</v>
      </c>
      <c r="BD8" s="575"/>
      <c r="BE8" s="572" t="e">
        <f ca="1">SUM(BA8:BC8)</f>
        <v>#N/A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 t="e">
        <f ca="1">ROUND(PRODUCT(AD6:AD8),3)</f>
        <v>#N/A</v>
      </c>
      <c r="AE9" s="247" t="e">
        <f>ROUND(PRODUCT(AE6:AE8),3)</f>
        <v>#N/A</v>
      </c>
      <c r="AF9" s="247">
        <f>ROUND(PRODUCT(AF6:AF8),3)</f>
        <v>0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 t="e">
        <f ca="1">ROUND(PRODUCT(AT4:AT7),3)</f>
        <v>#N/A</v>
      </c>
      <c r="AU9" s="247" t="e">
        <f>ROUND(PRODUCT(AU4:AU7),3)</f>
        <v>#N/A</v>
      </c>
      <c r="AV9" s="247">
        <f>ROUND(PRODUCT(AV4:AV7),3)</f>
        <v>0</v>
      </c>
      <c r="AW9" s="247">
        <f>ROUND(PRODUCT(AW4:AW7),3)</f>
        <v>6.9000000000000006E-2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 t="e">
        <f ca="1">W5</f>
        <v>#N/A</v>
      </c>
      <c r="X10" s="1301" t="e">
        <f>X5</f>
        <v>#N/A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2500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2500</v>
      </c>
      <c r="AU10" s="238">
        <f>IF(F13="Yes",E14/100,C41/100)</f>
        <v>2500</v>
      </c>
      <c r="AV10" s="238">
        <f>IF(F13="Yes",E14/100,C41/100)</f>
        <v>2500</v>
      </c>
      <c r="AW10" s="238">
        <f>IF(F13="Yes",E14/100,C41/100)</f>
        <v>2500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1859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#N/A</v>
      </c>
      <c r="AM11" s="146"/>
      <c r="AN11" s="146"/>
      <c r="AO11" s="301"/>
      <c r="AP11" s="976"/>
      <c r="AS11" s="301"/>
      <c r="AT11" s="248" t="e">
        <f ca="1">ROUND(PRODUCT(AT9:AT10),0)</f>
        <v>#N/A</v>
      </c>
      <c r="AU11" s="248" t="e">
        <f>ROUND(PRODUCT(AU9:AU10),0)</f>
        <v>#N/A</v>
      </c>
      <c r="AV11" s="248">
        <f>ROUND(PRODUCT(AV9:AV10),0)</f>
        <v>0</v>
      </c>
      <c r="AW11" s="248">
        <f>ROUND(PRODUCT(AW9:AW10),0)</f>
        <v>173</v>
      </c>
      <c r="AZ11" s="1117" t="s">
        <v>2154</v>
      </c>
      <c r="BA11" s="247" t="e">
        <f ca="1">P28</f>
        <v>#N/A</v>
      </c>
      <c r="BB11" s="2" t="e">
        <f>Q28</f>
        <v>#N/A</v>
      </c>
      <c r="BC11" s="558">
        <f>R28</f>
        <v>0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/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#N/A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 t="str">
        <f>IF(C13="No","NA",C13+2)</f>
        <v>NA</v>
      </c>
      <c r="C13" s="1106" t="s">
        <v>857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 t="e">
        <f>IF(OR(C28="S",C28="T"),1,VLOOKUP(C14,Table_ProtClass,IF(C15&lt;=3,2,3),FALSE)) - IF(AND(AB50="PC",ISNUMBER(C57)),C57,0) - IF(AND(C58="Yes",AF50="PC"),P14,0)</f>
        <v>#N/A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 t="e">
        <f ca="1">IF(C12="SP",SUM(AT11:AV11),IF(C12="BR",SUM(AT11:AU11,AW11),AT11:AU11))</f>
        <v>#N/A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/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 t="e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#N/A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0.67200000000000004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0.57899999999999996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/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 t="e">
        <f ca="1">ROUND(PRODUCT(BA11,BA14),3)</f>
        <v>#N/A</v>
      </c>
      <c r="BB15" s="1315" t="e">
        <f>ROUND(PRODUCT(BB11,BB14),3)</f>
        <v>#N/A</v>
      </c>
      <c r="BC15" s="1315">
        <f>ROUND(PRODUCT(BC11,BC14),3)</f>
        <v>0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/>
      <c r="D16" s="195"/>
      <c r="E16" s="195"/>
      <c r="F16" s="1067"/>
      <c r="H16" s="788" t="s">
        <v>1289</v>
      </c>
      <c r="I16" s="248" t="e">
        <f ca="1">SUM(I5:I15)</f>
        <v>#N/A</v>
      </c>
      <c r="J16" s="248" t="e">
        <f>SUM(J5:J15)</f>
        <v>#N/A</v>
      </c>
      <c r="K16" s="248">
        <f>SUM(K5:K15)</f>
        <v>0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 t="e">
        <f ca="1">$P$28</f>
        <v>#N/A</v>
      </c>
      <c r="X16" s="1300" t="e">
        <f>$Q$28</f>
        <v>#N/A</v>
      </c>
      <c r="Y16" s="1300">
        <f>$R$28</f>
        <v>0</v>
      </c>
      <c r="Z16" s="1300">
        <f>$S$28</f>
        <v>5.5E-2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 t="e">
        <f>P$31</f>
        <v>#N/A</v>
      </c>
      <c r="X17" s="247">
        <f t="shared" ref="X17:Z17" si="1">Q$31</f>
        <v>0.67200000000000004</v>
      </c>
      <c r="Y17" s="247">
        <f t="shared" si="1"/>
        <v>0.57899999999999996</v>
      </c>
      <c r="Z17" s="247">
        <f t="shared" si="1"/>
        <v>0.57899999999999996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 t="e">
        <f ca="1">ROUND(PRODUCT(BA15:BA16),0)</f>
        <v>#N/A</v>
      </c>
      <c r="BB17" s="248" t="e">
        <f>ROUND(PRODUCT(BB15:BB16),0)</f>
        <v>#N/A</v>
      </c>
      <c r="BC17" s="248">
        <f>ROUND(PRODUCT(BC15:BC16),0)</f>
        <v>0</v>
      </c>
      <c r="BD17" s="575"/>
      <c r="BE17" s="572" t="e">
        <f ca="1">SUM(BA17:BC17)</f>
        <v>#N/A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/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1.38</v>
      </c>
      <c r="AE18" s="423">
        <f>HLOOKUP(C11,Table_StateRates,5,FALSE)</f>
        <v>1.38</v>
      </c>
      <c r="AF18" s="423">
        <f>HLOOKUP(C11,Table_StateRates,5,FALSE)</f>
        <v>1.38</v>
      </c>
      <c r="AG18" s="423">
        <f>HLOOKUP(C11,Table_StateRates,5,FALSE)</f>
        <v>1.38</v>
      </c>
      <c r="AI18" s="266"/>
      <c r="AJ18" s="266"/>
      <c r="AK18" s="268" t="s">
        <v>1019</v>
      </c>
      <c r="AL18" s="423">
        <f>HLOOKUP(C11,Table_StateRates,5,FALSE)</f>
        <v>1.38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 t="e">
        <f>Q28</f>
        <v>#N/A</v>
      </c>
      <c r="AV18" s="247">
        <f>IF(AND(C27="Yes",C12="SP"),VLOOKUP(C33,Table_Special_PP,3,0),0)</f>
        <v>0</v>
      </c>
      <c r="AW18" s="2">
        <f>S28</f>
        <v>5.5E-2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 t="e">
        <f ca="1">ROUND(PRODUCT(W16:W18),0)</f>
        <v>#N/A</v>
      </c>
      <c r="X19" s="1306" t="e">
        <f>ROUND(PRODUCT(X16:X18),0)</f>
        <v>#N/A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 t="e">
        <f ca="1">IF(OR(C28="S",C28="T"),B29,VLOOKUP(C35,IF(C36="Y",INDIRECT("Table_Content"&amp;B35),Table_G1_LC),MATCH(C15&amp;"C",List_ClassLC,0)+IF(C36="Y",-5,2),FALSE)*IF(C60&lt;&gt;"Yes",B16,1))</f>
        <v>#N/A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 t="e">
        <f ca="1">ROUND(PRODUCT(P8:P12,IF(AND(C55="Yes",C57="Sprinkler",C58="Yes"),P13-P14,P13),P15:P19),3)</f>
        <v>#N/A</v>
      </c>
      <c r="Q20" s="1312" t="e">
        <f>ROUND(PRODUCT(Q8:Q19),3)</f>
        <v>#N/A</v>
      </c>
      <c r="R20" s="1312">
        <f>ROUND(PRODUCT(R8:R19),3)</f>
        <v>0</v>
      </c>
      <c r="S20" s="1312">
        <f>ROUND(PRODUCT(S8:S19),3)</f>
        <v>5.5E-2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2.6219999999999999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 t="e">
        <f>PRODUCT(AU18:AU19)</f>
        <v>#N/A</v>
      </c>
      <c r="AV20" s="247">
        <f>PRODUCT(AV18:AV19)</f>
        <v>0</v>
      </c>
      <c r="AW20" s="247">
        <f>PRODUCT(AW18:AW19)</f>
        <v>5.5E-2</v>
      </c>
      <c r="AZ20" s="168" t="s">
        <v>1335</v>
      </c>
      <c r="BA20" s="248">
        <f>F24</f>
        <v>0</v>
      </c>
      <c r="BD20" s="168" t="s">
        <v>1337</v>
      </c>
      <c r="BE20" s="248" t="e">
        <f ca="1">BE8</f>
        <v>#N/A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1.38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 t="e">
        <f ca="1">SUM(W19:W20)</f>
        <v>#N/A</v>
      </c>
      <c r="X21" s="1301" t="e">
        <f>SUM(X19:X20)</f>
        <v>#N/A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 t="e">
        <f ca="1">BE17</f>
        <v>#N/A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 t="e">
        <f ca="1">ROUND(PRODUCT(BP19:BP20),3)</f>
        <v>#N/A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 t="e">
        <f ca="1">ROUND(PRODUCT(AD9:AD14,IF(AND(C55="Yes",C57="Sprinkler",C58="Yes"),AD15-AD16,AD15),AD17:AD21),3)</f>
        <v>#N/A</v>
      </c>
      <c r="AE22" s="247" t="e">
        <f>ROUND(PRODUCT(AE9:AE21),3)</f>
        <v>#N/A</v>
      </c>
      <c r="AF22" s="247">
        <f>ROUND(PRODUCT(AF9:AF21),3)</f>
        <v>0</v>
      </c>
      <c r="AG22" s="247">
        <f>ROUND(PRODUCT(AG9:AG21),3)</f>
        <v>2.8000000000000001E-2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1.38</v>
      </c>
      <c r="AU22" s="207">
        <f>HLOOKUP(C11,Table_StateRates,5,FALSE)</f>
        <v>1.38</v>
      </c>
      <c r="AV22" s="207">
        <f>HLOOKUP(C11,Table_StateRates,5,FALSE)</f>
        <v>1.38</v>
      </c>
      <c r="AW22" s="207">
        <f>HLOOKUP(C11,Table_StateRates,5,FALSE)</f>
        <v>1.38</v>
      </c>
      <c r="AZ22" s="83" t="s">
        <v>1334</v>
      </c>
      <c r="BA22" s="2">
        <f>ROUND(BA20/BA21,3)</f>
        <v>0</v>
      </c>
      <c r="BD22" s="83" t="s">
        <v>1339</v>
      </c>
      <c r="BE22" s="248" t="e">
        <f ca="1">IF(BE20=0,0,BE20-BE21)</f>
        <v>#N/A</v>
      </c>
      <c r="BG22" s="146"/>
      <c r="BH22" s="545" t="s">
        <v>1019</v>
      </c>
      <c r="BI22" s="299">
        <f>HLOOKUP(C11,Table_StateRates,5,FALSE)</f>
        <v>1.38</v>
      </c>
      <c r="BJ22" s="299">
        <f>HLOOKUP(C11,Table_StateRates,5,FALSE)</f>
        <v>1.38</v>
      </c>
      <c r="BK22" s="299">
        <f>HLOOKUP(C11,Table_StateRates,5,FALSE)</f>
        <v>1.38</v>
      </c>
      <c r="BL22" s="299">
        <f>HLOOKUP(C11,Table_StateRates,5,FALSE)</f>
        <v>1.38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 t="e">
        <f ca="1">ROUND(PRODUCT(BP21:BP22),3)</f>
        <v>#N/A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 t="e">
        <f ca="1">W19</f>
        <v>#N/A</v>
      </c>
      <c r="X24" s="1301" t="e">
        <f>X19</f>
        <v>#N/A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 t="e">
        <f ca="1">ROUND(PRODUCT(BE22:BE23),0)</f>
        <v>#N/A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1</v>
      </c>
      <c r="Q25" s="1314">
        <f>ROUND(PRODUCT(Q21:Q24),3)</f>
        <v>1</v>
      </c>
      <c r="R25" s="1314">
        <f>ROUND(PRODUCT(R21:R24),3)</f>
        <v>1</v>
      </c>
      <c r="S25" s="1314">
        <f>ROUND(PRODUCT(S21:S24),3)</f>
        <v>1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 t="e">
        <f ca="1">ROUND(PRODUCT(AD22:AD24),0)</f>
        <v>#N/A</v>
      </c>
      <c r="AE25" s="248" t="e">
        <f>ROUND(PRODUCT(AE22:AE24),0)</f>
        <v>#N/A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IF(TC9_BLDG1!F20="Yes","Bldg","Available")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 t="e">
        <f ca="1">P20</f>
        <v>#N/A</v>
      </c>
      <c r="Q27" s="757" t="e">
        <f>Q20</f>
        <v>#N/A</v>
      </c>
      <c r="R27" s="757">
        <f>R20</f>
        <v>0</v>
      </c>
      <c r="S27" s="757">
        <f>S20</f>
        <v>5.5E-2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 t="e">
        <f ca="1">ROUND(PRODUCT(BP23:BP26),3)</f>
        <v>#N/A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 t="e">
        <f ca="1">IF($C$30="Yes",B31,ROUND(PRODUCT(P25:P27),3))</f>
        <v>#N/A</v>
      </c>
      <c r="Q28" s="1315" t="e">
        <f>IF($C$30="Yes",C31,ROUND(PRODUCT(Q25:Q27),3))</f>
        <v>#N/A</v>
      </c>
      <c r="R28" s="1484">
        <f>IF($C$30="Yes",B32,ROUND(PRODUCT(R25:R27),4))</f>
        <v>0</v>
      </c>
      <c r="S28" s="1315">
        <f>IF($C$30="Yes",C32,ROUND(PRODUCT(S25:S27),3))</f>
        <v>5.5E-2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 t="e">
        <f>ROUND(PRODUCT(AU20:AU27),3)</f>
        <v>#N/A</v>
      </c>
      <c r="AV28" s="247">
        <f>ROUND(PRODUCT(AV20:AV27),3)</f>
        <v>0</v>
      </c>
      <c r="AW28" s="247">
        <f>ROUND(PRODUCT(AW20:AW27),3)</f>
        <v>0.14399999999999999</v>
      </c>
      <c r="AY28" s="60" t="s">
        <v>1583</v>
      </c>
      <c r="BH28" s="301" t="s">
        <v>1389</v>
      </c>
      <c r="BI28" s="247">
        <f>ROUND(PRODUCT(BI19:BI27),3)</f>
        <v>2.1000000000000001E-2</v>
      </c>
      <c r="BJ28" s="247">
        <f>ROUND(PRODUCT(BJ19:BJ27),3)</f>
        <v>1.6E-2</v>
      </c>
      <c r="BK28" s="247">
        <f>ROUND(PRODUCT(BK19:BK27),3)</f>
        <v>5.5E-2</v>
      </c>
      <c r="BL28" s="247">
        <f>ROUND(PRODUCT(BL19:BL27),3)</f>
        <v>1.6E-2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 t="e">
        <f ca="1">ROUND(PRODUCT(BP27:BP28),0)</f>
        <v>#N/A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 t="e">
        <f ca="1">$P$28</f>
        <v>#N/A</v>
      </c>
      <c r="X30" s="1300" t="e">
        <f>$Q$28</f>
        <v>#N/A</v>
      </c>
      <c r="Y30" s="1300">
        <f>$R$28</f>
        <v>0</v>
      </c>
      <c r="Z30" s="1300">
        <f>$S$28</f>
        <v>5.5E-2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 t="e">
        <f>ROUND(PRODUCT(AU28:AU29),0)</f>
        <v>#N/A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0.21299999999999999</v>
      </c>
      <c r="C31" s="1455">
        <v>0.09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 t="e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#N/A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0.67200000000000004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0.57899999999999996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0.57899999999999996</v>
      </c>
      <c r="T31" s="299"/>
      <c r="U31" s="1288"/>
      <c r="V31" s="1117" t="s">
        <v>2152</v>
      </c>
      <c r="W31" s="247" t="e">
        <f>P$31</f>
        <v>#N/A</v>
      </c>
      <c r="X31" s="247">
        <f t="shared" ref="X31:Z31" si="2">Q$31</f>
        <v>0.67200000000000004</v>
      </c>
      <c r="Y31" s="247">
        <f t="shared" si="2"/>
        <v>0.57899999999999996</v>
      </c>
      <c r="Z31" s="247">
        <f t="shared" si="2"/>
        <v>0.57899999999999996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 t="e">
        <f>AU38</f>
        <v>#N/A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8.8999999999999996E-2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2500</v>
      </c>
      <c r="Q32" s="238">
        <f>IF(ISBLANK(C41),0,C41/100)</f>
        <v>2500</v>
      </c>
      <c r="R32" s="238">
        <f>IF(ISBLANK(C41),0,C41/100)</f>
        <v>2500</v>
      </c>
      <c r="S32" s="238">
        <f>IF(ISBLANK(C41),0,C41/100)</f>
        <v>2500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 t="e">
        <f>SUM(AU30:AU31)</f>
        <v>#N/A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1.38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NA</v>
      </c>
      <c r="C33" s="1201" t="str">
        <f>IF(ISTEXT(C35),VLOOKUP(C35,Table_G1_LC,3,0),"NA")</f>
        <v>NA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 t="e">
        <f ca="1">IF($C$30="Yes",ROUND(PRODUCT(P28,P32),0),ROUND(PRODUCT(P28,P31:P32),0))</f>
        <v>#N/A</v>
      </c>
      <c r="Q33" s="1481" t="e">
        <f>IF($C$30="Yes",ROUND(PRODUCT(Q28,Q32),0),ROUND(PRODUCT(Q28,Q31:Q32),0))</f>
        <v>#N/A</v>
      </c>
      <c r="R33" s="1481">
        <f>IF($C$30="Yes",ROUND(PRODUCT(R28,R32),0),ROUND(PRODUCT(R28,R31:R32),0))</f>
        <v>0</v>
      </c>
      <c r="S33" s="1481">
        <f>IF($C$30="Yes",ROUND(PRODUCT(S28,S32),0),ROUND(PRODUCT(S28,S31:S32),0))</f>
        <v>80</v>
      </c>
      <c r="U33" s="1293"/>
      <c r="V33" s="1303" t="s">
        <v>2161</v>
      </c>
      <c r="W33" s="1306" t="e">
        <f ca="1">ROUND(PRODUCT(W30:W32),0)</f>
        <v>#N/A</v>
      </c>
      <c r="X33" s="1306" t="e">
        <f>ROUND(PRODUCT(X30:X32),0)</f>
        <v>#N/A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1.38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 t="e">
        <f ca="1">P41</f>
        <v>#N/A</v>
      </c>
      <c r="Q34" s="185" t="e">
        <f>Q41</f>
        <v>#N/A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/>
      </c>
      <c r="C35" s="1114"/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 t="e">
        <f ca="1">SUM(P33:P34)</f>
        <v>#N/A</v>
      </c>
      <c r="Q35" s="248" t="e">
        <f>SUM(Q33:Q34)</f>
        <v>#N/A</v>
      </c>
      <c r="R35" s="248">
        <f>SUM(R33:R34)</f>
        <v>0</v>
      </c>
      <c r="S35" s="248">
        <f>SUM(S33:S34)</f>
        <v>80</v>
      </c>
      <c r="T35" s="235"/>
      <c r="U35" s="1288"/>
      <c r="V35" s="1291" t="s">
        <v>2162</v>
      </c>
      <c r="W35" s="1301" t="e">
        <f ca="1">SUM(W33:W34)</f>
        <v>#N/A</v>
      </c>
      <c r="X35" s="1301" t="e">
        <f>SUM(X33:X34)</f>
        <v>#N/A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1.38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>No</v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 t="e">
        <f>AU30</f>
        <v>#N/A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 t="e">
        <f ca="1">W33</f>
        <v>#N/A</v>
      </c>
      <c r="X38" s="1301" t="e">
        <f>X33</f>
        <v>#N/A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 t="e">
        <f>ROUND(PRODUCT(AU36:AU37),0)</f>
        <v>#N/A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 t="e">
        <f ca="1">P33</f>
        <v>#N/A</v>
      </c>
      <c r="Q39" s="248" t="e">
        <f>Q33</f>
        <v>#N/A</v>
      </c>
      <c r="R39" s="248">
        <f>R33</f>
        <v>0</v>
      </c>
      <c r="S39" s="248">
        <f>S33</f>
        <v>80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1.38</v>
      </c>
      <c r="BQ39" s="423"/>
      <c r="BR39" s="542"/>
      <c r="BS39" s="597" t="s">
        <v>1019</v>
      </c>
      <c r="BT39" s="279">
        <f>HLOOKUP(C11,Table_StateRates,5,FALSE)</f>
        <v>1.38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3.9E-2</v>
      </c>
      <c r="BQ40" s="559"/>
      <c r="BR40" s="423"/>
      <c r="BS40" s="810" t="s">
        <v>1134</v>
      </c>
      <c r="BT40" s="426">
        <f>ROUND(PRODUCT(BT35:BT39),3)</f>
        <v>3.9E-2</v>
      </c>
    </row>
    <row r="41" spans="1:72" ht="13.5" thickBot="1" x14ac:dyDescent="0.25">
      <c r="A41" s="203" t="s">
        <v>2112</v>
      </c>
      <c r="B41" s="104"/>
      <c r="C41" s="943">
        <v>250000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 t="e">
        <f ca="1">ROUND(PRODUCT(P39:P40),0)</f>
        <v>#N/A</v>
      </c>
      <c r="Q41" s="248" t="e">
        <f>ROUND(PRODUCT(Q39:Q40),0)</f>
        <v>#N/A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 t="e">
        <f>IF(OR(C28="S",C28="T"),1,VLOOKUP(C14,Table_ProtClass,IF(C15&lt;=3,2,3),FALSE))</f>
        <v>#N/A</v>
      </c>
      <c r="BQ41" s="426"/>
      <c r="BR41" s="423"/>
      <c r="BS41" s="906" t="s">
        <v>1178</v>
      </c>
      <c r="BT41" s="423" t="e">
        <f>IF(OR(C28="S",C28="T"),1,VLOOKUP(C14,Table_ProtClass,IF(C15&lt;=3,2,3),FALSE))</f>
        <v>#N/A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 t="e">
        <f>ROUND(PRODUCT(BT40:BT42),3)</f>
        <v>#N/A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 t="e">
        <f ca="1">$P$28</f>
        <v>#N/A</v>
      </c>
      <c r="X44" s="1300" t="e">
        <f>$Q$28</f>
        <v>#N/A</v>
      </c>
      <c r="Y44" s="1300">
        <f>$R$28</f>
        <v>0</v>
      </c>
      <c r="Z44" s="1300">
        <f>$S$28</f>
        <v>5.5E-2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 t="e">
        <f>P$31</f>
        <v>#N/A</v>
      </c>
      <c r="X45" s="247">
        <f t="shared" ref="X45:Z45" si="3">Q$31</f>
        <v>0.67200000000000004</v>
      </c>
      <c r="Y45" s="247">
        <f t="shared" si="3"/>
        <v>0.57899999999999996</v>
      </c>
      <c r="Z45" s="247">
        <f t="shared" si="3"/>
        <v>0.57899999999999996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 t="e">
        <f>ROUND(PRODUCT(BP40:BP44),3)</f>
        <v>#N/A</v>
      </c>
      <c r="BQ45" s="266"/>
      <c r="BR45" s="426"/>
      <c r="BS45" s="811" t="s">
        <v>1418</v>
      </c>
      <c r="BT45" s="812" t="e">
        <f>ROUND(PRODUCT(BT43:BT44),0)</f>
        <v>#N/A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2500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 t="e">
        <f ca="1">ROUND(PRODUCT(W44:W46),0)</f>
        <v>#N/A</v>
      </c>
      <c r="X47" s="1306" t="e">
        <f>ROUND(PRODUCT(X44:X46),0)</f>
        <v>#N/A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 t="e">
        <f>ROUND(PRODUCT(BP45:BP46),0)</f>
        <v>#N/A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 t="e">
        <f>IF(AND(C21="Yes",C24="Yes"),BP49,IF(AND(C21="Yes",C24="No"),B24,0))</f>
        <v>#N/A</v>
      </c>
      <c r="T49" s="266"/>
      <c r="U49" s="1288"/>
      <c r="V49" s="1291" t="s">
        <v>2164</v>
      </c>
      <c r="W49" s="1301" t="e">
        <f ca="1">SUM(W47:W48)</f>
        <v>#N/A</v>
      </c>
      <c r="X49" s="1301" t="e">
        <f>SUM(X47:X48)</f>
        <v>#N/A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 t="e">
        <f>SUM(BP47,BT45)</f>
        <v>#N/A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 t="e">
        <f ca="1">W47</f>
        <v>#N/A</v>
      </c>
      <c r="X52" s="1301" t="e">
        <f>X47</f>
        <v>#N/A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 t="e">
        <f ca="1">SUM(I16:L16,I38,I46,I52)</f>
        <v>#N/A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 t="e">
        <f ca="1">SUM(I54,I49)</f>
        <v>#N/A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250000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60" priority="13" stopIfTrue="1">
      <formula>IF($C$24="Yes",FALSE,TRUE)</formula>
    </cfRule>
  </conditionalFormatting>
  <conditionalFormatting sqref="C18">
    <cfRule type="expression" dxfId="59" priority="11">
      <formula>IF($C$12="SP",TRUE,FALSE)</formula>
    </cfRule>
    <cfRule type="expression" dxfId="58" priority="12">
      <formula>IF($C$12="SP",TRUE,FALSE)</formula>
    </cfRule>
  </conditionalFormatting>
  <conditionalFormatting sqref="A18">
    <cfRule type="expression" dxfId="57" priority="10">
      <formula>IF($C$12="SP",TRUE,FALSE)</formula>
    </cfRule>
  </conditionalFormatting>
  <conditionalFormatting sqref="B21">
    <cfRule type="expression" dxfId="56" priority="9">
      <formula>IF($C$21="Yes",TRUE,FALSE)</formula>
    </cfRule>
  </conditionalFormatting>
  <conditionalFormatting sqref="C32">
    <cfRule type="expression" dxfId="55" priority="2">
      <formula>IF(AND($C$30="Yes",$C$12="BR"),TRUE,FALSE)</formula>
    </cfRule>
  </conditionalFormatting>
  <conditionalFormatting sqref="B32">
    <cfRule type="expression" dxfId="54" priority="1">
      <formula>IF(AND($C$30="Yes",$C$12="SP"),TRUE,FALSE)</formula>
    </cfRule>
  </conditionalFormatting>
  <conditionalFormatting sqref="B31:C31">
    <cfRule type="expression" dxfId="53" priority="3">
      <formula>IF($C$30="Yes",TRUE,FALSE)</formula>
    </cfRule>
  </conditionalFormatting>
  <dataValidations count="111"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custom" allowBlank="1" showInputMessage="1" showErrorMessage="1" errorTitle="Do Not Touch" error="This is used to generate the Coinsurance rate." sqref="B58 E62">
      <formula1>FALSE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allowBlank="1" showInputMessage="1" showErrorMessage="1" promptTitle="Occupancy Type Description" prompt="Displays the description of the choice made in the cell to the left.  " sqref="B38 B33"/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custom" allowBlank="1" showInputMessage="1" showErrorMessage="1" prompt="Personal Property Lookup Value" sqref="F4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EQ Table Lookup Value" sqref="F54:F5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Spoilage Coverage" prompt="Please Select:_x000a_{ Yes or No }" sqref="F32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custom" allowBlank="1" showInputMessage="1" showErrorMessage="1" prompt="Lookup Value for Spoil Coverage Loss Cost Table" sqref="F33">
      <formula1>FALSE</formula1>
    </dataValidation>
    <dataValidation type="custom" allowBlank="1" showInputMessage="1" showErrorMessage="1" prompt="Spoilage Loss Cost Column Reference" sqref="F37">
      <formula1>FALSE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Select Company:" prompt="GAAL, GAAS, GAIC, GANY" sqref="C11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V67"/>
  <sheetViews>
    <sheetView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4.140625" style="2" customWidth="1"/>
    <col min="3" max="3" width="13.5703125" style="2" customWidth="1"/>
    <col min="4" max="4" width="27.42578125" style="2" customWidth="1"/>
    <col min="5" max="5" width="11.85546875" style="2" customWidth="1"/>
    <col min="6" max="6" width="12.5703125" style="2" customWidth="1"/>
    <col min="7" max="7" width="9.140625" style="2"/>
    <col min="8" max="8" width="38.7109375" style="2" customWidth="1"/>
    <col min="9" max="12" width="12.85546875" style="2" customWidth="1"/>
    <col min="13" max="13" width="8.140625" style="2" customWidth="1"/>
    <col min="14" max="14" width="18.140625" style="2" customWidth="1"/>
    <col min="15" max="15" width="23" style="2" customWidth="1"/>
    <col min="16" max="19" width="11.42578125" style="2" customWidth="1"/>
    <col min="20" max="20" width="9.140625" style="2"/>
    <col min="21" max="21" width="18.140625" style="2" customWidth="1"/>
    <col min="22" max="22" width="23" style="2" customWidth="1"/>
    <col min="23" max="26" width="11.42578125" style="2" customWidth="1"/>
    <col min="27" max="27" width="9.140625" style="2"/>
    <col min="28" max="28" width="18.140625" style="2" customWidth="1"/>
    <col min="29" max="29" width="23" style="2" customWidth="1"/>
    <col min="30" max="30" width="11.42578125" style="2" customWidth="1"/>
    <col min="31" max="31" width="8.28515625" style="2" customWidth="1"/>
    <col min="32" max="32" width="17.42578125" style="2" customWidth="1"/>
    <col min="33" max="33" width="20.7109375" style="2" customWidth="1"/>
    <col min="34" max="34" width="12.140625" style="2" customWidth="1"/>
    <col min="35" max="35" width="4.7109375" style="2" customWidth="1"/>
    <col min="36" max="36" width="19.42578125" style="2" customWidth="1"/>
    <col min="37" max="37" width="26" style="2" customWidth="1"/>
    <col min="38" max="41" width="13.140625" style="2" customWidth="1"/>
    <col min="42" max="42" width="9.140625" style="2"/>
    <col min="43" max="43" width="34.28515625" style="2" customWidth="1"/>
    <col min="44" max="44" width="23.7109375" style="2" customWidth="1"/>
    <col min="45" max="45" width="14.28515625" style="2" customWidth="1"/>
    <col min="46" max="46" width="5.7109375" style="2" customWidth="1"/>
    <col min="47" max="16384" width="9.140625" style="2"/>
  </cols>
  <sheetData>
    <row r="1" spans="1:46" ht="19.5" customHeight="1" thickBot="1" x14ac:dyDescent="0.25">
      <c r="A1" s="99" t="s">
        <v>834</v>
      </c>
      <c r="B1" s="94"/>
      <c r="C1" s="94"/>
      <c r="D1" s="525"/>
      <c r="E1" s="525"/>
      <c r="F1" s="106" t="s">
        <v>840</v>
      </c>
      <c r="H1" s="1594" t="s">
        <v>1756</v>
      </c>
      <c r="I1" s="1595"/>
      <c r="J1" s="1595"/>
      <c r="K1" s="1595"/>
      <c r="L1" s="1596"/>
      <c r="N1" s="60" t="s">
        <v>977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1602" t="s">
        <v>675</v>
      </c>
      <c r="AC1" s="1603"/>
      <c r="AD1" s="1603"/>
      <c r="AE1" s="1603"/>
      <c r="AF1" s="1603"/>
      <c r="AG1" s="1603"/>
      <c r="AH1" s="1604"/>
      <c r="AI1" s="814"/>
      <c r="AJ1" s="60"/>
      <c r="AL1" s="235" t="s">
        <v>1012</v>
      </c>
      <c r="AM1" s="235" t="s">
        <v>1013</v>
      </c>
      <c r="AN1" s="235" t="s">
        <v>838</v>
      </c>
      <c r="AO1" s="235" t="s">
        <v>837</v>
      </c>
      <c r="AQ1" s="1617" t="s">
        <v>949</v>
      </c>
      <c r="AR1" s="1617"/>
      <c r="AS1" s="1617"/>
      <c r="AT1" s="385"/>
    </row>
    <row r="2" spans="1:46" ht="12.75" customHeight="1" thickBot="1" x14ac:dyDescent="0.25">
      <c r="A2" s="529" t="s">
        <v>1832</v>
      </c>
      <c r="B2" s="530"/>
      <c r="C2" s="5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1611</v>
      </c>
      <c r="AB2" s="814"/>
      <c r="AC2" s="814"/>
      <c r="AD2" s="814"/>
      <c r="AE2" s="814"/>
      <c r="AF2" s="814"/>
      <c r="AG2" s="814"/>
      <c r="AH2" s="814"/>
      <c r="AI2" s="814"/>
      <c r="AJ2" s="60" t="s">
        <v>550</v>
      </c>
      <c r="AL2" s="235"/>
      <c r="AM2" s="235"/>
      <c r="AN2" s="235"/>
      <c r="AO2" s="235"/>
      <c r="AT2" s="385"/>
    </row>
    <row r="3" spans="1:46" ht="13.5" thickBot="1" x14ac:dyDescent="0.25">
      <c r="A3" s="744" t="s">
        <v>195</v>
      </c>
      <c r="B3" s="745" t="str">
        <f>IF(C3="Building","B",IF(C3="Pers Pty","PP","None"))</f>
        <v>B</v>
      </c>
      <c r="C3" s="978" t="str">
        <f>IF(AND(TC9_BLDG1!C27="Yes",TC9_PP1!C27="Yes"),"Building",IF(AND(TC9_BLDG1!C27="No",TC9_PP1!C27="Yes"),"Pers Pty",IF(AND(TC9_BLDG1!C27="Yes",TC9_PP1!C27="No"),"Building","Neither")))</f>
        <v>Building</v>
      </c>
      <c r="D3" s="203" t="s">
        <v>1</v>
      </c>
      <c r="E3" s="820" t="str">
        <f>IF(TC9_EE1!F3="Yes","EE","Available")</f>
        <v>Available</v>
      </c>
      <c r="F3" s="1070" t="s">
        <v>857</v>
      </c>
      <c r="H3" s="1273">
        <f>Summary9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1546</v>
      </c>
      <c r="W3" s="247">
        <f>B29</f>
        <v>0.126</v>
      </c>
      <c r="X3" s="2">
        <f>C29</f>
        <v>4.2000000000000003E-2</v>
      </c>
      <c r="Y3" s="2">
        <f>IF(C12="SP",VLOOKUP(B13,Table_Time_Special,E4,FALSE),0)</f>
        <v>4.3999999999999997E-2</v>
      </c>
      <c r="Z3" s="2">
        <f>HLOOKUP(B12,Table_BroadTime,IF(F5="Yes",3,2),FALSE)</f>
        <v>1.0999999999999999E-2</v>
      </c>
      <c r="AB3" s="60" t="s">
        <v>682</v>
      </c>
      <c r="AD3" s="235"/>
      <c r="AE3" s="235"/>
      <c r="AF3" s="60" t="s">
        <v>683</v>
      </c>
      <c r="AH3" s="235"/>
      <c r="AI3" s="235"/>
      <c r="AJ3" s="146"/>
      <c r="AK3" s="545" t="s">
        <v>1049</v>
      </c>
      <c r="AL3" s="146">
        <f>VLOOKUP(1,Table_Time_Utility,2,FALSE)</f>
        <v>2.1999999999999999E-2</v>
      </c>
      <c r="AM3" s="146">
        <f>VLOOKUP(1,Table_Time_Utility,3,FALSE)</f>
        <v>1.0999999999999999E-2</v>
      </c>
      <c r="AN3" s="146">
        <f>VLOOKUP(1,Table_Time_Utility,5,FALSE)</f>
        <v>1.9E-2</v>
      </c>
      <c r="AO3" s="563">
        <f>VLOOKUP(1,Table_Time_Utility,4,FALSE)</f>
        <v>6.0000000000000001E-3</v>
      </c>
      <c r="AQ3" s="154" t="s">
        <v>950</v>
      </c>
      <c r="AR3" s="86"/>
      <c r="AS3" s="156" t="s">
        <v>951</v>
      </c>
      <c r="AT3" s="385"/>
    </row>
    <row r="4" spans="1:46" x14ac:dyDescent="0.2">
      <c r="A4" s="120" t="s">
        <v>1024</v>
      </c>
      <c r="B4" s="95"/>
      <c r="C4" s="818" t="str">
        <f>IF(B3="B",TC9_BLDG1!C3,IF(B3="PP",TC9_PP1!C3,""))</f>
        <v>CT</v>
      </c>
      <c r="D4" s="107" t="s">
        <v>961</v>
      </c>
      <c r="E4" s="887">
        <f>IF(C12&lt;&gt;"SP","N/A",IF(F5="Yes",3,2))</f>
        <v>2</v>
      </c>
      <c r="F4" s="962">
        <v>500000</v>
      </c>
      <c r="H4" s="82"/>
      <c r="I4" s="189"/>
      <c r="J4" s="4"/>
      <c r="K4" s="4"/>
      <c r="L4" s="4"/>
      <c r="N4" s="146"/>
      <c r="O4" s="83" t="s">
        <v>2166</v>
      </c>
      <c r="P4" s="1418">
        <f>PRODUCT(P2:P3)</f>
        <v>2.6219999999999999</v>
      </c>
      <c r="Q4" s="1418">
        <f>PRODUCT(Q2:Q3)</f>
        <v>2.6219999999999999</v>
      </c>
      <c r="R4" s="1418">
        <f>PRODUCT(R2:R3)</f>
        <v>2.6219999999999999</v>
      </c>
      <c r="S4" s="1418">
        <f>PRODUCT(S2:S3)</f>
        <v>2.6219999999999999</v>
      </c>
      <c r="V4" s="168" t="s">
        <v>970</v>
      </c>
      <c r="W4" s="207">
        <f>IF(B32="Yes",DF_Sprinkler50,1)</f>
        <v>1</v>
      </c>
      <c r="X4" s="207">
        <v>1</v>
      </c>
      <c r="Y4" s="207">
        <v>1</v>
      </c>
      <c r="Z4" s="207">
        <v>1</v>
      </c>
      <c r="AB4" s="266"/>
      <c r="AC4" s="268" t="s">
        <v>1749</v>
      </c>
      <c r="AD4" s="426" t="e">
        <f>IF(F56="Yes",VLOOKUP(F58,Table_EQ_LC,3,FALSE),0)</f>
        <v>#N/A</v>
      </c>
      <c r="AE4" s="266"/>
      <c r="AF4" s="266"/>
      <c r="AG4" s="268" t="s">
        <v>1752</v>
      </c>
      <c r="AH4" s="426">
        <f>IF(F60="Yes",VLOOKUP(E61,Table_Other_PierWharf,6,FALSE),0)</f>
        <v>0</v>
      </c>
      <c r="AI4" s="426"/>
      <c r="AJ4" s="185"/>
      <c r="AK4" s="186" t="s">
        <v>1050</v>
      </c>
      <c r="AL4" s="238">
        <f>F48</f>
        <v>0</v>
      </c>
      <c r="AM4" s="238">
        <f>F48</f>
        <v>0</v>
      </c>
      <c r="AN4" s="238">
        <f>F48</f>
        <v>0</v>
      </c>
      <c r="AO4" s="785">
        <f>F48</f>
        <v>0</v>
      </c>
      <c r="AQ4" s="686" t="s">
        <v>1715</v>
      </c>
      <c r="AS4" s="155">
        <f>IF(AS23&lt;-0.05,-0.05,IF(AS23&gt;0.05,0.05,AS23))</f>
        <v>0</v>
      </c>
      <c r="AT4" s="385"/>
    </row>
    <row r="5" spans="1:46" x14ac:dyDescent="0.2">
      <c r="A5" s="120" t="s">
        <v>1828</v>
      </c>
      <c r="B5" s="729">
        <f>IF(B3="B",TC9_BLDG1!B4,IF(B3="PP",TC9_PP1!B4,""))</f>
        <v>0</v>
      </c>
      <c r="C5" s="818">
        <f>IF(B3="B",TC9_BLDG1!C4,IF(B3="PP",TC9_PP1!C4,""))</f>
        <v>0</v>
      </c>
      <c r="D5" s="124" t="s">
        <v>1218</v>
      </c>
      <c r="E5" s="888">
        <f>IF(F5="Yes",2,3)</f>
        <v>3</v>
      </c>
      <c r="F5" s="962" t="s">
        <v>857</v>
      </c>
      <c r="H5" s="483" t="s">
        <v>977</v>
      </c>
      <c r="I5" s="484">
        <f>IF(F3="Yes",P38,0)</f>
        <v>0</v>
      </c>
      <c r="J5" s="484">
        <f>IF(F3="Yes",Q38,0)</f>
        <v>0</v>
      </c>
      <c r="K5" s="484">
        <f>IF(AND(C12="SP",F3="Yes"),R38,0)</f>
        <v>0</v>
      </c>
      <c r="L5" s="484">
        <f>IF(AND(C12="BR",F3="Yes"),S38,0)</f>
        <v>0</v>
      </c>
      <c r="O5" s="168" t="str">
        <f>C3&amp;" - Loss Cost"</f>
        <v>Building - Loss Cost</v>
      </c>
      <c r="P5" s="247">
        <f>B29</f>
        <v>0.126</v>
      </c>
      <c r="Q5" s="2">
        <f>C29</f>
        <v>4.2000000000000003E-2</v>
      </c>
      <c r="R5" s="247">
        <f>IF(C12="SP",VLOOKUP(B13,Table_Time_Special,E4,FALSE),0)</f>
        <v>4.3999999999999997E-2</v>
      </c>
      <c r="S5" s="2">
        <f>HLOOKUP(B12,Table_BroadTime,IF(F5="Yes",3,2),FALSE)</f>
        <v>1.0999999999999999E-2</v>
      </c>
      <c r="U5" s="185"/>
      <c r="V5" s="186" t="s">
        <v>971</v>
      </c>
      <c r="W5" s="208">
        <f>HLOOKUP(C11,Table_StateRates,6,FALSE)</f>
        <v>1.9</v>
      </c>
      <c r="X5" s="208">
        <f>HLOOKUP(C11,Table_StateRates,6,FALSE)</f>
        <v>1.9</v>
      </c>
      <c r="Y5" s="208">
        <f>HLOOKUP(C11,Table_StateRates,6,FALSE)</f>
        <v>1.9</v>
      </c>
      <c r="Z5" s="208">
        <f>HLOOKUP(C11,Table_StateRates,6,FALSE)</f>
        <v>1.9</v>
      </c>
      <c r="AB5" s="542"/>
      <c r="AC5" s="724" t="s">
        <v>1750</v>
      </c>
      <c r="AD5" s="757">
        <f>IF(F56="Yes",VLOOKUP(F57,Table_EQ_SprLkgExt,4,FALSE),0)</f>
        <v>0.21</v>
      </c>
      <c r="AE5" s="558"/>
      <c r="AF5" s="558"/>
      <c r="AG5" s="755" t="s">
        <v>971</v>
      </c>
      <c r="AH5" s="558">
        <f>HLOOKUP(C11,Table_StateRates,6,FALSE)</f>
        <v>1.9</v>
      </c>
      <c r="AI5" s="558"/>
      <c r="AJ5" s="146"/>
      <c r="AK5" s="301" t="s">
        <v>1051</v>
      </c>
      <c r="AL5" s="146">
        <f>ROUND(PRODUCT(AL3:AL4),3)</f>
        <v>0</v>
      </c>
      <c r="AM5" s="146">
        <f>ROUND(PRODUCT(AM3:AM4),3)</f>
        <v>0</v>
      </c>
      <c r="AN5" s="146">
        <f>ROUND(PRODUCT(AN3:AN4),3)</f>
        <v>0</v>
      </c>
      <c r="AO5" s="146">
        <f>ROUND(PRODUCT(AO3:AO4),3)</f>
        <v>0</v>
      </c>
      <c r="AQ5" s="151" t="s">
        <v>1714</v>
      </c>
      <c r="AS5" s="155">
        <f>IF(AS24&lt;-0.06,-0.06,IF(AS24&gt;0.06,0.06,AS24))</f>
        <v>0</v>
      </c>
      <c r="AT5" s="385"/>
    </row>
    <row r="6" spans="1:46" x14ac:dyDescent="0.2">
      <c r="A6" s="120"/>
      <c r="B6" s="95"/>
      <c r="C6" s="1047"/>
      <c r="D6" s="84" t="s">
        <v>1227</v>
      </c>
      <c r="E6" s="193"/>
      <c r="F6" s="962" t="s">
        <v>857</v>
      </c>
      <c r="H6" s="83"/>
      <c r="I6" s="248"/>
      <c r="J6" s="260"/>
      <c r="K6" s="260"/>
      <c r="L6" s="260"/>
      <c r="O6" s="168" t="s">
        <v>972</v>
      </c>
      <c r="P6" s="207">
        <f>IF(OR(C27="S",C27="T"),1,VLOOKUP(C14,Table_ProtClass,IF(C15&lt;=3,2,3),FALSE)) - IF(AND(C33=1,ISNUMBER(B31),P11=1),B31,0)</f>
        <v>0.96</v>
      </c>
      <c r="Q6" s="207">
        <v>1</v>
      </c>
      <c r="R6" s="207">
        <v>1</v>
      </c>
      <c r="S6" s="207">
        <v>1</v>
      </c>
      <c r="V6" s="83" t="s">
        <v>1134</v>
      </c>
      <c r="W6" s="247">
        <f>ROUND(PRODUCT(W3:W5),3)</f>
        <v>0.23899999999999999</v>
      </c>
      <c r="X6" s="247">
        <f>ROUND(PRODUCT(X3:X5),3)</f>
        <v>0.08</v>
      </c>
      <c r="Y6" s="247">
        <f>ROUND(PRODUCT(Y3:Y5),3)</f>
        <v>8.4000000000000005E-2</v>
      </c>
      <c r="Z6" s="247">
        <f>ROUND(PRODUCT(Z3:Z5),3)</f>
        <v>2.1000000000000001E-2</v>
      </c>
      <c r="AB6" s="266"/>
      <c r="AC6" s="568" t="s">
        <v>1751</v>
      </c>
      <c r="AD6" s="426" t="e">
        <f>PRODUCT(AD4:AD5)</f>
        <v>#N/A</v>
      </c>
      <c r="AE6" s="266"/>
      <c r="AF6" s="266"/>
      <c r="AG6" s="268" t="s">
        <v>1019</v>
      </c>
      <c r="AH6" s="423">
        <f>HLOOKUP(C11,Table_StateRates,5,FALSE)</f>
        <v>1.38</v>
      </c>
      <c r="AI6" s="423"/>
      <c r="AK6" s="168" t="s">
        <v>971</v>
      </c>
      <c r="AL6" s="207">
        <f>HLOOKUP(C11,Table_StateRates,6,FALSE)</f>
        <v>1.9</v>
      </c>
      <c r="AM6" s="207">
        <f>HLOOKUP(C11,Table_StateRates,6,FALSE)</f>
        <v>1.9</v>
      </c>
      <c r="AN6" s="207">
        <f>HLOOKUP(C11,Table_StateRates,6,FALSE)</f>
        <v>1.9</v>
      </c>
      <c r="AO6" s="207">
        <f>HLOOKUP(C11,Table_StateRates,6,FALSE)</f>
        <v>1.9</v>
      </c>
      <c r="AQ6" s="8" t="s">
        <v>1716</v>
      </c>
      <c r="AS6" s="155">
        <f>IF(AS25&lt;-0.06,-0.06,IF(AS25&gt;0.06,0.06,AS25))</f>
        <v>0</v>
      </c>
      <c r="AT6" s="385"/>
    </row>
    <row r="7" spans="1:46" ht="13.5" thickBot="1" x14ac:dyDescent="0.25">
      <c r="A7" s="120" t="s">
        <v>969</v>
      </c>
      <c r="B7" s="95"/>
      <c r="C7" s="1079" t="str">
        <f>IF(B3="B",TC9_BLDG1!C6,IF(B3="PP",TC9_PP1!C6,""))</f>
        <v>CPP</v>
      </c>
      <c r="D7" s="84" t="s">
        <v>1222</v>
      </c>
      <c r="E7" s="103"/>
      <c r="F7" s="962">
        <v>100</v>
      </c>
      <c r="H7" s="83"/>
      <c r="I7" s="248"/>
      <c r="J7" s="260"/>
      <c r="K7" s="260"/>
      <c r="L7" s="260"/>
      <c r="N7" s="185"/>
      <c r="O7" s="186" t="s">
        <v>970</v>
      </c>
      <c r="P7" s="208">
        <f>IF(C32="Yes",DF_Sprinkler50,1)</f>
        <v>1</v>
      </c>
      <c r="Q7" s="208">
        <v>1</v>
      </c>
      <c r="R7" s="208">
        <f>IF(C32="Yes",DF_Sprinkler50,1)</f>
        <v>1</v>
      </c>
      <c r="S7" s="208">
        <v>1</v>
      </c>
      <c r="U7" s="185"/>
      <c r="V7" s="186" t="s">
        <v>1253</v>
      </c>
      <c r="W7" s="455">
        <f>IF(OR(ISBLANK(F7),F7="None"),1,IF(E8="Yes",F14,VLOOKUP(F7,IF(F5="Yes",Table_BI_CoIns_EE,Table_BI_CoIns),F8+1,FALSE)+P18))</f>
        <v>0.54</v>
      </c>
      <c r="X7" s="455">
        <f>IF(OR(ISBLANK(F7),F7="None"),1,IF(E8="Yes",F14,VLOOKUP(F7,IF(F5="Yes",Table_BI_CoIns_EE,Table_BI_CoIns),F8+1,FALSE)+X18))</f>
        <v>0.54</v>
      </c>
      <c r="Y7" s="208">
        <v>1</v>
      </c>
      <c r="Z7" s="208">
        <v>1</v>
      </c>
      <c r="AB7" s="558"/>
      <c r="AC7" s="755" t="s">
        <v>971</v>
      </c>
      <c r="AD7" s="558">
        <f>HLOOKUP(C11,Table_StateRates,6,FALSE)</f>
        <v>1.9</v>
      </c>
      <c r="AE7" s="266"/>
      <c r="AF7" s="266"/>
      <c r="AG7" s="268"/>
      <c r="AH7" s="423"/>
      <c r="AI7" s="423"/>
      <c r="AK7" s="168" t="s">
        <v>1019</v>
      </c>
      <c r="AL7" s="207">
        <f>HLOOKUP(C11,Table_StateRates,5,FALSE)</f>
        <v>1.38</v>
      </c>
      <c r="AM7" s="207">
        <f>HLOOKUP(C11,Table_StateRates,5,FALSE)</f>
        <v>1.38</v>
      </c>
      <c r="AN7" s="207">
        <f>HLOOKUP(C11,Table_StateRates,5,FALSE)</f>
        <v>1.38</v>
      </c>
      <c r="AO7" s="207">
        <f>HLOOKUP(C11,Table_StateRates,5,FALSE)</f>
        <v>1.38</v>
      </c>
      <c r="AQ7" s="8" t="s">
        <v>1717</v>
      </c>
      <c r="AS7" s="155">
        <f>IF(AS26&lt;-0.1,-0.1,IF(AS26&gt;0.1,0.1,AS26))</f>
        <v>0</v>
      </c>
      <c r="AT7" s="385"/>
    </row>
    <row r="8" spans="1:46" ht="13.5" thickBot="1" x14ac:dyDescent="0.25">
      <c r="A8" s="143" t="s">
        <v>923</v>
      </c>
      <c r="B8" s="1236" t="str">
        <f>IF(B3="B",TC9_BLDG1!B7,IF(B3="PP",TC9_PP1!B7,""))</f>
        <v>No</v>
      </c>
      <c r="C8" s="1047"/>
      <c r="D8" s="84" t="s">
        <v>1205</v>
      </c>
      <c r="E8" s="479" t="s">
        <v>857</v>
      </c>
      <c r="F8" s="1237">
        <v>1</v>
      </c>
      <c r="H8" s="82" t="s">
        <v>1661</v>
      </c>
      <c r="I8" s="248"/>
      <c r="J8" s="260"/>
      <c r="K8" s="260"/>
      <c r="L8" s="260"/>
      <c r="O8" s="83" t="str">
        <f>C3&amp; " Base Rate"</f>
        <v>Building Base Rate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0.115</v>
      </c>
      <c r="S8" s="1315">
        <f>ROUND(PRODUCT(S4:S7),3)</f>
        <v>2.9000000000000001E-2</v>
      </c>
      <c r="V8" s="83" t="s">
        <v>16</v>
      </c>
      <c r="W8" s="247">
        <f>ROUND(PRODUCT(W6:W7),3)</f>
        <v>0.129</v>
      </c>
      <c r="X8" s="247">
        <f>ROUND(PRODUCT(X6:X7),3)</f>
        <v>4.2999999999999997E-2</v>
      </c>
      <c r="Y8" s="247">
        <f>ROUND(PRODUCT(Y6:Y7),3)</f>
        <v>8.4000000000000005E-2</v>
      </c>
      <c r="Z8" s="247">
        <f>ROUND(PRODUCT(Z6:Z7),3)</f>
        <v>2.1000000000000001E-2</v>
      </c>
      <c r="AB8" s="266"/>
      <c r="AC8" s="268" t="s">
        <v>1253</v>
      </c>
      <c r="AD8" s="423">
        <f>IF(F17="Yes", P17, IF(F18="Yes",P19,P16))</f>
        <v>0.54</v>
      </c>
      <c r="AE8" s="266"/>
      <c r="AF8" s="266"/>
      <c r="AG8" s="268"/>
      <c r="AH8" s="423"/>
      <c r="AI8" s="423"/>
      <c r="AK8" s="168" t="s">
        <v>180</v>
      </c>
      <c r="AL8" s="207">
        <v>1</v>
      </c>
      <c r="AM8" s="207">
        <v>1</v>
      </c>
      <c r="AN8" s="207">
        <v>1</v>
      </c>
      <c r="AO8" s="207">
        <v>1</v>
      </c>
      <c r="AQ8" s="687" t="s">
        <v>1718</v>
      </c>
      <c r="AS8" s="155">
        <f>IF(AS27&lt;-0.06,-0.06,IF(AS27&gt;0.06,0.06,AS27))</f>
        <v>0</v>
      </c>
      <c r="AT8" s="385"/>
    </row>
    <row r="9" spans="1:46" x14ac:dyDescent="0.2">
      <c r="A9" s="120"/>
      <c r="B9" s="95"/>
      <c r="C9" s="1047"/>
      <c r="D9" s="488" t="str">
        <f>IF(F3="No","",IF(E8="Yes","Please Select the 2 Occ. Types below","Select 1 Occ. Type in Cell F8"))</f>
        <v/>
      </c>
      <c r="E9" s="487"/>
      <c r="F9" s="533"/>
      <c r="H9" s="189" t="s">
        <v>1826</v>
      </c>
      <c r="I9" s="258">
        <f>IF($F37="Yes",W34,0)</f>
        <v>0</v>
      </c>
      <c r="J9" s="258">
        <f>IF($F37="Yes",X34,0)</f>
        <v>0</v>
      </c>
      <c r="K9" s="258">
        <f>IF($F37="Yes",Y34,0)</f>
        <v>0</v>
      </c>
      <c r="L9" s="258">
        <f>IF(AND(F37="Yes",C12="BR"),Z34,0)</f>
        <v>0</v>
      </c>
      <c r="O9" s="168" t="s">
        <v>1100</v>
      </c>
      <c r="P9" s="207">
        <f>IF(C31="Yes",IF(B31&lt;&gt;"Sprinkler",1,VLOOKUP(C15,Table_SprLkg,IF(B3="B",2,3),FALSE)),1)</f>
        <v>1</v>
      </c>
      <c r="Q9" s="207">
        <v>1</v>
      </c>
      <c r="R9" s="207">
        <v>1</v>
      </c>
      <c r="S9" s="207">
        <v>1</v>
      </c>
      <c r="V9" s="189" t="s">
        <v>1496</v>
      </c>
      <c r="W9" s="207">
        <v>1</v>
      </c>
      <c r="X9" s="247">
        <f>IF(C34="Yes",VLOOKUP(C15,Table_Construction,3,FALSE),1)</f>
        <v>1</v>
      </c>
      <c r="Y9" s="207">
        <v>1</v>
      </c>
      <c r="Z9" s="207">
        <v>1</v>
      </c>
      <c r="AB9" s="266"/>
      <c r="AC9" s="268" t="s">
        <v>1573</v>
      </c>
      <c r="AD9" s="423">
        <f>IF(F28="Yes",VLOOKUP(E29,Table_CivilAuth,2,FALSE),1)</f>
        <v>1</v>
      </c>
      <c r="AE9" s="266"/>
      <c r="AF9" s="266"/>
      <c r="AG9" s="268" t="s">
        <v>180</v>
      </c>
      <c r="AH9" s="423">
        <f>1+$AU$25</f>
        <v>1</v>
      </c>
      <c r="AI9" s="423"/>
      <c r="AJ9" s="146"/>
      <c r="AK9" s="545" t="s">
        <v>1020</v>
      </c>
      <c r="AL9" s="299">
        <f>IF(C7="PAC",VLOOKUP(B8,Table_PakMods,MATCH(C11,List_Company,0)+1,FALSE),1)</f>
        <v>1</v>
      </c>
      <c r="AM9" s="299">
        <f>IF(C7="PAC",VLOOKUP(B8,Table_PakMods,MATCH(C11,List_Company,0)+1,FALSE),1)</f>
        <v>1</v>
      </c>
      <c r="AN9" s="299">
        <f>IF(C7="PAC",VLOOKUP(B8,Table_PakMods,MATCH(C11,List_Company,0)+1,FALSE),1)</f>
        <v>1</v>
      </c>
      <c r="AO9" s="299">
        <f>IF(C7="PAC",VLOOKUP(B8,Table_PakMods,MATCH(C11,List_Company,0)+1,FALSE),1)</f>
        <v>1</v>
      </c>
      <c r="AQ9" s="153" t="s">
        <v>1719</v>
      </c>
      <c r="AS9" s="155">
        <f>IF(AS28&lt;-0.025,-0.025,IF(AS28&gt;0.025,0.025,AS28))</f>
        <v>0</v>
      </c>
      <c r="AT9" s="385"/>
    </row>
    <row r="10" spans="1:46" x14ac:dyDescent="0.2">
      <c r="A10" s="120" t="s">
        <v>1829</v>
      </c>
      <c r="B10" s="95"/>
      <c r="C10" s="818">
        <f>IF(B3="B",TC9_BLDG1!C9,IF(B3="PP",TC9_PP1!C9,""))</f>
        <v>1</v>
      </c>
      <c r="D10" s="159" t="s">
        <v>1662</v>
      </c>
      <c r="E10" s="961" t="s">
        <v>857</v>
      </c>
      <c r="F10" s="962" t="s">
        <v>857</v>
      </c>
      <c r="H10" s="82"/>
      <c r="I10" s="248"/>
      <c r="J10" s="248"/>
      <c r="K10" s="248"/>
      <c r="L10" s="248"/>
      <c r="O10" s="236" t="s">
        <v>1099</v>
      </c>
      <c r="P10" s="281">
        <f>C33</f>
        <v>0</v>
      </c>
      <c r="Q10" s="211">
        <v>1</v>
      </c>
      <c r="R10" s="211">
        <v>1</v>
      </c>
      <c r="S10" s="211">
        <v>1</v>
      </c>
      <c r="V10" s="168" t="s">
        <v>972</v>
      </c>
      <c r="W10" s="207">
        <f>IF(OR(C27="S",C27="T"),1,VLOOKUP(C14,Table_ProtClass,IF(C15&lt;=3,2,3),FALSE)) - IF(AND(C33=1,ISNUMBER(B31),W11=1),B31,0)</f>
        <v>0.96</v>
      </c>
      <c r="X10" s="207">
        <v>1</v>
      </c>
      <c r="Y10" s="207">
        <v>1</v>
      </c>
      <c r="Z10" s="207">
        <v>1</v>
      </c>
      <c r="AB10" s="266"/>
      <c r="AC10" s="268" t="s">
        <v>180</v>
      </c>
      <c r="AD10" s="423">
        <f>1+$AU$25</f>
        <v>1</v>
      </c>
      <c r="AE10" s="266"/>
      <c r="AF10" s="266"/>
      <c r="AG10" s="545" t="s">
        <v>1020</v>
      </c>
      <c r="AH10" s="299">
        <f>IF(C7="PAC",VLOOKUP(B8,Table_PakMods,MATCH(C11,List_Company,0)+1,FALSE),1)</f>
        <v>1</v>
      </c>
      <c r="AI10" s="299"/>
      <c r="AJ10" s="542"/>
      <c r="AK10" s="724" t="s">
        <v>1022</v>
      </c>
      <c r="AL10" s="279">
        <v>1</v>
      </c>
      <c r="AM10" s="279">
        <v>1</v>
      </c>
      <c r="AN10" s="279">
        <v>1</v>
      </c>
      <c r="AO10" s="279">
        <v>1</v>
      </c>
      <c r="AQ10" s="687" t="s">
        <v>1720</v>
      </c>
      <c r="AS10" s="155">
        <f>IF(AS29&lt;-0.025,-0.025,IF(AS29&gt;0.025,0.025,AS29))</f>
        <v>0</v>
      </c>
      <c r="AT10" s="385"/>
    </row>
    <row r="11" spans="1:46" x14ac:dyDescent="0.2">
      <c r="A11" s="120" t="s">
        <v>835</v>
      </c>
      <c r="B11" s="95"/>
      <c r="C11" s="1079" t="str">
        <f>IF(B3="B",TC9_BLDG1!C11,IF(B3="PP",TC9_PP1!C11,""))</f>
        <v>GAIC</v>
      </c>
      <c r="D11" s="159" t="s">
        <v>1663</v>
      </c>
      <c r="E11" s="950"/>
      <c r="F11" s="962"/>
      <c r="L11" s="890" t="s">
        <v>1048</v>
      </c>
      <c r="O11" s="168" t="s">
        <v>1199</v>
      </c>
      <c r="P11" s="977">
        <f>IF(OR(C27="S",C27="T"),1,IF(C12="SP",VLOOKUP(C18,Table_TerrMult_SP,2,FALSE),VLOOKUP(C17,Table_TerrMult,2,FALSE))) - IF(AND((C31)="Yes",ISNUMBER(B31)),B31,0) -IF(AND(ISNUMBER(C33),Q48="TM"),C33,0)</f>
        <v>1.1499999999999999</v>
      </c>
      <c r="Q11" s="207">
        <v>1</v>
      </c>
      <c r="R11" s="207">
        <v>1</v>
      </c>
      <c r="S11" s="207">
        <v>1</v>
      </c>
      <c r="V11" s="168" t="s">
        <v>1199</v>
      </c>
      <c r="W11" s="977">
        <f>IF(OR(C27="S",C27="T"),1,VLOOKUP(C17,Table_TerrMult,2,FALSE)) - IF(AND((C31)="Yes",ISNUMBER(B31)),B31,0) -IF(AND(ISNUMBER(C33),Q48="TM"),C33,0)</f>
        <v>1</v>
      </c>
      <c r="X11" s="207">
        <v>1</v>
      </c>
      <c r="Y11" s="207">
        <v>1</v>
      </c>
      <c r="Z11" s="207">
        <v>1</v>
      </c>
      <c r="AB11" s="266"/>
      <c r="AC11" s="545" t="s">
        <v>1020</v>
      </c>
      <c r="AD11" s="299">
        <f>IF(C7="PAC",VLOOKUP(B8,Table_PakMods,MATCH(C11,List_Company,0)+1,FALSE),1)</f>
        <v>1</v>
      </c>
      <c r="AE11" s="266"/>
      <c r="AF11" s="542"/>
      <c r="AG11" s="724" t="s">
        <v>1022</v>
      </c>
      <c r="AH11" s="279">
        <f>1+$AS$14</f>
        <v>1</v>
      </c>
      <c r="AI11" s="559"/>
      <c r="AK11" s="83" t="s">
        <v>1150</v>
      </c>
      <c r="AL11" s="2">
        <f>ROUND(PRODUCT(AL5:AL10),3)</f>
        <v>0</v>
      </c>
      <c r="AM11" s="2">
        <f>ROUND(PRODUCT(AM5:AM10),3)</f>
        <v>0</v>
      </c>
      <c r="AN11" s="2">
        <f>ROUND(PRODUCT(AN5:AN10),3)</f>
        <v>0</v>
      </c>
      <c r="AO11" s="2">
        <f>ROUND(PRODUCT(AO5:AO10),3)</f>
        <v>0</v>
      </c>
      <c r="AQ11" s="687" t="s">
        <v>1721</v>
      </c>
      <c r="AS11" s="155">
        <f>IF(AS30&lt;-0.075,-0.075,IF(AS30&gt;0.075,0.075,AS30))</f>
        <v>0</v>
      </c>
      <c r="AT11" s="385"/>
    </row>
    <row r="12" spans="1:46" ht="13.5" thickBot="1" x14ac:dyDescent="0.25">
      <c r="A12" s="415" t="s">
        <v>910</v>
      </c>
      <c r="B12" s="493">
        <f>IF(OR(C15=5,C15=6),1,2)</f>
        <v>2</v>
      </c>
      <c r="C12" s="1051" t="s">
        <v>894</v>
      </c>
      <c r="D12" s="159" t="s">
        <v>1223</v>
      </c>
      <c r="E12" s="950"/>
      <c r="F12" s="962"/>
      <c r="H12" s="168" t="s">
        <v>1046</v>
      </c>
      <c r="I12" s="248">
        <f>IF(AND(F3="Yes",F44="Yes"),W60,0)</f>
        <v>0</v>
      </c>
      <c r="J12" s="248"/>
      <c r="K12" s="248"/>
      <c r="L12" s="248"/>
      <c r="O12" s="1117" t="s">
        <v>2140</v>
      </c>
      <c r="P12" s="247">
        <f>DF_BI_BRF1</f>
        <v>0.8</v>
      </c>
      <c r="Q12" s="247">
        <f>DF_BI_BRF2</f>
        <v>0.65</v>
      </c>
      <c r="R12" s="247">
        <v>1</v>
      </c>
      <c r="S12" s="247">
        <v>1</v>
      </c>
      <c r="V12" s="168" t="s">
        <v>1100</v>
      </c>
      <c r="W12" s="207">
        <f>IF(C31="Yes",IF(B31&lt;&gt;"Sprinkler",1,VLOOKUP(C15,Table_SprLkg,IF(B3="B",2,3),FALSE)),1)</f>
        <v>1</v>
      </c>
      <c r="X12" s="207">
        <v>1</v>
      </c>
      <c r="Y12" s="207">
        <v>1</v>
      </c>
      <c r="Z12" s="207">
        <v>1</v>
      </c>
      <c r="AB12" s="542"/>
      <c r="AC12" s="724" t="s">
        <v>1022</v>
      </c>
      <c r="AD12" s="279">
        <f>1+$AS$14</f>
        <v>1</v>
      </c>
      <c r="AE12" s="385"/>
      <c r="AF12" s="385"/>
      <c r="AG12" s="685" t="s">
        <v>396</v>
      </c>
      <c r="AH12" s="385">
        <f>ROUND(PRODUCT(AH4:AH11),3)</f>
        <v>0</v>
      </c>
      <c r="AI12" s="385"/>
      <c r="AJ12" s="185"/>
      <c r="AK12" s="186" t="s">
        <v>1025</v>
      </c>
      <c r="AL12" s="238">
        <f>IF(ISNUMBER(E47),E47/100,0)</f>
        <v>0</v>
      </c>
      <c r="AM12" s="238">
        <f>IF(ISNUMBER(E47),E47/100,0)</f>
        <v>0</v>
      </c>
      <c r="AN12" s="238">
        <f>IF(ISNUMBER(E47),E47/100,0)</f>
        <v>0</v>
      </c>
      <c r="AO12" s="238">
        <f>IF(ISNUMBER(E47),E47/100,0)</f>
        <v>0</v>
      </c>
      <c r="AQ12" s="8" t="s">
        <v>1722</v>
      </c>
      <c r="AS12" s="155">
        <f>IF(AS31&lt;-0.05,-0.05,IF(AS31&gt;0.05,0.05,AS31))</f>
        <v>0</v>
      </c>
      <c r="AT12" s="385"/>
    </row>
    <row r="13" spans="1:46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52">
        <v>2</v>
      </c>
      <c r="D13" s="480"/>
      <c r="E13" s="815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168" t="s">
        <v>1047</v>
      </c>
      <c r="I13" s="248">
        <f>IF(AND(F3="Yes",F46="Yes"),AL48,0)</f>
        <v>0</v>
      </c>
      <c r="J13" s="248"/>
      <c r="K13" s="248"/>
      <c r="L13" s="248"/>
      <c r="O13" s="189" t="s">
        <v>1496</v>
      </c>
      <c r="P13" s="207">
        <v>1</v>
      </c>
      <c r="Q13" s="207">
        <f>IF(C34="Yes",VLOOKUP(C15,Table_Construction,3,FALSE),1)</f>
        <v>1</v>
      </c>
      <c r="R13" s="207">
        <v>1</v>
      </c>
      <c r="S13" s="207">
        <v>1</v>
      </c>
      <c r="V13" s="236" t="s">
        <v>1099</v>
      </c>
      <c r="W13" s="281">
        <f>B33</f>
        <v>0</v>
      </c>
      <c r="X13" s="211">
        <v>1</v>
      </c>
      <c r="Y13" s="211">
        <v>1</v>
      </c>
      <c r="Z13" s="211">
        <v>1</v>
      </c>
      <c r="AB13" s="385"/>
      <c r="AC13" s="685" t="s">
        <v>679</v>
      </c>
      <c r="AD13" s="558" t="e">
        <f>ROUND(PRODUCT(AD6:AD12),3)</f>
        <v>#N/A</v>
      </c>
      <c r="AE13" s="266"/>
      <c r="AF13" s="542"/>
      <c r="AG13" s="724" t="s">
        <v>1572</v>
      </c>
      <c r="AH13" s="238">
        <f>IF(ISNUMBER(F4),F4/100,0)</f>
        <v>5000</v>
      </c>
      <c r="AI13" s="478"/>
      <c r="AK13" s="83" t="s">
        <v>1647</v>
      </c>
      <c r="AL13" s="248">
        <f>ROUND(PRODUCT(AL11:AL12),0)</f>
        <v>0</v>
      </c>
      <c r="AM13" s="248">
        <f>ROUND(PRODUCT(AM11:AM12),0)</f>
        <v>0</v>
      </c>
      <c r="AN13" s="248">
        <f>ROUND(PRODUCT(AN11:AN12),0)</f>
        <v>0</v>
      </c>
      <c r="AO13" s="248">
        <f>ROUND(PRODUCT(AO11:AO12),0)</f>
        <v>0</v>
      </c>
      <c r="AQ13" s="8"/>
      <c r="AS13" s="155"/>
      <c r="AT13" s="385"/>
    </row>
    <row r="14" spans="1:46" ht="13.5" thickBot="1" x14ac:dyDescent="0.25">
      <c r="A14" s="108" t="s">
        <v>898</v>
      </c>
      <c r="B14" s="95"/>
      <c r="C14" s="1079">
        <f>IF(B3="B",TC9_BLDG1!C14,IF(B3="PP",TC9_PP1!C14,""))</f>
        <v>3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491" t="str">
        <f>IF(AND(E8="Yes",E14="Area"),ROUND(SUM(E13:F13)/SUM(E11:F11),3),IF(AND(E8="Yes",E14="Value"),ROUND(SUM(E12:F12)/SUM(E13:F13),3),""))</f>
        <v/>
      </c>
      <c r="I14" s="248"/>
      <c r="J14" s="248"/>
      <c r="K14" s="248"/>
      <c r="L14" s="248"/>
      <c r="N14" s="209"/>
      <c r="O14" s="210" t="s">
        <v>1016</v>
      </c>
      <c r="P14" s="212">
        <v>1</v>
      </c>
      <c r="Q14" s="212">
        <v>1</v>
      </c>
      <c r="R14" s="212">
        <v>1</v>
      </c>
      <c r="S14" s="212">
        <v>1</v>
      </c>
      <c r="U14" s="209"/>
      <c r="V14" s="210" t="s">
        <v>1016</v>
      </c>
      <c r="W14" s="212">
        <v>1</v>
      </c>
      <c r="X14" s="212">
        <v>1</v>
      </c>
      <c r="Y14" s="212">
        <v>1</v>
      </c>
      <c r="Z14" s="212">
        <v>1</v>
      </c>
      <c r="AB14" s="542"/>
      <c r="AC14" s="724" t="s">
        <v>1572</v>
      </c>
      <c r="AD14" s="238">
        <f>IF(ISNUMBER(F4),F4/100,0)</f>
        <v>5000</v>
      </c>
      <c r="AE14" s="266"/>
      <c r="AF14" s="266"/>
      <c r="AG14" s="568" t="s">
        <v>680</v>
      </c>
      <c r="AH14" s="248">
        <f>ROUND(PRODUCT(AH12:AH13),0)</f>
        <v>0</v>
      </c>
      <c r="AI14" s="248"/>
      <c r="AR14" s="60" t="s">
        <v>952</v>
      </c>
      <c r="AS14" s="157">
        <f>IF(SUM(AS4:AS13)&lt;-0.4,-0.4,IF(SUM(AS4:AS13)&gt;0.4,0.4,SUM(AS4:AS13)))</f>
        <v>0</v>
      </c>
      <c r="AT14" s="385"/>
    </row>
    <row r="15" spans="1:46" ht="13.5" customHeight="1" x14ac:dyDescent="0.2">
      <c r="A15" s="108" t="s">
        <v>1073</v>
      </c>
      <c r="B15" s="319" t="str">
        <f>IF(C15&lt;=4,"B","A")</f>
        <v>B</v>
      </c>
      <c r="C15" s="1080">
        <f>IF(B3="B",TC9_BLDG1!C15,IF(B3="PP",TC9_PP1!C15,""))</f>
        <v>1</v>
      </c>
      <c r="D15" s="84" t="s">
        <v>1224</v>
      </c>
      <c r="E15" s="193"/>
      <c r="F15" s="964" t="s">
        <v>857</v>
      </c>
      <c r="H15" s="568" t="s">
        <v>244</v>
      </c>
      <c r="I15" s="797">
        <f>SUM(I12:I13,I9:L9)</f>
        <v>0</v>
      </c>
      <c r="O15" s="168" t="s">
        <v>1250</v>
      </c>
      <c r="P15" s="207">
        <f>IF(F6="Yes",DF_BI_AV,1)</f>
        <v>1</v>
      </c>
      <c r="Q15" s="207">
        <f>IF(F6="Yes",DF_BI_AV,1)</f>
        <v>1</v>
      </c>
      <c r="R15" s="207">
        <f>IF(F6="Yes",DF_BI_AV,1)</f>
        <v>1</v>
      </c>
      <c r="S15" s="207">
        <f>IF(F6="Yes",DF_BI_AV,1)</f>
        <v>1</v>
      </c>
      <c r="V15" s="168" t="s">
        <v>1250</v>
      </c>
      <c r="W15" s="207">
        <f>IF(F6="Yes",DF_BI_AV,1)</f>
        <v>1</v>
      </c>
      <c r="X15" s="207">
        <f>IF(F6="Yes",DF_BI_AV,1)</f>
        <v>1</v>
      </c>
      <c r="Y15" s="207">
        <v>1</v>
      </c>
      <c r="Z15" s="207">
        <v>1</v>
      </c>
      <c r="AB15" s="266"/>
      <c r="AC15" s="568" t="s">
        <v>680</v>
      </c>
      <c r="AD15" s="248" t="e">
        <f>ROUND(PRODUCT(AD13:AD14),0)</f>
        <v>#N/A</v>
      </c>
      <c r="AE15" s="266"/>
      <c r="AF15" s="266"/>
      <c r="AG15" s="266"/>
      <c r="AH15" s="266"/>
      <c r="AI15" s="266"/>
      <c r="AK15" s="685" t="s">
        <v>549</v>
      </c>
      <c r="AL15" s="907">
        <f>IF(E48="Yes",IF(C12="SP",SUM(AL13:AN13),IF(C12="BR",SUM(AL13:AM13,AO13),SUM(AL13:AM13))),0)</f>
        <v>0</v>
      </c>
      <c r="AQ15" s="686"/>
      <c r="AR15" s="385"/>
      <c r="AS15" s="738"/>
      <c r="AT15" s="385"/>
    </row>
    <row r="16" spans="1:46" x14ac:dyDescent="0.2">
      <c r="A16" s="84" t="s">
        <v>975</v>
      </c>
      <c r="B16" s="160"/>
      <c r="C16" s="1080" t="str">
        <f>IF(B3="B",TC9_BLDG1!C16,IF(B3="PP",TC9_PP1!C16,""))</f>
        <v>A</v>
      </c>
      <c r="D16" s="159" t="s">
        <v>1244</v>
      </c>
      <c r="E16" s="963"/>
      <c r="F16" s="277"/>
      <c r="N16" s="146"/>
      <c r="O16" s="545" t="s">
        <v>1253</v>
      </c>
      <c r="P16" s="563">
        <f>IF(OR(ISBLANK(F7),F7="None"),1,IF(E8="Yes",F14+P18,VLOOKUP(F7,IF(F5="Yes",Table_BI_CoIns_EE,Table_BI_CoIns),F8+1,FALSE)+P18))</f>
        <v>0.54</v>
      </c>
      <c r="Q16" s="563">
        <f>IF(OR(ISBLANK(F7),F7="None"),1,IF(E8="Yes",F14,VLOOKUP(F7,IF(F5="Yes",Table_BI_CoIns_EE,Table_BI_CoIns),F8+1,FALSE)+Q18))</f>
        <v>0.54</v>
      </c>
      <c r="R16" s="299">
        <v>1</v>
      </c>
      <c r="S16" s="299">
        <v>1</v>
      </c>
      <c r="V16" s="83" t="s">
        <v>1251</v>
      </c>
      <c r="W16" s="207">
        <f>IF(F17="Yes",VLOOKUP(F8,Table_BI_MaxInd,E5,FALSE)+W18,1)</f>
        <v>1</v>
      </c>
      <c r="X16" s="207">
        <f>IF(F17="Yes",VLOOKUP(F8,Table_BI_MaxInd,E5,FALSE)+X18,1)</f>
        <v>1</v>
      </c>
      <c r="Y16" s="207">
        <v>1</v>
      </c>
      <c r="Z16" s="207">
        <v>1</v>
      </c>
      <c r="AB16" s="266"/>
      <c r="AC16" s="266"/>
      <c r="AD16" s="266"/>
      <c r="AE16" s="557"/>
      <c r="AF16" s="557"/>
      <c r="AG16" s="557"/>
      <c r="AH16" s="557"/>
      <c r="AI16" s="557"/>
      <c r="AK16" s="685"/>
      <c r="AL16" s="701"/>
      <c r="AQ16" s="385"/>
      <c r="AR16" s="385"/>
      <c r="AS16" s="738"/>
      <c r="AT16" s="385"/>
    </row>
    <row r="17" spans="1:48" ht="15" customHeight="1" thickBot="1" x14ac:dyDescent="0.25">
      <c r="A17" s="122" t="s">
        <v>974</v>
      </c>
      <c r="B17" s="95"/>
      <c r="C17" s="1079">
        <f>IF(B3="B",TC9_BLDG1!C17,IF(B3="PP",TC9_PP1!C17,""))</f>
        <v>1</v>
      </c>
      <c r="D17" s="84" t="s">
        <v>1204</v>
      </c>
      <c r="E17" s="193"/>
      <c r="F17" s="960" t="s">
        <v>857</v>
      </c>
      <c r="O17" s="83" t="s">
        <v>2241</v>
      </c>
      <c r="P17" s="207">
        <f>IF(F17="Yes",VLOOKUP(F8,Table_BI_MaxInd,E5,FALSE)+P18,1)</f>
        <v>1</v>
      </c>
      <c r="Q17" s="207">
        <f>IF(F17="Yes",VLOOKUP(F8,Table_BI_MaxInd,E5,FALSE)+Q18,1)</f>
        <v>1</v>
      </c>
      <c r="R17" s="207">
        <v>1</v>
      </c>
      <c r="S17" s="207">
        <v>1</v>
      </c>
      <c r="V17" s="83" t="s">
        <v>1252</v>
      </c>
      <c r="W17" s="207">
        <f ca="1">IF(F18="Yes",VLOOKUP(E19,INDIRECT("Table_BI_Mos"&amp;F8),E5,FALSE)+W18,1)</f>
        <v>1</v>
      </c>
      <c r="X17" s="207">
        <f ca="1">IF(F18="Yes",VLOOKUP(E19,INDIRECT("Table_BI_Mos"&amp;F8),E5,FALSE)+X18,1)</f>
        <v>1</v>
      </c>
      <c r="Y17" s="207">
        <v>1</v>
      </c>
      <c r="Z17" s="207">
        <v>1</v>
      </c>
      <c r="AB17" s="557"/>
      <c r="AC17" s="557"/>
      <c r="AD17" s="557"/>
      <c r="AE17" s="266"/>
      <c r="AF17" s="60" t="s">
        <v>684</v>
      </c>
      <c r="AH17" s="235"/>
      <c r="AI17" s="235"/>
      <c r="AQ17" s="385"/>
      <c r="AR17" s="701"/>
      <c r="AS17" s="738"/>
      <c r="AT17" s="385"/>
    </row>
    <row r="18" spans="1:48" x14ac:dyDescent="0.2">
      <c r="A18" s="1195" t="s">
        <v>2097</v>
      </c>
      <c r="B18" s="95"/>
      <c r="C18" s="1238">
        <v>2</v>
      </c>
      <c r="D18" s="84" t="s">
        <v>1203</v>
      </c>
      <c r="E18" s="193"/>
      <c r="F18" s="960" t="s">
        <v>857</v>
      </c>
      <c r="H18" s="483" t="s">
        <v>662</v>
      </c>
      <c r="I18" s="485"/>
      <c r="N18" s="266"/>
      <c r="O18" s="1420" t="s">
        <v>2240</v>
      </c>
      <c r="P18" s="426">
        <f>IF(F30="Yes",VLOOKUP(E31,Table_BI_Mining,2,FALSE),0)</f>
        <v>0</v>
      </c>
      <c r="Q18" s="426">
        <f>IF(F30="Yes",VLOOKUP(E31,Table_BI_Mining,3,FALSE),0)</f>
        <v>0</v>
      </c>
      <c r="R18" s="423">
        <v>1</v>
      </c>
      <c r="S18" s="423">
        <v>1</v>
      </c>
      <c r="U18" s="266"/>
      <c r="V18" s="267" t="s">
        <v>1592</v>
      </c>
      <c r="W18" s="426">
        <f>IF(F30="Yes",VLOOKUP(E31,Table_BI_Mining,2,FALSE),0)</f>
        <v>0</v>
      </c>
      <c r="X18" s="426">
        <f>IF(F30="Yes",VLOOKUP(E31,Table_BI_Mining,3,FALSE),0)</f>
        <v>0</v>
      </c>
      <c r="Y18" s="423">
        <v>1</v>
      </c>
      <c r="Z18" s="423">
        <v>1</v>
      </c>
      <c r="AB18" s="60" t="s">
        <v>681</v>
      </c>
      <c r="AD18" s="235"/>
      <c r="AE18" s="266"/>
      <c r="AF18" s="266"/>
      <c r="AG18" s="268" t="s">
        <v>1753</v>
      </c>
      <c r="AH18" s="426">
        <f>IF(F63="Yes",VLOOKUP(E64,Table_Other_WaterBuyback,6,FALSE),0)</f>
        <v>0</v>
      </c>
      <c r="AI18" s="426"/>
      <c r="AJ18" s="60" t="s">
        <v>551</v>
      </c>
      <c r="AL18" s="235" t="s">
        <v>1012</v>
      </c>
      <c r="AM18" s="235" t="s">
        <v>1013</v>
      </c>
      <c r="AN18" s="235" t="s">
        <v>838</v>
      </c>
      <c r="AO18" s="235" t="s">
        <v>837</v>
      </c>
      <c r="AQ18" s="136" t="s">
        <v>947</v>
      </c>
      <c r="AR18" s="137"/>
      <c r="AS18" s="137"/>
      <c r="AT18" s="137"/>
      <c r="AU18" s="136" t="s">
        <v>938</v>
      </c>
      <c r="AV18" s="517"/>
    </row>
    <row r="19" spans="1:48" ht="13.5" thickBot="1" x14ac:dyDescent="0.25">
      <c r="A19" s="126"/>
      <c r="B19" s="96"/>
      <c r="C19" s="1081"/>
      <c r="D19" s="159" t="s">
        <v>1225</v>
      </c>
      <c r="E19" s="965" t="s">
        <v>857</v>
      </c>
      <c r="F19" s="169"/>
      <c r="H19" s="486" t="s">
        <v>682</v>
      </c>
      <c r="I19" s="485">
        <f>IF(AND(F54="Yes",F56="Yes"),AD15,0)</f>
        <v>0</v>
      </c>
      <c r="O19" s="83" t="s">
        <v>1252</v>
      </c>
      <c r="P19" s="207">
        <f ca="1">IF(F18="Yes",VLOOKUP(E19,INDIRECT("Table_BI_Mos"&amp;F8),E5,FALSE)+P18,1)</f>
        <v>1</v>
      </c>
      <c r="Q19" s="207">
        <f ca="1">IF(F18="Yes",VLOOKUP(E19,INDIRECT("Table_BI_Mos"&amp;F8),E5,FALSE)+Q18,1)</f>
        <v>1</v>
      </c>
      <c r="R19" s="207">
        <v>1</v>
      </c>
      <c r="S19" s="207">
        <v>1</v>
      </c>
      <c r="V19" s="189" t="s">
        <v>1547</v>
      </c>
      <c r="W19" s="207">
        <f>IF(AND(F20="Yes",OR(E21=1,E21=3)),VLOOKUP(F7,Table_BI_Educ,E5,FALSE),1)</f>
        <v>1</v>
      </c>
      <c r="X19" s="207">
        <f>IF(AND(F20="Yes",OR(E21=1,E21=3)),VLOOKUP(F7,Table_BI_Educ,E5,FALSE),1)</f>
        <v>1</v>
      </c>
      <c r="Y19" s="207">
        <v>1</v>
      </c>
      <c r="Z19" s="207">
        <v>1</v>
      </c>
      <c r="AB19" s="266"/>
      <c r="AC19" s="268" t="s">
        <v>1724</v>
      </c>
      <c r="AD19" s="426">
        <f>IF(F29="Yes",B29,0)</f>
        <v>0</v>
      </c>
      <c r="AE19" s="266"/>
      <c r="AF19" s="558"/>
      <c r="AG19" s="755" t="s">
        <v>971</v>
      </c>
      <c r="AH19" s="558">
        <f>HLOOKUP(C11,Table_StateRates,6,FALSE)</f>
        <v>1.9</v>
      </c>
      <c r="AI19" s="558"/>
      <c r="AJ19" s="146"/>
      <c r="AK19" s="545" t="s">
        <v>1049</v>
      </c>
      <c r="AL19" s="146">
        <f>VLOOKUP(2,Table_Time_Utility,2,FALSE)</f>
        <v>4.3999999999999997E-2</v>
      </c>
      <c r="AM19" s="146">
        <f>VLOOKUP(2,Table_Time_Utility,3,FALSE)</f>
        <v>4.3999999999999997E-2</v>
      </c>
      <c r="AN19" s="146">
        <f>VLOOKUP(2,Table_Time_Utility,5,FALSE)</f>
        <v>2.9000000000000001E-2</v>
      </c>
      <c r="AO19" s="563">
        <f>VLOOKUP(2,Table_Time_Utility,4,FALSE)</f>
        <v>0.01</v>
      </c>
      <c r="AQ19" s="138" t="s">
        <v>939</v>
      </c>
      <c r="AR19" s="8"/>
      <c r="AS19" s="8"/>
      <c r="AT19" s="8"/>
      <c r="AU19" s="445" t="s">
        <v>940</v>
      </c>
      <c r="AV19" s="481"/>
    </row>
    <row r="20" spans="1:48" x14ac:dyDescent="0.2">
      <c r="A20" s="88" t="s">
        <v>954</v>
      </c>
      <c r="B20" s="89"/>
      <c r="C20" s="1053"/>
      <c r="D20" s="534" t="s">
        <v>1233</v>
      </c>
      <c r="E20" s="273"/>
      <c r="F20" s="960" t="s">
        <v>857</v>
      </c>
      <c r="H20" s="486" t="s">
        <v>681</v>
      </c>
      <c r="I20" s="485">
        <f>IF(AND(F54="Yes",F59="Yes"),AD29,0)</f>
        <v>0</v>
      </c>
      <c r="N20" s="185"/>
      <c r="O20" s="477" t="s">
        <v>1547</v>
      </c>
      <c r="P20" s="208">
        <f>IF(AND(F20="Yes",OR(E21=1,E21=3)),VLOOKUP(F7,Table_BI_Educ,E5,FALSE),1)</f>
        <v>1</v>
      </c>
      <c r="Q20" s="208">
        <f>IF(AND(F20="Yes",OR(E21=1,E21=3)),VLOOKUP(F7,Table_BI_Educ,E5,FALSE),1)</f>
        <v>1</v>
      </c>
      <c r="R20" s="208">
        <v>1</v>
      </c>
      <c r="S20" s="208">
        <v>1</v>
      </c>
      <c r="V20" s="83" t="s">
        <v>1549</v>
      </c>
      <c r="W20" s="207">
        <f>IF(AND(F20="Yes",E21=2),VLOOKUP(F7,Table_BI_Educ,E5,FALSE)+IF(F21&gt;4,SUM(4*0.02,(F21-4)*0.04),F21*0.02),1)</f>
        <v>1</v>
      </c>
      <c r="X20" s="207">
        <f>IF(AND(F20="Yes",E21=2),VLOOKUP(F7,Table_BI_Educ,E5,FALSE)+IF(F21&gt;4,SUM(4*0.02,(F21-4)*0.04),F21*0.02),1)</f>
        <v>1</v>
      </c>
      <c r="Y20" s="207">
        <v>1</v>
      </c>
      <c r="Z20" s="207">
        <v>1</v>
      </c>
      <c r="AB20" s="757"/>
      <c r="AC20" s="758" t="s">
        <v>971</v>
      </c>
      <c r="AD20" s="279">
        <f>HLOOKUP(C11,Table_StateRates,6,FALSE)</f>
        <v>1.9</v>
      </c>
      <c r="AE20" s="266"/>
      <c r="AF20" s="266"/>
      <c r="AG20" s="268" t="s">
        <v>1019</v>
      </c>
      <c r="AH20" s="423">
        <f>HLOOKUP(C11,Table_StateRates,5,FALSE)</f>
        <v>1.38</v>
      </c>
      <c r="AI20" s="423"/>
      <c r="AK20" s="168" t="s">
        <v>971</v>
      </c>
      <c r="AL20" s="207">
        <f>HLOOKUP(C11,Table_StateRates,6,FALSE)</f>
        <v>1.9</v>
      </c>
      <c r="AM20" s="207">
        <f>HLOOKUP(C11,Table_StateRates,6,FALSE)</f>
        <v>1.9</v>
      </c>
      <c r="AN20" s="207">
        <f>HLOOKUP(C11,Table_StateRates,6,FALSE)</f>
        <v>1.9</v>
      </c>
      <c r="AO20" s="207">
        <f>HLOOKUP(C11,Table_StateRates,6,FALSE)</f>
        <v>1.9</v>
      </c>
      <c r="AQ20" s="138" t="s">
        <v>941</v>
      </c>
      <c r="AR20" s="8"/>
      <c r="AS20" s="8"/>
      <c r="AT20" s="8"/>
      <c r="AU20" s="26"/>
      <c r="AV20" s="481"/>
    </row>
    <row r="21" spans="1:48" x14ac:dyDescent="0.2">
      <c r="A21" s="122" t="s">
        <v>956</v>
      </c>
      <c r="B21" s="319">
        <f>IF(C17=1,1,2)</f>
        <v>1</v>
      </c>
      <c r="C21" s="1082" t="str">
        <f>IF(B3="B",TC9_BLDG1!C21,IF(B3="PP",TC9_PP1!C21,""))</f>
        <v>Yes</v>
      </c>
      <c r="D21" s="535" t="s">
        <v>1550</v>
      </c>
      <c r="E21" s="948"/>
      <c r="F21" s="966"/>
      <c r="H21" s="486" t="s">
        <v>1742</v>
      </c>
      <c r="I21" s="485">
        <f>IF(AND(F54="Yes",F60="Yes"),AH14,0)</f>
        <v>0</v>
      </c>
      <c r="O21" s="83" t="s">
        <v>1420</v>
      </c>
      <c r="P21" s="1315">
        <f ca="1">ROUND(PRODUCT(P8,IF(AND(C31="Yes",B31="Sprinkler",C33&lt;&gt;1),P9-P10,P9),P11:P17,P19:P20),3)</f>
        <v>0.157</v>
      </c>
      <c r="Q21" s="1315">
        <f ca="1">ROUND(PRODUCT(Q8:Q17,Q19:Q20),3)</f>
        <v>3.9E-2</v>
      </c>
      <c r="R21" s="1315">
        <f>ROUND(PRODUCT(R8:R20),3)</f>
        <v>0.115</v>
      </c>
      <c r="S21" s="1315">
        <f>ROUND(PRODUCT(S8:S20),3)</f>
        <v>2.9000000000000001E-2</v>
      </c>
      <c r="V21" s="189" t="s">
        <v>1254</v>
      </c>
      <c r="W21" s="207">
        <f>IF(F27="Yes",VLOOKUP(E5,Table_BI_Seasonal,2,FALSE),1)</f>
        <v>1</v>
      </c>
      <c r="X21" s="207">
        <v>1</v>
      </c>
      <c r="Y21" s="207">
        <v>1</v>
      </c>
      <c r="Z21" s="207">
        <v>1</v>
      </c>
      <c r="AB21" s="266"/>
      <c r="AC21" s="568" t="s">
        <v>685</v>
      </c>
      <c r="AD21" s="266">
        <f>ROUND(PRODUCT(AD19:AD20),3)</f>
        <v>0</v>
      </c>
      <c r="AE21" s="266"/>
      <c r="AF21" s="266"/>
      <c r="AG21" s="268"/>
      <c r="AH21" s="423"/>
      <c r="AI21" s="423"/>
      <c r="AK21" s="168" t="s">
        <v>1019</v>
      </c>
      <c r="AL21" s="207">
        <f>HLOOKUP(C11,Table_StateRates,5,FALSE)</f>
        <v>1.38</v>
      </c>
      <c r="AM21" s="207">
        <f>HLOOKUP(C11,Table_StateRates,5,FALSE)</f>
        <v>1.38</v>
      </c>
      <c r="AN21" s="207">
        <f>HLOOKUP(C11,Table_StateRates,5,FALSE)</f>
        <v>1.38</v>
      </c>
      <c r="AO21" s="207">
        <f>HLOOKUP(C11,Table_StateRates,5,FALSE)</f>
        <v>1.38</v>
      </c>
      <c r="AQ21" s="26"/>
      <c r="AR21" s="8"/>
      <c r="AS21" s="8"/>
      <c r="AT21" s="8"/>
      <c r="AU21" s="727" t="s">
        <v>942</v>
      </c>
      <c r="AV21" s="481"/>
    </row>
    <row r="22" spans="1:48" x14ac:dyDescent="0.2">
      <c r="A22" s="911" t="s">
        <v>958</v>
      </c>
      <c r="B22" s="90"/>
      <c r="C22" s="570" t="str">
        <f>IF(B3="B",TC9_BLDG1!C22,IF(B3="PP",TC9_PP1!C22,""))</f>
        <v>No</v>
      </c>
      <c r="D22" s="536" t="s">
        <v>1228</v>
      </c>
      <c r="E22" s="294"/>
      <c r="F22" s="295"/>
      <c r="H22" s="597" t="s">
        <v>1743</v>
      </c>
      <c r="I22" s="487">
        <f>IF(AND(F54="Yes",F63="Yes"),AH28,0)</f>
        <v>0</v>
      </c>
      <c r="O22" s="83" t="s">
        <v>1549</v>
      </c>
      <c r="P22" s="207">
        <f>IF(AND(F20="Yes",E21=2),VLOOKUP(F7,Table_BI_Educ,E5,FALSE)+IF(F21&gt;4,SUM(4*0.02,(F21-4)*0.04),F21*0.02),1)</f>
        <v>1</v>
      </c>
      <c r="Q22" s="207">
        <f>IF(AND(F20="Yes",E21=2),VLOOKUP(F7,Table_BI_Educ,E5,FALSE)+IF(F21&gt;4,SUM(4*0.02,(F21-4)*0.04),F21*0.02),1)</f>
        <v>1</v>
      </c>
      <c r="R22" s="207">
        <v>1</v>
      </c>
      <c r="S22" s="207">
        <v>1</v>
      </c>
      <c r="V22" s="189" t="s">
        <v>1255</v>
      </c>
      <c r="W22" s="207">
        <f>IF(F15="Yes",VLOOKUP(E16,Table_BI_IndDays,2,FALSE),1)</f>
        <v>1</v>
      </c>
      <c r="X22" s="207">
        <f>IF(F15="Yes",VLOOKUP(E16,Table_BI_IndDays,2,FALSE),1)</f>
        <v>1</v>
      </c>
      <c r="Y22" s="207">
        <v>1</v>
      </c>
      <c r="Z22" s="207">
        <v>1</v>
      </c>
      <c r="AB22" s="542"/>
      <c r="AC22" s="724" t="s">
        <v>1740</v>
      </c>
      <c r="AD22" s="279">
        <f>DF_MoltenMaterial</f>
        <v>0.1</v>
      </c>
      <c r="AE22" s="385"/>
      <c r="AF22" s="266"/>
      <c r="AG22" s="268"/>
      <c r="AH22" s="423"/>
      <c r="AI22" s="423"/>
      <c r="AK22" s="168" t="s">
        <v>180</v>
      </c>
      <c r="AL22" s="207">
        <v>1</v>
      </c>
      <c r="AM22" s="207">
        <v>1</v>
      </c>
      <c r="AN22" s="207">
        <v>1</v>
      </c>
      <c r="AO22" s="207">
        <v>1</v>
      </c>
      <c r="AQ22" s="445" t="s">
        <v>943</v>
      </c>
      <c r="AR22" s="8"/>
      <c r="AS22" s="142" t="s">
        <v>944</v>
      </c>
      <c r="AT22" s="8"/>
      <c r="AU22" s="727" t="s">
        <v>945</v>
      </c>
      <c r="AV22" s="481"/>
    </row>
    <row r="23" spans="1:48" ht="13.5" thickBot="1" x14ac:dyDescent="0.25">
      <c r="A23" s="908" t="s">
        <v>955</v>
      </c>
      <c r="B23" s="910"/>
      <c r="C23" s="1055"/>
      <c r="D23" s="537" t="s">
        <v>1239</v>
      </c>
      <c r="E23" s="296"/>
      <c r="F23" s="295"/>
      <c r="H23" s="568" t="s">
        <v>1744</v>
      </c>
      <c r="I23" s="569">
        <f>SUM(I19:I22)</f>
        <v>0</v>
      </c>
      <c r="O23" s="189" t="s">
        <v>1254</v>
      </c>
      <c r="P23" s="207">
        <f>IF(F27="Yes",VLOOKUP(E5,Table_BI_Seasonal,2,FALSE),1)</f>
        <v>1</v>
      </c>
      <c r="Q23" s="207">
        <v>1</v>
      </c>
      <c r="R23" s="207">
        <v>1</v>
      </c>
      <c r="S23" s="207">
        <v>1</v>
      </c>
      <c r="V23" s="168" t="s">
        <v>1256</v>
      </c>
      <c r="W23" s="207">
        <f>IF(F24="Yes",VLOOKUP(E25,Table_BI_OrdPR,2,FALSE),1)</f>
        <v>1</v>
      </c>
      <c r="X23" s="207">
        <v>1</v>
      </c>
      <c r="Y23" s="207">
        <v>1</v>
      </c>
      <c r="Z23" s="207">
        <v>1</v>
      </c>
      <c r="AB23" s="266"/>
      <c r="AC23" s="568" t="s">
        <v>917</v>
      </c>
      <c r="AD23" s="426">
        <f>ROUND(PRODUCT(AD21:AD22),3)</f>
        <v>0</v>
      </c>
      <c r="AE23" s="423"/>
      <c r="AF23" s="266"/>
      <c r="AG23" s="268" t="s">
        <v>180</v>
      </c>
      <c r="AH23" s="423">
        <f>1+$AU$25</f>
        <v>1</v>
      </c>
      <c r="AI23" s="423"/>
      <c r="AJ23" s="146"/>
      <c r="AK23" s="545" t="s">
        <v>1020</v>
      </c>
      <c r="AL23" s="299">
        <f>IF(C7="PAC",VLOOKUP(B8,Table_PakMods,MATCH(C11,List_Company,0)+1,FALSE),1)</f>
        <v>1</v>
      </c>
      <c r="AM23" s="299">
        <f>IF(C7="PAC",VLOOKUP(B8,Table_PakMods,MATCH(C11,List_Company,0)+1,FALSE),1)</f>
        <v>1</v>
      </c>
      <c r="AN23" s="299">
        <f>IF(C7="PAC",VLOOKUP(B8,Table_PakMods,MATCH(C11,List_Company,0)+1,FALSE),1)</f>
        <v>1</v>
      </c>
      <c r="AO23" s="299">
        <f>IF(C7="PAC",VLOOKUP(B8,Table_PakMods,MATCH(C11,List_Company,0)+1,FALSE),1)</f>
        <v>1</v>
      </c>
      <c r="AQ23" s="140" t="s">
        <v>1715</v>
      </c>
      <c r="AR23" s="8"/>
      <c r="AS23" s="144"/>
      <c r="AT23" s="8"/>
      <c r="AU23" s="727" t="s">
        <v>946</v>
      </c>
      <c r="AV23" s="481"/>
    </row>
    <row r="24" spans="1:48" ht="13.5" thickBot="1" x14ac:dyDescent="0.25">
      <c r="A24" s="108" t="s">
        <v>957</v>
      </c>
      <c r="B24" s="896">
        <f>IF(B3="B",TC9_BLDG1!B24,IF(B3="PP",TC9_PP1!B24,""))</f>
        <v>0</v>
      </c>
      <c r="C24" s="885" t="str">
        <f>IF(B3="B",TC9_BLDG1!C24,IF(B3="PP",TC9_PP1!C24,""))</f>
        <v>Yes</v>
      </c>
      <c r="D24" s="444" t="s">
        <v>1229</v>
      </c>
      <c r="E24" s="103"/>
      <c r="F24" s="967" t="s">
        <v>857</v>
      </c>
      <c r="O24" s="189" t="s">
        <v>1255</v>
      </c>
      <c r="P24" s="207">
        <f>IF(F15="Yes",VLOOKUP(E16,Table_BI_IndDays,2,FALSE),1)</f>
        <v>1</v>
      </c>
      <c r="Q24" s="207">
        <f>IF(F15="Yes",VLOOKUP(E16,Table_BI_IndDays,2,FALSE),1)</f>
        <v>1</v>
      </c>
      <c r="R24" s="207">
        <v>1</v>
      </c>
      <c r="S24" s="207">
        <v>1</v>
      </c>
      <c r="V24" s="168" t="s">
        <v>1257</v>
      </c>
      <c r="W24" s="207">
        <f>IF(F26="Yes",DF_BI_Power,1)</f>
        <v>1</v>
      </c>
      <c r="X24" s="207">
        <v>1</v>
      </c>
      <c r="Y24" s="207">
        <v>1</v>
      </c>
      <c r="Z24" s="207">
        <v>1</v>
      </c>
      <c r="AB24" s="266"/>
      <c r="AC24" s="268" t="s">
        <v>180</v>
      </c>
      <c r="AD24" s="423">
        <f>1+$AU$25</f>
        <v>1</v>
      </c>
      <c r="AE24" s="559"/>
      <c r="AF24" s="266"/>
      <c r="AG24" s="545" t="s">
        <v>1020</v>
      </c>
      <c r="AH24" s="299">
        <f>IF(C7="PAC",VLOOKUP(B8,Table_PakMods,MATCH(C11,List_Company,0)+1,FALSE),1)</f>
        <v>1</v>
      </c>
      <c r="AI24" s="299"/>
      <c r="AJ24" s="542"/>
      <c r="AK24" s="724" t="s">
        <v>1022</v>
      </c>
      <c r="AL24" s="279">
        <v>1</v>
      </c>
      <c r="AM24" s="279">
        <v>1</v>
      </c>
      <c r="AN24" s="279">
        <v>1</v>
      </c>
      <c r="AO24" s="279">
        <v>1</v>
      </c>
      <c r="AQ24" s="141" t="s">
        <v>1714</v>
      </c>
      <c r="AR24" s="139"/>
      <c r="AS24" s="145"/>
      <c r="AT24" s="139"/>
      <c r="AU24" s="445"/>
      <c r="AV24" s="481"/>
    </row>
    <row r="25" spans="1:48" ht="13.5" thickBot="1" x14ac:dyDescent="0.25">
      <c r="A25" s="92"/>
      <c r="B25" s="93"/>
      <c r="C25" s="903"/>
      <c r="D25" s="819" t="s">
        <v>1243</v>
      </c>
      <c r="E25" s="965" t="s">
        <v>857</v>
      </c>
      <c r="F25" s="292"/>
      <c r="O25" s="168" t="s">
        <v>1256</v>
      </c>
      <c r="P25" s="207">
        <f>IF(F24="Yes",VLOOKUP(E25,Table_BI_OrdPR,2,FALSE),1)</f>
        <v>1</v>
      </c>
      <c r="Q25" s="207">
        <v>1</v>
      </c>
      <c r="R25" s="207">
        <f>IF(F24="Yes",VLOOKUP(E25,Table_BI_OrdPR,2,FALSE),1)</f>
        <v>1</v>
      </c>
      <c r="S25" s="207">
        <v>1</v>
      </c>
      <c r="U25" s="266"/>
      <c r="V25" s="268" t="s">
        <v>1259</v>
      </c>
      <c r="W25" s="423">
        <f>IF(F33="Yes",1,IF(F28="Yes",VLOOKUP(E29,Table_CivilAuth,2,FALSE),1))</f>
        <v>1</v>
      </c>
      <c r="X25" s="423">
        <f>IF(F33="Yes",1,IF(F28="Yes",VLOOKUP(E29,Table_CivilAuth,2,FALSE),1))</f>
        <v>1</v>
      </c>
      <c r="Y25" s="423">
        <v>1</v>
      </c>
      <c r="Z25" s="423">
        <v>1</v>
      </c>
      <c r="AB25" s="266"/>
      <c r="AC25" s="545" t="s">
        <v>1020</v>
      </c>
      <c r="AD25" s="299">
        <f>IF(C7="PAC",VLOOKUP(B8,Table_PakMods,MATCH(C11,List_Company,0)+1,FALSE),1)</f>
        <v>1</v>
      </c>
      <c r="AE25" s="426"/>
      <c r="AF25" s="542"/>
      <c r="AG25" s="724" t="s">
        <v>1022</v>
      </c>
      <c r="AH25" s="279">
        <f>1+$AS$14</f>
        <v>1</v>
      </c>
      <c r="AI25" s="559"/>
      <c r="AK25" s="83" t="s">
        <v>1150</v>
      </c>
      <c r="AL25" s="2">
        <f>ROUND(PRODUCT(AL19:AL24),3)</f>
        <v>0.115</v>
      </c>
      <c r="AM25" s="2">
        <f>ROUND(PRODUCT(AM19:AM24),3)</f>
        <v>0.115</v>
      </c>
      <c r="AN25" s="2">
        <f>ROUND(PRODUCT(AN19:AN24),3)</f>
        <v>7.5999999999999998E-2</v>
      </c>
      <c r="AO25" s="2">
        <f>ROUND(PRODUCT(AO19:AO24),3)</f>
        <v>2.5999999999999999E-2</v>
      </c>
      <c r="AQ25" s="141" t="s">
        <v>1716</v>
      </c>
      <c r="AR25" s="139"/>
      <c r="AS25" s="145"/>
      <c r="AT25" s="139"/>
      <c r="AU25" s="1597"/>
      <c r="AV25" s="1598"/>
    </row>
    <row r="26" spans="1:48" ht="13.5" thickBot="1" x14ac:dyDescent="0.25">
      <c r="A26" s="529" t="s">
        <v>1827</v>
      </c>
      <c r="B26" s="531"/>
      <c r="C26" s="904"/>
      <c r="D26" s="444" t="s">
        <v>1230</v>
      </c>
      <c r="E26" s="103"/>
      <c r="F26" s="967" t="s">
        <v>857</v>
      </c>
      <c r="H26" s="60" t="s">
        <v>663</v>
      </c>
      <c r="I26" s="2">
        <f>IF(F3="Yes",IF(AND(C21="Yes",C24="Yes"),AD47,IF(AND(C21="Yes",C24="No"),B24,0)),0)</f>
        <v>0</v>
      </c>
      <c r="O26" s="168" t="s">
        <v>1257</v>
      </c>
      <c r="P26" s="207">
        <f>IF(F26="Yes",DF_BI_Power,1)</f>
        <v>1</v>
      </c>
      <c r="Q26" s="207">
        <v>1</v>
      </c>
      <c r="R26" s="207">
        <v>1</v>
      </c>
      <c r="S26" s="207">
        <v>1</v>
      </c>
      <c r="U26" s="266"/>
      <c r="V26" s="268" t="s">
        <v>821</v>
      </c>
      <c r="W26" s="423">
        <f>IF(AND(F33="Yes",E34="24-HR"),VLOOKUP(E34,Table_BI_Wait,3,FALSE),1)</f>
        <v>1</v>
      </c>
      <c r="X26" s="423">
        <f>IF(AND(F33="Yes",E34="24-HR"),VLOOKUP(E34,Table_BI_Wait,3,FALSE),1)</f>
        <v>1</v>
      </c>
      <c r="Y26" s="423">
        <f>IF(AND(F33="Yes",E34="24-HR"),VLOOKUP(E34,Table_BI_Wait,3,FALSE),1)</f>
        <v>1</v>
      </c>
      <c r="Z26" s="423">
        <f>IF(AND(F33="Yes",E34="24-HR"),VLOOKUP(E34,Table_BI_Wait,3,FALSE),1)</f>
        <v>1</v>
      </c>
      <c r="AB26" s="542"/>
      <c r="AC26" s="724" t="s">
        <v>1022</v>
      </c>
      <c r="AD26" s="279">
        <f>1+$AS$14</f>
        <v>1</v>
      </c>
      <c r="AE26" s="385"/>
      <c r="AF26" s="385"/>
      <c r="AG26" s="685" t="s">
        <v>686</v>
      </c>
      <c r="AH26" s="385">
        <f>ROUND(PRODUCT(AH18:AH25),3)</f>
        <v>0</v>
      </c>
      <c r="AI26" s="385"/>
      <c r="AJ26" s="185"/>
      <c r="AK26" s="186" t="s">
        <v>1025</v>
      </c>
      <c r="AL26" s="238">
        <f>IF(ISNUMBER(E47),E47/100,0)</f>
        <v>0</v>
      </c>
      <c r="AM26" s="238">
        <f>IF(ISNUMBER(E47),E47/100,0)</f>
        <v>0</v>
      </c>
      <c r="AN26" s="238">
        <f>IF(ISNUMBER(E47),E47/100,0)</f>
        <v>0</v>
      </c>
      <c r="AO26" s="238">
        <f>IF(ISNUMBER(E47),E47/100,0)</f>
        <v>0</v>
      </c>
      <c r="AQ26" s="141" t="s">
        <v>1717</v>
      </c>
      <c r="AR26" s="139"/>
      <c r="AS26" s="145"/>
      <c r="AT26" s="139"/>
      <c r="AU26" s="445"/>
      <c r="AV26" s="481"/>
    </row>
    <row r="27" spans="1:48" x14ac:dyDescent="0.2">
      <c r="A27" s="521" t="s">
        <v>899</v>
      </c>
      <c r="B27" s="817" t="str">
        <f>IF(C27="C","Class",IF(C27="S","Specific",IF(C27="T","Tentative","")))</f>
        <v>Class</v>
      </c>
      <c r="C27" s="818" t="str">
        <f>IF(B3="B",IF(TC9_BLDG1!C28&lt;&gt;"SC",TC9_BLDG1!C28,"C"),IF(B3="PP",TC9_PP1!C28,""))</f>
        <v>C</v>
      </c>
      <c r="D27" s="444" t="s">
        <v>1232</v>
      </c>
      <c r="E27" s="103"/>
      <c r="F27" s="967" t="s">
        <v>857</v>
      </c>
      <c r="N27" s="266"/>
      <c r="O27" s="268" t="s">
        <v>1259</v>
      </c>
      <c r="P27" s="423">
        <f>IF(F28="Yes",VLOOKUP(E29,Table_CivilAuth,2,FALSE),1)</f>
        <v>1</v>
      </c>
      <c r="Q27" s="423">
        <f>IF(F28="Yes",VLOOKUP(E29,Table_CivilAuth,2,FALSE),1)</f>
        <v>1</v>
      </c>
      <c r="R27" s="423">
        <f>IF(F28="Yes",VLOOKUP(E29,Table_CivilAuth,2,FALSE),1)</f>
        <v>1</v>
      </c>
      <c r="S27" s="423">
        <f>IF(F28="Yes",VLOOKUP(E29,Table_CivilAuth,2,FALSE),1)</f>
        <v>1</v>
      </c>
      <c r="U27" s="266"/>
      <c r="V27" s="568" t="s">
        <v>822</v>
      </c>
      <c r="W27" s="423">
        <f>IF(AND(F33="Yes",E34="None"),VLOOKUP(E34,Table_BI_Wait,3,FALSE),1)</f>
        <v>1</v>
      </c>
      <c r="X27" s="423">
        <f>IF(AND(F33="Yes",E34="None"),VLOOKUP(E34,Table_BI_Wait,3,FALSE),1)</f>
        <v>1</v>
      </c>
      <c r="Y27" s="423">
        <f>IF(AND(F33="Yes",E34="None"),VLOOKUP(E34,Table_BI_Wait,3,FALSE),1)</f>
        <v>1</v>
      </c>
      <c r="Z27" s="423">
        <f>IF(AND(F33="Yes",E34="None"),VLOOKUP(E34,Table_BI_Wait,3,FALSE),1)</f>
        <v>1</v>
      </c>
      <c r="AB27" s="385"/>
      <c r="AC27" s="685" t="s">
        <v>1741</v>
      </c>
      <c r="AD27" s="558">
        <f>ROUND(PRODUCT(AD23:AD26),3)</f>
        <v>0</v>
      </c>
      <c r="AE27" s="266"/>
      <c r="AF27" s="542"/>
      <c r="AG27" s="724" t="s">
        <v>1572</v>
      </c>
      <c r="AH27" s="238">
        <f>IF(ISNUMBER(F4),F4/100,0)</f>
        <v>5000</v>
      </c>
      <c r="AI27" s="478"/>
      <c r="AK27" s="83" t="s">
        <v>1647</v>
      </c>
      <c r="AL27" s="248">
        <f>ROUND(PRODUCT(AL25:AL26),0)</f>
        <v>0</v>
      </c>
      <c r="AM27" s="248">
        <f>ROUND(PRODUCT(AM25:AM26),0)</f>
        <v>0</v>
      </c>
      <c r="AN27" s="248">
        <f>ROUND(PRODUCT(AN25:AN26),0)</f>
        <v>0</v>
      </c>
      <c r="AO27" s="248">
        <f>ROUND(PRODUCT(AO25:AO26),0)</f>
        <v>0</v>
      </c>
      <c r="AQ27" s="141" t="s">
        <v>1718</v>
      </c>
      <c r="AR27" s="8"/>
      <c r="AS27" s="145"/>
      <c r="AT27" s="8"/>
      <c r="AU27" s="26"/>
      <c r="AV27" s="481"/>
    </row>
    <row r="28" spans="1:48" x14ac:dyDescent="0.2">
      <c r="A28" s="108" t="s">
        <v>953</v>
      </c>
      <c r="B28" s="95"/>
      <c r="C28" s="570" t="str">
        <f>IF(B3="B",TC9_BLDG1!C30,IF(B3="PP",TC9_PP1!C30,0))</f>
        <v>No</v>
      </c>
      <c r="D28" s="538" t="s">
        <v>1545</v>
      </c>
      <c r="E28" s="103"/>
      <c r="F28" s="967" t="s">
        <v>857</v>
      </c>
      <c r="N28" s="266"/>
      <c r="O28" s="268" t="s">
        <v>821</v>
      </c>
      <c r="P28" s="423">
        <f>IF(AND(F33="Yes",E34="24-HR"),VLOOKUP(E34,Table_BI_Wait,3,FALSE),1)</f>
        <v>1</v>
      </c>
      <c r="Q28" s="423">
        <f>IF(AND(F33="Yes",E34="24-HR"),VLOOKUP(E34,Table_BI_Wait,3,FALSE),1)</f>
        <v>1</v>
      </c>
      <c r="R28" s="423">
        <f>IF(AND(F33="Yes",E34="24-HR"),VLOOKUP(E34,Table_BI_Wait,3,FALSE),1)</f>
        <v>1</v>
      </c>
      <c r="S28" s="423">
        <f>IF(AND(F33="Yes",E34="24-HR"),VLOOKUP(E34,Table_BI_Wait,3,FALSE),1)</f>
        <v>1</v>
      </c>
      <c r="V28" s="168" t="s">
        <v>1019</v>
      </c>
      <c r="W28" s="207">
        <f>HLOOKUP(C11,Table_StateRates,5,FALSE)</f>
        <v>1.38</v>
      </c>
      <c r="X28" s="207">
        <f>HLOOKUP(C11,Table_StateRates,5,FALSE)</f>
        <v>1.38</v>
      </c>
      <c r="Y28" s="207">
        <f>HLOOKUP(C11,Table_StateRates,5,FALSE)</f>
        <v>1.38</v>
      </c>
      <c r="Z28" s="207">
        <f>HLOOKUP(C11,Table_StateRates,5,FALSE)</f>
        <v>1.38</v>
      </c>
      <c r="AB28" s="542"/>
      <c r="AC28" s="724" t="s">
        <v>1572</v>
      </c>
      <c r="AD28" s="238">
        <f>IF(ISNUMBER(F4),F4/100,0)</f>
        <v>5000</v>
      </c>
      <c r="AE28" s="266"/>
      <c r="AF28" s="266"/>
      <c r="AG28" s="568" t="s">
        <v>687</v>
      </c>
      <c r="AH28" s="248">
        <f>ROUND(PRODUCT(AH26:AH27),0)</f>
        <v>0</v>
      </c>
      <c r="AI28" s="248"/>
      <c r="AQ28" s="141" t="s">
        <v>181</v>
      </c>
      <c r="AR28" s="8"/>
      <c r="AS28" s="145"/>
      <c r="AT28" s="8"/>
      <c r="AU28" s="26"/>
      <c r="AV28" s="481"/>
    </row>
    <row r="29" spans="1:48" ht="13.5" thickBot="1" x14ac:dyDescent="0.25">
      <c r="A29" s="743" t="str">
        <f>IF(B3="B","80% Bldg LC - Grp I / II",IF(B3="PP","80% Pers. Pty LC - Grp I / II","No Rating Available"))</f>
        <v>80% Bldg LC - Grp I / II</v>
      </c>
      <c r="B29" s="1421">
        <f>IF(B3="B",TC9_BLDG1!P5,IF(B3="PP",TC9_PP1!P5,0))</f>
        <v>0.126</v>
      </c>
      <c r="C29" s="749">
        <f>IF(B3="B",TC9_BLDG1!Q5,IF(B3="PP",TC9_PP1!Q5,0))</f>
        <v>4.2000000000000003E-2</v>
      </c>
      <c r="D29" s="518" t="s">
        <v>1555</v>
      </c>
      <c r="E29" s="948">
        <v>90</v>
      </c>
      <c r="F29" s="169"/>
      <c r="H29" s="60" t="s">
        <v>2288</v>
      </c>
      <c r="I29" s="1468">
        <f>SUM(I5:L5,I15,I23)</f>
        <v>0</v>
      </c>
      <c r="N29" s="542"/>
      <c r="O29" s="1419" t="s">
        <v>822</v>
      </c>
      <c r="P29" s="279">
        <f>IF(AND(F33="Yes",E34="None"),VLOOKUP(E34,Table_BI_Wait,3,FALSE),1)</f>
        <v>1</v>
      </c>
      <c r="Q29" s="279">
        <f>IF(AND(F33="Yes",E34="None"),VLOOKUP(E34,Table_BI_Wait,3,FALSE),1)</f>
        <v>1</v>
      </c>
      <c r="R29" s="279">
        <f>IF(AND(F33="Yes",E34="None"),VLOOKUP(E34,Table_BI_Wait,3,FALSE),1)</f>
        <v>1</v>
      </c>
      <c r="S29" s="279">
        <f>IF(AND(F33="Yes",E34="None"),VLOOKUP(E34,Table_BI_Wait,3,FALSE),1)</f>
        <v>1</v>
      </c>
      <c r="U29" s="266"/>
      <c r="V29" s="268" t="s">
        <v>180</v>
      </c>
      <c r="W29" s="423">
        <f>1+$AU$25</f>
        <v>1</v>
      </c>
      <c r="X29" s="423">
        <f>1+$AU$25</f>
        <v>1</v>
      </c>
      <c r="Y29" s="423">
        <f>1+$AU$25</f>
        <v>1</v>
      </c>
      <c r="Z29" s="423">
        <f>1+$AU$25</f>
        <v>1</v>
      </c>
      <c r="AB29" s="266"/>
      <c r="AC29" s="568" t="s">
        <v>681</v>
      </c>
      <c r="AD29" s="248">
        <f>ROUND(PRODUCT(AD27:AD28),0)</f>
        <v>0</v>
      </c>
      <c r="AE29" s="266"/>
      <c r="AF29" s="266"/>
      <c r="AG29" s="266"/>
      <c r="AH29" s="266"/>
      <c r="AI29" s="266"/>
      <c r="AK29" s="685" t="s">
        <v>549</v>
      </c>
      <c r="AL29" s="907">
        <f>IF(E50="Yes",IF(C12="SP",SUM(AL27:AN27),IF(C12="BR",SUM(AL27:AM27,AO27),SUM(AL27:AM27))),0)</f>
        <v>0</v>
      </c>
      <c r="AQ29" s="141" t="s">
        <v>1720</v>
      </c>
      <c r="AR29" s="8"/>
      <c r="AS29" s="145"/>
      <c r="AT29" s="8"/>
      <c r="AU29" s="26"/>
      <c r="AV29" s="481"/>
    </row>
    <row r="30" spans="1:48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IF(B3="B",TC9_BLDG1!C33,IF(B3="PP",TC9_PP1!C33,""))</f>
        <v>6</v>
      </c>
      <c r="D30" s="538" t="s">
        <v>1246</v>
      </c>
      <c r="E30" s="103"/>
      <c r="F30" s="967" t="s">
        <v>857</v>
      </c>
      <c r="O30" s="83" t="s">
        <v>2239</v>
      </c>
      <c r="P30" s="1315">
        <f ca="1">ROUND(PRODUCT(P21:P29),3)</f>
        <v>0.157</v>
      </c>
      <c r="Q30" s="1315">
        <f ca="1">ROUND(PRODUCT(Q21:Q29),3)</f>
        <v>3.9E-2</v>
      </c>
      <c r="R30" s="1315">
        <f>ROUND(PRODUCT(R21:R29),3)</f>
        <v>0.115</v>
      </c>
      <c r="S30" s="1315">
        <f>ROUND(PRODUCT(S21:S29),3)</f>
        <v>2.9000000000000001E-2</v>
      </c>
      <c r="U30" s="146"/>
      <c r="V30" s="545" t="s">
        <v>1020</v>
      </c>
      <c r="W30" s="299">
        <f>IF(C7="PAC",VLOOKUP(B8,Table_PakMods,MATCH(C11,List_Company,0)+1,FALSE),1)</f>
        <v>1</v>
      </c>
      <c r="X30" s="299">
        <f>IF(C7="PAC",VLOOKUP(B8,Table_PakMods,MATCH(C11,List_Company,0)+1,FALSE),1)</f>
        <v>1</v>
      </c>
      <c r="Y30" s="299">
        <f>IF(C7="PAC",VLOOKUP(B8,Table_PakMods,MATCH(C11,List_Company,0)+1,FALSE),1)</f>
        <v>1</v>
      </c>
      <c r="Z30" s="299">
        <f>IF(C7="PAC",VLOOKUP(B8,Table_PakMods,MATCH(C11,List_Company,0)+1,FALSE),1)</f>
        <v>1</v>
      </c>
      <c r="AC30" s="83"/>
      <c r="AD30" s="248"/>
      <c r="AQ30" s="141" t="s">
        <v>182</v>
      </c>
      <c r="AR30" s="8"/>
      <c r="AS30" s="145"/>
      <c r="AT30" s="8"/>
      <c r="AU30" s="26"/>
      <c r="AV30" s="481"/>
    </row>
    <row r="31" spans="1:48" ht="13.5" thickBot="1" x14ac:dyDescent="0.25">
      <c r="A31" s="108" t="s">
        <v>1813</v>
      </c>
      <c r="B31" s="939" t="str">
        <f>IF(B3="B",TC9_BLDG1!C61,IF(B3="PP",TC9_PP1!C57,0))</f>
        <v>NA</v>
      </c>
      <c r="C31" s="570" t="str">
        <f>IF(B3="B",TC9_BLDG1!C59,IF(B3="PP",TC9_PP1!C55,0))</f>
        <v>No</v>
      </c>
      <c r="D31" s="507" t="s">
        <v>1589</v>
      </c>
      <c r="E31" s="948" t="s">
        <v>857</v>
      </c>
      <c r="F31" s="169"/>
      <c r="H31" s="60" t="s">
        <v>2291</v>
      </c>
      <c r="I31" s="1470">
        <f>SUM(I26,I29)</f>
        <v>0</v>
      </c>
      <c r="N31" s="266"/>
      <c r="O31" s="268" t="s">
        <v>180</v>
      </c>
      <c r="P31" s="423">
        <f>1+$AU$25</f>
        <v>1</v>
      </c>
      <c r="Q31" s="423">
        <f>1+$AU$25</f>
        <v>1</v>
      </c>
      <c r="R31" s="423">
        <f>1+$AU$25</f>
        <v>1</v>
      </c>
      <c r="S31" s="423">
        <f>1+$AU$25</f>
        <v>1</v>
      </c>
      <c r="U31" s="542"/>
      <c r="V31" s="724" t="s">
        <v>1022</v>
      </c>
      <c r="W31" s="279">
        <f>1+$AS$14</f>
        <v>1</v>
      </c>
      <c r="X31" s="279">
        <f>1+$AS$14</f>
        <v>1</v>
      </c>
      <c r="Y31" s="279">
        <f>1+$AS$14</f>
        <v>1</v>
      </c>
      <c r="Z31" s="279">
        <f>1+$AS$14</f>
        <v>1</v>
      </c>
      <c r="AJ31" s="266"/>
      <c r="AK31" s="266"/>
      <c r="AL31" s="266"/>
      <c r="AM31" s="558"/>
      <c r="AN31" s="558"/>
      <c r="AO31" s="558"/>
      <c r="AQ31" s="141" t="s">
        <v>1722</v>
      </c>
      <c r="AR31" s="8"/>
      <c r="AS31" s="145"/>
      <c r="AT31" s="8"/>
      <c r="AU31" s="26"/>
      <c r="AV31" s="481"/>
    </row>
    <row r="32" spans="1:48" ht="13.5" thickBot="1" x14ac:dyDescent="0.25">
      <c r="A32" s="108" t="s">
        <v>1825</v>
      </c>
      <c r="B32" s="747"/>
      <c r="C32" s="570" t="str">
        <f>IF(B3="B",TC9_BLDG1!B60,IF(B3="PP",TC9_PP1!B56,0))</f>
        <v>No</v>
      </c>
      <c r="D32" s="499"/>
      <c r="E32" s="146"/>
      <c r="F32" s="481"/>
      <c r="N32" s="146"/>
      <c r="O32" s="545" t="s">
        <v>1020</v>
      </c>
      <c r="P32" s="299">
        <f>IF(C7="PAC",VLOOKUP(B8,Table_PakMods,MATCH(C11,List_Company,0)+1,FALSE),1)</f>
        <v>1</v>
      </c>
      <c r="Q32" s="299">
        <f>IF(C7="PAC",VLOOKUP(B8,Table_PakMods,MATCH(C11,List_Company,0)+1,FALSE),1)</f>
        <v>1</v>
      </c>
      <c r="R32" s="299">
        <f>IF(C7="PAC",VLOOKUP(B8,Table_PakMods,MATCH(C11,List_Company,0)+1,FALSE),1)</f>
        <v>1</v>
      </c>
      <c r="S32" s="299">
        <f>IF(C7="PAC",VLOOKUP(B8,Table_PakMods,MATCH(C11,List_Company,0)+1,FALSE),1)</f>
        <v>1</v>
      </c>
      <c r="V32" s="83" t="s">
        <v>1150</v>
      </c>
      <c r="W32" s="247">
        <f ca="1">ROUND(PRODUCT(W8:W11,IF(AND(C31="Yes",B31="Sprinkler",C33&lt;&gt;1),W12-W13,W12),W14:W17,W19:W31),3)</f>
        <v>0.17100000000000001</v>
      </c>
      <c r="X32" s="247">
        <f ca="1">ROUND(PRODUCT(X8:X12,X14:X17,X19:X31),3)</f>
        <v>5.8999999999999997E-2</v>
      </c>
      <c r="Y32" s="247">
        <f>ROUND(PRODUCT(Y8:Y31),3)</f>
        <v>0.11600000000000001</v>
      </c>
      <c r="Z32" s="247">
        <f>ROUND(PRODUCT(Z8:Z31),3)</f>
        <v>2.9000000000000001E-2</v>
      </c>
      <c r="AJ32" s="60" t="s">
        <v>552</v>
      </c>
      <c r="AL32" s="235" t="s">
        <v>1012</v>
      </c>
      <c r="AM32" s="235" t="s">
        <v>1013</v>
      </c>
      <c r="AN32" s="235" t="s">
        <v>838</v>
      </c>
      <c r="AO32" s="235" t="s">
        <v>837</v>
      </c>
      <c r="AQ32" s="85"/>
      <c r="AR32" s="86"/>
      <c r="AS32" s="86"/>
      <c r="AT32" s="86"/>
      <c r="AU32" s="85"/>
      <c r="AV32" s="196"/>
    </row>
    <row r="33" spans="1:46" ht="13.5" thickBot="1" x14ac:dyDescent="0.25">
      <c r="A33" s="108" t="s">
        <v>1824</v>
      </c>
      <c r="B33" s="748"/>
      <c r="C33" s="570">
        <f>IF(AND(B3="B",TC9_BLDG1!C62="Yes"),TC9_BLDG1!P14,IF(AND(B3="PP",TC9_PP1!C58="Yes"),TC9_PP1!P14,0))</f>
        <v>0</v>
      </c>
      <c r="D33" s="527" t="s">
        <v>1608</v>
      </c>
      <c r="E33" s="422"/>
      <c r="F33" s="967" t="s">
        <v>857</v>
      </c>
      <c r="N33" s="542"/>
      <c r="O33" s="724" t="s">
        <v>1022</v>
      </c>
      <c r="P33" s="279">
        <f>1+$AS$14</f>
        <v>1</v>
      </c>
      <c r="Q33" s="279">
        <f>1+$AS$14</f>
        <v>1</v>
      </c>
      <c r="R33" s="279">
        <f>1+$AS$14</f>
        <v>1</v>
      </c>
      <c r="S33" s="279">
        <f>1+$AS$14</f>
        <v>1</v>
      </c>
      <c r="U33" s="185"/>
      <c r="V33" s="186" t="s">
        <v>1025</v>
      </c>
      <c r="W33" s="238">
        <f>IF(ISNUMBER(F38),F38/100,0)</f>
        <v>0</v>
      </c>
      <c r="X33" s="238">
        <f>IF(ISNUMBER(F38),F38/100,0)</f>
        <v>0</v>
      </c>
      <c r="Y33" s="238">
        <f>IF(ISNUMBER(F38),F38/100,0)</f>
        <v>0</v>
      </c>
      <c r="Z33" s="238">
        <f>IF(ISNUMBER(F38),F38/100,0)</f>
        <v>0</v>
      </c>
      <c r="AJ33" s="146"/>
      <c r="AK33" s="545" t="s">
        <v>1049</v>
      </c>
      <c r="AL33" s="146">
        <f>VLOOKUP(3,Table_Time_Utility,2,FALSE)</f>
        <v>1.0999999999999999E-2</v>
      </c>
      <c r="AM33" s="146">
        <f>VLOOKUP(3,Table_Time_Utility,3,FALSE)</f>
        <v>2.7E-2</v>
      </c>
      <c r="AN33" s="146">
        <f>VLOOKUP(3,Table_Time_Utility,5,FALSE)</f>
        <v>5.2999999999999999E-2</v>
      </c>
      <c r="AO33" s="563">
        <f>VLOOKUP(3,Table_Time_Utility,4,FALSE)</f>
        <v>0.01</v>
      </c>
      <c r="AQ33" s="742"/>
      <c r="AR33" s="686"/>
      <c r="AS33" s="737"/>
      <c r="AT33" s="737"/>
    </row>
    <row r="34" spans="1:46" ht="13.5" thickBot="1" x14ac:dyDescent="0.25">
      <c r="A34" s="122" t="s">
        <v>1469</v>
      </c>
      <c r="B34" s="747"/>
      <c r="C34" s="571" t="str">
        <f>IF(B3="B",TC9_BLDG1!C64,IF(B3="PP",TC9_PP1!C60,0))</f>
        <v>No</v>
      </c>
      <c r="D34" s="539" t="s">
        <v>1609</v>
      </c>
      <c r="E34" s="968" t="s">
        <v>857</v>
      </c>
      <c r="F34" s="169"/>
      <c r="N34" s="385"/>
      <c r="O34" s="685" t="s">
        <v>2236</v>
      </c>
      <c r="P34" s="1314">
        <f>ROUND(PRODUCT(P31:P33),3)</f>
        <v>1</v>
      </c>
      <c r="Q34" s="1314">
        <f>ROUND(PRODUCT(Q31:Q33),3)</f>
        <v>1</v>
      </c>
      <c r="R34" s="1314">
        <f>ROUND(PRODUCT(R31:R33),3)</f>
        <v>1</v>
      </c>
      <c r="S34" s="1314">
        <f>ROUND(PRODUCT(S31:S33),3)</f>
        <v>1</v>
      </c>
      <c r="V34" s="83" t="s">
        <v>977</v>
      </c>
      <c r="W34" s="248">
        <f ca="1">ROUND(PRODUCT(W32:W33),0)</f>
        <v>0</v>
      </c>
      <c r="X34" s="248">
        <f ca="1">ROUND(PRODUCT(X32:X33),0)</f>
        <v>0</v>
      </c>
      <c r="Y34" s="248">
        <f>ROUND(PRODUCT(Y32:Y33),0)</f>
        <v>0</v>
      </c>
      <c r="Z34" s="248">
        <f>ROUND(PRODUCT(Z32:Z33),0)</f>
        <v>0</v>
      </c>
      <c r="AB34" s="1602" t="s">
        <v>388</v>
      </c>
      <c r="AC34" s="1603"/>
      <c r="AD34" s="1603"/>
      <c r="AE34" s="1603"/>
      <c r="AF34" s="1603"/>
      <c r="AG34" s="1603"/>
      <c r="AH34" s="1604"/>
      <c r="AJ34" s="185"/>
      <c r="AK34" s="186" t="s">
        <v>1050</v>
      </c>
      <c r="AL34" s="238">
        <f>F51</f>
        <v>0</v>
      </c>
      <c r="AM34" s="238">
        <f>F51</f>
        <v>0</v>
      </c>
      <c r="AN34" s="238">
        <f>F51</f>
        <v>0</v>
      </c>
      <c r="AO34" s="785">
        <f>F51</f>
        <v>0</v>
      </c>
      <c r="AQ34" s="742"/>
      <c r="AR34" s="686"/>
      <c r="AS34" s="737"/>
      <c r="AT34" s="737"/>
    </row>
    <row r="35" spans="1:46" ht="13.5" thickBot="1" x14ac:dyDescent="0.25">
      <c r="A35" s="526"/>
      <c r="B35" s="96"/>
      <c r="C35" s="516"/>
      <c r="D35" s="91"/>
      <c r="E35" s="195"/>
      <c r="F35" s="101"/>
      <c r="N35" s="542"/>
      <c r="O35" s="1211" t="s">
        <v>2239</v>
      </c>
      <c r="P35" s="757">
        <f ca="1">P30</f>
        <v>0.157</v>
      </c>
      <c r="Q35" s="757">
        <f ca="1">Q30</f>
        <v>3.9E-2</v>
      </c>
      <c r="R35" s="757">
        <f>R30</f>
        <v>0.115</v>
      </c>
      <c r="S35" s="757">
        <f>S30</f>
        <v>2.9000000000000001E-2</v>
      </c>
      <c r="V35" s="83"/>
      <c r="W35" s="248"/>
      <c r="X35" s="248"/>
      <c r="Y35" s="248"/>
      <c r="Z35" s="248"/>
      <c r="AB35" s="266"/>
      <c r="AC35" s="266"/>
      <c r="AD35" s="266"/>
      <c r="AE35" s="266"/>
      <c r="AF35" s="266"/>
      <c r="AG35" s="266"/>
      <c r="AJ35" s="146"/>
      <c r="AK35" s="301" t="s">
        <v>1051</v>
      </c>
      <c r="AL35" s="146">
        <f>ROUND(PRODUCT(AL33:AL34),3)</f>
        <v>0</v>
      </c>
      <c r="AM35" s="146">
        <f>ROUND(PRODUCT(AM33:AM34),3)</f>
        <v>0</v>
      </c>
      <c r="AN35" s="146">
        <f>ROUND(PRODUCT(AN33:AN34),3)</f>
        <v>0</v>
      </c>
      <c r="AO35" s="146">
        <f>ROUND(PRODUCT(AO33:AO34),3)</f>
        <v>0</v>
      </c>
      <c r="AQ35" s="742"/>
      <c r="AR35" s="686"/>
      <c r="AS35" s="737"/>
      <c r="AT35" s="737"/>
    </row>
    <row r="36" spans="1:46" ht="13.5" thickBot="1" x14ac:dyDescent="0.25">
      <c r="D36" s="529" t="s">
        <v>897</v>
      </c>
      <c r="E36" s="217"/>
      <c r="F36" s="218"/>
      <c r="O36" s="83" t="s">
        <v>1421</v>
      </c>
      <c r="P36" s="1315">
        <f ca="1">ROUND(PRODUCT(P34:P35),3)</f>
        <v>0.157</v>
      </c>
      <c r="Q36" s="1315">
        <f ca="1">ROUND(PRODUCT(Q34:Q35),3)</f>
        <v>3.9E-2</v>
      </c>
      <c r="R36" s="1315">
        <f>ROUND(PRODUCT(R34:R35),3)</f>
        <v>0.115</v>
      </c>
      <c r="S36" s="1315">
        <f>ROUND(PRODUCT(S34:S35),3)</f>
        <v>2.9000000000000001E-2</v>
      </c>
      <c r="V36" s="83"/>
      <c r="W36" s="248"/>
      <c r="X36" s="248"/>
      <c r="Y36" s="248"/>
      <c r="Z36" s="248"/>
      <c r="AA36" s="793"/>
      <c r="AB36" s="566" t="s">
        <v>1172</v>
      </c>
      <c r="AC36" s="266"/>
      <c r="AD36" s="266"/>
      <c r="AE36" s="266"/>
      <c r="AF36" s="566"/>
      <c r="AG36" s="266"/>
      <c r="AK36" s="168" t="s">
        <v>971</v>
      </c>
      <c r="AL36" s="207">
        <f>HLOOKUP(C11,Table_StateRates,6,FALSE)</f>
        <v>1.9</v>
      </c>
      <c r="AM36" s="207">
        <f>HLOOKUP(C11,Table_StateRates,6,FALSE)</f>
        <v>1.9</v>
      </c>
      <c r="AN36" s="207">
        <f>HLOOKUP(C11,Table_StateRates,6,FALSE)</f>
        <v>1.9</v>
      </c>
      <c r="AO36" s="207">
        <f>HLOOKUP(C11,Table_StateRates,6,FALSE)</f>
        <v>1.9</v>
      </c>
      <c r="AQ36" s="742"/>
      <c r="AR36" s="686"/>
      <c r="AS36" s="737"/>
      <c r="AT36" s="737"/>
    </row>
    <row r="37" spans="1:46" x14ac:dyDescent="0.2">
      <c r="D37" s="123" t="s">
        <v>964</v>
      </c>
      <c r="E37" s="474"/>
      <c r="F37" s="956" t="s">
        <v>857</v>
      </c>
      <c r="N37" s="185"/>
      <c r="O37" s="186" t="s">
        <v>1025</v>
      </c>
      <c r="P37" s="238">
        <f>IF(ISNUMBER(F4),F4/100,0)</f>
        <v>5000</v>
      </c>
      <c r="Q37" s="238">
        <f>IF(ISNUMBER(F4),F4/100,0)</f>
        <v>5000</v>
      </c>
      <c r="R37" s="238">
        <f>IF(ISNUMBER(F4),F4/100,0)</f>
        <v>5000</v>
      </c>
      <c r="S37" s="238">
        <f>IF(ISNUMBER(F4),F4/100,0)</f>
        <v>5000</v>
      </c>
      <c r="AA37" s="266"/>
      <c r="AB37" s="266"/>
      <c r="AC37" s="486" t="s">
        <v>228</v>
      </c>
      <c r="AD37" s="426">
        <f>IF(C21="Yes",HLOOKUP(B21,Table_Terrorism,3,FALSE),0)</f>
        <v>1.4999999999999999E-2</v>
      </c>
      <c r="AE37" s="266"/>
      <c r="AF37" s="385"/>
      <c r="AG37" s="702"/>
      <c r="AK37" s="168" t="s">
        <v>1019</v>
      </c>
      <c r="AL37" s="207">
        <f>HLOOKUP(C11,Table_StateRates,5,FALSE)</f>
        <v>1.38</v>
      </c>
      <c r="AM37" s="207">
        <f>HLOOKUP(C11,Table_StateRates,5,FALSE)</f>
        <v>1.38</v>
      </c>
      <c r="AN37" s="207">
        <f>HLOOKUP(C11,Table_StateRates,5,FALSE)</f>
        <v>1.38</v>
      </c>
      <c r="AO37" s="207">
        <f>HLOOKUP(C11,Table_StateRates,5,FALSE)</f>
        <v>1.38</v>
      </c>
      <c r="AP37" s="814"/>
      <c r="AQ37" s="742"/>
      <c r="AR37" s="686"/>
      <c r="AS37" s="737"/>
      <c r="AT37" s="737"/>
    </row>
    <row r="38" spans="1:46" x14ac:dyDescent="0.2">
      <c r="D38" s="107" t="s">
        <v>1242</v>
      </c>
      <c r="E38" s="272"/>
      <c r="F38" s="959"/>
      <c r="O38" s="83" t="s">
        <v>977</v>
      </c>
      <c r="P38" s="248">
        <f ca="1">ROUND(PRODUCT(P36:P37),0)</f>
        <v>785</v>
      </c>
      <c r="Q38" s="248">
        <f ca="1">ROUND(PRODUCT(Q36:Q37),0)</f>
        <v>195</v>
      </c>
      <c r="R38" s="248">
        <f>ROUND(PRODUCT(R36:R37),0)</f>
        <v>575</v>
      </c>
      <c r="S38" s="248">
        <f>ROUND(PRODUCT(S36:S37),0)</f>
        <v>145</v>
      </c>
      <c r="W38" s="235" t="s">
        <v>1012</v>
      </c>
      <c r="X38" s="235" t="s">
        <v>1013</v>
      </c>
      <c r="Y38" s="235" t="s">
        <v>838</v>
      </c>
      <c r="Z38" s="235" t="s">
        <v>837</v>
      </c>
      <c r="AA38" s="266"/>
      <c r="AB38" s="209"/>
      <c r="AC38" s="280" t="s">
        <v>1176</v>
      </c>
      <c r="AD38" s="212">
        <v>1</v>
      </c>
      <c r="AE38" s="385"/>
      <c r="AF38" s="385"/>
      <c r="AG38" s="702"/>
      <c r="AK38" s="168" t="s">
        <v>180</v>
      </c>
      <c r="AL38" s="207">
        <v>1</v>
      </c>
      <c r="AM38" s="207">
        <v>1</v>
      </c>
      <c r="AN38" s="207">
        <v>1</v>
      </c>
      <c r="AO38" s="207">
        <v>1</v>
      </c>
      <c r="AP38" s="266"/>
    </row>
    <row r="39" spans="1:46" x14ac:dyDescent="0.2">
      <c r="D39" s="108" t="s">
        <v>904</v>
      </c>
      <c r="E39" s="319" t="str">
        <f>IF(ISBLANK(F39),"",VLOOKUP(F39,Table_G1_LC,2,FALSE))</f>
        <v/>
      </c>
      <c r="F39" s="942"/>
      <c r="U39" s="60" t="s">
        <v>1053</v>
      </c>
      <c r="AA39" s="558"/>
      <c r="AB39" s="266"/>
      <c r="AC39" s="486" t="s">
        <v>1177</v>
      </c>
      <c r="AD39" s="423">
        <f>IF(C22="Yes",VLOOKUP(B21,Table_TerrorNBC,2,FALSE),1)</f>
        <v>1</v>
      </c>
      <c r="AE39" s="423"/>
      <c r="AF39" s="385"/>
      <c r="AG39" s="702"/>
      <c r="AJ39" s="146"/>
      <c r="AK39" s="545" t="s">
        <v>1020</v>
      </c>
      <c r="AL39" s="299">
        <f>IF(C7="PAC",VLOOKUP(B8,Table_PakMods,MATCH(C11,List_Company,0)+1,FALSE),1)</f>
        <v>1</v>
      </c>
      <c r="AM39" s="299">
        <f>IF(C7="PAC",VLOOKUP(B8,Table_PakMods,MATCH(C11,List_Company,0)+1,FALSE),1)</f>
        <v>1</v>
      </c>
      <c r="AN39" s="299">
        <f>IF(C7="PAC",VLOOKUP(B8,Table_PakMods,MATCH(C11,List_Company,0)+1,FALSE),1)</f>
        <v>1</v>
      </c>
      <c r="AO39" s="299">
        <f>IF(C7="PAC",VLOOKUP(B8,Table_PakMods,MATCH(C11,List_Company,0)+1,FALSE),1)</f>
        <v>1</v>
      </c>
      <c r="AP39" s="266"/>
    </row>
    <row r="40" spans="1:46" x14ac:dyDescent="0.2">
      <c r="D40" s="482" t="str">
        <f>IF(F39="1190","Special Form Class Only - Choose Again",IF(F39="1180","Enter Prior/Intended Occ. Class Code Below",""))</f>
        <v/>
      </c>
      <c r="E40" s="273"/>
      <c r="F40" s="274"/>
      <c r="V40" s="168" t="s">
        <v>1175</v>
      </c>
      <c r="W40" s="247">
        <f ca="1">P36</f>
        <v>0.157</v>
      </c>
      <c r="X40" s="247">
        <f ca="1">Q36</f>
        <v>3.9E-2</v>
      </c>
      <c r="Y40" s="247">
        <f>R36</f>
        <v>0.115</v>
      </c>
      <c r="Z40" s="247">
        <f>S36</f>
        <v>2.9000000000000001E-2</v>
      </c>
      <c r="AA40" s="559"/>
      <c r="AB40" s="266"/>
      <c r="AC40" s="486" t="s">
        <v>971</v>
      </c>
      <c r="AD40" s="423">
        <f>HLOOKUP(C11,Table_StateRates,6,FALSE)</f>
        <v>1.9</v>
      </c>
      <c r="AE40" s="559"/>
      <c r="AF40" s="559"/>
      <c r="AG40" s="877"/>
      <c r="AJ40" s="542"/>
      <c r="AK40" s="724" t="s">
        <v>1022</v>
      </c>
      <c r="AL40" s="279">
        <v>1</v>
      </c>
      <c r="AM40" s="279">
        <v>1</v>
      </c>
      <c r="AN40" s="279">
        <v>1</v>
      </c>
      <c r="AO40" s="279">
        <v>1</v>
      </c>
      <c r="AP40" s="558"/>
    </row>
    <row r="41" spans="1:46" x14ac:dyDescent="0.2">
      <c r="D41" s="108" t="s">
        <v>960</v>
      </c>
      <c r="E41" s="160"/>
      <c r="F41" s="942"/>
      <c r="U41" s="185"/>
      <c r="V41" s="186" t="s">
        <v>108</v>
      </c>
      <c r="W41" s="208">
        <f>DF_Time_Law</f>
        <v>1.2</v>
      </c>
      <c r="X41" s="208">
        <f>DF_Time_Law</f>
        <v>1.2</v>
      </c>
      <c r="Y41" s="208">
        <f>DF_Time_Law</f>
        <v>1.2</v>
      </c>
      <c r="Z41" s="208">
        <f>DF_Time_Law</f>
        <v>1.2</v>
      </c>
      <c r="AA41" s="559"/>
      <c r="AB41" s="542"/>
      <c r="AC41" s="597" t="s">
        <v>1019</v>
      </c>
      <c r="AD41" s="279">
        <f>HLOOKUP(C11,Table_StateRates,5,FALSE)</f>
        <v>1.38</v>
      </c>
      <c r="AE41" s="426"/>
      <c r="AF41" s="559"/>
      <c r="AG41" s="899"/>
      <c r="AK41" s="83" t="s">
        <v>1150</v>
      </c>
      <c r="AL41" s="2">
        <f>ROUND(PRODUCT(AL35:AL40),3)</f>
        <v>0</v>
      </c>
      <c r="AM41" s="2">
        <f>ROUND(PRODUCT(AM35:AM40),3)</f>
        <v>0</v>
      </c>
      <c r="AN41" s="2">
        <f>ROUND(PRODUCT(AN35:AN40),3)</f>
        <v>0</v>
      </c>
      <c r="AO41" s="2">
        <f>ROUND(PRODUCT(AO35:AO40),3)</f>
        <v>0</v>
      </c>
      <c r="AP41" s="559"/>
    </row>
    <row r="42" spans="1:46" ht="13.5" customHeight="1" x14ac:dyDescent="0.2">
      <c r="D42" s="191" t="s">
        <v>1065</v>
      </c>
      <c r="E42" s="456">
        <f>IF(ISBLANK(F41),0,IF(ISERROR(VLOOKUP(F41,List_VacantClasses,1,FALSE)),VLOOKUP(F41,Table_G1_LC,MATCH(C15&amp;"B",List_ClassLC,0)+2),0))</f>
        <v>0</v>
      </c>
      <c r="F42" s="213"/>
      <c r="N42" s="60" t="s">
        <v>554</v>
      </c>
      <c r="Q42" s="60" t="s">
        <v>557</v>
      </c>
      <c r="V42" s="83" t="s">
        <v>109</v>
      </c>
      <c r="W42" s="247">
        <f ca="1">ROUND(PRODUCT(W40:W41),3)</f>
        <v>0.188</v>
      </c>
      <c r="X42" s="247">
        <f ca="1">ROUND(PRODUCT(X40:X41),3)</f>
        <v>4.7E-2</v>
      </c>
      <c r="Y42" s="247">
        <f>ROUND(PRODUCT(Y40:Y41),3)</f>
        <v>0.13800000000000001</v>
      </c>
      <c r="Z42" s="247">
        <f>ROUND(PRODUCT(Z40:Z41),3)</f>
        <v>3.5000000000000003E-2</v>
      </c>
      <c r="AA42" s="558"/>
      <c r="AB42" s="385"/>
      <c r="AC42" s="685" t="s">
        <v>1134</v>
      </c>
      <c r="AD42" s="558">
        <f>ROUND(PRODUCT(AD37:AD41),3)</f>
        <v>3.9E-2</v>
      </c>
      <c r="AE42" s="385"/>
      <c r="AF42" s="559"/>
      <c r="AG42" s="877"/>
      <c r="AJ42" s="185"/>
      <c r="AK42" s="186" t="s">
        <v>1025</v>
      </c>
      <c r="AL42" s="238">
        <f>IF(ISNUMBER(E47),E47/100,0)</f>
        <v>0</v>
      </c>
      <c r="AM42" s="238">
        <f>IF(ISNUMBER(E47),E47/100,0)</f>
        <v>0</v>
      </c>
      <c r="AN42" s="238">
        <f>IF(ISNUMBER(E47),E47/100,0)</f>
        <v>0</v>
      </c>
      <c r="AO42" s="238">
        <f>IF(ISNUMBER(E47),E47/100,0)</f>
        <v>0</v>
      </c>
      <c r="AP42" s="559"/>
    </row>
    <row r="43" spans="1:46" ht="12.75" customHeight="1" thickBot="1" x14ac:dyDescent="0.25">
      <c r="D43" s="91"/>
      <c r="E43" s="195"/>
      <c r="F43" s="101"/>
      <c r="N43" s="2" t="s">
        <v>555</v>
      </c>
      <c r="Q43" s="834">
        <f>IF(OR(C31&lt;&gt;"Yes",AND(C31="Yes",B31&lt;&gt;"Sprinkler")),0,2)</f>
        <v>0</v>
      </c>
      <c r="R43" s="2" t="s">
        <v>558</v>
      </c>
      <c r="AA43" s="558"/>
      <c r="AB43" s="385"/>
      <c r="AC43" s="702" t="s">
        <v>1178</v>
      </c>
      <c r="AD43" s="559">
        <f>IF(OR(C27="S",C27="T"),1,VLOOKUP(C14,Table_ProtClass,IF(C15&lt;=3,2,3),FALSE))</f>
        <v>0.96</v>
      </c>
      <c r="AE43" s="266"/>
      <c r="AF43" s="266"/>
      <c r="AG43" s="266"/>
      <c r="AK43" s="83" t="s">
        <v>1647</v>
      </c>
      <c r="AL43" s="248">
        <f>ROUND(PRODUCT(AL41:AL42),0)</f>
        <v>0</v>
      </c>
      <c r="AM43" s="248">
        <f>ROUND(PRODUCT(AM41:AM42),0)</f>
        <v>0</v>
      </c>
      <c r="AN43" s="248">
        <f>ROUND(PRODUCT(AN41:AN42),0)</f>
        <v>0</v>
      </c>
      <c r="AO43" s="248">
        <f>ROUND(PRODUCT(AO41:AO42),0)</f>
        <v>0</v>
      </c>
      <c r="AP43" s="558"/>
    </row>
    <row r="44" spans="1:46" x14ac:dyDescent="0.2">
      <c r="D44" s="905" t="s">
        <v>1607</v>
      </c>
      <c r="E44" s="902"/>
      <c r="F44" s="969" t="s">
        <v>857</v>
      </c>
      <c r="N44" s="834">
        <f>IF(OR(C27="S",C27="T"),0,2)</f>
        <v>2</v>
      </c>
      <c r="O44" s="2" t="s">
        <v>556</v>
      </c>
      <c r="Q44" s="834">
        <f>IF(OR(C27="S",C27="T"),0,4)</f>
        <v>4</v>
      </c>
      <c r="R44" s="2" t="s">
        <v>556</v>
      </c>
      <c r="V44" s="568" t="s">
        <v>110</v>
      </c>
      <c r="W44" s="893">
        <f ca="1">IF(J12="SP",SUM(W42:Y42),IF(J12="BR",SUM(W42:X42,Z42),SUM(W42:X42)))</f>
        <v>0.23499999999999999</v>
      </c>
      <c r="AA44" s="558"/>
      <c r="AB44" s="542"/>
      <c r="AC44" s="597" t="s">
        <v>229</v>
      </c>
      <c r="AD44" s="279">
        <f>IF(OR(ISBLANK(F7),F7="None"),1,IF(E8="Yes",F14,VLOOKUP(F7,IF(F5="Yes",Table_BI_CoIns_EE,Table_BI_CoIns),F8+1,FALSE)+P18))</f>
        <v>0.54</v>
      </c>
      <c r="AE44" s="558"/>
      <c r="AF44" s="558"/>
      <c r="AG44" s="558"/>
      <c r="AP44" s="558"/>
    </row>
    <row r="45" spans="1:46" ht="13.5" thickBot="1" x14ac:dyDescent="0.25">
      <c r="D45" s="528"/>
      <c r="E45" s="750"/>
      <c r="F45" s="901"/>
      <c r="N45" s="917">
        <f>IF(OR(C27="S",C27="T"),0,4)</f>
        <v>4</v>
      </c>
      <c r="O45" s="185" t="s">
        <v>1161</v>
      </c>
      <c r="Q45" s="917">
        <f>IF(OR(C27="S",C27="T"),0,5)</f>
        <v>5</v>
      </c>
      <c r="R45" s="185" t="s">
        <v>1161</v>
      </c>
      <c r="AA45" s="575"/>
      <c r="AB45" s="423"/>
      <c r="AC45" s="810" t="s">
        <v>1150</v>
      </c>
      <c r="AD45" s="426">
        <f>ROUND(PRODUCT(AD42:AD44),3)</f>
        <v>0.02</v>
      </c>
      <c r="AE45" s="559"/>
      <c r="AF45" s="559"/>
      <c r="AG45" s="559"/>
      <c r="AK45" s="685" t="s">
        <v>549</v>
      </c>
      <c r="AL45" s="907">
        <f>IF(E52="Yes",IF(C12="SP",SUM(AL43:AN43),IF(C12="BR",SUM(AL43:AM43,AO43),SUM(AL43:AM43))),0)</f>
        <v>0</v>
      </c>
      <c r="AP45" s="558"/>
    </row>
    <row r="46" spans="1:46" x14ac:dyDescent="0.2">
      <c r="D46" s="123" t="s">
        <v>1470</v>
      </c>
      <c r="E46" s="474"/>
      <c r="F46" s="956" t="s">
        <v>857</v>
      </c>
      <c r="N46" s="834">
        <f>SUM(N44:N45)</f>
        <v>6</v>
      </c>
      <c r="O46" s="53" t="str">
        <f>"Subtract from the " &amp; IF(OR(N46=6,N46=2),"Terr Mult",IF(N46=4,"Prot Class","Loss Cost"))</f>
        <v>Subtract from the Terr Mult</v>
      </c>
      <c r="Q46" s="834">
        <f>SUM(Q43:Q45)</f>
        <v>9</v>
      </c>
      <c r="R46" s="53" t="str">
        <f>"Subtract from the " &amp; IF(OR(Q46=2,Q46=6,Q46=7,Q46=11),"Sprk Lkg",IF(OR(Q46=4,Q46=9),"Terr Mult",IF(Q46=5,"Prot Class","Loss Cost")))</f>
        <v>Subtract from the Terr Mult</v>
      </c>
      <c r="V46" s="545" t="s">
        <v>184</v>
      </c>
      <c r="W46" s="248">
        <f>F4/100</f>
        <v>5000</v>
      </c>
      <c r="AA46" s="575"/>
      <c r="AB46" s="279"/>
      <c r="AC46" s="809" t="s">
        <v>1174</v>
      </c>
      <c r="AD46" s="487">
        <f>IF(F3="Yes",F4/100,0)</f>
        <v>0</v>
      </c>
      <c r="AE46" s="559"/>
      <c r="AF46" s="559"/>
      <c r="AG46" s="559"/>
      <c r="AP46" s="575"/>
    </row>
    <row r="47" spans="1:46" ht="13.5" thickBot="1" x14ac:dyDescent="0.25">
      <c r="D47" s="677" t="s">
        <v>1646</v>
      </c>
      <c r="E47" s="950"/>
      <c r="F47" s="446"/>
      <c r="N47" s="146"/>
      <c r="U47" s="185"/>
      <c r="V47" s="186" t="s">
        <v>111</v>
      </c>
      <c r="W47" s="455">
        <f>IF(F44="Yes",W44,0)</f>
        <v>0</v>
      </c>
      <c r="AA47" s="266"/>
      <c r="AB47" s="426"/>
      <c r="AC47" s="811" t="s">
        <v>1173</v>
      </c>
      <c r="AD47" s="812">
        <f>ROUND(PRODUCT(AD45:AD46),0)</f>
        <v>0</v>
      </c>
      <c r="AE47" s="558"/>
      <c r="AF47" s="558"/>
      <c r="AG47" s="558"/>
      <c r="AP47" s="575"/>
    </row>
    <row r="48" spans="1:46" ht="13.5" thickBot="1" x14ac:dyDescent="0.25">
      <c r="D48" s="518" t="s">
        <v>317</v>
      </c>
      <c r="E48" s="948" t="s">
        <v>857</v>
      </c>
      <c r="F48" s="891">
        <f>COUNTIF(E48:E49,"Yes")</f>
        <v>0</v>
      </c>
      <c r="N48" s="479" t="str">
        <f>IF(OR(N46=6,N46=2),"TM",IF(N46=4,"PC","LC"))</f>
        <v>TM</v>
      </c>
      <c r="O48" s="919" t="s">
        <v>559</v>
      </c>
      <c r="Q48" s="479" t="str">
        <f>IF(AND(B31="Sprinkler",OR(Q46=2,Q46=6,Q46=7,Q46=11)),"SL",IF(AND(OR(B31="NA",ISNUMBER(B31)),OR(Q46=4,Q46=9)),"TM",IF(AND(OR(B31="NA",ISNUMBER(B31)),Q46=5),"PC","LC")))</f>
        <v>TM</v>
      </c>
      <c r="V48" s="83" t="s">
        <v>1514</v>
      </c>
      <c r="W48" s="248">
        <f>ROUND(PRODUCT(W46:W47),0)</f>
        <v>0</v>
      </c>
      <c r="AA48" s="266"/>
      <c r="AJ48" s="916" t="s">
        <v>553</v>
      </c>
      <c r="AL48" s="734">
        <f>SUM(AL15,AL29,AL45)</f>
        <v>0</v>
      </c>
      <c r="AP48" s="266"/>
    </row>
    <row r="49" spans="4:42" x14ac:dyDescent="0.2">
      <c r="D49" s="518" t="s">
        <v>315</v>
      </c>
      <c r="E49" s="948" t="s">
        <v>857</v>
      </c>
      <c r="F49" s="891"/>
      <c r="V49" s="83"/>
      <c r="W49" s="248"/>
      <c r="AP49" s="266"/>
    </row>
    <row r="50" spans="4:42" x14ac:dyDescent="0.2">
      <c r="D50" s="518" t="s">
        <v>316</v>
      </c>
      <c r="E50" s="948" t="s">
        <v>857</v>
      </c>
      <c r="F50" s="891"/>
      <c r="U50" s="60" t="s">
        <v>1518</v>
      </c>
      <c r="V50" s="83"/>
      <c r="W50" s="248"/>
    </row>
    <row r="51" spans="4:42" x14ac:dyDescent="0.2">
      <c r="D51" s="518" t="s">
        <v>1574</v>
      </c>
      <c r="E51" s="948" t="s">
        <v>857</v>
      </c>
      <c r="F51" s="891">
        <f>COUNTIF(E51:E52,"Yes")</f>
        <v>0</v>
      </c>
      <c r="G51" s="8"/>
      <c r="V51" s="189" t="s">
        <v>1519</v>
      </c>
      <c r="W51" s="248">
        <f ca="1">P38</f>
        <v>785</v>
      </c>
    </row>
    <row r="52" spans="4:42" x14ac:dyDescent="0.2">
      <c r="D52" s="518" t="s">
        <v>1575</v>
      </c>
      <c r="E52" s="948" t="s">
        <v>857</v>
      </c>
      <c r="F52" s="891"/>
      <c r="G52" s="146"/>
      <c r="V52" s="189" t="s">
        <v>1520</v>
      </c>
      <c r="W52" s="248">
        <f ca="1">Q38</f>
        <v>195</v>
      </c>
    </row>
    <row r="53" spans="4:42" ht="13.5" thickBot="1" x14ac:dyDescent="0.25">
      <c r="D53" s="91"/>
      <c r="E53" s="195"/>
      <c r="F53" s="101"/>
      <c r="V53" s="189" t="s">
        <v>1521</v>
      </c>
      <c r="W53" s="248">
        <f>IF(C12="SP",R38,0)</f>
        <v>575</v>
      </c>
    </row>
    <row r="54" spans="4:42" x14ac:dyDescent="0.2">
      <c r="D54" s="980" t="s">
        <v>662</v>
      </c>
      <c r="E54" s="474"/>
      <c r="F54" s="956" t="s">
        <v>857</v>
      </c>
      <c r="U54" s="185"/>
      <c r="V54" s="477" t="s">
        <v>1522</v>
      </c>
      <c r="W54" s="238">
        <f>IF(C12="BR",S38,0)</f>
        <v>0</v>
      </c>
    </row>
    <row r="55" spans="4:42" x14ac:dyDescent="0.2">
      <c r="D55" s="473" t="s">
        <v>1766</v>
      </c>
      <c r="E55" s="216"/>
      <c r="F55" s="763">
        <f>IF(F54="No",0,F4)</f>
        <v>0</v>
      </c>
      <c r="V55" s="83" t="s">
        <v>1523</v>
      </c>
      <c r="W55" s="248">
        <f ca="1">SUM(W51:W54)</f>
        <v>1555</v>
      </c>
      <c r="AB55" s="793"/>
      <c r="AC55" s="793"/>
      <c r="AD55" s="793"/>
      <c r="AE55" s="793"/>
      <c r="AF55" s="793"/>
      <c r="AG55" s="793"/>
      <c r="AH55" s="793"/>
      <c r="AI55" s="793"/>
    </row>
    <row r="56" spans="4:42" x14ac:dyDescent="0.2">
      <c r="D56" s="669" t="s">
        <v>1833</v>
      </c>
      <c r="E56" s="216"/>
      <c r="F56" s="954" t="s">
        <v>833</v>
      </c>
      <c r="V56" s="83"/>
      <c r="W56" s="248"/>
      <c r="AB56" s="266"/>
      <c r="AC56" s="266"/>
      <c r="AD56" s="266"/>
      <c r="AE56" s="266"/>
      <c r="AF56" s="266"/>
      <c r="AG56" s="266"/>
      <c r="AH56" s="266"/>
      <c r="AI56" s="266"/>
    </row>
    <row r="57" spans="4:42" x14ac:dyDescent="0.2">
      <c r="D57" s="507" t="s">
        <v>677</v>
      </c>
      <c r="E57" s="947" t="s">
        <v>459</v>
      </c>
      <c r="F57" s="772" t="str">
        <f>IF(F56="Yes","B","")</f>
        <v>B</v>
      </c>
      <c r="U57" s="82" t="s">
        <v>1515</v>
      </c>
      <c r="V57" s="60"/>
      <c r="W57" s="83"/>
      <c r="AB57" s="266"/>
      <c r="AC57" s="266"/>
      <c r="AD57" s="266"/>
      <c r="AE57" s="266"/>
      <c r="AF57" s="266"/>
      <c r="AG57" s="266"/>
      <c r="AH57" s="266"/>
      <c r="AI57" s="266"/>
    </row>
    <row r="58" spans="4:42" x14ac:dyDescent="0.2">
      <c r="D58" s="507" t="s">
        <v>1748</v>
      </c>
      <c r="E58" s="947">
        <v>25</v>
      </c>
      <c r="F58" s="771" t="str">
        <f>IF(F56="Yes",E58&amp;"_"&amp;E57,"")</f>
        <v>25_5A</v>
      </c>
      <c r="V58" s="168" t="s">
        <v>1165</v>
      </c>
      <c r="W58" s="248">
        <f>W48</f>
        <v>0</v>
      </c>
      <c r="AB58" s="558"/>
      <c r="AC58" s="558"/>
      <c r="AD58" s="558"/>
      <c r="AE58" s="558"/>
      <c r="AF58" s="558"/>
      <c r="AG58" s="558"/>
      <c r="AH58" s="558"/>
      <c r="AI58" s="558"/>
    </row>
    <row r="59" spans="4:42" x14ac:dyDescent="0.2">
      <c r="D59" s="669" t="s">
        <v>1834</v>
      </c>
      <c r="E59" s="261"/>
      <c r="F59" s="954" t="s">
        <v>857</v>
      </c>
      <c r="U59" s="185"/>
      <c r="V59" s="187" t="s">
        <v>1524</v>
      </c>
      <c r="W59" s="238">
        <f ca="1">W55</f>
        <v>1555</v>
      </c>
      <c r="AB59" s="559"/>
      <c r="AC59" s="559"/>
      <c r="AD59" s="559"/>
      <c r="AE59" s="559"/>
      <c r="AF59" s="559"/>
      <c r="AG59" s="559"/>
      <c r="AH59" s="559"/>
      <c r="AI59" s="559"/>
    </row>
    <row r="60" spans="4:42" x14ac:dyDescent="0.2">
      <c r="D60" s="669" t="s">
        <v>1835</v>
      </c>
      <c r="E60" s="261"/>
      <c r="F60" s="954" t="s">
        <v>857</v>
      </c>
      <c r="V60" s="83" t="s">
        <v>1517</v>
      </c>
      <c r="W60" s="260">
        <f ca="1">W58-W59</f>
        <v>-1555</v>
      </c>
      <c r="AB60" s="559"/>
      <c r="AC60" s="559"/>
      <c r="AD60" s="559"/>
      <c r="AE60" s="559"/>
      <c r="AF60" s="559"/>
      <c r="AG60" s="559"/>
      <c r="AH60" s="559"/>
      <c r="AI60" s="559"/>
    </row>
    <row r="61" spans="4:42" x14ac:dyDescent="0.2">
      <c r="D61" s="507" t="s">
        <v>1836</v>
      </c>
      <c r="E61" s="947"/>
      <c r="F61" s="293"/>
      <c r="AB61" s="558"/>
      <c r="AC61" s="558"/>
      <c r="AD61" s="558"/>
      <c r="AE61" s="558"/>
      <c r="AF61" s="558"/>
      <c r="AG61" s="558"/>
      <c r="AH61" s="558"/>
      <c r="AI61" s="558"/>
    </row>
    <row r="62" spans="4:42" x14ac:dyDescent="0.2">
      <c r="D62" s="762"/>
      <c r="E62" s="774"/>
      <c r="F62" s="773"/>
      <c r="AB62" s="558"/>
      <c r="AC62" s="558"/>
      <c r="AD62" s="558"/>
      <c r="AE62" s="558"/>
      <c r="AF62" s="558"/>
      <c r="AG62" s="558"/>
      <c r="AH62" s="558"/>
      <c r="AI62" s="558"/>
    </row>
    <row r="63" spans="4:42" x14ac:dyDescent="0.2">
      <c r="D63" s="669" t="s">
        <v>1234</v>
      </c>
      <c r="E63" s="261"/>
      <c r="F63" s="954" t="s">
        <v>857</v>
      </c>
      <c r="AB63" s="558"/>
      <c r="AC63" s="558"/>
      <c r="AD63" s="558"/>
      <c r="AE63" s="558"/>
      <c r="AF63" s="558"/>
      <c r="AG63" s="558"/>
      <c r="AH63" s="558"/>
      <c r="AI63" s="558"/>
    </row>
    <row r="64" spans="4:42" x14ac:dyDescent="0.2">
      <c r="D64" s="507" t="s">
        <v>1235</v>
      </c>
      <c r="E64" s="947"/>
      <c r="F64" s="293"/>
      <c r="AB64" s="575"/>
      <c r="AC64" s="575"/>
      <c r="AD64" s="575"/>
      <c r="AE64" s="575"/>
      <c r="AF64" s="575"/>
      <c r="AG64" s="575"/>
      <c r="AH64" s="575"/>
      <c r="AI64" s="575"/>
    </row>
    <row r="65" spans="4:35" ht="13.5" thickBot="1" x14ac:dyDescent="0.25">
      <c r="D65" s="514"/>
      <c r="E65" s="515"/>
      <c r="F65" s="516"/>
      <c r="AB65" s="575"/>
      <c r="AC65" s="575"/>
      <c r="AD65" s="575"/>
      <c r="AE65" s="575"/>
      <c r="AF65" s="575"/>
      <c r="AG65" s="575"/>
      <c r="AH65" s="575"/>
      <c r="AI65" s="575"/>
    </row>
    <row r="66" spans="4:35" x14ac:dyDescent="0.2">
      <c r="AB66" s="266"/>
      <c r="AC66" s="266"/>
      <c r="AD66" s="266"/>
      <c r="AE66" s="266"/>
      <c r="AF66" s="266"/>
      <c r="AG66" s="266"/>
      <c r="AH66" s="266"/>
      <c r="AI66" s="266"/>
    </row>
    <row r="67" spans="4:35" x14ac:dyDescent="0.2">
      <c r="AB67" s="266"/>
      <c r="AC67" s="266"/>
      <c r="AD67" s="266"/>
      <c r="AE67" s="266"/>
      <c r="AF67" s="266"/>
      <c r="AG67" s="266"/>
      <c r="AH67" s="266"/>
      <c r="AI67" s="266"/>
    </row>
  </sheetData>
  <mergeCells count="5">
    <mergeCell ref="H1:L1"/>
    <mergeCell ref="AB1:AH1"/>
    <mergeCell ref="AQ1:AS1"/>
    <mergeCell ref="AU25:AV25"/>
    <mergeCell ref="AB34:AH34"/>
  </mergeCells>
  <conditionalFormatting sqref="B24">
    <cfRule type="expression" dxfId="52" priority="2" stopIfTrue="1">
      <formula>IF($C$24="Yes",FALSE,TRUE)</formula>
    </cfRule>
  </conditionalFormatting>
  <conditionalFormatting sqref="A18">
    <cfRule type="expression" dxfId="51" priority="1">
      <formula>IF($C$12="SP",TRUE,FALSE)</formula>
    </cfRule>
  </conditionalFormatting>
  <dataValidations count="77"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sqref="E47">
      <formula1>IF(F46="Yes",TRUE,FALSE)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4">
      <formula1>IF(F63="Yes",OFFSET(Table_Other_WaterBuyback,0,0,,1),List_No)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1">
      <formula1>IF($F60="Yes",OFFSET(Table_Other_PierWharf,0,0,,1),List_No)</formula1>
    </dataValidation>
    <dataValidation type="list" allowBlank="1" showInputMessage="1" showErrorMessage="1" promptTitle="EQ Building Class" prompt="Please Select a class from the drop down list." sqref="E57">
      <formula1>IF(F56="Yes",List_EQBldgClass,List_No)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6">
      <formula1>IF(AND(F54="Yes",C31&lt;&gt;"Yes"),List_YN,List_No)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3">
      <formula1>IF(OR(C12="BR",C12="BA"),List_No,IF(F54="Yes",List_YN,List_No))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60">
      <formula1>IF(C12="SP",List_No,IF(F54="Yes",List_YN,List_No))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9">
      <formula1>IF(C12="SP",List_No,IF(F54="Yes",List_YN,List_No))</formula1>
    </dataValidation>
    <dataValidation type="custom" allowBlank="1" showInputMessage="1" showErrorMessage="1" sqref="O8 A29 E13:F13 F55 D14 B30:B31 C25 O5">
      <formula1>FALSE</formula1>
    </dataValidation>
    <dataValidation type="custom" allowBlank="1" showInputMessage="1" showErrorMessage="1" errorTitle="Do Not Touch" error="This is used to generate the Coinsurance rate." sqref="B34 E63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B5:C5 C7 B8 C4 C24 C10:C11 C14:C15 C21:C22 C17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list" allowBlank="1" showInputMessage="1" showErrorMessage="1" promptTitle="Increased Period of Restoration" prompt="Please Select:_x000a_Yes or No" sqref="F44">
      <formula1>List_YN</formula1>
    </dataValidation>
    <dataValidation type="list" allowBlank="1" showInputMessage="1" showErrorMessage="1" promptTitle="Please Select:" prompt="Yes = Apply Coverage_x000a_No  = Do Not Apply" sqref="F37 F46 F54">
      <formula1>List_YN</formula1>
    </dataValidation>
    <dataValidation type="list" allowBlank="1" showInputMessage="1" showErrorMessage="1" promptTitle="Prior/Intended Building Class:" prompt="Please select your previous or Intended Building Class code for the building type classified." sqref="F41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42">
      <formula1>FALSE</formula1>
    </dataValidation>
    <dataValidation type="custom" allowBlank="1" showInputMessage="1" showErrorMessage="1" promptTitle="Class Rating Group" prompt="Displays Rating Group for Class Code selected." sqref="E39">
      <formula1>FALSE</formula1>
    </dataValidation>
    <dataValidation type="list" allowBlank="1" showInputMessage="1" showErrorMessage="1" promptTitle="Basic Group I - Class Codes" prompt="Please select your building class code" sqref="F39">
      <formula1>OFFSET(Table_G1_LC,0,0,,1)</formula1>
    </dataValidation>
    <dataValidation type="list" allowBlank="1" showInputMessage="1" showErrorMessage="1" promptTitle="Civil Authority Inc. Coverage" prompt="Please Select:_x000a_Yes or No" sqref="F28">
      <formula1>List_YN</formula1>
    </dataValidation>
    <dataValidation type="list" allowBlank="1" showInputMessage="1" showErrorMessage="1" promptTitle="Increased Coverage Period" prompt="Please Select # of Days:_x000a_{ 60, 90, 180 }" sqref="E29">
      <formula1>IF($F$28="Yes",OFFSET(Table_CivilAuth,0,0,,1),List_No)</formula1>
    </dataValidation>
    <dataValidation type="list" allowBlank="1" showInputMessage="1" showErrorMessage="1" promptTitle="Apply Educational Inst Coverage?" prompt="Please Select:_x000a_Yes or No" sqref="F20">
      <formula1>IF($F$7&gt;=50,List_No,List_YN)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Ordinary Payroll Exclusion" prompt="Please Select:_x000a_Yes or No" sqref="F24">
      <formula1>List_YN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6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5">
      <formula1>IF($F$24="Yes",OFFSET(Table_BI_OrdPR,0,0,,1),List_No)</formula1>
    </dataValidation>
    <dataValidation type="list" allowBlank="1" showInputMessage="1" showErrorMessage="1" promptTitle="Apply Mining Property Coverage?" prompt="Please Select:_x000a_Yes or No" sqref="F30">
      <formula1>IF(ISNUMBER($F$7),List_YN,List_No)</formula1>
    </dataValidation>
    <dataValidation type="list" allowBlank="1" showInputMessage="1" showErrorMessage="1" promptTitle="Seasonal Leases:" prompt="Please Select:_x000a_Yes or No_x000a__x000a_* This coverage relates to rental property only." sqref="F27">
      <formula1>IF($F$8&lt;&gt;3,List_No,List_YN)</formula1>
    </dataValidation>
    <dataValidation type="list" allowBlank="1" showInputMessage="1" showErrorMessage="1" promptTitle="Apply Electronic Media &amp; Recs?" prompt="Please Select:_x000a_Yes or No" sqref="F22">
      <formula1>List_YN</formula1>
    </dataValidation>
    <dataValidation type="list" allowBlank="1" showInputMessage="1" showErrorMessage="1" promptTitle="Extension Period" prompt="Please Select:_x000a_1 - 180 Days_x000a_2 - No Limit" sqref="E23">
      <formula1>IF($F$22="Yes",OFFSET(Table_BI_EMR,0,0,,1),List_No)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31">
      <formula1>IF($F$30="Yes",List_BI_Mining,List_No)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3">
      <formula1>List_YN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4">
      <formula1>IF($F$33="Yes", OFFSET(Table_BI_Wait,0,0,,1),List_No)</formula1>
    </dataValidation>
    <dataValidation type="list" allowBlank="1" showInputMessage="1" showErrorMessage="1" promptTitle="Monthly Limitation Period:" prompt="Please Select:_x000a_3rd - 1/3_x000a_4th - 1/4_x000a_6th - 1/6" sqref="E19">
      <formula1>IF($F$18&lt;&gt;"Yes",List_No,List_MosLimit)</formula1>
    </dataValidation>
    <dataValidation type="list" allowBlank="1" showInputMessage="1" showErrorMessage="1" promptTitle="Apply Monthly Limitation?" prompt="Please Select:_x000a_Yes or No" sqref="F18">
      <formula1>IF(ISNUMBER($F$7),List_No,List_YN)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IF($F$15="Yes",OFFSET(Table_BI_IndDays,0,0,,1),List_No)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IF(OR($F$17="Yes"),List_No,List_YN)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promptTitle="Include Extra Expense Coverage" prompt="Please Select:_x000a_Yes or No" sqref="F5">
      <formula1>IF($E$3="Available",List_YN,List_No)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IF($E$8="Yes",List_No,List_BI_OccType)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IF($E$8="No",List_No,List_BI_OccType)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custom" allowBlank="1" showInputMessage="1" showErrorMessage="1" promptTitle="Exclusion Options" prompt="KY does not have exclusion options." sqref="B23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type="custom" allowBlank="1" showInputMessage="1" showErrorMessage="1" prompt="Relates to Special Form Reference" sqref="B15">
      <formula1>FALSE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custom" allowBlank="1" showInputMessage="1" showErrorMessage="1" promptTitle="BI &quot;Special&quot; Col. Reference" prompt="Checks to see if Extra Expense is included within the rating for Business Income.  If so it will give the column reference for &quot;All Other&quot;." sqref="E4">
      <formula1>FALSE</formula1>
    </dataValidation>
    <dataValidation type="custom" allowBlank="1" showInputMessage="1" showErrorMessage="1" promptTitle="BI Availability Indicator:" prompt="EE - indicates that Extra Expense Coverage has already been applied to policy._x000a__x000a_Available - indicates that BI is still available to be added to the policy." sqref="E3">
      <formula1>FALSE</formula1>
    </dataValidation>
    <dataValidation type="list" allowBlank="1" showInputMessage="1" showErrorMessage="1" errorTitle="Coverage Not Available" error="Extra Expense coverage has already been applied to this policy." promptTitle="Please Select:" prompt="Yes = Apply Coverage_x000a_No  = Do Not Apply_x000a__x000a_* Note: If you have EE has an optional coverage already applied to policy, you cannot include EE on BI." sqref="F3">
      <formula1>List_YN</formula1>
    </dataValidation>
    <dataValidation type="list" allowBlank="1" showInputMessage="1" showErrorMessage="1" promptTitle="Power &amp; Water Supply" prompt="Please Select:_x000a_{ Yes or No }" sqref="E48:E49">
      <formula1>IF($F$46="Yes",List_YN, List_No)</formula1>
    </dataValidation>
    <dataValidation type="list" allowBlank="1" showInputMessage="1" showErrorMessage="1" promptTitle="Communications Supply" prompt="Please Select:_x000a_{ Yes or No }" sqref="E50">
      <formula1>IF($F$46="Yes",List_YN, List_No)</formula1>
    </dataValidation>
    <dataValidation type="list" allowBlank="1" showInputMessage="1" showErrorMessage="1" promptTitle="Ovhd Communication Lines" prompt="Please Select:_x000a_{ Yes or No }" sqref="E52">
      <formula1>IF($F$46="Yes",List_YN, List_No)</formula1>
    </dataValidation>
    <dataValidation type="list" allowBlank="1" showInputMessage="1" showErrorMessage="1" promptTitle="OH Power Transmission Lines" prompt="Please Select:_x000a_{ Yes or No }" sqref="E51">
      <formula1>IF($F$46="Yes",List_YN, List_No)</formula1>
    </dataValidation>
    <dataValidation type="custom" allowBlank="1" showInputMessage="1" showErrorMessage="1" promptTitle="P&amp;W Utility Svc Multiplier" prompt="Displays the multiplier for Power &amp; Water Supply premium calculations." sqref="F48">
      <formula1>FALSE</formula1>
    </dataValidation>
    <dataValidation type="custom" allowBlank="1" showInputMessage="1" showErrorMessage="1" promptTitle="OH Lines Utility Svc Multiplier" prompt="Displays the multiplier for the Overhead Power Trans &amp; Comm Lines premium calculations." sqref="F51">
      <formula1>FALSE</formula1>
    </dataValidation>
    <dataValidation type="custom" allowBlank="1" showInputMessage="1" showErrorMessage="1" prompt="EQ Sprinkler Leakage Extension Factor Lookup value." sqref="F57">
      <formula1>FALSE</formula1>
    </dataValidation>
    <dataValidation type="custom" allowBlank="1" showInputMessage="1" showErrorMessage="1" prompt="EQ Table Lookup Value" sqref="F58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58">
      <formula1>OFFSET(Table_EQ_Tiers,0,0,,1)</formula1>
    </dataValidation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6" manualBreakCount="6">
    <brk id="6" max="1048575" man="1"/>
    <brk id="13" max="64" man="1"/>
    <brk id="20" max="64" man="1"/>
    <brk id="27" max="64" man="1"/>
    <brk id="35" max="64" man="1"/>
    <brk id="42" max="64" man="1"/>
  </colBreak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N76"/>
  <sheetViews>
    <sheetView zoomScale="90" zoomScaleNormal="90" workbookViewId="0">
      <selection activeCell="H4" sqref="H4"/>
    </sheetView>
  </sheetViews>
  <sheetFormatPr defaultRowHeight="12.75" x14ac:dyDescent="0.2"/>
  <cols>
    <col min="1" max="1" width="27.7109375" style="2" customWidth="1"/>
    <col min="2" max="2" width="13.42578125" style="2" customWidth="1"/>
    <col min="3" max="3" width="13.85546875" style="2" customWidth="1"/>
    <col min="4" max="4" width="32.140625" style="2" customWidth="1"/>
    <col min="5" max="5" width="13.140625" style="2" customWidth="1"/>
    <col min="6" max="6" width="12.42578125" style="2" customWidth="1"/>
    <col min="7" max="7" width="9.140625" style="2"/>
    <col min="8" max="8" width="39.140625" style="2" customWidth="1"/>
    <col min="9" max="12" width="12.85546875" style="2" customWidth="1"/>
    <col min="13" max="13" width="8.140625" style="2" customWidth="1"/>
    <col min="14" max="14" width="15.140625" style="2" customWidth="1"/>
    <col min="15" max="15" width="27" style="2" customWidth="1"/>
    <col min="16" max="16" width="12.28515625" style="2" customWidth="1"/>
    <col min="17" max="18" width="12.42578125" style="2" customWidth="1"/>
    <col min="19" max="19" width="11.85546875" style="2" customWidth="1"/>
    <col min="20" max="20" width="5.42578125" style="2" customWidth="1"/>
    <col min="21" max="21" width="19.85546875" style="2" customWidth="1"/>
    <col min="22" max="22" width="25.85546875" style="2" customWidth="1"/>
    <col min="23" max="23" width="12.7109375" style="2" customWidth="1"/>
    <col min="24" max="24" width="15.140625" style="2" customWidth="1"/>
    <col min="25" max="25" width="15.42578125" style="2" customWidth="1"/>
    <col min="26" max="26" width="13" style="2" customWidth="1"/>
    <col min="27" max="27" width="5.42578125" style="2" customWidth="1"/>
    <col min="28" max="28" width="25.85546875" style="2" customWidth="1"/>
    <col min="29" max="29" width="13.7109375" style="2" customWidth="1"/>
    <col min="30" max="30" width="11.7109375" style="2" customWidth="1"/>
    <col min="31" max="32" width="13.140625" style="2" customWidth="1"/>
    <col min="33" max="33" width="11.28515625" style="2" customWidth="1"/>
    <col min="34" max="34" width="9.140625" style="2"/>
    <col min="35" max="35" width="34.28515625" style="2" customWidth="1"/>
    <col min="36" max="36" width="23.7109375" style="2" customWidth="1"/>
    <col min="37" max="37" width="14.28515625" style="2" customWidth="1"/>
    <col min="38" max="16384" width="9.140625" style="2"/>
  </cols>
  <sheetData>
    <row r="1" spans="1:37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1757</v>
      </c>
      <c r="I1" s="1595"/>
      <c r="J1" s="1595"/>
      <c r="K1" s="1595"/>
      <c r="L1" s="1596"/>
      <c r="N1" s="60" t="s">
        <v>978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152" t="s">
        <v>949</v>
      </c>
    </row>
    <row r="2" spans="1:37" ht="12.75" customHeight="1" thickBot="1" x14ac:dyDescent="0.25">
      <c r="A2" s="529" t="s">
        <v>832</v>
      </c>
      <c r="B2" s="530"/>
      <c r="C2" s="7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1053</v>
      </c>
      <c r="AB2" s="60" t="s">
        <v>550</v>
      </c>
      <c r="AD2" s="235"/>
      <c r="AE2" s="235"/>
      <c r="AF2" s="235"/>
      <c r="AG2" s="235"/>
    </row>
    <row r="3" spans="1:37" ht="13.5" thickBot="1" x14ac:dyDescent="0.25">
      <c r="A3" s="744" t="s">
        <v>195</v>
      </c>
      <c r="B3" s="745" t="str">
        <f>IF(C3="Building","B",IF(C3="Pers Pty","PP","None"))</f>
        <v>B</v>
      </c>
      <c r="C3" s="746" t="str">
        <f>IF(AND(TC9_BLDG1!C27="Yes",TC9_PP1!C27="Yes"),"Building",IF(AND(TC9_BLDG1!C27="No",TC9_PP1!C27="Yes"),"Pers Pty",IF(AND(TC9_BLDG1!C27="Yes",TC9_PP1!C27="No"),"Building","Neither")))</f>
        <v>Building</v>
      </c>
      <c r="D3" s="521" t="s">
        <v>1419</v>
      </c>
      <c r="E3" s="820" t="str">
        <f>IF(TC9_BI1!F5="Yes","BI","Available")</f>
        <v>Available</v>
      </c>
      <c r="F3" s="1100" t="s">
        <v>857</v>
      </c>
      <c r="H3" s="1273">
        <f>Summary9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107</v>
      </c>
      <c r="W3" s="247" t="e">
        <f>P24</f>
        <v>#N/A</v>
      </c>
      <c r="X3" s="247" t="e">
        <f>Q24</f>
        <v>#N/A</v>
      </c>
      <c r="Y3" s="247">
        <f>R24</f>
        <v>0.16300000000000001</v>
      </c>
      <c r="Z3" s="247">
        <f>S24</f>
        <v>0.06</v>
      </c>
      <c r="AB3" s="146"/>
      <c r="AC3" s="545" t="s">
        <v>1049</v>
      </c>
      <c r="AD3" s="146">
        <f>VLOOKUP(1,Table_Time_Utility,2,FALSE)</f>
        <v>2.1999999999999999E-2</v>
      </c>
      <c r="AE3" s="146">
        <f>VLOOKUP(1,Table_Time_Utility,3,FALSE)</f>
        <v>1.0999999999999999E-2</v>
      </c>
      <c r="AF3" s="146">
        <f>VLOOKUP(1,Table_Time_Utility,5,FALSE)</f>
        <v>1.9E-2</v>
      </c>
      <c r="AG3" s="563">
        <f>VLOOKUP(1,Table_Time_Utility,4,FALSE)</f>
        <v>6.0000000000000001E-3</v>
      </c>
      <c r="AI3" s="154" t="s">
        <v>950</v>
      </c>
      <c r="AJ3" s="86"/>
      <c r="AK3" s="156" t="s">
        <v>951</v>
      </c>
    </row>
    <row r="4" spans="1:37" x14ac:dyDescent="0.2">
      <c r="A4" s="120" t="s">
        <v>1024</v>
      </c>
      <c r="B4" s="95"/>
      <c r="C4" s="1086" t="str">
        <f>IF(B3="B",TC9_BLDG1!C3,IF(B3="PP",TC9_PP1!C3,""))</f>
        <v>CT</v>
      </c>
      <c r="D4" s="107" t="s">
        <v>1241</v>
      </c>
      <c r="E4" s="272"/>
      <c r="F4" s="704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85"/>
      <c r="V4" s="186" t="s">
        <v>108</v>
      </c>
      <c r="W4" s="208">
        <f>DF_Time_Law</f>
        <v>1.2</v>
      </c>
      <c r="X4" s="208">
        <f>DF_Time_Law</f>
        <v>1.2</v>
      </c>
      <c r="Y4" s="208">
        <f>DF_Time_Law</f>
        <v>1.2</v>
      </c>
      <c r="Z4" s="208">
        <f>DF_Time_Law</f>
        <v>1.2</v>
      </c>
      <c r="AB4" s="185"/>
      <c r="AC4" s="186" t="s">
        <v>1050</v>
      </c>
      <c r="AD4" s="238">
        <f>F22</f>
        <v>0</v>
      </c>
      <c r="AE4" s="238">
        <f>F22</f>
        <v>0</v>
      </c>
      <c r="AF4" s="238">
        <f>F22</f>
        <v>0</v>
      </c>
      <c r="AG4" s="785">
        <f>F22</f>
        <v>0</v>
      </c>
      <c r="AI4" s="686" t="s">
        <v>1715</v>
      </c>
      <c r="AK4" s="155">
        <f>IF(AK22&lt;-0.05,-0.05,IF(AK22&gt;0.05,0.05,AK22))</f>
        <v>0</v>
      </c>
    </row>
    <row r="5" spans="1:37" x14ac:dyDescent="0.2">
      <c r="A5" s="120" t="s">
        <v>1828</v>
      </c>
      <c r="B5" s="729">
        <f>IF(B3="B",TC9_BLDG1!B4,IF(B3="PP",TC9_PP1!B4,""))</f>
        <v>0</v>
      </c>
      <c r="C5" s="1086">
        <f>IF(B3="B",TC9_BLDG1!C4,IF(B3="PP",TC9_PP1!C4,""))</f>
        <v>0</v>
      </c>
      <c r="D5" s="84" t="s">
        <v>1610</v>
      </c>
      <c r="E5" s="193"/>
      <c r="F5" s="704"/>
      <c r="H5" s="483" t="s">
        <v>978</v>
      </c>
      <c r="I5" s="485">
        <f>IF(F3="Yes",P26,0)</f>
        <v>0</v>
      </c>
      <c r="J5" s="485">
        <f>IF(F3="Yes",Q26,0)</f>
        <v>0</v>
      </c>
      <c r="K5" s="485">
        <f>IF(AND(F3="Yes",C12="SP"),R26,0)</f>
        <v>0</v>
      </c>
      <c r="L5" s="485">
        <f>IF(AND(F3="Yes",C12="BR"),S26,0)</f>
        <v>0</v>
      </c>
      <c r="O5" s="168" t="str">
        <f>C3&amp;" - Loss Cost"</f>
        <v>Building - Loss Cost</v>
      </c>
      <c r="P5" s="247">
        <f>B29</f>
        <v>0.126</v>
      </c>
      <c r="Q5" s="247">
        <f>C29</f>
        <v>4.2000000000000003E-2</v>
      </c>
      <c r="R5" s="247">
        <f>IF(C12="SP",VLOOKUP(B13,Table_Time_Special,3,FALSE),0)</f>
        <v>6.2E-2</v>
      </c>
      <c r="S5" s="247">
        <f>HLOOKUP(B12,Table_BroadTime,3,FALSE)</f>
        <v>2.3E-2</v>
      </c>
      <c r="V5" s="83" t="s">
        <v>109</v>
      </c>
      <c r="W5" s="247" t="e">
        <f>ROUND(PRODUCT(W3:W4),3)</f>
        <v>#N/A</v>
      </c>
      <c r="X5" s="247" t="e">
        <f>ROUND(PRODUCT(X3:X4),3)</f>
        <v>#N/A</v>
      </c>
      <c r="Y5" s="247">
        <f>ROUND(PRODUCT(Y3:Y4),3)</f>
        <v>0.19600000000000001</v>
      </c>
      <c r="Z5" s="247">
        <f>ROUND(PRODUCT(Z3:Z4),3)</f>
        <v>7.1999999999999995E-2</v>
      </c>
      <c r="AB5" s="146"/>
      <c r="AC5" s="301" t="s">
        <v>1051</v>
      </c>
      <c r="AD5" s="146">
        <f>ROUND(PRODUCT(AD3:AD4),3)</f>
        <v>0</v>
      </c>
      <c r="AE5" s="146">
        <f>ROUND(PRODUCT(AE3:AE4),3)</f>
        <v>0</v>
      </c>
      <c r="AF5" s="146">
        <f>ROUND(PRODUCT(AF3:AF4),3)</f>
        <v>0</v>
      </c>
      <c r="AG5" s="146">
        <f>ROUND(PRODUCT(AG3:AG4),3)</f>
        <v>0</v>
      </c>
      <c r="AI5" s="151" t="s">
        <v>1714</v>
      </c>
      <c r="AK5" s="155">
        <f>IF(AK23&lt;-0.06,-0.06,IF(AK23&gt;0.06,0.06,AK23))</f>
        <v>0</v>
      </c>
    </row>
    <row r="6" spans="1:37" x14ac:dyDescent="0.2">
      <c r="A6" s="120"/>
      <c r="B6" s="95"/>
      <c r="C6" s="1039"/>
      <c r="D6" s="499"/>
      <c r="E6" s="146"/>
      <c r="F6" s="1072"/>
      <c r="H6" s="483"/>
      <c r="I6" s="485"/>
      <c r="J6" s="485"/>
      <c r="K6" s="485"/>
      <c r="L6" s="485"/>
      <c r="O6" s="168" t="s">
        <v>972</v>
      </c>
      <c r="P6" s="207">
        <f>IF(OR(C27="S",C27="T"),1,VLOOKUP(C14,Table_ProtClass,IF(C15&lt;=3,2,3),FALSE)) - IF(AND(C33=1,ISNUMBER(B31),P13=1),B31,0)</f>
        <v>0.96</v>
      </c>
      <c r="Q6" s="207">
        <v>1</v>
      </c>
      <c r="R6" s="207">
        <v>1</v>
      </c>
      <c r="S6" s="207">
        <v>1</v>
      </c>
      <c r="AC6" s="168" t="s">
        <v>971</v>
      </c>
      <c r="AD6" s="207">
        <f>HLOOKUP(C11,Table_StateRates,6,FALSE)</f>
        <v>1.9</v>
      </c>
      <c r="AE6" s="207">
        <f>HLOOKUP(C11,Table_StateRates,6,FALSE)</f>
        <v>1.9</v>
      </c>
      <c r="AF6" s="207">
        <f>HLOOKUP(C11,Table_StateRates,6,FALSE)</f>
        <v>1.9</v>
      </c>
      <c r="AG6" s="207">
        <f>HLOOKUP(C11,Table_StateRates,6,FALSE)</f>
        <v>1.9</v>
      </c>
      <c r="AI6" s="8" t="s">
        <v>1716</v>
      </c>
      <c r="AK6" s="155">
        <f>IF(AK24&lt;-0.06,-0.06,IF(AK24&gt;0.06,0.06,AK24))</f>
        <v>0</v>
      </c>
    </row>
    <row r="7" spans="1:37" x14ac:dyDescent="0.2">
      <c r="A7" s="120" t="s">
        <v>969</v>
      </c>
      <c r="B7" s="95"/>
      <c r="C7" s="1087" t="str">
        <f>IF(B3="B",TC9_BLDG1!C6,IF(B3="PP",TC9_PP1!C6,""))</f>
        <v>CPP</v>
      </c>
      <c r="D7" s="538" t="s">
        <v>1545</v>
      </c>
      <c r="E7" s="103"/>
      <c r="F7" s="413" t="s">
        <v>857</v>
      </c>
      <c r="H7" s="168"/>
      <c r="I7" s="485"/>
      <c r="J7" s="485"/>
      <c r="K7" s="485"/>
      <c r="L7" s="485"/>
      <c r="N7" s="185"/>
      <c r="O7" s="186" t="s">
        <v>970</v>
      </c>
      <c r="P7" s="208">
        <f>IF(B30="Yes",DF_Sprinkler50,1)</f>
        <v>1</v>
      </c>
      <c r="Q7" s="208">
        <v>1</v>
      </c>
      <c r="R7" s="208">
        <v>1</v>
      </c>
      <c r="S7" s="208">
        <v>1</v>
      </c>
      <c r="V7" s="568" t="s">
        <v>110</v>
      </c>
      <c r="W7" s="893" t="e">
        <f>IF(C12="SP",SUM(W5:Y5),IF(C12="BR",SUM(W5:X5,Z5),SUM(W5:X5)))</f>
        <v>#N/A</v>
      </c>
      <c r="AC7" s="168" t="s">
        <v>1019</v>
      </c>
      <c r="AD7" s="207">
        <f>HLOOKUP(C11,Table_StateRates,5,FALSE)</f>
        <v>1.38</v>
      </c>
      <c r="AE7" s="207">
        <f>HLOOKUP(C11,Table_StateRates,5,FALSE)</f>
        <v>1.38</v>
      </c>
      <c r="AF7" s="207">
        <f>HLOOKUP(C11,Table_StateRates,5,FALSE)</f>
        <v>1.38</v>
      </c>
      <c r="AG7" s="207">
        <f>HLOOKUP(C11,Table_StateRates,5,FALSE)</f>
        <v>1.38</v>
      </c>
      <c r="AI7" s="8" t="s">
        <v>1717</v>
      </c>
      <c r="AK7" s="155">
        <f>IF(AK25&lt;-0.1,-0.1,IF(AK25&gt;0.1,0.1,AK25))</f>
        <v>0</v>
      </c>
    </row>
    <row r="8" spans="1:37" x14ac:dyDescent="0.2">
      <c r="A8" s="143" t="s">
        <v>923</v>
      </c>
      <c r="B8" s="1236" t="str">
        <f>IF(B3="B",TC9_BLDG1!B7,IF(B3="PP",TC9_PP1!B7,""))</f>
        <v>No</v>
      </c>
      <c r="C8" s="1039"/>
      <c r="D8" s="518" t="s">
        <v>1555</v>
      </c>
      <c r="E8" s="414" t="s">
        <v>857</v>
      </c>
      <c r="F8" s="1065"/>
      <c r="H8" s="82" t="s">
        <v>1661</v>
      </c>
      <c r="I8" s="485"/>
      <c r="J8" s="485"/>
      <c r="K8" s="485"/>
      <c r="L8" s="485"/>
      <c r="O8" s="83" t="s">
        <v>1134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0.16300000000000001</v>
      </c>
      <c r="S8" s="1315">
        <f>ROUND(PRODUCT(S4:S7),3)</f>
        <v>0.06</v>
      </c>
      <c r="AC8" s="168" t="s">
        <v>180</v>
      </c>
      <c r="AD8" s="207">
        <v>1</v>
      </c>
      <c r="AE8" s="207">
        <v>1</v>
      </c>
      <c r="AF8" s="207">
        <v>1</v>
      </c>
      <c r="AG8" s="207">
        <v>1</v>
      </c>
      <c r="AI8" s="687" t="s">
        <v>1718</v>
      </c>
      <c r="AK8" s="155">
        <f>IF(AK26&lt;-0.06,-0.06,IF(AK26&gt;0.06,0.06,AK26))</f>
        <v>0</v>
      </c>
    </row>
    <row r="9" spans="1:37" ht="13.5" thickBot="1" x14ac:dyDescent="0.25">
      <c r="A9" s="120"/>
      <c r="B9" s="95"/>
      <c r="C9" s="1039"/>
      <c r="D9" s="91"/>
      <c r="E9" s="195"/>
      <c r="F9" s="101"/>
      <c r="H9" s="189" t="s">
        <v>1826</v>
      </c>
      <c r="I9" s="485">
        <f>IF(AND(F3="Yes",F11="Yes"),P49,0)</f>
        <v>0</v>
      </c>
      <c r="J9" s="485">
        <f>IF(AND(F3="Yes",F11="Yes"),Q49,0)</f>
        <v>0</v>
      </c>
      <c r="K9" s="485">
        <f>IF(AND(F11="Yes",C12="SP"),R49,0)</f>
        <v>0</v>
      </c>
      <c r="L9" s="485">
        <f>IF(AND(F11="Yes",C12="BR"),S49,0)</f>
        <v>0</v>
      </c>
      <c r="O9" s="1117" t="s">
        <v>2140</v>
      </c>
      <c r="P9" s="247">
        <f>DF_BI_BRF1</f>
        <v>0.8</v>
      </c>
      <c r="Q9" s="247">
        <f>DF_BI_BRF2</f>
        <v>0.65</v>
      </c>
      <c r="R9" s="247">
        <v>1</v>
      </c>
      <c r="S9" s="247">
        <v>1</v>
      </c>
      <c r="V9" s="545" t="s">
        <v>184</v>
      </c>
      <c r="W9" s="248">
        <f>F4/100</f>
        <v>0</v>
      </c>
      <c r="AB9" s="146"/>
      <c r="AC9" s="545" t="s">
        <v>1020</v>
      </c>
      <c r="AD9" s="299">
        <f>IF(C7="PAC",VLOOKUP(B8,Table_PakMods,MATCH(C11,List_Company,0)+1,FALSE),1)</f>
        <v>1</v>
      </c>
      <c r="AE9" s="299">
        <f>IF(C7="PAC",VLOOKUP(B8,Table_PakMods,MATCH(C11,List_Company,0)+1,FALSE),1)</f>
        <v>1</v>
      </c>
      <c r="AF9" s="299">
        <f>IF(C7="PAC",VLOOKUP(B8,Table_PakMods,MATCH(C11,List_Company,0)+1,FALSE),1)</f>
        <v>1</v>
      </c>
      <c r="AG9" s="299">
        <f>IF(C7="PAC",VLOOKUP(B8,Table_PakMods,MATCH(C11,List_Company,0)+1,FALSE),1)</f>
        <v>1</v>
      </c>
      <c r="AI9" s="153" t="s">
        <v>1719</v>
      </c>
      <c r="AK9" s="155">
        <f>IF(AK27&lt;-0.025,-0.025,IF(AK27&gt;0.025,0.025,AK27))</f>
        <v>0</v>
      </c>
    </row>
    <row r="10" spans="1:37" ht="13.5" thickBot="1" x14ac:dyDescent="0.25">
      <c r="A10" s="120" t="s">
        <v>1829</v>
      </c>
      <c r="B10" s="95"/>
      <c r="C10" s="1086">
        <f>IF(B3="B",TC9_BLDG1!C9,IF(B3="PP",TC9_PP1!C9,""))</f>
        <v>1</v>
      </c>
      <c r="D10" s="529" t="s">
        <v>897</v>
      </c>
      <c r="E10" s="217"/>
      <c r="F10" s="218"/>
      <c r="H10" s="83"/>
      <c r="I10" s="248"/>
      <c r="J10" s="248"/>
      <c r="K10" s="248"/>
      <c r="L10" s="248"/>
      <c r="N10" s="185"/>
      <c r="O10" s="186" t="s">
        <v>1258</v>
      </c>
      <c r="P10" s="208" t="e">
        <f>VLOOKUP(F5,Table_EE_CoIns,3,FALSE)</f>
        <v>#N/A</v>
      </c>
      <c r="Q10" s="208" t="e">
        <f>VLOOKUP(F5,Table_EE_CoIns,3,FALSE)</f>
        <v>#N/A</v>
      </c>
      <c r="R10" s="208">
        <v>1</v>
      </c>
      <c r="S10" s="208">
        <v>1</v>
      </c>
      <c r="U10" s="185"/>
      <c r="V10" s="186" t="s">
        <v>111</v>
      </c>
      <c r="W10" s="455">
        <f>IF(F18="Yes",W7,0)</f>
        <v>0</v>
      </c>
      <c r="AB10" s="542"/>
      <c r="AC10" s="724" t="s">
        <v>1022</v>
      </c>
      <c r="AD10" s="279">
        <v>1</v>
      </c>
      <c r="AE10" s="279">
        <v>1</v>
      </c>
      <c r="AF10" s="279">
        <v>1</v>
      </c>
      <c r="AG10" s="279">
        <v>1</v>
      </c>
      <c r="AI10" s="687" t="s">
        <v>1720</v>
      </c>
      <c r="AK10" s="155">
        <f>IF(AK28&lt;-0.025,-0.025,IF(AK28&gt;0.025,0.025,AK28))</f>
        <v>0</v>
      </c>
    </row>
    <row r="11" spans="1:37" x14ac:dyDescent="0.2">
      <c r="A11" s="120" t="s">
        <v>835</v>
      </c>
      <c r="B11" s="95"/>
      <c r="C11" s="1087" t="str">
        <f>IF(B3="B",TC9_BLDG1!C11,IF(B3="PP",TC9_PP1!C11,""))</f>
        <v>GAIC</v>
      </c>
      <c r="D11" s="123" t="s">
        <v>964</v>
      </c>
      <c r="E11" s="474"/>
      <c r="F11" s="475" t="s">
        <v>857</v>
      </c>
      <c r="L11" s="890" t="s">
        <v>1048</v>
      </c>
      <c r="N11" s="266"/>
      <c r="O11" s="568" t="s">
        <v>917</v>
      </c>
      <c r="P11" s="1422" t="e">
        <f>ROUND(PRODUCT(P8:P10),3)</f>
        <v>#N/A</v>
      </c>
      <c r="Q11" s="1422" t="e">
        <f>ROUND(PRODUCT(Q8:Q10),3)</f>
        <v>#N/A</v>
      </c>
      <c r="R11" s="1422">
        <f>ROUND(PRODUCT(R8:R10),3)</f>
        <v>0.16300000000000001</v>
      </c>
      <c r="S11" s="1422">
        <f>ROUND(PRODUCT(S8:S10),3)</f>
        <v>0.06</v>
      </c>
      <c r="V11" s="83" t="s">
        <v>1514</v>
      </c>
      <c r="W11" s="248">
        <f>ROUND(PRODUCT(W9:W10),0)</f>
        <v>0</v>
      </c>
      <c r="AC11" s="83" t="s">
        <v>1150</v>
      </c>
      <c r="AD11" s="2">
        <f>ROUND(PRODUCT(AD5:AD10),3)</f>
        <v>0</v>
      </c>
      <c r="AE11" s="2">
        <f>ROUND(PRODUCT(AE5:AE10),3)</f>
        <v>0</v>
      </c>
      <c r="AF11" s="2">
        <f>ROUND(PRODUCT(AF5:AF10),3)</f>
        <v>0</v>
      </c>
      <c r="AG11" s="2">
        <f>ROUND(PRODUCT(AG5:AG10),3)</f>
        <v>0</v>
      </c>
      <c r="AI11" s="687" t="s">
        <v>1721</v>
      </c>
      <c r="AK11" s="155">
        <f>IF(AK29&lt;-0.075,-0.075,IF(AK29&gt;0.075,0.075,AK29))</f>
        <v>0</v>
      </c>
    </row>
    <row r="12" spans="1:37" ht="13.5" thickBot="1" x14ac:dyDescent="0.25">
      <c r="A12" s="415" t="s">
        <v>910</v>
      </c>
      <c r="B12" s="493">
        <f>IF(OR(C15=5,C15=6),1,2)</f>
        <v>2</v>
      </c>
      <c r="C12" s="704" t="s">
        <v>894</v>
      </c>
      <c r="D12" s="107" t="s">
        <v>1242</v>
      </c>
      <c r="E12" s="272"/>
      <c r="F12" s="476"/>
      <c r="H12" s="168" t="s">
        <v>1507</v>
      </c>
      <c r="I12" s="248">
        <f>IF(AND(F3="Yes",F18="Yes"),W23,0)</f>
        <v>0</v>
      </c>
      <c r="J12" s="248"/>
      <c r="K12" s="248"/>
      <c r="L12" s="248"/>
      <c r="O12" s="189" t="s">
        <v>1496</v>
      </c>
      <c r="P12" s="207">
        <v>1</v>
      </c>
      <c r="Q12" s="207">
        <f>IF(C32="Yes",VLOOKUP(C15,Table_Construction,3,FALSE),1)</f>
        <v>1</v>
      </c>
      <c r="R12" s="207">
        <v>1</v>
      </c>
      <c r="S12" s="207">
        <v>1</v>
      </c>
      <c r="V12" s="83"/>
      <c r="W12" s="248"/>
      <c r="Y12" s="168"/>
      <c r="AB12" s="185"/>
      <c r="AC12" s="186" t="s">
        <v>1025</v>
      </c>
      <c r="AD12" s="238">
        <f>IF(ISNUMBER(E21),E21/100,0)</f>
        <v>0</v>
      </c>
      <c r="AE12" s="238">
        <f>IF(ISNUMBER(E21),E21/100,0)</f>
        <v>0</v>
      </c>
      <c r="AF12" s="238">
        <f>IF(ISNUMBER(E21),E21/100,0)</f>
        <v>0</v>
      </c>
      <c r="AG12" s="238">
        <f>IF(ISNUMBER(E21),E21/100,0)</f>
        <v>0</v>
      </c>
      <c r="AI12" s="8" t="s">
        <v>1722</v>
      </c>
      <c r="AK12" s="155">
        <f>IF(AK30&lt;-0.05,-0.05,IF(AK30&gt;0.05,0.05,AK30))</f>
        <v>0</v>
      </c>
    </row>
    <row r="13" spans="1:37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88">
        <v>2</v>
      </c>
      <c r="D13" s="108" t="s">
        <v>904</v>
      </c>
      <c r="E13" s="319" t="str">
        <f>IF(ISBLANK(F13),"",VLOOKUP(F13,Table_G1_LC,2,FALSE))</f>
        <v/>
      </c>
      <c r="F13" s="188"/>
      <c r="H13" s="168" t="s">
        <v>1047</v>
      </c>
      <c r="I13" s="248">
        <f>IF(AND(F3="Yes",F20="Yes"),AD48,0)</f>
        <v>0</v>
      </c>
      <c r="J13" s="248"/>
      <c r="K13" s="248"/>
      <c r="L13" s="248"/>
      <c r="O13" s="168" t="s">
        <v>1199</v>
      </c>
      <c r="P13" s="247">
        <f>IF(OR(C27="S",C27="T"),1,VLOOKUP(C17,Table_TerrMult,2,FALSE)) - IF(AND((C31)="Yes",ISNUMBER(B31)),B31,0)</f>
        <v>1</v>
      </c>
      <c r="Q13" s="207">
        <v>1</v>
      </c>
      <c r="R13" s="207">
        <v>1</v>
      </c>
      <c r="S13" s="207">
        <v>1</v>
      </c>
      <c r="U13" s="60" t="s">
        <v>1508</v>
      </c>
      <c r="V13" s="83"/>
      <c r="W13" s="248"/>
      <c r="AC13" s="83" t="s">
        <v>1647</v>
      </c>
      <c r="AD13" s="248">
        <f>ROUND(PRODUCT(AD11:AD12),0)</f>
        <v>0</v>
      </c>
      <c r="AE13" s="248">
        <f>ROUND(PRODUCT(AE11:AE12),0)</f>
        <v>0</v>
      </c>
      <c r="AF13" s="248">
        <f>ROUND(PRODUCT(AF11:AF12),0)</f>
        <v>0</v>
      </c>
      <c r="AG13" s="248">
        <f>ROUND(PRODUCT(AG11:AG12),0)</f>
        <v>0</v>
      </c>
      <c r="AI13" s="8"/>
      <c r="AK13" s="155"/>
    </row>
    <row r="14" spans="1:37" x14ac:dyDescent="0.2">
      <c r="A14" s="108" t="s">
        <v>898</v>
      </c>
      <c r="B14" s="95"/>
      <c r="C14" s="1087">
        <f>IF(B3="B",TC9_BLDG1!C14,IF(B3="PP",TC9_PP1!C14,""))</f>
        <v>3</v>
      </c>
      <c r="D14" s="482" t="str">
        <f>IF(F13="1190","Special Form Class Only - Choose Again",IF(F13="1180","Enter Prior/Intended Occ. Class Code Below",""))</f>
        <v/>
      </c>
      <c r="E14" s="273"/>
      <c r="F14" s="274"/>
      <c r="I14" s="248"/>
      <c r="J14" s="248"/>
      <c r="K14" s="248"/>
      <c r="L14" s="248"/>
      <c r="O14" s="168" t="s">
        <v>1100</v>
      </c>
      <c r="P14" s="207">
        <f>IF(C31="Yes",IF(ISNUMBER(B31),1,VLOOKUP(C15,Table_SprLkg,IF(B3="B",2,3),FALSE)),1)</f>
        <v>1</v>
      </c>
      <c r="Q14" s="207">
        <v>1</v>
      </c>
      <c r="R14" s="207">
        <v>1</v>
      </c>
      <c r="S14" s="207">
        <v>1</v>
      </c>
      <c r="V14" s="189" t="s">
        <v>1510</v>
      </c>
      <c r="W14" s="248" t="e">
        <f>P26</f>
        <v>#N/A</v>
      </c>
      <c r="AJ14" s="60" t="s">
        <v>952</v>
      </c>
      <c r="AK14" s="157">
        <f>IF(SUM(AK4:AK13)&lt;-0.4,-0.4,IF(SUM(AK4:AK13)&gt;0.4,0.4,SUM(AK4:AK13)))</f>
        <v>0</v>
      </c>
    </row>
    <row r="15" spans="1:37" ht="13.5" customHeight="1" x14ac:dyDescent="0.2">
      <c r="A15" s="108" t="s">
        <v>1073</v>
      </c>
      <c r="B15" s="319" t="str">
        <f>IF(C15&lt;=4,"B","A")</f>
        <v>B</v>
      </c>
      <c r="C15" s="1089">
        <f>IF(B3="B",TC9_BLDG1!C15,IF(B3="PP",TC9_PP1!C15,""))</f>
        <v>1</v>
      </c>
      <c r="D15" s="108" t="s">
        <v>960</v>
      </c>
      <c r="E15" s="160"/>
      <c r="F15" s="188"/>
      <c r="H15" s="990" t="s">
        <v>244</v>
      </c>
      <c r="I15" s="797">
        <f>SUM(I12:I13,I9:L9)</f>
        <v>0</v>
      </c>
      <c r="O15" s="236" t="s">
        <v>1099</v>
      </c>
      <c r="P15" s="281">
        <f>C33</f>
        <v>0</v>
      </c>
      <c r="Q15" s="211">
        <v>1</v>
      </c>
      <c r="R15" s="211">
        <v>1</v>
      </c>
      <c r="S15" s="211">
        <v>1</v>
      </c>
      <c r="V15" s="189" t="s">
        <v>1511</v>
      </c>
      <c r="W15" s="248" t="e">
        <f>Q26</f>
        <v>#N/A</v>
      </c>
      <c r="AC15" s="685" t="s">
        <v>549</v>
      </c>
      <c r="AD15" s="907">
        <f>IF(F20="Yes",IF(C12="SP",SUM(AD13:AF13),IF(C12="BR",SUM(AD13:AE13,AG13),SUM(AD13:AE13))),0)</f>
        <v>0</v>
      </c>
    </row>
    <row r="16" spans="1:37" ht="13.5" thickBot="1" x14ac:dyDescent="0.25">
      <c r="A16" s="84" t="s">
        <v>975</v>
      </c>
      <c r="B16" s="160"/>
      <c r="C16" s="1080" t="str">
        <f>IF(B3="B",TC9_BLDG1!C16,IF(B3="PP",TC9_PP1!C16,""))</f>
        <v>A</v>
      </c>
      <c r="D16" s="191" t="s">
        <v>1065</v>
      </c>
      <c r="E16" s="456">
        <f>IF(ISBLANK(F15),0,IF(ISERROR(VLOOKUP(F15,List_VacantClasses,1,FALSE)),VLOOKUP(F15,Table_G1_LC,MATCH(C15&amp;"B",List_ClassLC,0)+2),0))</f>
        <v>0</v>
      </c>
      <c r="F16" s="213"/>
      <c r="N16" s="209"/>
      <c r="O16" s="210" t="s">
        <v>1016</v>
      </c>
      <c r="P16" s="212">
        <v>1</v>
      </c>
      <c r="Q16" s="212">
        <v>1</v>
      </c>
      <c r="R16" s="212">
        <v>1</v>
      </c>
      <c r="S16" s="212">
        <v>1</v>
      </c>
      <c r="V16" s="189" t="s">
        <v>1509</v>
      </c>
      <c r="W16" s="248">
        <f>IF(C12="SP",R26,0)</f>
        <v>0</v>
      </c>
      <c r="AC16" s="685"/>
      <c r="AD16" s="701"/>
    </row>
    <row r="17" spans="1:40" ht="15" customHeight="1" thickBot="1" x14ac:dyDescent="0.25">
      <c r="A17" s="122" t="s">
        <v>974</v>
      </c>
      <c r="B17" s="95"/>
      <c r="C17" s="1087">
        <f>IF(B3="B",TC9_BLDG1!C17,IF(B3="PP",TC9_PP1!C17,""))</f>
        <v>1</v>
      </c>
      <c r="D17" s="91"/>
      <c r="E17" s="195"/>
      <c r="F17" s="101"/>
      <c r="N17" s="185"/>
      <c r="O17" s="186" t="s">
        <v>1259</v>
      </c>
      <c r="P17" s="208">
        <f>IF(F7="Yes",VLOOKUP(E8,Table_CivilAuth,2,FALSE),1)</f>
        <v>1</v>
      </c>
      <c r="Q17" s="208">
        <f>IF(F7="Yes",VLOOKUP(E8,Table_CivilAuth,2,FALSE),1)</f>
        <v>1</v>
      </c>
      <c r="R17" s="208">
        <f>IF(F7="Yes",VLOOKUP(E8,Table_CivilAuth,2,FALSE),1)</f>
        <v>1</v>
      </c>
      <c r="S17" s="208">
        <f>IF(F7="Yes",VLOOKUP(E8,Table_CivilAuth,2,FALSE),1)</f>
        <v>1</v>
      </c>
      <c r="U17" s="185"/>
      <c r="V17" s="477" t="s">
        <v>1512</v>
      </c>
      <c r="W17" s="238">
        <f>IF(C12="BR",S26,0)</f>
        <v>0</v>
      </c>
      <c r="AI17" s="136" t="s">
        <v>947</v>
      </c>
      <c r="AJ17" s="137"/>
      <c r="AK17" s="137"/>
      <c r="AL17" s="137"/>
      <c r="AM17" s="136" t="s">
        <v>938</v>
      </c>
      <c r="AN17" s="517"/>
    </row>
    <row r="18" spans="1:40" x14ac:dyDescent="0.2">
      <c r="A18" s="1195" t="s">
        <v>2097</v>
      </c>
      <c r="B18" s="95"/>
      <c r="C18" s="1238">
        <v>2</v>
      </c>
      <c r="D18" s="872" t="s">
        <v>1052</v>
      </c>
      <c r="E18" s="422"/>
      <c r="F18" s="892" t="s">
        <v>857</v>
      </c>
      <c r="H18" s="566" t="s">
        <v>663</v>
      </c>
      <c r="I18" s="2" t="e">
        <f>IF(AND(C21="Yes",C24="Yes"),W51,IF(AND(C21="Yes",C24="No"),B24,0))</f>
        <v>#N/A</v>
      </c>
      <c r="O18" s="83" t="s">
        <v>2167</v>
      </c>
      <c r="P18" s="1312" t="e">
        <f>ROUND(PRODUCT(P11:P13,IF(AND(C31="Yes",B31="Sprinkler",C33&lt;&gt;1),P14-P15,P14),P16:P17),3)</f>
        <v>#N/A</v>
      </c>
      <c r="Q18" s="1312" t="e">
        <f>ROUND(PRODUCT(Q11:Q17),3)</f>
        <v>#N/A</v>
      </c>
      <c r="R18" s="1312">
        <f>ROUND(PRODUCT(R11:R17),3)</f>
        <v>0.16300000000000001</v>
      </c>
      <c r="S18" s="1312">
        <f>ROUND(PRODUCT(S11:S17),3)</f>
        <v>0.06</v>
      </c>
      <c r="V18" s="83" t="s">
        <v>1513</v>
      </c>
      <c r="W18" s="248" t="e">
        <f>SUM(W14:W17)</f>
        <v>#N/A</v>
      </c>
      <c r="AB18" s="60" t="s">
        <v>551</v>
      </c>
      <c r="AD18" s="235" t="s">
        <v>1012</v>
      </c>
      <c r="AE18" s="235" t="s">
        <v>1013</v>
      </c>
      <c r="AF18" s="235" t="s">
        <v>838</v>
      </c>
      <c r="AG18" s="235" t="s">
        <v>837</v>
      </c>
      <c r="AI18" s="138" t="s">
        <v>939</v>
      </c>
      <c r="AJ18" s="8"/>
      <c r="AK18" s="8"/>
      <c r="AL18" s="8"/>
      <c r="AM18" s="445" t="s">
        <v>940</v>
      </c>
      <c r="AN18" s="481"/>
    </row>
    <row r="19" spans="1:40" ht="13.5" thickBot="1" x14ac:dyDescent="0.25">
      <c r="A19" s="126"/>
      <c r="B19" s="96"/>
      <c r="C19" s="192"/>
      <c r="D19" s="91"/>
      <c r="E19" s="195"/>
      <c r="F19" s="101"/>
      <c r="O19" s="168" t="s">
        <v>180</v>
      </c>
      <c r="P19" s="207">
        <v>1</v>
      </c>
      <c r="Q19" s="207">
        <v>1</v>
      </c>
      <c r="R19" s="207">
        <v>1</v>
      </c>
      <c r="S19" s="207">
        <v>1</v>
      </c>
      <c r="V19" s="83"/>
      <c r="W19" s="248"/>
      <c r="AB19" s="146"/>
      <c r="AC19" s="545" t="s">
        <v>1049</v>
      </c>
      <c r="AD19" s="146">
        <f>VLOOKUP(2,Table_Time_Utility,2,FALSE)</f>
        <v>4.3999999999999997E-2</v>
      </c>
      <c r="AE19" s="146">
        <f>VLOOKUP(2,Table_Time_Utility,3,FALSE)</f>
        <v>4.3999999999999997E-2</v>
      </c>
      <c r="AF19" s="146">
        <f>VLOOKUP(2,Table_Time_Utility,5,FALSE)</f>
        <v>2.9000000000000001E-2</v>
      </c>
      <c r="AG19" s="563">
        <f>VLOOKUP(2,Table_Time_Utility,4,FALSE)</f>
        <v>0.01</v>
      </c>
      <c r="AI19" s="138" t="s">
        <v>941</v>
      </c>
      <c r="AJ19" s="8"/>
      <c r="AK19" s="8"/>
      <c r="AL19" s="8"/>
      <c r="AM19" s="26"/>
      <c r="AN19" s="481"/>
    </row>
    <row r="20" spans="1:40" x14ac:dyDescent="0.2">
      <c r="A20" s="88" t="s">
        <v>954</v>
      </c>
      <c r="B20" s="89"/>
      <c r="C20" s="118"/>
      <c r="D20" s="897" t="s">
        <v>1668</v>
      </c>
      <c r="E20" s="447"/>
      <c r="F20" s="873" t="s">
        <v>857</v>
      </c>
      <c r="N20" s="146"/>
      <c r="O20" s="545" t="s">
        <v>1020</v>
      </c>
      <c r="P20" s="299">
        <f>IF(C7="PAC",VLOOKUP(B8,Table_PakMods,MATCH(C11,List_Company,0)+1,FALSE),1)</f>
        <v>1</v>
      </c>
      <c r="Q20" s="299">
        <f>IF(C7="PAC",VLOOKUP(B8,Table_PakMods,MATCH(C11,List_Company,0)+1,FALSE),1)</f>
        <v>1</v>
      </c>
      <c r="R20" s="299">
        <f>IF(C7="PAC",VLOOKUP(B8,Table_PakMods,MATCH(C11,List_Company,0)+1,FALSE),1)</f>
        <v>1</v>
      </c>
      <c r="S20" s="299">
        <f>IF(C7="PAC",VLOOKUP(B8,Table_PakMods,MATCH(C11,List_Company,0)+1,FALSE),1)</f>
        <v>1</v>
      </c>
      <c r="U20" s="82" t="s">
        <v>1515</v>
      </c>
      <c r="V20" s="60"/>
      <c r="W20" s="83"/>
      <c r="AC20" s="168" t="s">
        <v>971</v>
      </c>
      <c r="AD20" s="207">
        <f>HLOOKUP(C11,Table_StateRates,6,FALSE)</f>
        <v>1.9</v>
      </c>
      <c r="AE20" s="207">
        <f>HLOOKUP(C11,Table_StateRates,6,FALSE)</f>
        <v>1.9</v>
      </c>
      <c r="AF20" s="207">
        <f>HLOOKUP(C11,Table_StateRates,6,FALSE)</f>
        <v>1.9</v>
      </c>
      <c r="AG20" s="207">
        <f>HLOOKUP(C11,Table_StateRates,6,FALSE)</f>
        <v>1.9</v>
      </c>
      <c r="AI20" s="26"/>
      <c r="AJ20" s="8"/>
      <c r="AK20" s="8"/>
      <c r="AL20" s="8"/>
      <c r="AM20" s="140" t="s">
        <v>942</v>
      </c>
      <c r="AN20" s="481"/>
    </row>
    <row r="21" spans="1:40" x14ac:dyDescent="0.2">
      <c r="A21" s="122" t="s">
        <v>956</v>
      </c>
      <c r="B21" s="319">
        <f>IF(C17=1,1,2)</f>
        <v>1</v>
      </c>
      <c r="C21" s="1090" t="str">
        <f>IF(B3="B",TC9_BLDG1!C21,IF(B3="PP",TC9_PP1!C21,""))</f>
        <v>Yes</v>
      </c>
      <c r="D21" s="898" t="s">
        <v>1646</v>
      </c>
      <c r="E21" s="519"/>
      <c r="F21" s="446"/>
      <c r="H21" s="60" t="s">
        <v>2288</v>
      </c>
      <c r="I21" s="1468">
        <f>SUM(I5:L5,I15)</f>
        <v>0</v>
      </c>
      <c r="N21" s="542"/>
      <c r="O21" s="724" t="s">
        <v>1022</v>
      </c>
      <c r="P21" s="279">
        <v>1</v>
      </c>
      <c r="Q21" s="279">
        <v>1</v>
      </c>
      <c r="R21" s="279">
        <v>1</v>
      </c>
      <c r="S21" s="279">
        <v>1</v>
      </c>
      <c r="V21" s="168" t="s">
        <v>1165</v>
      </c>
      <c r="W21" s="248">
        <f>W11</f>
        <v>0</v>
      </c>
      <c r="AC21" s="168" t="s">
        <v>1019</v>
      </c>
      <c r="AD21" s="207">
        <f>HLOOKUP(C11,Table_StateRates,5,FALSE)</f>
        <v>1.38</v>
      </c>
      <c r="AE21" s="207">
        <f>HLOOKUP(C11,Table_StateRates,5,FALSE)</f>
        <v>1.38</v>
      </c>
      <c r="AF21" s="207">
        <f>HLOOKUP(C11,Table_StateRates,5,FALSE)</f>
        <v>1.38</v>
      </c>
      <c r="AG21" s="207">
        <f>HLOOKUP(C11,Table_StateRates,5,FALSE)</f>
        <v>1.38</v>
      </c>
      <c r="AI21" s="445" t="s">
        <v>943</v>
      </c>
      <c r="AJ21" s="8"/>
      <c r="AK21" s="142" t="s">
        <v>944</v>
      </c>
      <c r="AM21" s="140" t="s">
        <v>945</v>
      </c>
      <c r="AN21" s="481"/>
    </row>
    <row r="22" spans="1:40" x14ac:dyDescent="0.2">
      <c r="A22" s="911" t="s">
        <v>958</v>
      </c>
      <c r="B22" s="90"/>
      <c r="C22" s="571" t="str">
        <f>IF(B3="B",TC9_BLDG1!C22,IF(B3="PP",TC9_PP1!C22,""))</f>
        <v>No</v>
      </c>
      <c r="D22" s="518" t="s">
        <v>317</v>
      </c>
      <c r="E22" s="414"/>
      <c r="F22" s="891">
        <f>COUNTIF(E22:E23,"Yes")</f>
        <v>0</v>
      </c>
      <c r="N22" s="385"/>
      <c r="O22" s="685" t="s">
        <v>2236</v>
      </c>
      <c r="P22" s="1314">
        <f>ROUND(PRODUCT(P19:P21),3)</f>
        <v>1</v>
      </c>
      <c r="Q22" s="1314">
        <f>ROUND(PRODUCT(Q19:Q21),3)</f>
        <v>1</v>
      </c>
      <c r="R22" s="1314">
        <f>ROUND(PRODUCT(R19:R21),3)</f>
        <v>1</v>
      </c>
      <c r="S22" s="1314">
        <f>ROUND(PRODUCT(S19:S21),3)</f>
        <v>1</v>
      </c>
      <c r="U22" s="185"/>
      <c r="V22" s="187" t="s">
        <v>1516</v>
      </c>
      <c r="W22" s="238" t="e">
        <f>W18</f>
        <v>#N/A</v>
      </c>
      <c r="AC22" s="168" t="s">
        <v>180</v>
      </c>
      <c r="AD22" s="207">
        <v>1</v>
      </c>
      <c r="AE22" s="207">
        <v>1</v>
      </c>
      <c r="AF22" s="207">
        <v>1</v>
      </c>
      <c r="AG22" s="207">
        <v>1</v>
      </c>
      <c r="AI22" s="140" t="s">
        <v>1715</v>
      </c>
      <c r="AJ22" s="8"/>
      <c r="AK22" s="144"/>
      <c r="AM22" s="140" t="s">
        <v>946</v>
      </c>
      <c r="AN22" s="481"/>
    </row>
    <row r="23" spans="1:40" ht="13.5" thickBot="1" x14ac:dyDescent="0.25">
      <c r="A23" s="908" t="s">
        <v>955</v>
      </c>
      <c r="B23" s="910"/>
      <c r="C23" s="1091"/>
      <c r="D23" s="518" t="s">
        <v>315</v>
      </c>
      <c r="E23" s="414"/>
      <c r="F23" s="891"/>
      <c r="H23" s="60" t="s">
        <v>2291</v>
      </c>
      <c r="I23" s="1469" t="e">
        <f>SUM(I21,I18)</f>
        <v>#N/A</v>
      </c>
      <c r="N23" s="542"/>
      <c r="O23" s="1211" t="s">
        <v>2167</v>
      </c>
      <c r="P23" s="757" t="e">
        <f>P18</f>
        <v>#N/A</v>
      </c>
      <c r="Q23" s="757" t="e">
        <f>Q18</f>
        <v>#N/A</v>
      </c>
      <c r="R23" s="757">
        <f>R18</f>
        <v>0.16300000000000001</v>
      </c>
      <c r="S23" s="757">
        <f>S18</f>
        <v>0.06</v>
      </c>
      <c r="V23" s="83" t="s">
        <v>1517</v>
      </c>
      <c r="W23" s="260" t="e">
        <f>W21-W22</f>
        <v>#N/A</v>
      </c>
      <c r="AB23" s="146"/>
      <c r="AC23" s="545" t="s">
        <v>1020</v>
      </c>
      <c r="AD23" s="299">
        <f>IF(C7="PAC",VLOOKUP(B8,Table_PakMods,MATCH(C11,List_Company,0)+1,FALSE),1)</f>
        <v>1</v>
      </c>
      <c r="AE23" s="299">
        <f>IF(C7="PAC",VLOOKUP(B8,Table_PakMods,MATCH(C11,List_Company,0)+1,FALSE),1)</f>
        <v>1</v>
      </c>
      <c r="AF23" s="299">
        <f>IF(C7="PAC",VLOOKUP(B8,Table_PakMods,MATCH(C11,List_Company,0)+1,FALSE),1)</f>
        <v>1</v>
      </c>
      <c r="AG23" s="299">
        <f>IF(C7="PAC",VLOOKUP(B8,Table_PakMods,MATCH(C11,List_Company,0)+1,FALSE),1)</f>
        <v>1</v>
      </c>
      <c r="AI23" s="141" t="s">
        <v>1714</v>
      </c>
      <c r="AJ23" s="139"/>
      <c r="AK23" s="145"/>
      <c r="AM23" s="445"/>
      <c r="AN23" s="481"/>
    </row>
    <row r="24" spans="1:40" ht="13.5" thickBot="1" x14ac:dyDescent="0.25">
      <c r="A24" s="108" t="s">
        <v>957</v>
      </c>
      <c r="B24" s="896"/>
      <c r="C24" s="889" t="str">
        <f>IF(B3="B",TC9_BLDG1!C24,IF(B3="PP",TC9_PP1!C24,""))</f>
        <v>Yes</v>
      </c>
      <c r="D24" s="518" t="s">
        <v>316</v>
      </c>
      <c r="E24" s="414"/>
      <c r="F24" s="891"/>
      <c r="O24" s="83" t="s">
        <v>2242</v>
      </c>
      <c r="P24" s="1315" t="e">
        <f>ROUND(PRODUCT(P22:P23),3)</f>
        <v>#N/A</v>
      </c>
      <c r="Q24" s="1315" t="e">
        <f>ROUND(PRODUCT(Q22:Q23),3)</f>
        <v>#N/A</v>
      </c>
      <c r="R24" s="1315">
        <f>ROUND(PRODUCT(R22:R23),3)</f>
        <v>0.16300000000000001</v>
      </c>
      <c r="S24" s="1315">
        <f>ROUND(PRODUCT(S22:S23),3)</f>
        <v>0.06</v>
      </c>
      <c r="V24" s="83"/>
      <c r="AB24" s="542"/>
      <c r="AC24" s="724" t="s">
        <v>1022</v>
      </c>
      <c r="AD24" s="279">
        <v>1</v>
      </c>
      <c r="AE24" s="279">
        <v>1</v>
      </c>
      <c r="AF24" s="279">
        <v>1</v>
      </c>
      <c r="AG24" s="279">
        <v>1</v>
      </c>
      <c r="AI24" s="141" t="s">
        <v>1716</v>
      </c>
      <c r="AJ24" s="139"/>
      <c r="AK24" s="145"/>
      <c r="AM24" s="1618"/>
      <c r="AN24" s="1619"/>
    </row>
    <row r="25" spans="1:40" ht="13.5" thickBot="1" x14ac:dyDescent="0.25">
      <c r="A25" s="92"/>
      <c r="B25" s="93"/>
      <c r="C25" s="119"/>
      <c r="D25" s="518" t="s">
        <v>1574</v>
      </c>
      <c r="E25" s="414"/>
      <c r="F25" s="891">
        <f>COUNTIF(E25:E26,"Yes")</f>
        <v>0</v>
      </c>
      <c r="N25" s="185"/>
      <c r="O25" s="186" t="s">
        <v>1025</v>
      </c>
      <c r="P25" s="238">
        <f>IF(ISNUMBER(F4),F4/100,0)</f>
        <v>0</v>
      </c>
      <c r="Q25" s="238">
        <f>IF(ISNUMBER(F4),F4/100,0)</f>
        <v>0</v>
      </c>
      <c r="R25" s="238">
        <f>IF(ISNUMBER(F4),F4/100,0)</f>
        <v>0</v>
      </c>
      <c r="S25" s="238">
        <f>IF(ISNUMBER(F4),F4/100,0)</f>
        <v>0</v>
      </c>
      <c r="V25" s="83"/>
      <c r="AC25" s="83" t="s">
        <v>1150</v>
      </c>
      <c r="AD25" s="2">
        <f>ROUND(PRODUCT(AD19:AD24),3)</f>
        <v>0.115</v>
      </c>
      <c r="AE25" s="2">
        <f>ROUND(PRODUCT(AE19:AE24),3)</f>
        <v>0.115</v>
      </c>
      <c r="AF25" s="2">
        <f>ROUND(PRODUCT(AF19:AF24),3)</f>
        <v>7.5999999999999998E-2</v>
      </c>
      <c r="AG25" s="2">
        <f>ROUND(PRODUCT(AG19:AG24),3)</f>
        <v>2.5999999999999999E-2</v>
      </c>
      <c r="AI25" s="141" t="s">
        <v>1717</v>
      </c>
      <c r="AJ25" s="139"/>
      <c r="AK25" s="145"/>
      <c r="AM25" s="445"/>
      <c r="AN25" s="481"/>
    </row>
    <row r="26" spans="1:40" x14ac:dyDescent="0.2">
      <c r="A26" s="161" t="s">
        <v>1827</v>
      </c>
      <c r="B26" s="217"/>
      <c r="C26" s="986"/>
      <c r="D26" s="518" t="s">
        <v>1575</v>
      </c>
      <c r="E26" s="414"/>
      <c r="F26" s="891"/>
      <c r="O26" s="83" t="s">
        <v>978</v>
      </c>
      <c r="P26" s="248" t="e">
        <f>ROUND(PRODUCT(P24:P25),0)</f>
        <v>#N/A</v>
      </c>
      <c r="Q26" s="248" t="e">
        <f>ROUND(PRODUCT(Q24:Q25),0)</f>
        <v>#N/A</v>
      </c>
      <c r="R26" s="248">
        <f>ROUND(PRODUCT(R24:R25),0)</f>
        <v>0</v>
      </c>
      <c r="S26" s="248">
        <f>ROUND(PRODUCT(S24:S25),0)</f>
        <v>0</v>
      </c>
      <c r="AB26" s="185"/>
      <c r="AC26" s="186" t="s">
        <v>1025</v>
      </c>
      <c r="AD26" s="238">
        <f>IF(ISNUMBER(E21),E21/100,0)</f>
        <v>0</v>
      </c>
      <c r="AE26" s="238">
        <f>IF(ISNUMBER(E21),E21/100,0)</f>
        <v>0</v>
      </c>
      <c r="AF26" s="238">
        <f>IF(ISNUMBER(E21),E21/100,0)</f>
        <v>0</v>
      </c>
      <c r="AG26" s="238">
        <f>IF(ISNUMBER(E21),E21/100,0)</f>
        <v>0</v>
      </c>
      <c r="AI26" s="141" t="s">
        <v>1718</v>
      </c>
      <c r="AJ26" s="8"/>
      <c r="AK26" s="145"/>
      <c r="AM26" s="26"/>
      <c r="AN26" s="481"/>
    </row>
    <row r="27" spans="1:40" ht="13.5" thickBot="1" x14ac:dyDescent="0.25">
      <c r="A27" s="521" t="s">
        <v>899</v>
      </c>
      <c r="B27" s="817" t="str">
        <f>IF(C27="C","Class",IF(C27="S","Specific",IF(C27="T","Tentative","")))</f>
        <v>Class</v>
      </c>
      <c r="C27" s="818" t="str">
        <f>IF(B3="B",IF(TC9_BLDG1!C28&lt;&gt;"SC",TC9_BLDG1!C28,"C"),IF(B3="PP",TC9_PP1!C28,""))</f>
        <v>C</v>
      </c>
      <c r="D27" s="91"/>
      <c r="E27" s="195"/>
      <c r="F27" s="101"/>
      <c r="N27" s="146"/>
      <c r="O27" s="300"/>
      <c r="P27" s="299"/>
      <c r="Q27" s="146"/>
      <c r="R27" s="146"/>
      <c r="S27" s="146"/>
      <c r="U27" s="60" t="s">
        <v>554</v>
      </c>
      <c r="X27" s="60" t="s">
        <v>557</v>
      </c>
      <c r="AC27" s="83" t="s">
        <v>1647</v>
      </c>
      <c r="AD27" s="248">
        <f>ROUND(PRODUCT(AD25:AD26),0)</f>
        <v>0</v>
      </c>
      <c r="AE27" s="248">
        <f>ROUND(PRODUCT(AE25:AE26),0)</f>
        <v>0</v>
      </c>
      <c r="AF27" s="248">
        <f>ROUND(PRODUCT(AF25:AF26),0)</f>
        <v>0</v>
      </c>
      <c r="AG27" s="248">
        <f>ROUND(PRODUCT(AG25:AG26),0)</f>
        <v>0</v>
      </c>
      <c r="AI27" s="141" t="s">
        <v>1719</v>
      </c>
      <c r="AJ27" s="8"/>
      <c r="AK27" s="145"/>
      <c r="AM27" s="26"/>
      <c r="AN27" s="481"/>
    </row>
    <row r="28" spans="1:40" x14ac:dyDescent="0.2">
      <c r="A28" s="108" t="s">
        <v>953</v>
      </c>
      <c r="B28" s="95"/>
      <c r="C28" s="570" t="str">
        <f>IF(B3="B",TC9_BLDG1!C30,IF(B3="PP",TC9_PP1!C30,0))</f>
        <v>No</v>
      </c>
      <c r="D28" s="980" t="s">
        <v>662</v>
      </c>
      <c r="E28" s="474"/>
      <c r="F28" s="956" t="s">
        <v>857</v>
      </c>
      <c r="N28" s="146"/>
      <c r="O28" s="301"/>
      <c r="P28" s="299"/>
      <c r="Q28" s="146"/>
      <c r="R28" s="146"/>
      <c r="S28" s="146"/>
      <c r="U28" s="2" t="s">
        <v>555</v>
      </c>
      <c r="X28" s="834">
        <f>IF(P14=1,0,2)</f>
        <v>0</v>
      </c>
      <c r="Y28" s="2" t="s">
        <v>558</v>
      </c>
      <c r="AI28" s="141" t="s">
        <v>1720</v>
      </c>
      <c r="AJ28" s="8"/>
      <c r="AK28" s="145"/>
      <c r="AM28" s="26"/>
      <c r="AN28" s="481"/>
    </row>
    <row r="29" spans="1:40" ht="13.5" thickBot="1" x14ac:dyDescent="0.25">
      <c r="A29" s="743" t="str">
        <f>IF(B3="B","80% Bldg LC - Grp I / II",IF(B3="PP","80% Pers. Pty LC - Grp I / II","No Rating Available"))</f>
        <v>80% Bldg LC - Grp I / II</v>
      </c>
      <c r="B29" s="749">
        <f>IF(B3="B",TC9_BLDG1!P5,IF(B3="PP",TC9_PP1!P5,0))</f>
        <v>0.126</v>
      </c>
      <c r="C29" s="749">
        <f>IF(B3="B",TC9_BLDG1!Q5,IF(B3="PP",TC9_PP1!Q5,0))</f>
        <v>4.2000000000000003E-2</v>
      </c>
      <c r="D29" s="473" t="s">
        <v>1766</v>
      </c>
      <c r="E29" s="216"/>
      <c r="F29" s="763">
        <f>IF(F28="No",0,F4)</f>
        <v>0</v>
      </c>
      <c r="N29" s="60" t="s">
        <v>1612</v>
      </c>
      <c r="P29" s="235" t="s">
        <v>1012</v>
      </c>
      <c r="Q29" s="235" t="s">
        <v>1013</v>
      </c>
      <c r="R29" s="235" t="s">
        <v>838</v>
      </c>
      <c r="S29" s="235" t="s">
        <v>837</v>
      </c>
      <c r="U29" s="834">
        <f>IF(P13=1,0,2)</f>
        <v>0</v>
      </c>
      <c r="V29" s="2" t="s">
        <v>556</v>
      </c>
      <c r="X29" s="834">
        <f>IF(P13=1,0,4)</f>
        <v>0</v>
      </c>
      <c r="Y29" s="2" t="s">
        <v>556</v>
      </c>
      <c r="AC29" s="685" t="s">
        <v>1433</v>
      </c>
      <c r="AD29" s="907">
        <f>IF(F20="Yes",IF(C12="SP",SUM(AD27:AF27),IF(C12="BR",SUM(AD27:AE27,AG27),SUM(AD27:AE27))),0)</f>
        <v>0</v>
      </c>
      <c r="AI29" s="141" t="s">
        <v>1721</v>
      </c>
      <c r="AJ29" s="8"/>
      <c r="AK29" s="145"/>
      <c r="AM29" s="26"/>
      <c r="AN29" s="481"/>
    </row>
    <row r="30" spans="1:40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IF(B3="B",TC9_BLDG1!C33,IF(B3="PP",TC9_PP1!C33,""))</f>
        <v>6</v>
      </c>
      <c r="D30" s="669" t="s">
        <v>1833</v>
      </c>
      <c r="E30" s="216"/>
      <c r="F30" s="954" t="s">
        <v>857</v>
      </c>
      <c r="O30" s="168" t="str">
        <f>C3&amp;" - Loss Cost"</f>
        <v>Building - Loss Cost</v>
      </c>
      <c r="P30" s="247">
        <f>B29</f>
        <v>0.126</v>
      </c>
      <c r="Q30" s="247">
        <f>C29</f>
        <v>4.2000000000000003E-2</v>
      </c>
      <c r="R30" s="247">
        <f>IF(C12="SP",VLOOKUP(B13,Table_Time_Special,3,FALSE),0)</f>
        <v>6.2E-2</v>
      </c>
      <c r="S30" s="247">
        <f>HLOOKUP(B12,Table_BroadTime,3,FALSE)</f>
        <v>2.3E-2</v>
      </c>
      <c r="U30" s="917">
        <f>IF(P6=1,0,4)</f>
        <v>4</v>
      </c>
      <c r="V30" s="185" t="s">
        <v>1161</v>
      </c>
      <c r="X30" s="917">
        <f>IF(P6=1,0,5)</f>
        <v>5</v>
      </c>
      <c r="Y30" s="185" t="s">
        <v>1161</v>
      </c>
      <c r="AI30" s="141" t="s">
        <v>1722</v>
      </c>
      <c r="AJ30" s="8"/>
      <c r="AK30" s="145"/>
      <c r="AM30" s="26"/>
      <c r="AN30" s="481"/>
    </row>
    <row r="31" spans="1:40" ht="13.5" thickBot="1" x14ac:dyDescent="0.25">
      <c r="A31" s="108" t="s">
        <v>1813</v>
      </c>
      <c r="B31" s="939" t="str">
        <f>IF(B3="B",TC9_BLDG1!C61,IF(B3="PP",TC9_PP1!C57,0))</f>
        <v>NA</v>
      </c>
      <c r="C31" s="570" t="str">
        <f>IF(B3="B",TC9_BLDG1!C59,IF(B3="PP",TC9_PP1!C55,0))</f>
        <v>No</v>
      </c>
      <c r="D31" s="507" t="s">
        <v>677</v>
      </c>
      <c r="E31" s="947" t="s">
        <v>459</v>
      </c>
      <c r="F31" s="772" t="str">
        <f>IF(F30="Yes","B","")</f>
        <v/>
      </c>
      <c r="O31" s="168" t="s">
        <v>970</v>
      </c>
      <c r="P31" s="207">
        <f>IF(C30="Yes",DF_Sprinkler50,1)</f>
        <v>1</v>
      </c>
      <c r="Q31" s="207">
        <v>1</v>
      </c>
      <c r="R31" s="207">
        <v>1</v>
      </c>
      <c r="S31" s="299">
        <v>1</v>
      </c>
      <c r="U31" s="834">
        <f>SUM(U29:U30)</f>
        <v>4</v>
      </c>
      <c r="V31" s="53" t="str">
        <f>"Subtract from the " &amp; IF(OR(U31=6,U31=2),"Terr Mult",IF(U31=4,"Prot Class","Loss Cost"))</f>
        <v>Subtract from the Prot Class</v>
      </c>
      <c r="X31" s="834">
        <f>SUM(X28:X30)</f>
        <v>5</v>
      </c>
      <c r="Y31" s="53" t="str">
        <f>"Subtract from the " &amp; IF(OR(X31=2,X31=6,X31=7,X31=11),"Sprk Lkg",IF(OR(X31=4,X31=9),"Terr Mult",IF(X31=5,"Prot Class","Loss Cost")))</f>
        <v>Subtract from the Prot Class</v>
      </c>
      <c r="AB31" s="266"/>
      <c r="AC31" s="266"/>
      <c r="AD31" s="266"/>
      <c r="AE31" s="558"/>
      <c r="AF31" s="558"/>
      <c r="AG31" s="558"/>
      <c r="AI31" s="85"/>
      <c r="AJ31" s="86"/>
      <c r="AK31" s="86"/>
      <c r="AL31" s="86"/>
      <c r="AM31" s="85"/>
      <c r="AN31" s="196"/>
    </row>
    <row r="32" spans="1:40" ht="13.5" thickBot="1" x14ac:dyDescent="0.25">
      <c r="A32" s="108" t="s">
        <v>1825</v>
      </c>
      <c r="B32" s="747"/>
      <c r="C32" s="570" t="str">
        <f>IF(B3="B",TC9_BLDG1!B60,IF(B3="PP",TC9_PP1!B56,0))</f>
        <v>No</v>
      </c>
      <c r="D32" s="507" t="s">
        <v>1748</v>
      </c>
      <c r="E32" s="947">
        <v>25</v>
      </c>
      <c r="F32" s="771" t="str">
        <f>IF(F30="Yes",E32&amp;"_"&amp;E31,"")</f>
        <v/>
      </c>
      <c r="N32" s="185"/>
      <c r="O32" s="186" t="s">
        <v>971</v>
      </c>
      <c r="P32" s="208">
        <f>HLOOKUP(C11,Table_StateRates,6,FALSE)</f>
        <v>1.9</v>
      </c>
      <c r="Q32" s="208">
        <f>HLOOKUP(C11,Table_StateRates,6,FALSE)</f>
        <v>1.9</v>
      </c>
      <c r="R32" s="208">
        <f>HLOOKUP(C11,Table_StateRates,6,FALSE)</f>
        <v>1.9</v>
      </c>
      <c r="S32" s="208">
        <f>HLOOKUP(C11,Table_StateRates,6,FALSE)</f>
        <v>1.9</v>
      </c>
      <c r="U32" s="146"/>
      <c r="AB32" s="60" t="s">
        <v>552</v>
      </c>
      <c r="AD32" s="235" t="s">
        <v>1012</v>
      </c>
      <c r="AE32" s="235" t="s">
        <v>1013</v>
      </c>
      <c r="AF32" s="235" t="s">
        <v>838</v>
      </c>
      <c r="AG32" s="235" t="s">
        <v>837</v>
      </c>
    </row>
    <row r="33" spans="1:33" ht="13.5" thickBot="1" x14ac:dyDescent="0.25">
      <c r="A33" s="108" t="s">
        <v>1824</v>
      </c>
      <c r="B33" s="748"/>
      <c r="C33" s="570">
        <f>IF(AND(B3="B",TC9_BLDG1!C62="Yes"),TC9_BLDG1!P14,IF(AND(B3="PP",TC9_PP1!C58="Yes"),TC9_PP1!P14,0))</f>
        <v>0</v>
      </c>
      <c r="D33" s="669" t="s">
        <v>1834</v>
      </c>
      <c r="E33" s="261"/>
      <c r="F33" s="954" t="s">
        <v>857</v>
      </c>
      <c r="O33" s="83" t="s">
        <v>1134</v>
      </c>
      <c r="P33" s="247">
        <f>ROUND(PRODUCT(P30:P32),3)</f>
        <v>0.23899999999999999</v>
      </c>
      <c r="Q33" s="247">
        <f>ROUND(PRODUCT(Q30:Q32),3)</f>
        <v>0.08</v>
      </c>
      <c r="R33" s="247">
        <f>ROUND(PRODUCT(R30:R32),3)</f>
        <v>0.11799999999999999</v>
      </c>
      <c r="S33" s="247">
        <f>ROUND(PRODUCT(S30:S32),3)</f>
        <v>4.3999999999999997E-2</v>
      </c>
      <c r="U33" s="479" t="str">
        <f>IF(OR(U31=6,U31=2),"TM",IF(U31=4,"PC","LC"))</f>
        <v>PC</v>
      </c>
      <c r="V33" s="919" t="s">
        <v>559</v>
      </c>
      <c r="X33" s="479" t="str">
        <f>IF(AND(B31="Sprinkler",OR(X31=2,X31=6,X31=7,X31=11)),"SL",IF(AND(OR(B31="NA",ISNUMBER(B31)),OR(X31=4,X31=9)),"TM",IF(AND(OR(B31="NA",ISNUMBER(B31)),X31=5),"PC","LC")))</f>
        <v>PC</v>
      </c>
      <c r="AB33" s="146"/>
      <c r="AC33" s="545" t="s">
        <v>1049</v>
      </c>
      <c r="AD33" s="146">
        <f>VLOOKUP(3,Table_Time_Utility,2,FALSE)</f>
        <v>1.0999999999999999E-2</v>
      </c>
      <c r="AE33" s="146">
        <f>VLOOKUP(3,Table_Time_Utility,3,FALSE)</f>
        <v>2.7E-2</v>
      </c>
      <c r="AF33" s="146">
        <f>VLOOKUP(3,Table_Time_Utility,5,FALSE)</f>
        <v>5.2999999999999999E-2</v>
      </c>
      <c r="AG33" s="563">
        <f>VLOOKUP(3,Table_Time_Utility,4,FALSE)</f>
        <v>0.01</v>
      </c>
    </row>
    <row r="34" spans="1:33" x14ac:dyDescent="0.2">
      <c r="A34" s="122" t="s">
        <v>1469</v>
      </c>
      <c r="B34" s="747"/>
      <c r="C34" s="570" t="str">
        <f>IF(B3="B",TC9_BLDG1!C64,IF(B3="PP",TC9_PP1!C60,0))</f>
        <v>No</v>
      </c>
      <c r="D34" s="669" t="s">
        <v>1835</v>
      </c>
      <c r="E34" s="261"/>
      <c r="F34" s="954" t="s">
        <v>857</v>
      </c>
      <c r="N34" s="185"/>
      <c r="O34" s="186" t="s">
        <v>1258</v>
      </c>
      <c r="P34" s="208" t="e">
        <f>VLOOKUP(F5,Table_EE_CoIns,3,FALSE)</f>
        <v>#N/A</v>
      </c>
      <c r="Q34" s="208" t="e">
        <f>VLOOKUP(F5,Table_EE_CoIns,3,FALSE)</f>
        <v>#N/A</v>
      </c>
      <c r="R34" s="208">
        <v>1</v>
      </c>
      <c r="S34" s="208">
        <v>1</v>
      </c>
      <c r="AB34" s="185"/>
      <c r="AC34" s="186" t="s">
        <v>1050</v>
      </c>
      <c r="AD34" s="238">
        <f>F25</f>
        <v>0</v>
      </c>
      <c r="AE34" s="238">
        <f>F25</f>
        <v>0</v>
      </c>
      <c r="AF34" s="238">
        <f>F25</f>
        <v>0</v>
      </c>
      <c r="AG34" s="785">
        <f>F25</f>
        <v>0</v>
      </c>
    </row>
    <row r="35" spans="1:33" ht="13.5" thickBot="1" x14ac:dyDescent="0.25">
      <c r="A35" s="526"/>
      <c r="B35" s="96"/>
      <c r="C35" s="987"/>
      <c r="D35" s="507" t="s">
        <v>1836</v>
      </c>
      <c r="E35" s="947"/>
      <c r="F35" s="293"/>
      <c r="O35" s="83" t="s">
        <v>917</v>
      </c>
      <c r="P35" s="247" t="e">
        <f>ROUND(PRODUCT(P33:P34),3)</f>
        <v>#N/A</v>
      </c>
      <c r="Q35" s="247" t="e">
        <f>ROUND(PRODUCT(Q33:Q34),3)</f>
        <v>#N/A</v>
      </c>
      <c r="R35" s="247">
        <f>ROUND(PRODUCT(R33:R34),3)</f>
        <v>0.11799999999999999</v>
      </c>
      <c r="S35" s="247">
        <f>ROUND(PRODUCT(S33:S34),3)</f>
        <v>4.3999999999999997E-2</v>
      </c>
      <c r="AB35" s="146"/>
      <c r="AC35" s="301" t="s">
        <v>1051</v>
      </c>
      <c r="AD35" s="146">
        <f>ROUND(PRODUCT(AD33:AD34),3)</f>
        <v>0</v>
      </c>
      <c r="AE35" s="146">
        <f>ROUND(PRODUCT(AE33:AE34),3)</f>
        <v>0</v>
      </c>
      <c r="AF35" s="146">
        <f>ROUND(PRODUCT(AF33:AF34),3)</f>
        <v>0</v>
      </c>
      <c r="AG35" s="146">
        <f>ROUND(PRODUCT(AG33:AG34),3)</f>
        <v>0</v>
      </c>
    </row>
    <row r="36" spans="1:33" x14ac:dyDescent="0.2">
      <c r="D36" s="762"/>
      <c r="E36" s="774"/>
      <c r="F36" s="773"/>
      <c r="O36" s="189" t="s">
        <v>1496</v>
      </c>
      <c r="P36" s="247">
        <v>1</v>
      </c>
      <c r="Q36" s="207">
        <f>IF(C32="Yes",VLOOKUP(C15,Table_Construction,3,FALSE),1)</f>
        <v>1</v>
      </c>
      <c r="R36" s="207">
        <v>1</v>
      </c>
      <c r="S36" s="207">
        <v>1</v>
      </c>
      <c r="AC36" s="168" t="s">
        <v>971</v>
      </c>
      <c r="AD36" s="207">
        <f>HLOOKUP(C11,Table_StateRates,6,FALSE)</f>
        <v>1.9</v>
      </c>
      <c r="AE36" s="207">
        <f>HLOOKUP(C11,Table_StateRates,6,FALSE)</f>
        <v>1.9</v>
      </c>
      <c r="AF36" s="207">
        <f>HLOOKUP(C11,Table_StateRates,6,FALSE)</f>
        <v>1.9</v>
      </c>
      <c r="AG36" s="207">
        <f>HLOOKUP(C11,Table_StateRates,6,FALSE)</f>
        <v>1.9</v>
      </c>
    </row>
    <row r="37" spans="1:33" ht="13.5" thickBot="1" x14ac:dyDescent="0.25">
      <c r="A37" s="739"/>
      <c r="B37" s="686"/>
      <c r="C37" s="686"/>
      <c r="D37" s="669" t="s">
        <v>1234</v>
      </c>
      <c r="E37" s="261"/>
      <c r="F37" s="954" t="s">
        <v>857</v>
      </c>
      <c r="O37" s="168" t="s">
        <v>972</v>
      </c>
      <c r="P37" s="207">
        <f>IF(OR(C27="S",C27="T"),1,VLOOKUP(C14,Table_ProtClass,IF(C15&lt;=3,2,3),FALSE)) - IF(AND(C33=1,ISNUMBER(B31),P13=1),B31,0)</f>
        <v>0.96</v>
      </c>
      <c r="Q37" s="207">
        <v>1</v>
      </c>
      <c r="R37" s="207">
        <v>1</v>
      </c>
      <c r="S37" s="207">
        <v>1</v>
      </c>
      <c r="AC37" s="168" t="s">
        <v>1019</v>
      </c>
      <c r="AD37" s="207">
        <f>HLOOKUP(C11,Table_StateRates,5,FALSE)</f>
        <v>1.38</v>
      </c>
      <c r="AE37" s="207">
        <f>HLOOKUP(C11,Table_StateRates,5,FALSE)</f>
        <v>1.38</v>
      </c>
      <c r="AF37" s="207">
        <f>HLOOKUP(C11,Table_StateRates,5,FALSE)</f>
        <v>1.38</v>
      </c>
      <c r="AG37" s="207">
        <f>HLOOKUP(C11,Table_StateRates,5,FALSE)</f>
        <v>1.38</v>
      </c>
    </row>
    <row r="38" spans="1:33" ht="13.5" thickBot="1" x14ac:dyDescent="0.25">
      <c r="A38" s="740"/>
      <c r="B38" s="686"/>
      <c r="C38" s="686"/>
      <c r="D38" s="507" t="s">
        <v>1235</v>
      </c>
      <c r="E38" s="947"/>
      <c r="F38" s="293"/>
      <c r="G38" s="385"/>
      <c r="O38" s="168" t="s">
        <v>1199</v>
      </c>
      <c r="P38" s="247">
        <f>IF(OR(C27="S",C27="T"),1,VLOOKUP(C17,Table_TerrMult,2,FALSE)) - IF(AND((C31)="Yes",ISNUMBER(B31)),B31,0)</f>
        <v>1</v>
      </c>
      <c r="Q38" s="207">
        <v>1</v>
      </c>
      <c r="R38" s="207">
        <v>1</v>
      </c>
      <c r="S38" s="207">
        <v>1</v>
      </c>
      <c r="U38" s="1602" t="s">
        <v>388</v>
      </c>
      <c r="V38" s="1603"/>
      <c r="W38" s="1603"/>
      <c r="X38" s="1603"/>
      <c r="Y38" s="1603"/>
      <c r="Z38" s="1604"/>
      <c r="AC38" s="168" t="s">
        <v>180</v>
      </c>
      <c r="AD38" s="207">
        <v>1</v>
      </c>
      <c r="AE38" s="207">
        <v>1</v>
      </c>
      <c r="AF38" s="207">
        <v>1</v>
      </c>
      <c r="AG38" s="207">
        <v>1</v>
      </c>
    </row>
    <row r="39" spans="1:33" ht="13.5" thickBot="1" x14ac:dyDescent="0.25">
      <c r="A39" s="740"/>
      <c r="B39" s="686"/>
      <c r="C39" s="686"/>
      <c r="D39" s="514"/>
      <c r="E39" s="515"/>
      <c r="F39" s="516"/>
      <c r="G39" s="385"/>
      <c r="O39" s="168" t="s">
        <v>1100</v>
      </c>
      <c r="P39" s="207">
        <f>IF(C31="Yes",IF(ISNUMBER(B31),1,VLOOKUP(C15,Table_SprLkg,IF(B3="B",2,3),FALSE)),1)</f>
        <v>1</v>
      </c>
      <c r="Q39" s="207">
        <v>1</v>
      </c>
      <c r="R39" s="207">
        <v>1</v>
      </c>
      <c r="S39" s="207">
        <v>1</v>
      </c>
      <c r="U39" s="266"/>
      <c r="V39" s="266"/>
      <c r="W39" s="266"/>
      <c r="X39" s="266"/>
      <c r="Y39" s="266"/>
      <c r="Z39" s="266"/>
      <c r="AB39" s="146"/>
      <c r="AC39" s="545" t="s">
        <v>1020</v>
      </c>
      <c r="AD39" s="299">
        <f>IF(C7="PAC",VLOOKUP(B8,Table_PakMods,MATCH(C11,List_Company,0)+1,FALSE),1)</f>
        <v>1</v>
      </c>
      <c r="AE39" s="299">
        <f>IF(C7="PAC",VLOOKUP(B8,Table_PakMods,MATCH(C11,List_Company,0)+1,FALSE),1)</f>
        <v>1</v>
      </c>
      <c r="AF39" s="299">
        <f>IF(C7="PAC",VLOOKUP(B8,Table_PakMods,MATCH(C11,List_Company,0)+1,FALSE),1)</f>
        <v>1</v>
      </c>
      <c r="AG39" s="299">
        <f>IF(C7="PAC",VLOOKUP(B8,Table_PakMods,MATCH(C11,List_Company,0)+1,FALSE),1)</f>
        <v>1</v>
      </c>
    </row>
    <row r="40" spans="1:33" x14ac:dyDescent="0.2">
      <c r="A40" s="686"/>
      <c r="B40" s="686"/>
      <c r="C40" s="686"/>
      <c r="D40" s="737"/>
      <c r="E40" s="686"/>
      <c r="F40" s="385"/>
      <c r="G40" s="385"/>
      <c r="O40" s="236" t="s">
        <v>1099</v>
      </c>
      <c r="P40" s="281">
        <f>C33</f>
        <v>0</v>
      </c>
      <c r="Q40" s="211">
        <v>1</v>
      </c>
      <c r="R40" s="211">
        <v>1</v>
      </c>
      <c r="S40" s="211">
        <v>1</v>
      </c>
      <c r="U40" s="566" t="s">
        <v>1172</v>
      </c>
      <c r="V40" s="266"/>
      <c r="W40" s="266"/>
      <c r="X40" s="266"/>
      <c r="Y40" s="566"/>
      <c r="Z40" s="266"/>
      <c r="AB40" s="542"/>
      <c r="AC40" s="724" t="s">
        <v>1022</v>
      </c>
      <c r="AD40" s="279">
        <v>1</v>
      </c>
      <c r="AE40" s="279">
        <v>1</v>
      </c>
      <c r="AF40" s="279">
        <v>1</v>
      </c>
      <c r="AG40" s="279">
        <v>1</v>
      </c>
    </row>
    <row r="41" spans="1:33" x14ac:dyDescent="0.2">
      <c r="A41" s="739"/>
      <c r="B41" s="686"/>
      <c r="C41" s="686"/>
      <c r="D41" s="737"/>
      <c r="E41" s="686"/>
      <c r="F41" s="385"/>
      <c r="G41" s="385"/>
      <c r="N41" s="209"/>
      <c r="O41" s="210" t="s">
        <v>1016</v>
      </c>
      <c r="P41" s="212">
        <v>1</v>
      </c>
      <c r="Q41" s="212">
        <v>1</v>
      </c>
      <c r="R41" s="212">
        <v>1</v>
      </c>
      <c r="S41" s="212">
        <v>1</v>
      </c>
      <c r="U41" s="266"/>
      <c r="V41" s="486" t="s">
        <v>228</v>
      </c>
      <c r="W41" s="426">
        <f>IF(C21="Yes",HLOOKUP(B21,Table_Terrorism,3,FALSE),0)</f>
        <v>1.4999999999999999E-2</v>
      </c>
      <c r="X41" s="266"/>
      <c r="Y41" s="385"/>
      <c r="Z41" s="702"/>
      <c r="AC41" s="83" t="s">
        <v>1150</v>
      </c>
      <c r="AD41" s="2">
        <f>ROUND(PRODUCT(AD35:AD40),3)</f>
        <v>0</v>
      </c>
      <c r="AE41" s="2">
        <f>ROUND(PRODUCT(AE35:AE40),3)</f>
        <v>0</v>
      </c>
      <c r="AF41" s="2">
        <f>ROUND(PRODUCT(AF35:AF40),3)</f>
        <v>0</v>
      </c>
      <c r="AG41" s="2">
        <f>ROUND(PRODUCT(AG35:AG40),3)</f>
        <v>0</v>
      </c>
    </row>
    <row r="42" spans="1:33" ht="13.5" customHeight="1" x14ac:dyDescent="0.2">
      <c r="A42" s="741"/>
      <c r="B42" s="686"/>
      <c r="C42" s="686"/>
      <c r="D42" s="737"/>
      <c r="E42" s="686"/>
      <c r="F42" s="385"/>
      <c r="G42" s="385"/>
      <c r="O42" s="168" t="s">
        <v>1259</v>
      </c>
      <c r="P42" s="207">
        <f>IF(F7="Yes",VLOOKUP(E8,Table_CivilAuth,2,FALSE),1)</f>
        <v>1</v>
      </c>
      <c r="Q42" s="207">
        <f>IF(F7="Yes",VLOOKUP(E8,Table_CivilAuth,2,FALSE),1)</f>
        <v>1</v>
      </c>
      <c r="R42" s="207">
        <f>IF(F7="Yes",VLOOKUP(E8,Table_CivilAuth,2,FALSE),1)</f>
        <v>1</v>
      </c>
      <c r="S42" s="207">
        <f>IF(F7="Yes",VLOOKUP(E8,Table_CivilAuth,2,FALSE),1)</f>
        <v>1</v>
      </c>
      <c r="U42" s="209"/>
      <c r="V42" s="280" t="s">
        <v>1176</v>
      </c>
      <c r="W42" s="212">
        <v>1</v>
      </c>
      <c r="X42" s="385"/>
      <c r="Y42" s="385"/>
      <c r="Z42" s="702"/>
      <c r="AB42" s="185"/>
      <c r="AC42" s="186" t="s">
        <v>1025</v>
      </c>
      <c r="AD42" s="238">
        <f>IF(ISNUMBER(E21),E21/100,0)</f>
        <v>0</v>
      </c>
      <c r="AE42" s="238">
        <f>IF(ISNUMBER(E21),E21/100,0)</f>
        <v>0</v>
      </c>
      <c r="AF42" s="238">
        <f>IF(ISNUMBER(E21),E21/100,0)</f>
        <v>0</v>
      </c>
      <c r="AG42" s="238">
        <f>IF(ISNUMBER(E21),E21/100,0)</f>
        <v>0</v>
      </c>
    </row>
    <row r="43" spans="1:33" ht="12.75" customHeight="1" x14ac:dyDescent="0.2">
      <c r="A43" s="742"/>
      <c r="B43" s="739"/>
      <c r="C43" s="739"/>
      <c r="D43" s="737"/>
      <c r="E43" s="686"/>
      <c r="F43" s="385"/>
      <c r="G43" s="385"/>
      <c r="O43" s="168" t="s">
        <v>1019</v>
      </c>
      <c r="P43" s="207">
        <f>HLOOKUP(C11,Table_StateRates,5,FALSE)</f>
        <v>1.38</v>
      </c>
      <c r="Q43" s="207">
        <f>HLOOKUP(C11,Table_StateRates,5,FALSE)</f>
        <v>1.38</v>
      </c>
      <c r="R43" s="207">
        <f>HLOOKUP(C11,Table_StateRates,5,FALSE)</f>
        <v>1.38</v>
      </c>
      <c r="S43" s="207">
        <f>HLOOKUP(C11,Table_StateRates,5,FALSE)</f>
        <v>1.38</v>
      </c>
      <c r="U43" s="266"/>
      <c r="V43" s="486" t="s">
        <v>1177</v>
      </c>
      <c r="W43" s="423">
        <f>IF(C22="Yes",VLOOKUP(B21,Table_TerrorNBC,2,FALSE),1)</f>
        <v>1</v>
      </c>
      <c r="X43" s="423"/>
      <c r="Y43" s="385"/>
      <c r="Z43" s="702"/>
      <c r="AC43" s="83" t="s">
        <v>1647</v>
      </c>
      <c r="AD43" s="248">
        <f>ROUND(PRODUCT(AD41:AD42),0)</f>
        <v>0</v>
      </c>
      <c r="AE43" s="248">
        <f>ROUND(PRODUCT(AE41:AE42),0)</f>
        <v>0</v>
      </c>
      <c r="AF43" s="248">
        <f>ROUND(PRODUCT(AF41:AF42),0)</f>
        <v>0</v>
      </c>
      <c r="AG43" s="248">
        <f>ROUND(PRODUCT(AG41:AG42),0)</f>
        <v>0</v>
      </c>
    </row>
    <row r="44" spans="1:33" x14ac:dyDescent="0.2">
      <c r="A44" s="742"/>
      <c r="B44" s="739"/>
      <c r="C44" s="739"/>
      <c r="D44" s="737"/>
      <c r="E44" s="686"/>
      <c r="F44" s="385"/>
      <c r="G44" s="385"/>
      <c r="O44" s="168" t="s">
        <v>180</v>
      </c>
      <c r="P44" s="207">
        <v>1</v>
      </c>
      <c r="Q44" s="207">
        <v>1</v>
      </c>
      <c r="R44" s="207">
        <v>1</v>
      </c>
      <c r="S44" s="207">
        <v>1</v>
      </c>
      <c r="U44" s="266"/>
      <c r="V44" s="486" t="s">
        <v>971</v>
      </c>
      <c r="W44" s="423">
        <f>HLOOKUP(C11,Table_StateRates,6,FALSE)</f>
        <v>1.9</v>
      </c>
      <c r="X44" s="559"/>
      <c r="Y44" s="559"/>
      <c r="Z44" s="877"/>
    </row>
    <row r="45" spans="1:33" x14ac:dyDescent="0.2">
      <c r="A45" s="742"/>
      <c r="B45" s="739"/>
      <c r="C45" s="739"/>
      <c r="D45" s="737"/>
      <c r="E45" s="686"/>
      <c r="F45" s="385"/>
      <c r="G45" s="385"/>
      <c r="N45" s="146"/>
      <c r="O45" s="545" t="s">
        <v>1020</v>
      </c>
      <c r="P45" s="299">
        <f>IF(C7="PAC",VLOOKUP(B8,Table_PakMods,MATCH(C11,List_Company,0)+1,FALSE),1)</f>
        <v>1</v>
      </c>
      <c r="Q45" s="299">
        <f>IF(C7="PAC",VLOOKUP(B8,Table_PakMods,MATCH(C11,List_Company,0)+1,FALSE),1)</f>
        <v>1</v>
      </c>
      <c r="R45" s="299">
        <f>IF(C7="PAC",VLOOKUP(B8,Table_PakMods,MATCH(C11,List_Company,0)+1,FALSE),1)</f>
        <v>1</v>
      </c>
      <c r="S45" s="299">
        <f>IF(C7="PAC",VLOOKUP(B8,Table_PakMods,MATCH(C11,List_Company,0)+1,FALSE),1)</f>
        <v>1</v>
      </c>
      <c r="U45" s="542"/>
      <c r="V45" s="597" t="s">
        <v>1019</v>
      </c>
      <c r="W45" s="279">
        <f>HLOOKUP(C11,Table_StateRates,5,FALSE)</f>
        <v>1.38</v>
      </c>
      <c r="X45" s="426"/>
      <c r="Y45" s="559"/>
      <c r="Z45" s="899"/>
      <c r="AC45" s="685" t="s">
        <v>1434</v>
      </c>
      <c r="AD45" s="907">
        <f>IF(F20="Yes",IF(C12="SP",SUM(AD43:AF43),IF(C12="BR",SUM(AD43:AE43,AG43),SUM(AD43:AE43))),0)</f>
        <v>0</v>
      </c>
    </row>
    <row r="46" spans="1:33" x14ac:dyDescent="0.2">
      <c r="A46" s="742"/>
      <c r="B46" s="686"/>
      <c r="C46" s="686"/>
      <c r="D46" s="737"/>
      <c r="E46" s="686"/>
      <c r="F46" s="385"/>
      <c r="G46" s="385"/>
      <c r="N46" s="542"/>
      <c r="O46" s="724" t="s">
        <v>1022</v>
      </c>
      <c r="P46" s="279">
        <v>1</v>
      </c>
      <c r="Q46" s="279">
        <v>1</v>
      </c>
      <c r="R46" s="279">
        <v>1</v>
      </c>
      <c r="S46" s="279">
        <v>1</v>
      </c>
      <c r="U46" s="385"/>
      <c r="V46" s="685" t="s">
        <v>1134</v>
      </c>
      <c r="W46" s="558">
        <f>ROUND(PRODUCT(W41:W45),3)</f>
        <v>3.9E-2</v>
      </c>
      <c r="X46" s="385"/>
      <c r="Y46" s="559"/>
      <c r="Z46" s="877"/>
    </row>
    <row r="47" spans="1:33" ht="13.5" thickBot="1" x14ac:dyDescent="0.25">
      <c r="A47" s="742"/>
      <c r="B47" s="686"/>
      <c r="C47" s="686"/>
      <c r="D47" s="385"/>
      <c r="E47" s="385"/>
      <c r="F47" s="385"/>
      <c r="G47" s="385"/>
      <c r="O47" s="83" t="s">
        <v>1150</v>
      </c>
      <c r="P47" s="247" t="e">
        <f>ROUND(PRODUCT(P35:P38,IF(AND(C31="Yes",B31="Sprinkler",C33&lt;&gt;1),P39-P40,P39),P41:P46),3)</f>
        <v>#N/A</v>
      </c>
      <c r="Q47" s="247" t="e">
        <f>ROUND(PRODUCT(Q35:Q46),3)</f>
        <v>#N/A</v>
      </c>
      <c r="R47" s="247">
        <f>ROUND(PRODUCT(R35:R46),3)</f>
        <v>0.16300000000000001</v>
      </c>
      <c r="S47" s="247">
        <f>ROUND(PRODUCT(S35:S46),3)</f>
        <v>6.0999999999999999E-2</v>
      </c>
      <c r="U47" s="385"/>
      <c r="V47" s="702" t="s">
        <v>1178</v>
      </c>
      <c r="W47" s="559">
        <f>VLOOKUP(C14,Table_ProtClass,IF(C15&lt;=3,2,3),FALSE)</f>
        <v>0.96</v>
      </c>
      <c r="X47" s="266"/>
      <c r="Y47" s="266"/>
      <c r="Z47" s="266"/>
    </row>
    <row r="48" spans="1:33" ht="13.5" thickBot="1" x14ac:dyDescent="0.25">
      <c r="A48" s="742"/>
      <c r="B48" s="686"/>
      <c r="C48" s="686"/>
      <c r="D48" s="385"/>
      <c r="E48" s="385"/>
      <c r="F48" s="385"/>
      <c r="G48" s="385"/>
      <c r="N48" s="185"/>
      <c r="O48" s="186" t="s">
        <v>1025</v>
      </c>
      <c r="P48" s="238">
        <f>IF(ISNUMBER(F12),F12/100,0)</f>
        <v>0</v>
      </c>
      <c r="Q48" s="238">
        <f>IF(ISNUMBER(F12),F12/100,0)</f>
        <v>0</v>
      </c>
      <c r="R48" s="238">
        <f>IF(ISNUMBER(F12),F12/100,0)</f>
        <v>0</v>
      </c>
      <c r="S48" s="238">
        <f>IF(ISNUMBER(F12),F12/100,0)</f>
        <v>0</v>
      </c>
      <c r="U48" s="542"/>
      <c r="V48" s="597" t="s">
        <v>1475</v>
      </c>
      <c r="W48" s="279" t="e">
        <f>VLOOKUP(F5,Table_EE_CoIns,3,FALSE)</f>
        <v>#N/A</v>
      </c>
      <c r="X48" s="558"/>
      <c r="Y48" s="558"/>
      <c r="Z48" s="558"/>
      <c r="AB48" s="916" t="s">
        <v>553</v>
      </c>
      <c r="AD48" s="734">
        <f>SUM(AD15,AD29,AD45)</f>
        <v>0</v>
      </c>
    </row>
    <row r="49" spans="1:26" x14ac:dyDescent="0.2">
      <c r="A49" s="742"/>
      <c r="B49" s="686"/>
      <c r="C49" s="686"/>
      <c r="D49" s="385"/>
      <c r="E49" s="385"/>
      <c r="F49" s="385"/>
      <c r="G49" s="385"/>
      <c r="O49" s="83" t="s">
        <v>978</v>
      </c>
      <c r="P49" s="248" t="e">
        <f>ROUND(PRODUCT(P47:P48),0)</f>
        <v>#N/A</v>
      </c>
      <c r="Q49" s="248" t="e">
        <f>ROUND(PRODUCT(Q47:Q48),0)</f>
        <v>#N/A</v>
      </c>
      <c r="R49" s="248">
        <f>ROUND(PRODUCT(R47:R48),0)</f>
        <v>0</v>
      </c>
      <c r="S49" s="248">
        <f>ROUND(PRODUCT(S47:S48),0)</f>
        <v>0</v>
      </c>
      <c r="U49" s="423"/>
      <c r="V49" s="810" t="s">
        <v>1150</v>
      </c>
      <c r="W49" s="426" t="e">
        <f>ROUND(PRODUCT(W46:W48),3)</f>
        <v>#N/A</v>
      </c>
      <c r="X49" s="559"/>
      <c r="Y49" s="559"/>
      <c r="Z49" s="559"/>
    </row>
    <row r="50" spans="1:26" x14ac:dyDescent="0.2">
      <c r="A50" s="742"/>
      <c r="B50" s="686"/>
      <c r="C50" s="686"/>
      <c r="G50" s="385"/>
      <c r="U50" s="279"/>
      <c r="V50" s="809" t="s">
        <v>1473</v>
      </c>
      <c r="W50" s="487">
        <f>IF(ISNUMBER(F4),F4/100,0)</f>
        <v>0</v>
      </c>
      <c r="X50" s="559"/>
      <c r="Y50" s="559"/>
      <c r="Z50" s="559"/>
    </row>
    <row r="51" spans="1:26" x14ac:dyDescent="0.2">
      <c r="A51" s="742"/>
      <c r="B51" s="686"/>
      <c r="C51" s="686"/>
      <c r="G51" s="385"/>
      <c r="U51" s="426"/>
      <c r="V51" s="811" t="s">
        <v>1474</v>
      </c>
      <c r="W51" s="812" t="e">
        <f>ROUND(PRODUCT(W49:W50),0)</f>
        <v>#N/A</v>
      </c>
      <c r="X51" s="558"/>
      <c r="Y51" s="558"/>
      <c r="Z51" s="558"/>
    </row>
    <row r="52" spans="1:26" x14ac:dyDescent="0.2">
      <c r="A52" s="742"/>
      <c r="B52" s="686"/>
      <c r="C52" s="686"/>
      <c r="G52" s="385"/>
    </row>
    <row r="53" spans="1:26" x14ac:dyDescent="0.2">
      <c r="A53" s="742"/>
      <c r="B53" s="686"/>
      <c r="C53" s="686"/>
      <c r="G53" s="385"/>
    </row>
    <row r="54" spans="1:26" x14ac:dyDescent="0.2">
      <c r="A54" s="385"/>
      <c r="B54" s="385"/>
      <c r="C54" s="385"/>
      <c r="G54" s="385"/>
      <c r="U54" s="566" t="s">
        <v>1732</v>
      </c>
      <c r="V54" s="266"/>
      <c r="W54" s="266"/>
    </row>
    <row r="55" spans="1:26" x14ac:dyDescent="0.2">
      <c r="A55" s="385"/>
      <c r="B55" s="385"/>
      <c r="C55" s="385"/>
      <c r="F55" s="8"/>
      <c r="G55" s="385"/>
      <c r="U55" s="266"/>
      <c r="V55" s="268" t="s">
        <v>1693</v>
      </c>
      <c r="W55" s="426">
        <f>B29</f>
        <v>0.126</v>
      </c>
    </row>
    <row r="56" spans="1:26" x14ac:dyDescent="0.2">
      <c r="A56" s="385"/>
      <c r="B56" s="385"/>
      <c r="C56" s="385"/>
      <c r="F56" s="139"/>
      <c r="G56" s="385"/>
      <c r="U56" s="266"/>
      <c r="V56" s="268" t="s">
        <v>1695</v>
      </c>
      <c r="W56" s="423" t="e">
        <f>IF(#REF!="Yes",DF_TerrorDT,1)</f>
        <v>#REF!</v>
      </c>
    </row>
    <row r="57" spans="1:26" x14ac:dyDescent="0.2">
      <c r="F57" s="139"/>
      <c r="G57" s="385"/>
      <c r="U57" s="542"/>
      <c r="V57" s="724" t="s">
        <v>1696</v>
      </c>
      <c r="W57" s="757" t="e">
        <f>IF(#REF!="Yes",DF_TerrorDTnbc,1)</f>
        <v>#REF!</v>
      </c>
    </row>
    <row r="58" spans="1:26" x14ac:dyDescent="0.2">
      <c r="F58" s="139"/>
      <c r="U58" s="266"/>
      <c r="V58" s="568" t="s">
        <v>1694</v>
      </c>
      <c r="W58" s="426" t="e">
        <f>ROUND(PRODUCT(W55:W57),3)</f>
        <v>#REF!</v>
      </c>
    </row>
    <row r="59" spans="1:26" x14ac:dyDescent="0.2">
      <c r="G59" s="8"/>
      <c r="U59" s="542"/>
      <c r="V59" s="809" t="s">
        <v>1473</v>
      </c>
      <c r="W59" s="988">
        <f>IF(ISBLANK(F4),0,F4/100)</f>
        <v>0</v>
      </c>
    </row>
    <row r="60" spans="1:26" x14ac:dyDescent="0.2">
      <c r="G60" s="8"/>
      <c r="U60" s="385"/>
      <c r="V60" s="568" t="s">
        <v>1733</v>
      </c>
      <c r="W60" s="989" t="e">
        <f>ROUND(PRODUCT(W55:W59),0)</f>
        <v>#REF!</v>
      </c>
    </row>
    <row r="61" spans="1:26" x14ac:dyDescent="0.2">
      <c r="G61" s="8"/>
      <c r="U61" s="385"/>
      <c r="V61" s="702"/>
      <c r="W61" s="559"/>
    </row>
    <row r="62" spans="1:26" x14ac:dyDescent="0.2">
      <c r="G62" s="8"/>
      <c r="U62" s="385"/>
      <c r="V62" s="702"/>
      <c r="W62" s="559"/>
    </row>
    <row r="63" spans="1:26" x14ac:dyDescent="0.2">
      <c r="G63" s="8"/>
      <c r="U63" s="559"/>
      <c r="V63" s="877"/>
      <c r="W63" s="558"/>
    </row>
    <row r="64" spans="1:26" x14ac:dyDescent="0.2">
      <c r="U64" s="559"/>
      <c r="V64" s="899"/>
      <c r="W64" s="575"/>
    </row>
    <row r="65" spans="7:23" x14ac:dyDescent="0.2">
      <c r="U65" s="558"/>
      <c r="V65" s="900"/>
      <c r="W65" s="575"/>
    </row>
    <row r="66" spans="7:23" x14ac:dyDescent="0.2">
      <c r="O66" s="168"/>
    </row>
    <row r="67" spans="7:23" x14ac:dyDescent="0.2">
      <c r="O67" s="168"/>
    </row>
    <row r="68" spans="7:23" x14ac:dyDescent="0.2">
      <c r="G68" s="8"/>
    </row>
    <row r="69" spans="7:23" x14ac:dyDescent="0.2">
      <c r="G69" s="8"/>
    </row>
    <row r="70" spans="7:23" x14ac:dyDescent="0.2">
      <c r="G70" s="8"/>
    </row>
    <row r="71" spans="7:23" x14ac:dyDescent="0.2">
      <c r="G71" s="8"/>
    </row>
    <row r="72" spans="7:23" x14ac:dyDescent="0.2">
      <c r="G72" s="8"/>
    </row>
    <row r="73" spans="7:23" x14ac:dyDescent="0.2">
      <c r="G73" s="8"/>
    </row>
    <row r="74" spans="7:23" x14ac:dyDescent="0.2">
      <c r="G74" s="8"/>
    </row>
    <row r="75" spans="7:23" x14ac:dyDescent="0.2">
      <c r="G75" s="8"/>
    </row>
    <row r="76" spans="7:23" x14ac:dyDescent="0.2">
      <c r="G76" s="146"/>
    </row>
  </sheetData>
  <mergeCells count="3">
    <mergeCell ref="H1:L1"/>
    <mergeCell ref="AM24:AN24"/>
    <mergeCell ref="U38:Z38"/>
  </mergeCells>
  <conditionalFormatting sqref="B24">
    <cfRule type="expression" dxfId="50" priority="2" stopIfTrue="1">
      <formula>IF($C$24="Yes",FALSE,TRUE)</formula>
    </cfRule>
  </conditionalFormatting>
  <conditionalFormatting sqref="A18">
    <cfRule type="expression" dxfId="49" priority="1">
      <formula>IF($C$12="SP",TRUE,FALSE)</formula>
    </cfRule>
  </conditionalFormatting>
  <dataValidations count="47">
    <dataValidation type="custom" allowBlank="1" showInputMessage="1" showErrorMessage="1" sqref="E21">
      <formula1>IF(F20="Yes",TRUE,FALSE)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Increased Coverage Period" prompt="Please Select # of Days:_x000a_{ 60, 90, 180 }" sqref="E8">
      <formula1>IF(F7="Yes",OFFSET(Table_CivilAuth,0,0,,1),List_No)</formula1>
    </dataValidation>
    <dataValidation type="custom" allowBlank="1" showInputMessage="1" showErrorMessage="1" sqref="O30 A29 F29 B30 C25 O5">
      <formula1>FALSE</formula1>
    </dataValidation>
    <dataValidation type="custom" allowBlank="1" showInputMessage="1" showErrorMessage="1" errorTitle="Do Not Touch" error="This is used to generate the Coinsurance rate." sqref="B34 E37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C10:C11 C7 B8 C14:C15 B5:C5 C4 C21:C22 C24 C17">
      <formula1>FALSE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list" allowBlank="1" showInputMessage="1" showErrorMessage="1" promptTitle="Utility Services Coverage" prompt="Please Select:_x000a_Yes or No" sqref="F20">
      <formula1>List_YN</formula1>
    </dataValidation>
    <dataValidation type="list" allowBlank="1" showInputMessage="1" showErrorMessage="1" promptTitle="Increased Period of Restoration" prompt="Please Select:_x000a_Yes or No" sqref="F18">
      <formula1>List_YN</formula1>
    </dataValidation>
    <dataValidation type="list" allowBlank="1" showInputMessage="1" showErrorMessage="1" promptTitle="Please Select:" prompt="Yes = Apply Coverage_x000a_No  = Do Not Apply" sqref="F11 F28">
      <formula1>List_YN</formula1>
    </dataValidation>
    <dataValidation type="list" allowBlank="1" showInputMessage="1" showErrorMessage="1" promptTitle="Prior/Intended Building Class:" prompt="Please select your previous or Intended Building Class code for the building type classified." sqref="F15">
      <formula1>OFFSET(Table_G1_LC,0,0,,1)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16">
      <formula1>FALSE</formula1>
    </dataValidation>
    <dataValidation type="custom" allowBlank="1" showInputMessage="1" showErrorMessage="1" promptTitle="Class Rating Group" prompt="Displays Rating Group for Class Code selected." sqref="E13">
      <formula1>FALSE</formula1>
    </dataValidation>
    <dataValidation type="list" allowBlank="1" showInputMessage="1" showErrorMessage="1" promptTitle="Basic Group I - Class Codes" prompt="Please select your building class code" sqref="F13">
      <formula1>OFFSET(Table_G1_LC,0,0,,1)</formula1>
    </dataValidation>
    <dataValidation type="list" allowBlank="1" showInputMessage="1" showErrorMessage="1" promptTitle="Civil Authority Inc. Coverage" prompt="Please Select:_x000a_Yes or No" sqref="F7">
      <formula1>List_YN</formula1>
    </dataValidation>
    <dataValidation type="list" allowBlank="1" showInputMessage="1" showErrorMessage="1" promptTitle="Limits on Loss Payment" prompt="Please Select:_x000a_  35 = 35%-70%-100%_x000a_  40 = 40%-80%-100%_x000a_100 = 100%-100%-100%" sqref="F5">
      <formula1>OFFSET(Table_EE_CoIns,0,0,,1)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type="list" allowBlank="1" showInputMessage="1" showErrorMessage="1" errorTitle="Coverage Not Allowed" error="Business Income Coverage has already been applied to this policy." promptTitle="Please Select:" prompt="Yes = Apply Coverage_x000a_No  = Do Not Apply_x000a__x000a_* Coverage not available if Business Income Coverage has already been applied to policy." sqref="F3">
      <formula1>IF($E$3="BI",List_No,List_YN)</formula1>
    </dataValidation>
    <dataValidation type="custom" allowBlank="1" showInputMessage="1" showErrorMessage="1" promptTitle="EE Availability Indicator:" prompt="BI - indicates that Business Income Coverage has already been applied to the policy._x000a__x000a_Available - indicates EE is still available to be added to the policy." sqref="E3">
      <formula1>FALSE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custom" allowBlank="1" showInputMessage="1" showErrorMessage="1" promptTitle="OH Lines Utility Svc Multiplier" prompt="Displays the multiplier for the Overhead Power Trans &amp; Comm Lines premium calculations." sqref="F25">
      <formula1>FALSE</formula1>
    </dataValidation>
    <dataValidation type="custom" allowBlank="1" showInputMessage="1" showErrorMessage="1" promptTitle="P&amp;W Utility Svc Multiplier" prompt="Displays the multiplier for Power &amp; Water Supply premium calculations." sqref="F22">
      <formula1>FALSE</formula1>
    </dataValidation>
    <dataValidation type="list" allowBlank="1" showInputMessage="1" showErrorMessage="1" promptTitle="OH Power Transmission Lines" prompt="Please Select:_x000a_{ Yes or No }" sqref="E25">
      <formula1>IF($F$20="Yes",List_YN, List_No)</formula1>
    </dataValidation>
    <dataValidation type="list" allowBlank="1" showInputMessage="1" showErrorMessage="1" promptTitle="Ovhd Communication Lines" prompt="Please Select:_x000a_{ Yes or No }" sqref="E26">
      <formula1>IF($F$20="Yes",List_YN, List_No)</formula1>
    </dataValidation>
    <dataValidation type="list" allowBlank="1" showInputMessage="1" showErrorMessage="1" promptTitle="Communications Supply" prompt="Please Select:_x000a_{ Yes or No }" sqref="E24">
      <formula1>IF($F$20="Yes",List_YN, List_No)</formula1>
    </dataValidation>
    <dataValidation type="list" allowBlank="1" showInputMessage="1" showErrorMessage="1" promptTitle="Power &amp; Water Supply" prompt="Please Select:_x000a_{ Yes or No }" sqref="E22:E23">
      <formula1>IF($F$20="Yes",List_YN, List_No)</formula1>
    </dataValidation>
    <dataValidation type="custom" allowBlank="1" showInputMessage="1" showErrorMessage="1" prompt="Relates to Special Form Reference" sqref="B15">
      <formula1>FALSE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30">
      <formula1>IF(AND($F$45="Yes",$C$56&lt;&gt;"Yes"),List_YN,List_No)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37">
      <formula1>IF(OR($C$12="BR",$C$12="BA"),List_No,IF($F$45="Yes",List_YN,List_No))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34">
      <formula1>IF($C$12="SP",List_No,IF($F$45="Yes",List_YN,List_No))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33">
      <formula1>IF($C$12="SP",List_No,IF($F$45="Yes",List_YN,List_No))</formula1>
    </dataValidation>
    <dataValidation type="custom" allowBlank="1" showInputMessage="1" showErrorMessage="1" prompt="EQ Sprinkler Leakage Extension Factor Lookup value." sqref="F31">
      <formula1>FALSE</formula1>
    </dataValidation>
    <dataValidation type="custom" allowBlank="1" showInputMessage="1" showErrorMessage="1" prompt="EQ Table Lookup Value" sqref="F32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32">
      <formula1>OFFSET(Table_EQ_Tiers,0,0,,1)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8">
      <formula1>IF($F$54="Yes",OFFSET(Table_Other_WaterBuyback,0,0,,1),List_No)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5">
      <formula1>IF($F$51="Yes",OFFSET(Table_Other_PierWharf,0,0,,1),List_No)</formula1>
    </dataValidation>
    <dataValidation type="list" allowBlank="1" showInputMessage="1" showErrorMessage="1" promptTitle="EQ Building Class" prompt="Please Select a class from the drop down list." sqref="E31">
      <formula1>IF($F$47="Yes",List_EQBldgClass,List_No)</formula1>
    </dataValidation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5" manualBreakCount="5">
    <brk id="6" max="1048575" man="1"/>
    <brk id="13" max="52" man="1"/>
    <brk id="20" max="52" man="1"/>
    <brk id="27" max="52" man="1"/>
    <brk id="34" max="52" man="1"/>
  </colBreak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Z57"/>
  <sheetViews>
    <sheetView topLeftCell="A16"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2.5703125" style="2" customWidth="1"/>
    <col min="3" max="3" width="12.85546875" style="2" customWidth="1"/>
    <col min="4" max="4" width="26.85546875" style="2" customWidth="1"/>
    <col min="5" max="5" width="12.5703125" style="2" customWidth="1"/>
    <col min="6" max="6" width="11.85546875" style="2" customWidth="1"/>
    <col min="7" max="7" width="9.140625" style="2"/>
    <col min="8" max="8" width="20.85546875" style="2" customWidth="1"/>
    <col min="9" max="9" width="17.85546875" style="2" customWidth="1"/>
    <col min="10" max="10" width="12.85546875" style="2" customWidth="1"/>
    <col min="11" max="11" width="19.5703125" style="2" customWidth="1"/>
    <col min="12" max="12" width="9.140625" style="2"/>
    <col min="13" max="13" width="14.7109375" style="2" customWidth="1"/>
    <col min="14" max="14" width="25.85546875" style="2" customWidth="1"/>
    <col min="15" max="15" width="14.140625" style="2" customWidth="1"/>
    <col min="16" max="16" width="9.140625" style="2"/>
    <col min="17" max="17" width="14.7109375" style="2" customWidth="1"/>
    <col min="18" max="18" width="23.85546875" style="2" customWidth="1"/>
    <col min="19" max="19" width="14.140625" style="2" customWidth="1"/>
    <col min="20" max="20" width="9.140625" style="2"/>
    <col min="21" max="21" width="34.28515625" style="2" customWidth="1"/>
    <col min="22" max="22" width="23.7109375" style="2" customWidth="1"/>
    <col min="23" max="23" width="14.28515625" style="2" customWidth="1"/>
    <col min="24" max="16384" width="9.140625" style="2"/>
  </cols>
  <sheetData>
    <row r="1" spans="1:23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1723</v>
      </c>
      <c r="I1" s="1595"/>
      <c r="J1" s="1595"/>
      <c r="K1" s="1596"/>
      <c r="U1" s="1617" t="s">
        <v>949</v>
      </c>
      <c r="V1" s="1617"/>
      <c r="W1" s="1617"/>
    </row>
    <row r="2" spans="1:23" ht="12.75" customHeight="1" thickBot="1" x14ac:dyDescent="0.25">
      <c r="A2" s="161" t="s">
        <v>832</v>
      </c>
      <c r="B2" s="162"/>
      <c r="C2" s="163"/>
      <c r="D2" s="529" t="s">
        <v>897</v>
      </c>
      <c r="E2" s="531"/>
      <c r="F2" s="532"/>
      <c r="M2" s="60" t="s">
        <v>1767</v>
      </c>
      <c r="Q2" s="60" t="s">
        <v>1769</v>
      </c>
    </row>
    <row r="3" spans="1:23" ht="13.5" thickBot="1" x14ac:dyDescent="0.25">
      <c r="A3" s="120" t="s">
        <v>1024</v>
      </c>
      <c r="B3" s="95"/>
      <c r="C3" s="1085" t="str">
        <f>DF_State</f>
        <v>CT</v>
      </c>
      <c r="D3" s="203" t="s">
        <v>306</v>
      </c>
      <c r="E3" s="216"/>
      <c r="F3" s="204" t="s">
        <v>857</v>
      </c>
      <c r="H3" s="1273">
        <f>Summary9</f>
        <v>0</v>
      </c>
      <c r="I3" s="557"/>
      <c r="J3" s="557"/>
      <c r="N3" s="168" t="s">
        <v>1761</v>
      </c>
      <c r="O3" s="247">
        <f>IF(C31="Yes",VLOOKUP(B32,Table_EQ_LC,3,FALSE),0)</f>
        <v>0</v>
      </c>
      <c r="R3" s="168" t="s">
        <v>1761</v>
      </c>
      <c r="S3" s="247" t="e">
        <f>IF(C31="Yes",VLOOKUP(B32,Table_EQ_LC,3,FALSE),VLOOKUP(B42,Table_EQ_LC,MATCH(C47,List_PPGrade,0)+3,FALSE))</f>
        <v>#N/A</v>
      </c>
      <c r="U3" s="154" t="s">
        <v>950</v>
      </c>
      <c r="V3" s="86"/>
      <c r="W3" s="156" t="s">
        <v>951</v>
      </c>
    </row>
    <row r="4" spans="1:23" x14ac:dyDescent="0.2">
      <c r="A4" s="1036" t="s">
        <v>1828</v>
      </c>
      <c r="B4" s="1041"/>
      <c r="C4" s="1098"/>
      <c r="D4" s="107" t="s">
        <v>961</v>
      </c>
      <c r="E4" s="272"/>
      <c r="F4" s="704"/>
      <c r="H4" s="82"/>
      <c r="I4" s="189"/>
      <c r="J4" s="4"/>
      <c r="M4" s="146"/>
      <c r="N4" s="545" t="s">
        <v>971</v>
      </c>
      <c r="O4" s="299" t="e">
        <f>HLOOKUP(C10,Table_StateRates,6,FALSE)</f>
        <v>#N/A</v>
      </c>
      <c r="Q4" s="146"/>
      <c r="R4" s="545" t="s">
        <v>971</v>
      </c>
      <c r="S4" s="299" t="e">
        <f>HLOOKUP(C10,Table_StateRates,6,FALSE)</f>
        <v>#N/A</v>
      </c>
      <c r="U4" s="686" t="s">
        <v>1715</v>
      </c>
      <c r="W4" s="155">
        <f>IF(W22&lt;-0.05,-0.05,IF(W22&gt;0.05,0.05,W22))</f>
        <v>0</v>
      </c>
    </row>
    <row r="5" spans="1:23" x14ac:dyDescent="0.2">
      <c r="A5" s="120"/>
      <c r="B5" s="95"/>
      <c r="C5" s="1039"/>
      <c r="D5" s="124" t="s">
        <v>1218</v>
      </c>
      <c r="E5" s="417">
        <f>IF(F5="Yes",2,3)</f>
        <v>3</v>
      </c>
      <c r="F5" s="704" t="s">
        <v>857</v>
      </c>
      <c r="H5" s="82" t="s">
        <v>1759</v>
      </c>
      <c r="I5" s="258"/>
      <c r="J5" s="259">
        <f>IF(C31="Yes",O15,0)</f>
        <v>0</v>
      </c>
      <c r="N5" s="189" t="s">
        <v>1497</v>
      </c>
      <c r="O5" s="207">
        <v>1</v>
      </c>
      <c r="R5" s="189" t="s">
        <v>1253</v>
      </c>
      <c r="S5" s="247">
        <f>IF(OR(ISBLANK(F7),F7="None"),1,IF(E8="Yes",F14,VLOOKUP(F7,IF(F5="Yes",Table_BI_CoIns_EE,Table_BI_CoIns),F8+1,FALSE)))</f>
        <v>1</v>
      </c>
      <c r="U5" s="151" t="s">
        <v>1714</v>
      </c>
      <c r="W5" s="155">
        <f>IF(W23&lt;-0.06,-0.06,IF(W23&gt;0.06,0.06,W23))</f>
        <v>0</v>
      </c>
    </row>
    <row r="6" spans="1:23" x14ac:dyDescent="0.2">
      <c r="A6" s="120" t="s">
        <v>969</v>
      </c>
      <c r="B6" s="95"/>
      <c r="C6" s="1093" t="s">
        <v>980</v>
      </c>
      <c r="D6" s="84" t="s">
        <v>1227</v>
      </c>
      <c r="E6" s="193"/>
      <c r="F6" s="704" t="s">
        <v>857</v>
      </c>
      <c r="H6" s="189"/>
      <c r="I6" s="258"/>
      <c r="J6" s="259"/>
      <c r="N6" s="168" t="s">
        <v>1017</v>
      </c>
      <c r="O6" s="247">
        <f>VLOOKUP(C27,Table_EQ_CoIns,2,FALSE)</f>
        <v>1</v>
      </c>
      <c r="R6" s="168" t="s">
        <v>1086</v>
      </c>
      <c r="S6" s="207">
        <f>IF(F6="Yes",DF_BI_AV,1)</f>
        <v>1</v>
      </c>
      <c r="U6" s="8" t="s">
        <v>1716</v>
      </c>
      <c r="W6" s="155">
        <f>IF(W24&lt;-0.06,-0.06,IF(W24&gt;0.06,0.06,W24))</f>
        <v>0</v>
      </c>
    </row>
    <row r="7" spans="1:23" ht="13.5" thickBot="1" x14ac:dyDescent="0.25">
      <c r="A7" s="143" t="s">
        <v>923</v>
      </c>
      <c r="B7" s="940" t="s">
        <v>857</v>
      </c>
      <c r="C7" s="1039"/>
      <c r="D7" s="84" t="s">
        <v>1085</v>
      </c>
      <c r="E7" s="103"/>
      <c r="F7" s="704" t="s">
        <v>1883</v>
      </c>
      <c r="H7" s="82" t="s">
        <v>1758</v>
      </c>
      <c r="I7" s="248"/>
      <c r="N7" s="168" t="s">
        <v>1018</v>
      </c>
      <c r="O7" s="1417">
        <f>IF(C31="Yes",VLOOKUP(B38,Table_EQ_Deductible,MATCH(IF(B37&gt;C37,B37,C37),List_EQDeductibles,0)+1,FALSE),0)</f>
        <v>0</v>
      </c>
      <c r="R7" s="168" t="s">
        <v>1088</v>
      </c>
      <c r="S7" s="207">
        <f>IF(OR(C20="S",C20="T"),VLOOKUP(IF(C31="Yes",C39,C51),Table_EQ_OptStory,3,FALSE),1)</f>
        <v>1</v>
      </c>
      <c r="U7" s="8" t="s">
        <v>1717</v>
      </c>
      <c r="W7" s="155">
        <f>IF(W25&lt;-0.1,-0.1,IF(W25&gt;0.1,0.1,W25))</f>
        <v>0</v>
      </c>
    </row>
    <row r="8" spans="1:23" ht="13.5" thickBot="1" x14ac:dyDescent="0.25">
      <c r="A8" s="120"/>
      <c r="B8" s="95"/>
      <c r="C8" s="1039"/>
      <c r="D8" s="84" t="s">
        <v>1205</v>
      </c>
      <c r="E8" s="479" t="s">
        <v>857</v>
      </c>
      <c r="F8" s="706"/>
      <c r="H8" s="82"/>
      <c r="I8" s="972" t="s">
        <v>1797</v>
      </c>
      <c r="J8" s="259">
        <f>IF(C41="Yes",O30,0)</f>
        <v>0</v>
      </c>
      <c r="N8" s="168" t="s">
        <v>1086</v>
      </c>
      <c r="O8" s="207">
        <f>IF(C28="Yes",DF_AgreedFctr,1)</f>
        <v>1.05</v>
      </c>
      <c r="R8" s="83" t="s">
        <v>1251</v>
      </c>
      <c r="S8" s="207">
        <f>IF(F17="Yes",VLOOKUP(F8,Table_BI_MaxInd,E5,FALSE)+S17,1)</f>
        <v>1</v>
      </c>
      <c r="U8" s="687" t="s">
        <v>1718</v>
      </c>
      <c r="W8" s="155">
        <f>IF(W26&lt;-0.06,-0.06,IF(W26&gt;0.06,0.06,W26))</f>
        <v>0</v>
      </c>
    </row>
    <row r="9" spans="1:23" x14ac:dyDescent="0.2">
      <c r="A9" s="120" t="s">
        <v>1829</v>
      </c>
      <c r="B9" s="95"/>
      <c r="C9" s="1094">
        <v>1</v>
      </c>
      <c r="D9" s="695" t="str">
        <f>IF(F3="No","",IF(E8="Yes","Please Select the 2 Occ. Types below","Select 1 Occ. Type in the shaded cell above"))</f>
        <v/>
      </c>
      <c r="E9" s="487"/>
      <c r="F9" s="533"/>
      <c r="H9" s="82"/>
      <c r="I9" s="972" t="s">
        <v>1798</v>
      </c>
      <c r="J9" s="259">
        <f>IF(B54="Yes",O39,0)</f>
        <v>0</v>
      </c>
      <c r="N9" s="168" t="s">
        <v>1768</v>
      </c>
      <c r="O9" s="207">
        <f>IF(OR(C33="1C",C33="1D"),VLOOKUP(B36,Table_EQ_Masonry,3,FALSE),1)</f>
        <v>1</v>
      </c>
      <c r="R9" s="83" t="s">
        <v>1252</v>
      </c>
      <c r="S9" s="207">
        <f ca="1">IF(F18="Yes",VLOOKUP(E19,INDIRECT("Table_BI_Mos"&amp;F8),E5,FALSE)+S17,1)</f>
        <v>1</v>
      </c>
      <c r="U9" s="153" t="s">
        <v>1719</v>
      </c>
      <c r="W9" s="155">
        <f>IF(W27&lt;-0.025,-0.025,IF(W27&gt;0.025,0.025,W27))</f>
        <v>0</v>
      </c>
    </row>
    <row r="10" spans="1:23" x14ac:dyDescent="0.2">
      <c r="A10" s="120" t="s">
        <v>835</v>
      </c>
      <c r="B10" s="95"/>
      <c r="C10" s="1093" t="s">
        <v>1862</v>
      </c>
      <c r="D10" s="159" t="s">
        <v>1662</v>
      </c>
      <c r="E10" s="443"/>
      <c r="F10" s="704"/>
      <c r="H10" s="82"/>
      <c r="I10" s="972" t="s">
        <v>1799</v>
      </c>
      <c r="J10" s="259">
        <f>IF(B55="Yes",O44,0)</f>
        <v>0</v>
      </c>
      <c r="N10" s="168" t="s">
        <v>180</v>
      </c>
      <c r="O10" s="207">
        <f>1+ $Y$24</f>
        <v>1</v>
      </c>
      <c r="R10" s="882" t="s">
        <v>1547</v>
      </c>
      <c r="S10" s="299">
        <f>IF(AND(F20="Yes",OR(E21=1,E21=3)),VLOOKUP(F7,Table_BI_Educ,E5,FALSE),1)</f>
        <v>1</v>
      </c>
      <c r="U10" s="687" t="s">
        <v>1720</v>
      </c>
      <c r="W10" s="155">
        <f>IF(W28&lt;-0.025,-0.025,IF(W28&gt;0.025,0.025,W28))</f>
        <v>0</v>
      </c>
    </row>
    <row r="11" spans="1:23" ht="13.5" thickBot="1" x14ac:dyDescent="0.25">
      <c r="A11" s="415" t="s">
        <v>910</v>
      </c>
      <c r="B11" s="493">
        <f>IF(OR(C14=5,C14=6),1,2)</f>
        <v>2</v>
      </c>
      <c r="C11" s="704" t="s">
        <v>1678</v>
      </c>
      <c r="D11" s="159" t="s">
        <v>1663</v>
      </c>
      <c r="E11" s="442"/>
      <c r="F11" s="704"/>
      <c r="H11" s="82"/>
      <c r="I11" s="972" t="s">
        <v>1795</v>
      </c>
      <c r="J11" s="259">
        <f>IF(B56="Yes",O49,0)</f>
        <v>0</v>
      </c>
      <c r="M11" s="146"/>
      <c r="N11" s="545" t="s">
        <v>1020</v>
      </c>
      <c r="O11" s="299">
        <f>IF(C6="PAC",VLOOKUP(B7,Table_PakMods,MATCH(C11,List_Company,0)+1,FALSE),1)</f>
        <v>1</v>
      </c>
      <c r="R11" s="83" t="s">
        <v>1549</v>
      </c>
      <c r="S11" s="207">
        <f>IF(AND(F20="Yes",E21=2),VLOOKUP(F7,Table_BI_Educ,E5,FALSE)+IF(F21&gt;4,SUM(4*0.02,(F21-4)*0.04),F21*0.02),1)</f>
        <v>1</v>
      </c>
      <c r="U11" s="687" t="s">
        <v>1721</v>
      </c>
      <c r="W11" s="155">
        <f>IF(W29&lt;-0.075,-0.075,IF(W29&gt;0.075,0.075,W29))</f>
        <v>0</v>
      </c>
    </row>
    <row r="12" spans="1:23" ht="13.5" thickBot="1" x14ac:dyDescent="0.25">
      <c r="A12" s="507" t="s">
        <v>1069</v>
      </c>
      <c r="B12" s="498">
        <f>IF(C12=1,2,IF(C14&lt;4,3,4))</f>
        <v>3</v>
      </c>
      <c r="C12" s="1088" t="s">
        <v>857</v>
      </c>
      <c r="D12" s="159" t="s">
        <v>1223</v>
      </c>
      <c r="E12" s="442"/>
      <c r="F12" s="704"/>
      <c r="H12" s="975"/>
      <c r="I12" s="795" t="s">
        <v>1796</v>
      </c>
      <c r="J12" s="884">
        <f>IF(B57="Yes",O54,0)</f>
        <v>0</v>
      </c>
      <c r="M12" s="542"/>
      <c r="N12" s="724" t="s">
        <v>1022</v>
      </c>
      <c r="O12" s="279">
        <f>1+$W$14</f>
        <v>1</v>
      </c>
      <c r="R12" s="189" t="s">
        <v>1254</v>
      </c>
      <c r="S12" s="207">
        <f>IF(F25="Yes",VLOOKUP(E5,Table_BI_Seasonal,2,FALSE),1)</f>
        <v>1</v>
      </c>
      <c r="U12" s="8" t="s">
        <v>1722</v>
      </c>
      <c r="W12" s="155">
        <f>IF(W30&lt;-0.05,-0.05,IF(W30&gt;0.05,0.05,W30))</f>
        <v>0</v>
      </c>
    </row>
    <row r="13" spans="1:23" ht="13.5" thickBot="1" x14ac:dyDescent="0.25">
      <c r="A13" s="108" t="s">
        <v>898</v>
      </c>
      <c r="B13" s="95"/>
      <c r="C13" s="1093">
        <v>3</v>
      </c>
      <c r="D13" s="480"/>
      <c r="E13" s="489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82"/>
      <c r="I13" s="890" t="s">
        <v>1802</v>
      </c>
      <c r="J13" s="259">
        <f>SUM(J8:J12)</f>
        <v>0</v>
      </c>
      <c r="N13" s="83" t="s">
        <v>1150</v>
      </c>
      <c r="O13" s="247" t="e">
        <f>ROUND(PRODUCT(O3:O12),3)</f>
        <v>#N/A</v>
      </c>
      <c r="R13" s="189" t="s">
        <v>1255</v>
      </c>
      <c r="S13" s="207">
        <f>IF(F15="Yes",VLOOKUP(E16,Table_BI_IndDays,2,FALSE),1)</f>
        <v>1</v>
      </c>
      <c r="U13" s="8"/>
      <c r="W13" s="155"/>
    </row>
    <row r="14" spans="1:23" ht="13.5" thickBot="1" x14ac:dyDescent="0.25">
      <c r="A14" s="108" t="s">
        <v>1073</v>
      </c>
      <c r="B14" s="494"/>
      <c r="C14" s="704">
        <v>1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696" t="str">
        <f>IF(AND(E8="Yes",E14="Area"),ROUND(SUM(E13:F13)/SUM(E11:F11),3),IF(AND(E8="Yes",E14="Value"),ROUND(SUM(E12:F12)/SUM(E13:F13),3),""))</f>
        <v/>
      </c>
      <c r="H14" s="82"/>
      <c r="I14" s="248"/>
      <c r="J14" s="259"/>
      <c r="M14" s="185"/>
      <c r="N14" s="186" t="s">
        <v>1025</v>
      </c>
      <c r="O14" s="238">
        <f>IF(ISNUMBER(C32),C32/100,0)</f>
        <v>0</v>
      </c>
      <c r="R14" s="168" t="s">
        <v>1256</v>
      </c>
      <c r="S14" s="207">
        <f>IF(F22="Yes",VLOOKUP(E23,Table_BI_OrdPR,2,FALSE),1)</f>
        <v>1</v>
      </c>
      <c r="V14" s="60" t="s">
        <v>952</v>
      </c>
      <c r="W14" s="157">
        <f>IF(SUM(W4:W13)&lt;-0.4,-0.4,IF(SUM(W4:W13)&gt;0.4,0.4,SUM(W4:W13)))</f>
        <v>0</v>
      </c>
    </row>
    <row r="15" spans="1:23" ht="13.5" customHeight="1" x14ac:dyDescent="0.2">
      <c r="A15" s="84" t="s">
        <v>975</v>
      </c>
      <c r="B15" s="160"/>
      <c r="C15" s="1116" t="s">
        <v>18</v>
      </c>
      <c r="D15" s="84" t="s">
        <v>1224</v>
      </c>
      <c r="E15" s="193"/>
      <c r="F15" s="1101" t="s">
        <v>857</v>
      </c>
      <c r="H15" s="82"/>
      <c r="I15" s="248"/>
      <c r="J15" s="259"/>
      <c r="N15" s="83" t="s">
        <v>1767</v>
      </c>
      <c r="O15" s="248" t="e">
        <f>ROUND(PRODUCT(O13:O14),0)</f>
        <v>#N/A</v>
      </c>
      <c r="R15" s="168" t="s">
        <v>1257</v>
      </c>
      <c r="S15" s="207">
        <f>IF(F24="Yes",DF_BI_Power,1)</f>
        <v>1</v>
      </c>
    </row>
    <row r="16" spans="1:23" ht="13.5" thickBot="1" x14ac:dyDescent="0.25">
      <c r="A16" s="122" t="s">
        <v>974</v>
      </c>
      <c r="B16" s="95"/>
      <c r="C16" s="1048">
        <v>1</v>
      </c>
      <c r="D16" s="159" t="s">
        <v>1244</v>
      </c>
      <c r="E16" s="963"/>
      <c r="F16" s="277"/>
      <c r="H16" s="576"/>
      <c r="I16" s="248"/>
      <c r="J16" s="248"/>
      <c r="R16" s="268" t="s">
        <v>1259</v>
      </c>
      <c r="S16" s="423">
        <f>IF(F26="Yes",VLOOKUP(E27,Table_CivilAuth,2,FALSE),1)</f>
        <v>1</v>
      </c>
    </row>
    <row r="17" spans="1:26" ht="15" customHeight="1" x14ac:dyDescent="0.2">
      <c r="A17" s="1195" t="s">
        <v>2097</v>
      </c>
      <c r="B17" s="95"/>
      <c r="C17" s="1194"/>
      <c r="D17" s="84" t="s">
        <v>1204</v>
      </c>
      <c r="E17" s="193"/>
      <c r="F17" s="962" t="s">
        <v>857</v>
      </c>
      <c r="H17" s="483" t="s">
        <v>1661</v>
      </c>
      <c r="I17" s="248"/>
      <c r="J17" s="248"/>
      <c r="R17" s="267" t="s">
        <v>1592</v>
      </c>
      <c r="S17" s="426">
        <f>IF(F28="Yes",VLOOKUP(E29,Table_BI_Mining,2,FALSE),0)</f>
        <v>0</v>
      </c>
      <c r="U17" s="136" t="s">
        <v>947</v>
      </c>
      <c r="V17" s="137"/>
      <c r="W17" s="137"/>
      <c r="X17" s="137"/>
      <c r="Y17" s="136" t="s">
        <v>938</v>
      </c>
      <c r="Z17" s="517"/>
    </row>
    <row r="18" spans="1:26" ht="13.5" thickBot="1" x14ac:dyDescent="0.25">
      <c r="A18" s="526"/>
      <c r="B18" s="96"/>
      <c r="C18" s="1099"/>
      <c r="D18" s="84" t="s">
        <v>1203</v>
      </c>
      <c r="E18" s="193"/>
      <c r="F18" s="962" t="s">
        <v>857</v>
      </c>
      <c r="H18" s="486"/>
      <c r="I18" s="486" t="s">
        <v>977</v>
      </c>
      <c r="J18" s="259">
        <f>IF(AND(C31="Yes",F3="Yes"),S25,0)</f>
        <v>0</v>
      </c>
      <c r="M18" s="60" t="s">
        <v>1797</v>
      </c>
      <c r="R18" s="268" t="s">
        <v>821</v>
      </c>
      <c r="S18" s="423">
        <f>IF(AND(F31="Yes",E32="24-HR"),VLOOKUP(E32,Table_BI_Wait,3,FALSE),1)</f>
        <v>1</v>
      </c>
      <c r="U18" s="138" t="s">
        <v>939</v>
      </c>
      <c r="V18" s="8"/>
      <c r="W18" s="8"/>
      <c r="X18" s="8"/>
      <c r="Y18" s="445" t="s">
        <v>940</v>
      </c>
      <c r="Z18" s="481"/>
    </row>
    <row r="19" spans="1:26" ht="15" customHeight="1" thickBot="1" x14ac:dyDescent="0.25">
      <c r="A19" s="529" t="s">
        <v>300</v>
      </c>
      <c r="B19" s="531"/>
      <c r="C19" s="532"/>
      <c r="D19" s="159" t="s">
        <v>1225</v>
      </c>
      <c r="E19" s="965" t="s">
        <v>857</v>
      </c>
      <c r="F19" s="1065"/>
      <c r="H19" s="486"/>
      <c r="I19" s="486" t="s">
        <v>978</v>
      </c>
      <c r="J19" s="259">
        <f>IF(AND(C31="Yes",F34="Yes"),S38,0)</f>
        <v>0</v>
      </c>
      <c r="N19" s="168" t="s">
        <v>1083</v>
      </c>
      <c r="O19" s="247">
        <f>IF(C41="Yes",VLOOKUP(B42,Table_EQ_LC,MATCH(C47,List_PPGrade,0)+3,FALSE),0)</f>
        <v>0</v>
      </c>
      <c r="R19" s="568" t="s">
        <v>822</v>
      </c>
      <c r="S19" s="423">
        <f>IF(AND(F31="Yes",E32="None"),VLOOKUP(E32,Table_BI_Wait,3,FALSE),1)</f>
        <v>1</v>
      </c>
      <c r="U19" s="138" t="s">
        <v>941</v>
      </c>
      <c r="V19" s="8"/>
      <c r="W19" s="8"/>
      <c r="X19" s="8"/>
      <c r="Y19" s="26"/>
      <c r="Z19" s="481"/>
    </row>
    <row r="20" spans="1:26" x14ac:dyDescent="0.2">
      <c r="A20" s="521" t="s">
        <v>899</v>
      </c>
      <c r="B20" s="95"/>
      <c r="C20" s="1094" t="s">
        <v>83</v>
      </c>
      <c r="D20" s="534" t="s">
        <v>1233</v>
      </c>
      <c r="E20" s="273"/>
      <c r="F20" s="962" t="s">
        <v>857</v>
      </c>
      <c r="H20" s="486"/>
      <c r="I20" s="705"/>
      <c r="J20" s="485"/>
      <c r="M20" s="146"/>
      <c r="N20" s="545" t="s">
        <v>971</v>
      </c>
      <c r="O20" s="299" t="e">
        <f>HLOOKUP(C10,Table_StateRates,6,FALSE)</f>
        <v>#N/A</v>
      </c>
      <c r="R20" s="168" t="s">
        <v>180</v>
      </c>
      <c r="S20" s="207">
        <f>1+ $Y$24</f>
        <v>1</v>
      </c>
      <c r="U20" s="26"/>
      <c r="V20" s="8"/>
      <c r="W20" s="8"/>
      <c r="X20" s="8"/>
      <c r="Y20" s="727" t="s">
        <v>942</v>
      </c>
      <c r="Z20" s="481"/>
    </row>
    <row r="21" spans="1:26" x14ac:dyDescent="0.2">
      <c r="A21" s="124" t="s">
        <v>959</v>
      </c>
      <c r="B21" s="496"/>
      <c r="C21" s="1064"/>
      <c r="D21" s="535" t="s">
        <v>1550</v>
      </c>
      <c r="E21" s="948"/>
      <c r="F21" s="966"/>
      <c r="H21" s="189"/>
      <c r="I21" s="705" t="s">
        <v>1084</v>
      </c>
      <c r="J21" s="260">
        <f>SUM(J18:J19)</f>
        <v>0</v>
      </c>
      <c r="N21" s="189" t="s">
        <v>1497</v>
      </c>
      <c r="O21" s="207">
        <v>1</v>
      </c>
      <c r="Q21" s="146"/>
      <c r="R21" s="545" t="s">
        <v>1020</v>
      </c>
      <c r="S21" s="299">
        <f>IF(C6="PAC",VLOOKUP(B7,Table_PakMods,MATCH(C11,List_Company,0)+1,FALSE),1)</f>
        <v>1</v>
      </c>
      <c r="U21" s="445" t="s">
        <v>943</v>
      </c>
      <c r="V21" s="8"/>
      <c r="W21" s="142" t="s">
        <v>944</v>
      </c>
      <c r="X21" s="8"/>
      <c r="Y21" s="727" t="s">
        <v>945</v>
      </c>
      <c r="Z21" s="481"/>
    </row>
    <row r="22" spans="1:26" x14ac:dyDescent="0.2">
      <c r="A22" s="108" t="s">
        <v>953</v>
      </c>
      <c r="B22" s="95"/>
      <c r="C22" s="735" t="s">
        <v>857</v>
      </c>
      <c r="D22" s="444" t="s">
        <v>1229</v>
      </c>
      <c r="E22" s="103"/>
      <c r="F22" s="966" t="s">
        <v>857</v>
      </c>
      <c r="H22" s="486"/>
      <c r="I22" s="485"/>
      <c r="J22" s="485"/>
      <c r="N22" s="168" t="s">
        <v>1017</v>
      </c>
      <c r="O22" s="247">
        <f>VLOOKUP(C27,Table_EQ_CoIns,2,FALSE)</f>
        <v>1</v>
      </c>
      <c r="Q22" s="542"/>
      <c r="R22" s="724" t="s">
        <v>1022</v>
      </c>
      <c r="S22" s="279">
        <f>1+$W$14</f>
        <v>1</v>
      </c>
      <c r="U22" s="140" t="s">
        <v>1715</v>
      </c>
      <c r="V22" s="8"/>
      <c r="W22" s="144"/>
      <c r="X22" s="8"/>
      <c r="Y22" s="727" t="s">
        <v>946</v>
      </c>
      <c r="Z22" s="481"/>
    </row>
    <row r="23" spans="1:26" ht="13.5" thickBot="1" x14ac:dyDescent="0.25">
      <c r="A23" s="120"/>
      <c r="B23" s="95"/>
      <c r="C23" s="1039"/>
      <c r="D23" s="819" t="s">
        <v>1243</v>
      </c>
      <c r="E23" s="965" t="s">
        <v>857</v>
      </c>
      <c r="F23" s="1102"/>
      <c r="H23" s="486"/>
      <c r="I23" s="485"/>
      <c r="J23" s="485"/>
      <c r="N23" s="168" t="s">
        <v>1018</v>
      </c>
      <c r="O23" s="207">
        <f>IF(C41="Yes",VLOOKUP(B50,Table_EQ_Deductible,MATCH(IF(B49&gt;C49,B49,C49),List_EQDeductibles,0)+1,FALSE),0)</f>
        <v>0</v>
      </c>
      <c r="R23" s="83" t="s">
        <v>1150</v>
      </c>
      <c r="S23" s="247" t="e">
        <f>ROUND(PRODUCT(S3:S16,S18:S22),3)</f>
        <v>#N/A</v>
      </c>
      <c r="U23" s="141" t="s">
        <v>1714</v>
      </c>
      <c r="V23" s="139"/>
      <c r="W23" s="145"/>
      <c r="X23" s="139"/>
      <c r="Y23" s="445"/>
      <c r="Z23" s="481"/>
    </row>
    <row r="24" spans="1:26" ht="13.5" thickBot="1" x14ac:dyDescent="0.25">
      <c r="A24" s="670" t="s">
        <v>307</v>
      </c>
      <c r="B24" s="683">
        <v>40502</v>
      </c>
      <c r="C24" s="736">
        <v>1</v>
      </c>
      <c r="D24" s="444" t="s">
        <v>1230</v>
      </c>
      <c r="E24" s="103"/>
      <c r="F24" s="966" t="s">
        <v>857</v>
      </c>
      <c r="H24" s="483" t="s">
        <v>1760</v>
      </c>
      <c r="I24" s="485"/>
      <c r="J24" s="569">
        <f>SUM(J5,J8,J21)</f>
        <v>0</v>
      </c>
      <c r="N24" s="168" t="s">
        <v>1768</v>
      </c>
      <c r="O24" s="207">
        <f>IF(OR(C43="1C",C43="1D"),VLOOKUP(B46,Table_EQ_Masonry,3,FALSE),1)</f>
        <v>1</v>
      </c>
      <c r="Q24" s="185"/>
      <c r="R24" s="186" t="s">
        <v>1025</v>
      </c>
      <c r="S24" s="238">
        <f>IF(ISNUMBER(F4),F4/100,0)</f>
        <v>0</v>
      </c>
      <c r="U24" s="141" t="s">
        <v>1716</v>
      </c>
      <c r="V24" s="139"/>
      <c r="W24" s="145"/>
      <c r="X24" s="139"/>
      <c r="Y24" s="1597"/>
      <c r="Z24" s="1598"/>
    </row>
    <row r="25" spans="1:26" ht="13.5" thickBot="1" x14ac:dyDescent="0.25">
      <c r="A25" s="671" t="s">
        <v>308</v>
      </c>
      <c r="B25" s="678">
        <f>IF(ISBLANK(C24),"N/A",VLOOKUP(C24,Table_EQ_Tiers,2,FALSE))</f>
        <v>1</v>
      </c>
      <c r="C25" s="1039"/>
      <c r="D25" s="444" t="s">
        <v>1232</v>
      </c>
      <c r="E25" s="103"/>
      <c r="F25" s="966" t="s">
        <v>857</v>
      </c>
      <c r="H25" s="486"/>
      <c r="I25" s="485"/>
      <c r="J25" s="485"/>
      <c r="N25" s="168" t="s">
        <v>180</v>
      </c>
      <c r="O25" s="207">
        <f>1+ $Y$24</f>
        <v>1</v>
      </c>
      <c r="R25" s="83" t="s">
        <v>1769</v>
      </c>
      <c r="S25" s="248" t="e">
        <f>ROUND(PRODUCT(S23:S24),0)</f>
        <v>#N/A</v>
      </c>
      <c r="U25" s="141" t="s">
        <v>1717</v>
      </c>
      <c r="V25" s="139"/>
      <c r="W25" s="145"/>
      <c r="X25" s="139"/>
      <c r="Y25" s="445"/>
      <c r="Z25" s="481"/>
    </row>
    <row r="26" spans="1:26" x14ac:dyDescent="0.2">
      <c r="A26" s="84" t="s">
        <v>310</v>
      </c>
      <c r="B26" s="675"/>
      <c r="C26" s="1093">
        <v>99</v>
      </c>
      <c r="D26" s="538" t="s">
        <v>1545</v>
      </c>
      <c r="E26" s="103"/>
      <c r="F26" s="966" t="s">
        <v>857</v>
      </c>
      <c r="M26" s="146"/>
      <c r="N26" s="545" t="s">
        <v>1020</v>
      </c>
      <c r="O26" s="299">
        <f>IF(C6="PAC",VLOOKUP(B7,Table_PakMods,MATCH(C11,List_Company,0)+1,FALSE),1)</f>
        <v>1</v>
      </c>
      <c r="U26" s="141" t="s">
        <v>1718</v>
      </c>
      <c r="V26" s="8"/>
      <c r="W26" s="145"/>
      <c r="X26" s="8"/>
      <c r="Y26" s="26"/>
      <c r="Z26" s="481"/>
    </row>
    <row r="27" spans="1:26" x14ac:dyDescent="0.2">
      <c r="A27" s="108" t="s">
        <v>309</v>
      </c>
      <c r="B27" s="95"/>
      <c r="C27" s="1093">
        <v>80</v>
      </c>
      <c r="D27" s="518" t="s">
        <v>1555</v>
      </c>
      <c r="E27" s="948">
        <v>180</v>
      </c>
      <c r="F27" s="1065"/>
      <c r="M27" s="542"/>
      <c r="N27" s="724" t="s">
        <v>1022</v>
      </c>
      <c r="O27" s="279">
        <f>1+$W$14</f>
        <v>1</v>
      </c>
      <c r="U27" s="141" t="s">
        <v>181</v>
      </c>
      <c r="V27" s="8"/>
      <c r="W27" s="145"/>
      <c r="X27" s="8"/>
      <c r="Y27" s="26"/>
      <c r="Z27" s="481"/>
    </row>
    <row r="28" spans="1:26" x14ac:dyDescent="0.2">
      <c r="A28" s="108" t="s">
        <v>908</v>
      </c>
      <c r="B28" s="912" t="str">
        <f>IF(OR(TC9_BLDG1!C59="Yes",TC9_PP1!C53="Yes"),"Repl Cost","Available")</f>
        <v>Available</v>
      </c>
      <c r="C28" s="962" t="s">
        <v>833</v>
      </c>
      <c r="D28" s="538" t="s">
        <v>1246</v>
      </c>
      <c r="E28" s="103"/>
      <c r="F28" s="966" t="s">
        <v>857</v>
      </c>
      <c r="N28" s="83" t="s">
        <v>1150</v>
      </c>
      <c r="O28" s="247" t="e">
        <f>ROUND(PRODUCT(O19:O27),3)</f>
        <v>#N/A</v>
      </c>
      <c r="Q28" s="60" t="s">
        <v>1770</v>
      </c>
      <c r="U28" s="141" t="s">
        <v>1720</v>
      </c>
      <c r="V28" s="8"/>
      <c r="W28" s="145"/>
      <c r="X28" s="8"/>
      <c r="Y28" s="26"/>
      <c r="Z28" s="481"/>
    </row>
    <row r="29" spans="1:26" ht="13.5" thickBot="1" x14ac:dyDescent="0.25">
      <c r="A29" s="526"/>
      <c r="B29" s="515"/>
      <c r="C29" s="540"/>
      <c r="D29" s="507" t="s">
        <v>1589</v>
      </c>
      <c r="E29" s="948"/>
      <c r="F29" s="1065"/>
      <c r="M29" s="185"/>
      <c r="N29" s="186" t="s">
        <v>1025</v>
      </c>
      <c r="O29" s="238">
        <f>IF(ISNUMBER(C42),C42/100,0)</f>
        <v>0</v>
      </c>
      <c r="R29" s="168" t="s">
        <v>1761</v>
      </c>
      <c r="S29" s="247" t="e">
        <f>IF(C31="Yes",VLOOKUP(B32,Table_EQ_LC,3,FALSE),VLOOKUP(B42,Table_EQ_LC,MATCH(C47,List_PPGrade,0)+3,FALSE))</f>
        <v>#N/A</v>
      </c>
      <c r="U29" s="141" t="s">
        <v>182</v>
      </c>
      <c r="V29" s="8"/>
      <c r="W29" s="145"/>
      <c r="X29" s="8"/>
      <c r="Y29" s="26"/>
      <c r="Z29" s="481"/>
    </row>
    <row r="30" spans="1:26" ht="13.5" thickBot="1" x14ac:dyDescent="0.25">
      <c r="A30" s="529" t="s">
        <v>1831</v>
      </c>
      <c r="B30" s="531"/>
      <c r="C30" s="532"/>
      <c r="D30" s="499"/>
      <c r="E30" s="146"/>
      <c r="F30" s="1072"/>
      <c r="N30" s="83" t="s">
        <v>1797</v>
      </c>
      <c r="O30" s="248" t="e">
        <f>ROUND(PRODUCT(O28:O29),0)</f>
        <v>#N/A</v>
      </c>
      <c r="Q30" s="146"/>
      <c r="R30" s="545" t="s">
        <v>971</v>
      </c>
      <c r="S30" s="299" t="e">
        <f>HLOOKUP(C10,Table_StateRates,6,FALSE)</f>
        <v>#N/A</v>
      </c>
      <c r="U30" s="141" t="s">
        <v>1722</v>
      </c>
      <c r="V30" s="8"/>
      <c r="W30" s="145"/>
      <c r="X30" s="8"/>
      <c r="Y30" s="26"/>
      <c r="Z30" s="481"/>
    </row>
    <row r="31" spans="1:26" ht="13.5" thickBot="1" x14ac:dyDescent="0.25">
      <c r="A31" s="203" t="s">
        <v>301</v>
      </c>
      <c r="B31" s="216"/>
      <c r="C31" s="1100" t="s">
        <v>857</v>
      </c>
      <c r="D31" s="527" t="s">
        <v>1608</v>
      </c>
      <c r="E31" s="422"/>
      <c r="F31" s="966" t="s">
        <v>857</v>
      </c>
      <c r="R31" s="168" t="s">
        <v>1258</v>
      </c>
      <c r="S31" s="207">
        <f>IF(F34="Yes",VLOOKUP(F36,Table_EE_CoIns,3,FALSE),1)</f>
        <v>1</v>
      </c>
      <c r="U31" s="85"/>
      <c r="V31" s="86"/>
      <c r="W31" s="86"/>
      <c r="X31" s="86"/>
      <c r="Y31" s="85"/>
      <c r="Z31" s="196"/>
    </row>
    <row r="32" spans="1:26" x14ac:dyDescent="0.2">
      <c r="A32" s="107" t="s">
        <v>1242</v>
      </c>
      <c r="B32" s="690" t="str">
        <f>IF(ISBLANK(C33),"",IF(C33=6,"Invalid",C24&amp;"_"&amp;IF(C33=7,B33,C33)))</f>
        <v/>
      </c>
      <c r="C32" s="704"/>
      <c r="D32" s="539" t="s">
        <v>1609</v>
      </c>
      <c r="E32" s="968" t="s">
        <v>1599</v>
      </c>
      <c r="F32" s="1065"/>
      <c r="R32" s="168" t="s">
        <v>1088</v>
      </c>
      <c r="S32" s="207">
        <f>IF(OR(C20="S",C20="T"),VLOOKUP(IF(C31="Yes",C39,C51),Table_EQ_OptStory,3,FALSE),1)</f>
        <v>1</v>
      </c>
    </row>
    <row r="33" spans="1:19" ht="13.5" thickBot="1" x14ac:dyDescent="0.25">
      <c r="A33" s="81" t="s">
        <v>302</v>
      </c>
      <c r="B33" s="697" t="str">
        <f>IF(C33=7,VLOOKUP(C34,Table_EQ_Class7,2,FALSE),"N/A")</f>
        <v>N/A</v>
      </c>
      <c r="C33" s="735"/>
      <c r="D33" s="87"/>
      <c r="E33" s="194"/>
      <c r="F33" s="1103"/>
      <c r="N33" s="974" t="s">
        <v>1800</v>
      </c>
      <c r="O33" s="883" t="e">
        <f>O28</f>
        <v>#N/A</v>
      </c>
      <c r="R33" s="168" t="s">
        <v>180</v>
      </c>
      <c r="S33" s="207">
        <f>1+ $Y$24</f>
        <v>1</v>
      </c>
    </row>
    <row r="34" spans="1:19" x14ac:dyDescent="0.2">
      <c r="A34" s="693" t="str">
        <f>IF(C33=6,"Invalid Bldg Class, Choose Again",IF(C33=7, "Select Special Structure Item #","Lookup Value is:"&amp;"  "&amp;B32))</f>
        <v xml:space="preserve">Lookup Value is:  </v>
      </c>
      <c r="B34" s="272"/>
      <c r="C34" s="692" t="s">
        <v>857</v>
      </c>
      <c r="D34" s="123" t="s">
        <v>962</v>
      </c>
      <c r="E34" s="474"/>
      <c r="F34" s="1104" t="s">
        <v>857</v>
      </c>
      <c r="Q34" s="146"/>
      <c r="R34" s="545" t="s">
        <v>1020</v>
      </c>
      <c r="S34" s="299">
        <f>IF(C6="PAC",VLOOKUP(B7,Table_PakMods,MATCH(C11,List_Company,0)+1,FALSE),1)</f>
        <v>1</v>
      </c>
    </row>
    <row r="35" spans="1:19" x14ac:dyDescent="0.2">
      <c r="A35" s="694" t="e">
        <f>IF(AND(C33=7,ISBLANK(C34)=FALSE),VLOOKUP(C34,Table_EQ_Class7,4,FALSE),VLOOKUP(C33,Table_EQ_BldgClass,2,FALSE))</f>
        <v>#N/A</v>
      </c>
      <c r="B35" s="193"/>
      <c r="C35" s="691"/>
      <c r="D35" s="107" t="s">
        <v>1241</v>
      </c>
      <c r="E35" s="272"/>
      <c r="F35" s="704"/>
      <c r="Q35" s="542"/>
      <c r="R35" s="724" t="s">
        <v>1022</v>
      </c>
      <c r="S35" s="279">
        <f>1+$W$14</f>
        <v>1</v>
      </c>
    </row>
    <row r="36" spans="1:19" x14ac:dyDescent="0.2">
      <c r="A36" s="81" t="s">
        <v>1377</v>
      </c>
      <c r="B36" s="414" t="s">
        <v>857</v>
      </c>
      <c r="C36" s="169"/>
      <c r="D36" s="81" t="s">
        <v>1610</v>
      </c>
      <c r="E36" s="193"/>
      <c r="F36" s="704"/>
      <c r="M36" s="60" t="s">
        <v>1798</v>
      </c>
      <c r="R36" s="83" t="s">
        <v>1150</v>
      </c>
      <c r="S36" s="247" t="e">
        <f>ROUND(PRODUCT(S29:S35),3)</f>
        <v>#N/A</v>
      </c>
    </row>
    <row r="37" spans="1:19" ht="13.5" thickBot="1" x14ac:dyDescent="0.25">
      <c r="A37" s="669" t="s">
        <v>303</v>
      </c>
      <c r="B37" s="414">
        <v>10</v>
      </c>
      <c r="C37" s="699" t="str">
        <f>IF(C31="Yes",VLOOKUP(B32,Table_EQ_LC,2,FALSE),"")</f>
        <v/>
      </c>
      <c r="D37" s="87"/>
      <c r="E37" s="194"/>
      <c r="F37" s="100"/>
      <c r="N37" s="168" t="s">
        <v>1801</v>
      </c>
      <c r="O37" s="247" t="e">
        <f>$O$33</f>
        <v>#N/A</v>
      </c>
      <c r="Q37" s="185"/>
      <c r="R37" s="186" t="s">
        <v>1025</v>
      </c>
      <c r="S37" s="238">
        <f>IF(ISNUMBER(F35),F35/100,0)</f>
        <v>0</v>
      </c>
    </row>
    <row r="38" spans="1:19" x14ac:dyDescent="0.2">
      <c r="A38" s="676" t="s">
        <v>1764</v>
      </c>
      <c r="B38" s="355" t="str">
        <f>IF(C31="Yes",B25&amp;"_"&amp;IF(C33=7,B33,C33),"N/A")</f>
        <v>N/A</v>
      </c>
      <c r="C38" s="698"/>
      <c r="M38" s="185"/>
      <c r="N38" s="186" t="s">
        <v>1025</v>
      </c>
      <c r="O38" s="238">
        <f>IF(B54="Yes",C54/100,0)</f>
        <v>0</v>
      </c>
      <c r="R38" s="83" t="s">
        <v>1770</v>
      </c>
      <c r="S38" s="248" t="e">
        <f>ROUND(PRODUCT(S36:S37),0)</f>
        <v>#N/A</v>
      </c>
    </row>
    <row r="39" spans="1:19" x14ac:dyDescent="0.2">
      <c r="A39" s="676" t="s">
        <v>126</v>
      </c>
      <c r="B39" s="414">
        <v>2</v>
      </c>
      <c r="C39" s="684">
        <f>IF(ISBLANK(B39),"",IF(B39&lt;9,1,IF(B39&lt;21,2,3)))</f>
        <v>1</v>
      </c>
      <c r="N39" s="83" t="s">
        <v>1794</v>
      </c>
      <c r="O39" s="248" t="e">
        <f>ROUND(PRODUCT(O37:O38),0)</f>
        <v>#N/A</v>
      </c>
    </row>
    <row r="40" spans="1:19" ht="13.5" thickBot="1" x14ac:dyDescent="0.25">
      <c r="A40" s="87"/>
      <c r="B40" s="194"/>
      <c r="C40" s="100"/>
    </row>
    <row r="41" spans="1:19" x14ac:dyDescent="0.2">
      <c r="A41" s="203" t="s">
        <v>304</v>
      </c>
      <c r="B41" s="216"/>
      <c r="C41" s="1100" t="s">
        <v>857</v>
      </c>
      <c r="M41" s="60" t="s">
        <v>1799</v>
      </c>
    </row>
    <row r="42" spans="1:19" ht="13.5" customHeight="1" x14ac:dyDescent="0.2">
      <c r="A42" s="107" t="s">
        <v>1242</v>
      </c>
      <c r="B42" s="690" t="str">
        <f>IF(ISBLANK(C43),"",IF(C43=6,"Invalid",C24&amp;"_"&amp;IF(C43=7,B43,C43)))</f>
        <v/>
      </c>
      <c r="C42" s="413"/>
      <c r="N42" s="168" t="s">
        <v>1801</v>
      </c>
      <c r="O42" s="247" t="e">
        <f>$O$33</f>
        <v>#N/A</v>
      </c>
    </row>
    <row r="43" spans="1:19" ht="12.75" customHeight="1" x14ac:dyDescent="0.2">
      <c r="A43" s="81" t="s">
        <v>302</v>
      </c>
      <c r="B43" s="697" t="str">
        <f>IF(C43=7,VLOOKUP(C44,Table_EQ_Class7,2,FALSE),"N/A")</f>
        <v>N/A</v>
      </c>
      <c r="C43" s="735"/>
      <c r="M43" s="185"/>
      <c r="N43" s="186" t="s">
        <v>1025</v>
      </c>
      <c r="O43" s="238">
        <f>IF(B55="Yes",C55/100,0)</f>
        <v>0</v>
      </c>
    </row>
    <row r="44" spans="1:19" x14ac:dyDescent="0.2">
      <c r="A44" s="693" t="str">
        <f>IF(C43=6,"Invalid Bldg Class, Choose Again",IF(C43=7, "Select Special Structure Item #","Lookup Value is:"&amp;"  "&amp;B42))</f>
        <v xml:space="preserve">Lookup Value is:  </v>
      </c>
      <c r="B44" s="272"/>
      <c r="C44" s="692" t="s">
        <v>857</v>
      </c>
      <c r="N44" s="83" t="s">
        <v>1793</v>
      </c>
      <c r="O44" s="248" t="e">
        <f>ROUND(PRODUCT(O42:O43),0)</f>
        <v>#N/A</v>
      </c>
    </row>
    <row r="45" spans="1:19" x14ac:dyDescent="0.2">
      <c r="A45" s="694" t="e">
        <f>IF(AND(C43=7,ISBLANK(C44)=FALSE),VLOOKUP(C44,Table_EQ_Class7,4,FALSE),VLOOKUP(C43,Table_EQ_BldgClass,2,FALSE))</f>
        <v>#N/A</v>
      </c>
      <c r="B45" s="193"/>
      <c r="C45" s="691"/>
    </row>
    <row r="46" spans="1:19" ht="13.5" thickBot="1" x14ac:dyDescent="0.25">
      <c r="A46" s="81" t="s">
        <v>1377</v>
      </c>
      <c r="B46" s="414" t="s">
        <v>857</v>
      </c>
      <c r="C46" s="169"/>
      <c r="M46" s="60" t="s">
        <v>1795</v>
      </c>
    </row>
    <row r="47" spans="1:19" ht="13.5" thickBot="1" x14ac:dyDescent="0.25">
      <c r="A47" s="669" t="s">
        <v>305</v>
      </c>
      <c r="B47" s="273"/>
      <c r="C47" s="703" t="str">
        <f>IF(C41="Yes",VLOOKUP(A48,Table_EQ_PPGrade,2,FALSE),"N/A")</f>
        <v>N/A</v>
      </c>
      <c r="N47" s="168" t="s">
        <v>1801</v>
      </c>
      <c r="O47" s="247" t="e">
        <f>$O$33</f>
        <v>#N/A</v>
      </c>
    </row>
    <row r="48" spans="1:19" x14ac:dyDescent="0.2">
      <c r="A48" s="1620" t="s">
        <v>708</v>
      </c>
      <c r="B48" s="1621"/>
      <c r="C48" s="1622"/>
      <c r="M48" s="185"/>
      <c r="N48" s="186" t="s">
        <v>1025</v>
      </c>
      <c r="O48" s="238">
        <f>IF(B56="Yes",C56/100,0)</f>
        <v>0</v>
      </c>
    </row>
    <row r="49" spans="1:15" x14ac:dyDescent="0.2">
      <c r="A49" s="669" t="s">
        <v>303</v>
      </c>
      <c r="B49" s="414"/>
      <c r="C49" s="699" t="str">
        <f>IF(C41="Yes",VLOOKUP(B42,Table_EQ_LC,2,FALSE),"")</f>
        <v/>
      </c>
      <c r="N49" s="83" t="s">
        <v>1792</v>
      </c>
      <c r="O49" s="248" t="e">
        <f>ROUND(PRODUCT(O47:O48),0)</f>
        <v>#N/A</v>
      </c>
    </row>
    <row r="50" spans="1:15" x14ac:dyDescent="0.2">
      <c r="A50" s="676" t="s">
        <v>1764</v>
      </c>
      <c r="B50" s="355" t="str">
        <f>IF(C41="Yes",B25&amp;"_"&amp;IF(C43=7,B43,C43),"N/A")</f>
        <v>N/A</v>
      </c>
      <c r="C50" s="698"/>
    </row>
    <row r="51" spans="1:15" x14ac:dyDescent="0.2">
      <c r="A51" s="676" t="s">
        <v>126</v>
      </c>
      <c r="B51" s="414"/>
      <c r="C51" s="684" t="str">
        <f>IF(ISBLANK(B51),"",IF(B51&lt;9,1,IF(B51&lt;21,2,3)))</f>
        <v/>
      </c>
      <c r="M51" s="60" t="s">
        <v>1796</v>
      </c>
    </row>
    <row r="52" spans="1:15" ht="13.5" thickBot="1" x14ac:dyDescent="0.25">
      <c r="A52" s="87"/>
      <c r="B52" s="194"/>
      <c r="C52" s="100"/>
      <c r="N52" s="168" t="s">
        <v>1801</v>
      </c>
      <c r="O52" s="247" t="e">
        <f>$O$33</f>
        <v>#N/A</v>
      </c>
    </row>
    <row r="53" spans="1:15" ht="13.5" thickBot="1" x14ac:dyDescent="0.25">
      <c r="A53" s="529" t="s">
        <v>1141</v>
      </c>
      <c r="B53" s="531"/>
      <c r="C53" s="532"/>
      <c r="M53" s="185"/>
      <c r="N53" s="186" t="s">
        <v>1025</v>
      </c>
      <c r="O53" s="238">
        <f>IF(B57="Yes",C57/100,0)</f>
        <v>0</v>
      </c>
    </row>
    <row r="54" spans="1:15" x14ac:dyDescent="0.2">
      <c r="A54" s="783" t="s">
        <v>1142</v>
      </c>
      <c r="B54" s="948" t="s">
        <v>857</v>
      </c>
      <c r="C54" s="1101"/>
      <c r="N54" s="83" t="s">
        <v>1791</v>
      </c>
      <c r="O54" s="248" t="e">
        <f>ROUND(PRODUCT(O52:O53),0)</f>
        <v>#N/A</v>
      </c>
    </row>
    <row r="55" spans="1:15" x14ac:dyDescent="0.2">
      <c r="A55" s="783" t="s">
        <v>1143</v>
      </c>
      <c r="B55" s="948" t="s">
        <v>857</v>
      </c>
      <c r="C55" s="1101"/>
      <c r="M55" s="60"/>
    </row>
    <row r="56" spans="1:15" x14ac:dyDescent="0.2">
      <c r="A56" s="783" t="s">
        <v>1144</v>
      </c>
      <c r="B56" s="948" t="s">
        <v>857</v>
      </c>
      <c r="C56" s="1101"/>
    </row>
    <row r="57" spans="1:15" x14ac:dyDescent="0.2">
      <c r="A57" s="784" t="s">
        <v>1145</v>
      </c>
      <c r="B57" s="948" t="s">
        <v>857</v>
      </c>
      <c r="C57" s="962"/>
    </row>
  </sheetData>
  <mergeCells count="4">
    <mergeCell ref="H1:K1"/>
    <mergeCell ref="U1:W1"/>
    <mergeCell ref="Y24:Z24"/>
    <mergeCell ref="A48:C48"/>
  </mergeCells>
  <conditionalFormatting sqref="C17">
    <cfRule type="expression" dxfId="48" priority="8">
      <formula>IF($C$12="SP",TRUE,FALSE)</formula>
    </cfRule>
    <cfRule type="expression" dxfId="47" priority="9">
      <formula>IF($C$12="SP",TRUE,FALSE)</formula>
    </cfRule>
  </conditionalFormatting>
  <conditionalFormatting sqref="A17">
    <cfRule type="expression" dxfId="46" priority="7">
      <formula>IF($C$12="SP",TRUE,FALSE)</formula>
    </cfRule>
  </conditionalFormatting>
  <conditionalFormatting sqref="C17">
    <cfRule type="expression" dxfId="45" priority="5">
      <formula>IF($C$12="SP",TRUE,FALSE)</formula>
    </cfRule>
    <cfRule type="expression" dxfId="44" priority="6">
      <formula>IF($C$12="SP",TRUE,FALSE)</formula>
    </cfRule>
  </conditionalFormatting>
  <conditionalFormatting sqref="C17">
    <cfRule type="expression" dxfId="43" priority="3">
      <formula>IF($C$12="SP",TRUE,FALSE)</formula>
    </cfRule>
    <cfRule type="expression" dxfId="42" priority="4">
      <formula>IF($C$12="SP",TRUE,FALSE)</formula>
    </cfRule>
  </conditionalFormatting>
  <conditionalFormatting sqref="C17">
    <cfRule type="expression" dxfId="41" priority="1">
      <formula>IF($C$12="SP",TRUE,FALSE)</formula>
    </cfRule>
    <cfRule type="expression" dxfId="40" priority="2">
      <formula>IF($C$12="SP",TRUE,FALSE)</formula>
    </cfRule>
  </conditionalFormatting>
  <dataValidations count="73">
    <dataValidation type="custom" allowBlank="1" showInputMessage="1" showErrorMessage="1" errorTitle="Rating Type Incompatible" error="You have not selected Specific or Tentative Rating Type for this policy." promptTitle="Specific or Tentative Rate Type:" prompt="If you have selected Specific or Tentative Rate type you will need to supply the Loss Cost." sqref="B21">
      <formula1>IF(OR(C20="S",C20="T"),TRUE,FALSE)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54:C57">
      <formula1>IF(B54="Yes",TRUE,FALSE)</formula1>
    </dataValidation>
    <dataValidation type="list" allowBlank="1" showInputMessage="1" showErrorMessage="1" promptTitle="Please Select:" prompt="Yes = Apply Coverage_x000a_No  = Do Not Apply" sqref="F34 F3 C22 C41 C31">
      <formula1>List_YN</formula1>
    </dataValidation>
    <dataValidation type="list" allowBlank="1" showInputMessage="1" showErrorMessage="1" promptTitle="Limits on Loss Payment" prompt="Please Select:_x000a_  35 = 35%-70%-100%_x000a_  40 = 40%-80%-100%_x000a_100 = 100%-100%-100%" sqref="F36">
      <formula1>OFFSET(Table_EE_CoIns,0,0,,1)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IF($B$52="No",List_No,List_BI_OccType)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IF($B$52="Yes",List_No,List_BI_OccType)</formula1>
    </dataValidation>
    <dataValidation type="list" allowBlank="1" showInputMessage="1" showErrorMessage="1" promptTitle="Include Extra Expense Coverage" prompt="Please Select:_x000a_Yes or No" sqref="F5">
      <formula1>List_YN</formula1>
    </dataValidation>
    <dataValidation type="custom" allowBlank="1" showInputMessage="1" showErrorMessage="1" sqref="E13:F13 D14">
      <formula1>FALSE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IF(OR($C$45="Yes"),List_No,List_YN)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IF($C$43="Yes",OFFSET(Table_BI_IndDays,0,0,,1),List_No)</formula1>
    </dataValidation>
    <dataValidation type="list" allowBlank="1" showInputMessage="1" showErrorMessage="1" promptTitle="Apply Monthly Limitation?" prompt="Please Select:_x000a_Yes or No" sqref="F18">
      <formula1>IF(ISNUMBER($C$35),List_No,List_YN)</formula1>
    </dataValidation>
    <dataValidation type="list" allowBlank="1" showInputMessage="1" showErrorMessage="1" promptTitle="Monthly Limitation Period:" prompt="Please Select:_x000a_3rd - 1/3_x000a_4th - 1/4_x000a_6th - 1/6" sqref="E19">
      <formula1>IF($C$46&lt;&gt;"Yes",List_No,List_MosLimit)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Apply Educational Inst Coverage?" prompt="Please Select:_x000a_Yes or No" sqref="F20">
      <formula1>IF($C$35&gt;=50,List_No,List_YN)</formula1>
    </dataValidation>
    <dataValidation type="list" allowBlank="1" showInputMessage="1" showErrorMessage="1" sqref="B49 B37">
      <formula1>List_EQDeductibles</formula1>
    </dataValidation>
    <dataValidation type="custom" allowBlank="1" showInputMessage="1" showErrorMessage="1" promptTitle="Tier / Bldg Class:" prompt="Lookup value for the EQ Deductible Table.  Will generate automatically based upon your selections." sqref="B38 B50">
      <formula1>FALSE</formula1>
    </dataValidation>
    <dataValidation type="custom" allowBlank="1" showInputMessage="1" showErrorMessage="1" prompt="Mandatory Deductible Minimum" sqref="C49 C37">
      <formula1>FALSE</formula1>
    </dataValidation>
    <dataValidation type="list" allowBlank="1" showInputMessage="1" showErrorMessage="1" sqref="C33 C43">
      <formula1>OFFSET(Table_EQ_BldgClass,0,0,,1)</formula1>
    </dataValidation>
    <dataValidation type="list" allowBlank="1" showInputMessage="1" showErrorMessage="1" errorTitle="Selection Not Available" error="Unless the building class specified is Class 7; No entry is allowed." promptTitle="Bldg Class 7: Special Structures" prompt="Please select an Item # from the drop down list, the description of the special structure will be displayed below." sqref="C34 C44">
      <formula1>IF($C$33=7,OFFSET(Table_EQ_Class7,0,0,,1),List_No)</formula1>
    </dataValidation>
    <dataValidation type="custom" allowBlank="1" showInputMessage="1" showErrorMessage="1" promptTitle="Building Class Description" prompt="Displays a description of the Building Class selected whether it be one of the standard building class types or a Class 7 Special Structure type." sqref="A35 A45">
      <formula1>FALSE</formula1>
    </dataValidation>
    <dataValidation type="custom" allowBlank="1" showInputMessage="1" showErrorMessage="1" prompt="Bldg Loss Cost lookup value" sqref="B32 B42">
      <formula1>FALSE</formula1>
    </dataValidation>
    <dataValidation type="custom" allowBlank="1" showInputMessage="1" showErrorMessage="1" promptTitle="Building Class 7" prompt="Displays equivalent Building Class for the Special Structure selected." sqref="B33 B43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A48:C48">
      <formula1>IF($C$41="Yes",OFFSET(Table_EQ_PPGrade,0,0,,1),List_No)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C47">
      <formula1>FALSE</formula1>
    </dataValidation>
    <dataValidation type="list" allowBlank="1" showInputMessage="1" showErrorMessage="1" promptTitle="Masonry Veneer Limitation:" prompt="Please select the % of the Exterior Wall Faced with Masonry Veneer:_x000a_1:  Less Than 10%_x000a_2:  10 - 25%_x000a_3:  25 - 50%_x000a_4:  Over 50%_x000a__x000a_* Applies only to Building Classes 1C or 1D" sqref="B36 B46">
      <formula1>IF(OR($C$33="1C",$C$33="1D"),OFFSET(Table_EQ_Masonry,0,0,,1),List_No)</formula1>
    </dataValidation>
    <dataValidation type="list" allowBlank="1" showInputMessage="1" showErrorMessage="1" promptTitle="Please Select:" prompt="C   = Class_x000a_S   = Specific_x000a_T   = Tentative" sqref="C20">
      <formula1>OFFSET(List_RatingType,0,0,3,1)</formula1>
    </dataValidation>
    <dataValidation allowBlank="1" showInputMessage="1" showErrorMessage="1" promptTitle="Policy Term" prompt="Please Select:_x000a_1 - 1-Yr Policy_x000a_3 - 3-Yr Policy" sqref="C9"/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custom" allowBlank="1" showInputMessage="1" showErrorMessage="1" promptTitle="SPECIAL Form - Column Ref." prompt="This factor is used to determine the which column to use in the SPECIAL Form - Loss Cost table." sqref="B12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list" allowBlank="1" showInputMessage="1" showErrorMessage="1" promptTitle="Special - Cause of Loss" prompt="Please select:_x000a_1 - Excluding Theft (Special)_x000a_2 - Including Theft  (Special)" sqref="C12">
      <formula1>IF($C$11="SP",List_SPTheft,List_No)</formula1>
    </dataValidation>
    <dataValidation type="list" allowBlank="1" showInputMessage="1" showErrorMessage="1" promptTitle="Protection Class:" prompt="Please select a number (1 - 10)" sqref="C13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4">
      <formula1>List_ConstrNum</formula1>
    </dataValidation>
    <dataValidation type="list" allowBlank="1" showInputMessage="1" showErrorMessage="1" promptTitle="Please Select Cause of Loss:" prompt="BA  = Basic_x000a_BR  = Broad_x000a_SP  = Special_x000a_EQ = Earthquake" sqref="C11">
      <formula1>List_CauseBldg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26">
      <formula1>IF(OR($C$20="S",$C$20="T"),OFFSET(Table_BCEG,0,0,,1),List_BCEG99)</formula1>
    </dataValidation>
    <dataValidation allowBlank="1" showInputMessage="1" showErrorMessage="1" promptTitle="Enter EQ Zipcode:" prompt="Please supply the Zipcode for the EQ Building Property." sqref="B24"/>
    <dataValidation type="list" allowBlank="1" showInputMessage="1" showErrorMessage="1" promptTitle="Please Select Territory:" prompt="Select the Territory that corresponds to the Zipcode provided:_x000a_Territories { 21 - 25 }" sqref="C24">
      <formula1>OFFSET(Table_EQ_Tiers,0,0,,1)</formula1>
    </dataValidation>
    <dataValidation type="custom" allowBlank="1" showInputMessage="1" showErrorMessage="1" promptTitle="Earthquake Tier:" prompt="Determined by the Territory supplied." sqref="B25">
      <formula1>FALSE</formula1>
    </dataValidation>
    <dataValidation type="list" allowBlank="1" showInputMessage="1" showErrorMessage="1" sqref="C27">
      <formula1>OFFSET(Table_EQ_CoIns,0,0,,1)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28">
      <formula1>IF($B$28="Available",List_YN,List_No)</formula1>
    </dataValidation>
    <dataValidation type="custom" allowBlank="1" showInputMessage="1" showErrorMessage="1" promptTitle="Replacement Cost on Policy" prompt="If replacement cost is present on the policy, then Agreed Value cannot be applied." sqref="B28">
      <formula1>FALSE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29">
      <formula1>IF($F$33="Yes",List_BI_Mining,List_No)</formula1>
    </dataValidation>
    <dataValidation type="list" allowBlank="1" showInputMessage="1" showErrorMessage="1" promptTitle="Seasonal Leases:" prompt="Please Select:_x000a_Yes or No_x000a__x000a_* This coverage relates to rental property only." sqref="F25">
      <formula1>IF($F$8&lt;&gt;3,List_No,List_YN)</formula1>
    </dataValidation>
    <dataValidation type="list" allowBlank="1" showInputMessage="1" showErrorMessage="1" promptTitle="Apply Mining Property Coverage?" prompt="Please Select:_x000a_Yes or No" sqref="F28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3">
      <formula1>IF($F$24="Yes",OFFSET(Table_BI_OrdPR,0,0,,1),List_No)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4">
      <formula1>IF(ISNUMBER($F$7),List_YN,List_No)</formula1>
    </dataValidation>
    <dataValidation type="list" allowBlank="1" showInputMessage="1" showErrorMessage="1" promptTitle="Ordinary Payroll Exclusion" prompt="Please Select:_x000a_Yes or No" sqref="F22">
      <formula1>List_YN</formula1>
    </dataValidation>
    <dataValidation type="list" allowBlank="1" showInputMessage="1" showErrorMessage="1" promptTitle="Increased Coverage Period" prompt="Please Select # of Days:_x000a_{ 60, 90, 180 }" sqref="E27">
      <formula1>IF($F$28="Yes",OFFSET(Table_CivilAuth,0,0,,1),List_No)</formula1>
    </dataValidation>
    <dataValidation type="list" allowBlank="1" showInputMessage="1" showErrorMessage="1" promptTitle="Civil Authority Inc. Coverage" prompt="Please Select:_x000a_Yes or No" sqref="F26">
      <formula1>List_YN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2">
      <formula1>IF(#REF!="Yes", OFFSET(Table_BI_Wait,0,0,,1),List_No)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1">
      <formula1>List_YN</formula1>
    </dataValidation>
    <dataValidation type="list" allowBlank="1" showInputMessage="1" showErrorMessage="1" promptTitle="Other Personal Property" prompt="If you would like to apply Additional Personal Property:_x000a__x000a_Please Select:_x000a_Yes or No" sqref="B57">
      <formula1>IF($C$29="No",List_No,List_YN)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56">
      <formula1>IF($C$29="No",List_No,List_YN)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55">
      <formula1>IF($C$29="No",List_No,List_YN)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54">
      <formula1>IF($C$29="No",List_No,List_YN)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5">
      <formula1>OFFSET(Table_G2SymLC,0,0,,1)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7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6">
      <formula1>OFFSET(Table_TerrMult,0,0,,1)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2" manualBreakCount="2">
    <brk id="6" max="1048575" man="1"/>
    <brk id="12" max="1048575" man="1"/>
  </colBreak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U80"/>
  <sheetViews>
    <sheetView zoomScale="90" zoomScaleNormal="90" workbookViewId="0"/>
  </sheetViews>
  <sheetFormatPr defaultRowHeight="12.75" x14ac:dyDescent="0.2"/>
  <cols>
    <col min="1" max="1" width="24.7109375" style="2" customWidth="1"/>
    <col min="2" max="2" width="12.28515625" style="2" customWidth="1"/>
    <col min="3" max="3" width="13.7109375" style="2" customWidth="1"/>
    <col min="4" max="4" width="7.5703125" style="2" customWidth="1"/>
    <col min="5" max="5" width="12.7109375" style="2" customWidth="1"/>
    <col min="6" max="6" width="9.85546875" style="2" customWidth="1"/>
    <col min="7" max="7" width="10.28515625" style="2" customWidth="1"/>
    <col min="8" max="8" width="11.42578125" style="2" customWidth="1"/>
    <col min="9" max="9" width="15.7109375" style="2" customWidth="1"/>
    <col min="10" max="10" width="6.7109375" style="2" customWidth="1"/>
    <col min="11" max="11" width="23.5703125" style="2" customWidth="1"/>
    <col min="12" max="15" width="12.85546875" style="2" customWidth="1"/>
    <col min="16" max="16" width="4.85546875" style="2" customWidth="1"/>
    <col min="17" max="17" width="27.28515625" style="2" bestFit="1" customWidth="1"/>
    <col min="18" max="18" width="11.85546875" style="2" customWidth="1"/>
    <col min="19" max="19" width="13.28515625" style="2" customWidth="1"/>
    <col min="20" max="21" width="12" style="2" bestFit="1" customWidth="1"/>
    <col min="22" max="23" width="10.85546875" style="2" bestFit="1" customWidth="1"/>
    <col min="24" max="24" width="3.42578125" style="2" customWidth="1"/>
    <col min="25" max="25" width="15.85546875" style="2" customWidth="1"/>
    <col min="26" max="26" width="24.42578125" style="2" customWidth="1"/>
    <col min="27" max="29" width="11.5703125" style="2" customWidth="1"/>
    <col min="30" max="30" width="10.42578125" style="2" customWidth="1"/>
    <col min="31" max="31" width="9.7109375" style="2" customWidth="1"/>
    <col min="32" max="32" width="4.85546875" style="2" customWidth="1"/>
    <col min="33" max="33" width="27.28515625" style="2" bestFit="1" customWidth="1"/>
    <col min="34" max="34" width="11.85546875" style="2" customWidth="1"/>
    <col min="35" max="35" width="13.28515625" style="2" customWidth="1"/>
    <col min="36" max="37" width="10.85546875" style="2" bestFit="1" customWidth="1"/>
    <col min="38" max="39" width="10.42578125" style="2" bestFit="1" customWidth="1"/>
    <col min="40" max="40" width="3.42578125" style="2" customWidth="1"/>
    <col min="41" max="41" width="15.85546875" style="2" customWidth="1"/>
    <col min="42" max="42" width="24.42578125" style="2" customWidth="1"/>
    <col min="43" max="45" width="11.5703125" style="2" customWidth="1"/>
    <col min="46" max="46" width="10.42578125" style="2" customWidth="1"/>
    <col min="47" max="47" width="9.7109375" style="2" customWidth="1"/>
    <col min="48" max="16384" width="9.140625" style="2"/>
  </cols>
  <sheetData>
    <row r="1" spans="1:47" ht="19.5" customHeight="1" thickBot="1" x14ac:dyDescent="0.25">
      <c r="A1" s="99" t="s">
        <v>834</v>
      </c>
      <c r="B1" s="94"/>
      <c r="C1" s="94"/>
      <c r="D1" s="105"/>
      <c r="E1" s="105"/>
      <c r="F1" s="105"/>
      <c r="G1" s="105"/>
      <c r="H1" s="105"/>
      <c r="I1" s="106" t="s">
        <v>840</v>
      </c>
      <c r="K1" s="1594" t="s">
        <v>2175</v>
      </c>
      <c r="L1" s="1595"/>
      <c r="M1" s="1595"/>
      <c r="N1" s="1595"/>
      <c r="O1" s="1596"/>
      <c r="Q1" s="1612" t="s">
        <v>2224</v>
      </c>
      <c r="R1" s="1613"/>
      <c r="S1" s="1613"/>
      <c r="T1" s="1613"/>
      <c r="U1" s="1613"/>
      <c r="V1" s="1613"/>
      <c r="W1" s="1614"/>
      <c r="Y1" s="1612" t="s">
        <v>2225</v>
      </c>
      <c r="Z1" s="1613"/>
      <c r="AA1" s="1613"/>
      <c r="AB1" s="1613"/>
      <c r="AC1" s="1613"/>
      <c r="AD1" s="1613"/>
      <c r="AE1" s="1614"/>
      <c r="AG1" s="1609" t="s">
        <v>2284</v>
      </c>
      <c r="AH1" s="1610"/>
      <c r="AI1" s="1610"/>
      <c r="AJ1" s="1610"/>
      <c r="AK1" s="1610"/>
      <c r="AL1" s="1610"/>
      <c r="AM1" s="1611"/>
      <c r="AO1" s="1609" t="s">
        <v>2285</v>
      </c>
      <c r="AP1" s="1610"/>
      <c r="AQ1" s="1610"/>
      <c r="AR1" s="1610"/>
      <c r="AS1" s="1610"/>
      <c r="AT1" s="1610"/>
      <c r="AU1" s="1611"/>
    </row>
    <row r="2" spans="1:47" ht="13.5" thickBot="1" x14ac:dyDescent="0.25">
      <c r="A2" s="500" t="s">
        <v>1832</v>
      </c>
      <c r="B2" s="501"/>
      <c r="C2" s="502"/>
      <c r="D2" s="500" t="s">
        <v>2213</v>
      </c>
      <c r="E2" s="508"/>
      <c r="F2" s="508"/>
      <c r="G2" s="508"/>
      <c r="H2" s="508"/>
      <c r="I2" s="509"/>
      <c r="K2" s="1479">
        <f>Summary9</f>
        <v>0</v>
      </c>
      <c r="Q2" s="60" t="s">
        <v>2182</v>
      </c>
      <c r="S2" s="235" t="s">
        <v>2176</v>
      </c>
      <c r="T2" s="235" t="s">
        <v>2177</v>
      </c>
      <c r="U2" s="235" t="s">
        <v>2178</v>
      </c>
      <c r="V2" s="235" t="s">
        <v>2179</v>
      </c>
      <c r="W2" s="235" t="s">
        <v>2180</v>
      </c>
      <c r="Y2" s="60" t="s">
        <v>2182</v>
      </c>
      <c r="AA2" s="235" t="s">
        <v>2176</v>
      </c>
      <c r="AB2" s="235" t="s">
        <v>2177</v>
      </c>
      <c r="AC2" s="235" t="s">
        <v>2178</v>
      </c>
      <c r="AD2" s="235" t="s">
        <v>2179</v>
      </c>
      <c r="AE2" s="235" t="s">
        <v>2180</v>
      </c>
      <c r="AG2" s="60" t="s">
        <v>2182</v>
      </c>
      <c r="AI2" s="235" t="s">
        <v>2176</v>
      </c>
      <c r="AJ2" s="235" t="s">
        <v>2177</v>
      </c>
      <c r="AK2" s="235" t="s">
        <v>2178</v>
      </c>
      <c r="AL2" s="235" t="s">
        <v>2179</v>
      </c>
      <c r="AM2" s="235" t="s">
        <v>2180</v>
      </c>
      <c r="AO2" s="60" t="s">
        <v>2182</v>
      </c>
      <c r="AQ2" s="235" t="s">
        <v>2176</v>
      </c>
      <c r="AR2" s="235" t="s">
        <v>2177</v>
      </c>
      <c r="AS2" s="235" t="s">
        <v>2178</v>
      </c>
      <c r="AT2" s="235" t="s">
        <v>2179</v>
      </c>
      <c r="AU2" s="235" t="s">
        <v>2180</v>
      </c>
    </row>
    <row r="3" spans="1:47" ht="13.5" thickBot="1" x14ac:dyDescent="0.25">
      <c r="A3" s="505" t="s">
        <v>1024</v>
      </c>
      <c r="B3" s="506"/>
      <c r="C3" s="1268" t="str">
        <f>DF_State</f>
        <v>CT</v>
      </c>
      <c r="D3" s="1320" t="s">
        <v>2173</v>
      </c>
      <c r="E3" s="1323" t="s">
        <v>57</v>
      </c>
      <c r="F3" s="1323" t="s">
        <v>2170</v>
      </c>
      <c r="G3" s="1323" t="s">
        <v>2228</v>
      </c>
      <c r="H3" s="1323" t="s">
        <v>2171</v>
      </c>
      <c r="I3" s="1324" t="s">
        <v>2172</v>
      </c>
      <c r="K3" s="1105"/>
      <c r="L3" s="235" t="s">
        <v>1012</v>
      </c>
      <c r="M3" s="235" t="s">
        <v>1013</v>
      </c>
      <c r="N3" s="557" t="s">
        <v>838</v>
      </c>
      <c r="O3" s="557" t="s">
        <v>837</v>
      </c>
      <c r="Q3" s="60"/>
      <c r="R3" s="1117" t="s">
        <v>1197</v>
      </c>
      <c r="S3" s="2">
        <f>IF(ISTEXT($E4),VLOOKUP($E4,Table_G1_LC,MATCH($G4&amp;"B",List_ClassLC,0)+3,FALSE),0)</f>
        <v>0</v>
      </c>
      <c r="T3" s="2">
        <f>IF(ISTEXT($E5),VLOOKUP($E5,Table_G1_LC,MATCH($G5&amp;"B",List_ClassLC,0)+3,FALSE),0)</f>
        <v>0</v>
      </c>
      <c r="U3" s="2">
        <f>IF(ISTEXT($E6),VLOOKUP($E6,Table_G1_LC,MATCH($G6&amp;"B",List_ClassLC,0)+3,FALSE),0)</f>
        <v>0</v>
      </c>
      <c r="V3" s="2">
        <f>IF(ISTEXT($E7),VLOOKUP($E7,Table_G1_LC,MATCH($G7&amp;"B",List_ClassLC,0)+3,FALSE),0)</f>
        <v>0</v>
      </c>
      <c r="W3" s="2">
        <f>IF(ISTEXT($E8),VLOOKUP($E8,Table_G1_LC,MATCH($G8&amp;"B",List_ClassLC,0)+3,FALSE),0)</f>
        <v>0</v>
      </c>
      <c r="Y3" s="60"/>
      <c r="Z3" s="1117" t="s">
        <v>1197</v>
      </c>
      <c r="AA3" s="2">
        <f>IF(ISTEXT($E4),VLOOKUP($H4,Table_G2SymLC,2,FALSE),0)</f>
        <v>0</v>
      </c>
      <c r="AB3" s="2">
        <f>IF(ISTEXT($E5),VLOOKUP($H5,Table_G2SymLC,2,FALSE),0)</f>
        <v>0</v>
      </c>
      <c r="AC3" s="2">
        <f>IF(ISTEXT($E6),VLOOKUP($H6,Table_G2SymLC,2,FALSE),0)</f>
        <v>0</v>
      </c>
      <c r="AD3" s="2">
        <f>IF(ISTEXT($E7),VLOOKUP($H7,Table_G2SymLC,2,FALSE),0)</f>
        <v>0</v>
      </c>
      <c r="AE3" s="2">
        <f>IF(ISTEXT($E8),VLOOKUP($H8,Table_G2SymLC,2,FALSE),0)</f>
        <v>0</v>
      </c>
      <c r="AG3" s="60"/>
      <c r="AH3" s="1117" t="s">
        <v>1198</v>
      </c>
      <c r="AI3" s="2">
        <f>IF(ISTEXT($E13),VLOOKUP($E13,Table_G1_LC,MATCH($G13&amp;"C",List_ClassLC,0)+3,FALSE),0)</f>
        <v>0</v>
      </c>
      <c r="AJ3" s="2">
        <f>IF(ISTEXT($E14),VLOOKUP($E14,Table_G1_LC,MATCH($G14&amp;"C",List_ClassLC,0)+3,FALSE),0)</f>
        <v>0</v>
      </c>
      <c r="AK3" s="2">
        <f>IF(ISTEXT($E15),VLOOKUP($E15,Table_G1_LC,MATCH($G15&amp;"C",List_ClassLC,0)+3,FALSE),0)</f>
        <v>0</v>
      </c>
      <c r="AL3" s="2">
        <f>IF(ISTEXT($E16),VLOOKUP($E16,Table_G1_LC,MATCH($G16&amp;"C",List_ClassLC,0)+3,FALSE),0)</f>
        <v>0</v>
      </c>
      <c r="AM3" s="2">
        <f>IF(ISTEXT($E17),VLOOKUP($E17,Table_G1_LC,MATCH($G17&amp;"C",List_ClassLC,0)+3,FALSE),0)</f>
        <v>0</v>
      </c>
      <c r="AO3" s="60"/>
      <c r="AP3" s="1117" t="s">
        <v>1198</v>
      </c>
      <c r="AQ3" s="2">
        <f>IF(ISTEXT($E13),VLOOKUP($H13,Table_G2SymLC,3,FALSE),0)</f>
        <v>0</v>
      </c>
      <c r="AR3" s="2">
        <f>IF(ISTEXT($E14),VLOOKUP($H14,Table_G2SymLC,3,FALSE),0)</f>
        <v>0</v>
      </c>
      <c r="AS3" s="2">
        <f>IF(ISTEXT($E15),VLOOKUP($H15,Table_G2SymLC,3,FALSE),0)</f>
        <v>0</v>
      </c>
      <c r="AT3" s="2">
        <f>IF(ISTEXT($E16),VLOOKUP($H16,Table_G2SymLC,3,FALSE),0)</f>
        <v>0</v>
      </c>
      <c r="AU3" s="2">
        <f>IF(ISTEXT($E17),VLOOKUP($H17,Table_G2SymLC,3,FALSE),0)</f>
        <v>0</v>
      </c>
    </row>
    <row r="4" spans="1:47" x14ac:dyDescent="0.2">
      <c r="A4" s="1036" t="s">
        <v>1828</v>
      </c>
      <c r="B4" s="1041"/>
      <c r="C4" s="1092"/>
      <c r="D4" s="1321">
        <v>1</v>
      </c>
      <c r="E4" s="1349"/>
      <c r="F4" s="1359"/>
      <c r="G4" s="1351"/>
      <c r="H4" s="1352"/>
      <c r="I4" s="1353"/>
      <c r="K4" s="1340" t="s">
        <v>55</v>
      </c>
      <c r="L4" s="1341"/>
      <c r="M4" s="1342"/>
      <c r="N4" s="1342"/>
      <c r="O4" s="1342"/>
      <c r="Q4" s="60"/>
      <c r="R4" s="1117" t="s">
        <v>1178</v>
      </c>
      <c r="S4" s="207">
        <f>IF(ISNUMBER($F4),VLOOKUP($F4,Table_ProtClass,IF($G4&lt;=3,2,3),FALSE),0)</f>
        <v>0</v>
      </c>
      <c r="T4" s="207">
        <f>IF(ISNUMBER($F5),VLOOKUP($F5,Table_ProtClass,IF($G5&lt;=3,2,3),FALSE),0)</f>
        <v>0</v>
      </c>
      <c r="U4" s="207">
        <f>IF(ISNUMBER($F6),VLOOKUP($F6,Table_ProtClass,IF($G6&lt;=3,2,3),FALSE),0)</f>
        <v>0</v>
      </c>
      <c r="V4" s="207">
        <f>IF(ISNUMBER($F7),VLOOKUP($F7,Table_ProtClass,IF($G7&lt;=3,2,3),FALSE),0)</f>
        <v>0</v>
      </c>
      <c r="W4" s="207">
        <f>IF(ISNUMBER($F8),VLOOKUP($F8,Table_ProtClass,IF($G8&lt;=3,2,3),FALSE),0)</f>
        <v>0</v>
      </c>
      <c r="Y4" s="60"/>
      <c r="Z4" s="1117" t="s">
        <v>1178</v>
      </c>
      <c r="AA4" s="207">
        <v>1</v>
      </c>
      <c r="AB4" s="207">
        <v>1</v>
      </c>
      <c r="AC4" s="207">
        <v>1</v>
      </c>
      <c r="AD4" s="207">
        <v>1</v>
      </c>
      <c r="AE4" s="207">
        <v>1</v>
      </c>
      <c r="AG4" s="60"/>
      <c r="AH4" s="1117" t="s">
        <v>1178</v>
      </c>
      <c r="AI4" s="207">
        <f>IF(ISNUMBER($F13),VLOOKUP($F13,Table_ProtClass,IF($G13&lt;=3,2,3),FALSE),0)</f>
        <v>0</v>
      </c>
      <c r="AJ4" s="207">
        <f>IF(ISNUMBER($F14),VLOOKUP($F14,Table_ProtClass,IF($G14&lt;=3,2,3),FALSE),0)</f>
        <v>0</v>
      </c>
      <c r="AK4" s="207">
        <f>IF(ISNUMBER($F15),VLOOKUP($F15,Table_ProtClass,IF($G15&lt;=3,2,3),FALSE),0)</f>
        <v>0</v>
      </c>
      <c r="AL4" s="207">
        <f>IF(ISNUMBER($F16),VLOOKUP($F16,Table_ProtClass,IF($G16&lt;=3,2,3),FALSE),0)</f>
        <v>0</v>
      </c>
      <c r="AM4" s="207">
        <f>IF(ISNUMBER($F17),VLOOKUP($F17,Table_ProtClass,IF($G17&lt;=3,2,3),FALSE),0)</f>
        <v>0</v>
      </c>
      <c r="AO4" s="60"/>
      <c r="AP4" s="1117" t="s">
        <v>1178</v>
      </c>
      <c r="AQ4" s="207">
        <v>1</v>
      </c>
      <c r="AR4" s="207">
        <v>1</v>
      </c>
      <c r="AS4" s="207">
        <v>1</v>
      </c>
      <c r="AT4" s="207">
        <v>1</v>
      </c>
      <c r="AU4" s="207">
        <v>1</v>
      </c>
    </row>
    <row r="5" spans="1:47" x14ac:dyDescent="0.2">
      <c r="A5" s="120"/>
      <c r="B5" s="95"/>
      <c r="C5" s="125"/>
      <c r="D5" s="1322">
        <v>2</v>
      </c>
      <c r="E5" s="1354"/>
      <c r="F5" s="1360"/>
      <c r="G5" s="1352"/>
      <c r="H5" s="1352"/>
      <c r="I5" s="1353"/>
      <c r="K5" s="1458" t="s">
        <v>2278</v>
      </c>
      <c r="L5" s="1463" t="str">
        <f>IF($C$21="Yes",$S$30, "NA")</f>
        <v>NA</v>
      </c>
      <c r="M5" s="1463" t="str">
        <f>IF($C$21="Yes",$AA$30, "NA")</f>
        <v>NA</v>
      </c>
      <c r="N5" s="1463" t="str">
        <f>IF($C$21="Yes",$S$75, "NA")</f>
        <v>NA</v>
      </c>
      <c r="O5" s="1463" t="str">
        <f>IF($C$21="Yes",$AA$75, "NA")</f>
        <v>NA</v>
      </c>
      <c r="Q5" s="60"/>
      <c r="R5" s="545" t="s">
        <v>971</v>
      </c>
      <c r="S5" s="207">
        <f>HLOOKUP($C$10,Table_StateRates,6,FALSE)</f>
        <v>1.9</v>
      </c>
      <c r="T5" s="207">
        <f>HLOOKUP($C$10,Table_StateRates,6,FALSE)</f>
        <v>1.9</v>
      </c>
      <c r="U5" s="207">
        <f>HLOOKUP($C$10,Table_StateRates,6,FALSE)</f>
        <v>1.9</v>
      </c>
      <c r="V5" s="207">
        <f>HLOOKUP($C$10,Table_StateRates,6,FALSE)</f>
        <v>1.9</v>
      </c>
      <c r="W5" s="207">
        <f>HLOOKUP($C$10,Table_StateRates,6,FALSE)</f>
        <v>1.9</v>
      </c>
      <c r="Y5" s="60"/>
      <c r="Z5" s="545" t="s">
        <v>971</v>
      </c>
      <c r="AA5" s="207">
        <f>HLOOKUP($C$10,Table_StateRates,6,FALSE)</f>
        <v>1.9</v>
      </c>
      <c r="AB5" s="207">
        <f>HLOOKUP($C$10,Table_StateRates,6,FALSE)</f>
        <v>1.9</v>
      </c>
      <c r="AC5" s="207">
        <f>HLOOKUP($C$10,Table_StateRates,6,FALSE)</f>
        <v>1.9</v>
      </c>
      <c r="AD5" s="207">
        <f>HLOOKUP($C$10,Table_StateRates,6,FALSE)</f>
        <v>1.9</v>
      </c>
      <c r="AE5" s="207">
        <f>HLOOKUP($C$10,Table_StateRates,6,FALSE)</f>
        <v>1.9</v>
      </c>
      <c r="AG5" s="60"/>
      <c r="AH5" s="545" t="s">
        <v>971</v>
      </c>
      <c r="AI5" s="207">
        <f>HLOOKUP($C$10,Table_StateRates,6,FALSE)</f>
        <v>1.9</v>
      </c>
      <c r="AJ5" s="207">
        <f>HLOOKUP($C$10,Table_StateRates,6,FALSE)</f>
        <v>1.9</v>
      </c>
      <c r="AK5" s="207">
        <f>HLOOKUP($C$10,Table_StateRates,6,FALSE)</f>
        <v>1.9</v>
      </c>
      <c r="AL5" s="207">
        <f>HLOOKUP($C$10,Table_StateRates,6,FALSE)</f>
        <v>1.9</v>
      </c>
      <c r="AM5" s="207">
        <f>HLOOKUP($C$10,Table_StateRates,6,FALSE)</f>
        <v>1.9</v>
      </c>
      <c r="AO5" s="60"/>
      <c r="AP5" s="545" t="s">
        <v>971</v>
      </c>
      <c r="AQ5" s="207">
        <f>HLOOKUP($C$10,Table_StateRates,6,FALSE)</f>
        <v>1.9</v>
      </c>
      <c r="AR5" s="207">
        <f>HLOOKUP($C$10,Table_StateRates,6,FALSE)</f>
        <v>1.9</v>
      </c>
      <c r="AS5" s="207">
        <f>HLOOKUP($C$10,Table_StateRates,6,FALSE)</f>
        <v>1.9</v>
      </c>
      <c r="AT5" s="207">
        <f>HLOOKUP($C$10,Table_StateRates,6,FALSE)</f>
        <v>1.9</v>
      </c>
      <c r="AU5" s="207">
        <f>HLOOKUP($C$10,Table_StateRates,6,FALSE)</f>
        <v>1.9</v>
      </c>
    </row>
    <row r="6" spans="1:47" x14ac:dyDescent="0.2">
      <c r="A6" s="120" t="s">
        <v>969</v>
      </c>
      <c r="B6" s="95"/>
      <c r="C6" s="1093" t="s">
        <v>980</v>
      </c>
      <c r="D6" s="1322">
        <v>3</v>
      </c>
      <c r="E6" s="1354"/>
      <c r="F6" s="1360"/>
      <c r="G6" s="1352"/>
      <c r="H6" s="1352"/>
      <c r="I6" s="1353"/>
      <c r="K6" s="1344" t="s">
        <v>2204</v>
      </c>
      <c r="L6" s="258">
        <f>IF($C$21="Yes",S$35,0)</f>
        <v>0</v>
      </c>
      <c r="M6" s="258">
        <f>IF($C$21="Yes",AA$35,0)</f>
        <v>0</v>
      </c>
      <c r="N6" s="259">
        <f>IF(AND($C$21="Yes",$C$11="SP"),S$80,0)</f>
        <v>0</v>
      </c>
      <c r="O6" s="259">
        <f>IF(AND($C$21="Yes",$C$11="BR"),AA$80,0)</f>
        <v>0</v>
      </c>
      <c r="Q6" s="60"/>
      <c r="R6" s="545" t="s">
        <v>2331</v>
      </c>
      <c r="S6" s="207">
        <f>$C$13</f>
        <v>1</v>
      </c>
      <c r="T6" s="207">
        <f t="shared" ref="T6:W6" si="0">$C$13</f>
        <v>1</v>
      </c>
      <c r="U6" s="207">
        <f t="shared" si="0"/>
        <v>1</v>
      </c>
      <c r="V6" s="207">
        <f t="shared" si="0"/>
        <v>1</v>
      </c>
      <c r="W6" s="207">
        <f t="shared" si="0"/>
        <v>1</v>
      </c>
      <c r="Y6" s="60"/>
      <c r="Z6" s="545" t="s">
        <v>1199</v>
      </c>
      <c r="AA6" s="207">
        <v>1</v>
      </c>
      <c r="AB6" s="207">
        <v>1</v>
      </c>
      <c r="AC6" s="207">
        <v>1</v>
      </c>
      <c r="AD6" s="207">
        <v>1</v>
      </c>
      <c r="AE6" s="207">
        <v>1</v>
      </c>
      <c r="AG6" s="60"/>
      <c r="AH6" s="1210" t="s">
        <v>1199</v>
      </c>
      <c r="AI6" s="207">
        <f>$C$13</f>
        <v>1</v>
      </c>
      <c r="AJ6" s="207">
        <f t="shared" ref="AJ6:AM6" si="1">$C$13</f>
        <v>1</v>
      </c>
      <c r="AK6" s="207">
        <f t="shared" si="1"/>
        <v>1</v>
      </c>
      <c r="AL6" s="207">
        <f t="shared" si="1"/>
        <v>1</v>
      </c>
      <c r="AM6" s="207">
        <f t="shared" si="1"/>
        <v>1</v>
      </c>
      <c r="AO6" s="60"/>
      <c r="AP6" s="1210" t="s">
        <v>1199</v>
      </c>
      <c r="AQ6" s="207">
        <v>1</v>
      </c>
      <c r="AR6" s="207">
        <v>1</v>
      </c>
      <c r="AS6" s="207">
        <v>1</v>
      </c>
      <c r="AT6" s="207">
        <v>1</v>
      </c>
      <c r="AU6" s="207">
        <v>1</v>
      </c>
    </row>
    <row r="7" spans="1:47" x14ac:dyDescent="0.2">
      <c r="A7" s="143" t="s">
        <v>923</v>
      </c>
      <c r="B7" s="940" t="s">
        <v>857</v>
      </c>
      <c r="C7" s="1039"/>
      <c r="D7" s="1322">
        <v>4</v>
      </c>
      <c r="E7" s="1354"/>
      <c r="F7" s="1360"/>
      <c r="G7" s="1352"/>
      <c r="H7" s="1352"/>
      <c r="I7" s="1356"/>
      <c r="K7" s="1344" t="s">
        <v>2205</v>
      </c>
      <c r="L7" s="258">
        <f>IF($C$21="Yes",T$35,0)</f>
        <v>0</v>
      </c>
      <c r="M7" s="258">
        <f>IF($C21="Yes",AB$35,0)</f>
        <v>0</v>
      </c>
      <c r="N7" s="259">
        <f>IF(AND($C$21="Yes",$C$11="SP"),T$80,0)</f>
        <v>0</v>
      </c>
      <c r="O7" s="259">
        <f>IF(AND($C$21="Yes",$C$11="BR"),AB$80,0)</f>
        <v>0</v>
      </c>
      <c r="Q7" s="60"/>
      <c r="R7" s="1210" t="s">
        <v>1018</v>
      </c>
      <c r="S7" s="207">
        <f>IF($B$16=250,DF_250Deductible,$C$16)</f>
        <v>1</v>
      </c>
      <c r="T7" s="207">
        <f>IF($B$16=250,DF_250Deductible,$C$16)</f>
        <v>1</v>
      </c>
      <c r="U7" s="207">
        <f>IF($B$16=250,DF_250Deductible,$C$16)</f>
        <v>1</v>
      </c>
      <c r="V7" s="207">
        <f>IF($B$16=250,DF_250Deductible,$C$16)</f>
        <v>1</v>
      </c>
      <c r="W7" s="207">
        <f>IF($B$16=250,DF_250Deductible,$C$16)</f>
        <v>1</v>
      </c>
      <c r="Y7" s="60"/>
      <c r="Z7" s="1210" t="s">
        <v>1018</v>
      </c>
      <c r="AA7" s="207">
        <f>IF($B$16=250,DF_250Deductible,$C$16)</f>
        <v>1</v>
      </c>
      <c r="AB7" s="207">
        <f>IF($B$16=250,DF_250Deductible,$C$16)</f>
        <v>1</v>
      </c>
      <c r="AC7" s="207">
        <f>IF($B$16=250,DF_250Deductible,$C$16)</f>
        <v>1</v>
      </c>
      <c r="AD7" s="207">
        <f>IF($B$16=250,DF_250Deductible,$C$16)</f>
        <v>1</v>
      </c>
      <c r="AE7" s="207">
        <f>IF($B$16=250,DF_250Deductible,$C$16)</f>
        <v>1</v>
      </c>
      <c r="AG7" s="60"/>
      <c r="AH7" s="1210" t="s">
        <v>1018</v>
      </c>
      <c r="AI7" s="207">
        <f>IF($B$18=250,DF_250Deductible,$C$18)</f>
        <v>1</v>
      </c>
      <c r="AJ7" s="207">
        <f>IF($B$18=250,DF_250Deductible,$C$18)</f>
        <v>1</v>
      </c>
      <c r="AK7" s="207">
        <f>IF($B$18=250,DF_250Deductible,$C$18)</f>
        <v>1</v>
      </c>
      <c r="AL7" s="207">
        <f>IF($B$18=250,DF_250Deductible,$C$18)</f>
        <v>1</v>
      </c>
      <c r="AM7" s="207">
        <f>IF($B$18=250,DF_250Deductible,$C$18)</f>
        <v>1</v>
      </c>
      <c r="AO7" s="60"/>
      <c r="AP7" s="1210" t="s">
        <v>1018</v>
      </c>
      <c r="AQ7" s="207">
        <f>IF($B$18=250,DF_250Deductible,$C$18)</f>
        <v>1</v>
      </c>
      <c r="AR7" s="207">
        <f>IF($B$18=250,DF_250Deductible,$C$18)</f>
        <v>1</v>
      </c>
      <c r="AS7" s="207">
        <f>IF($B$18=250,DF_250Deductible,$C$18)</f>
        <v>1</v>
      </c>
      <c r="AT7" s="207">
        <f>IF($B$18=250,DF_250Deductible,$C$18)</f>
        <v>1</v>
      </c>
      <c r="AU7" s="207">
        <f>IF($B$18=250,DF_250Deductible,$C$18)</f>
        <v>1</v>
      </c>
    </row>
    <row r="8" spans="1:47" x14ac:dyDescent="0.2">
      <c r="A8" s="120"/>
      <c r="B8" s="95"/>
      <c r="C8" s="1039"/>
      <c r="D8" s="1322">
        <v>5</v>
      </c>
      <c r="E8" s="1354"/>
      <c r="F8" s="1360"/>
      <c r="G8" s="1352"/>
      <c r="H8" s="1352"/>
      <c r="I8" s="1356"/>
      <c r="K8" s="1344" t="s">
        <v>2206</v>
      </c>
      <c r="L8" s="258">
        <f>IF($C$21="Yes",U$35,0)</f>
        <v>0</v>
      </c>
      <c r="M8" s="258">
        <f>IF($C21="Yes",AC$35,0)</f>
        <v>0</v>
      </c>
      <c r="N8" s="259">
        <f>IF(AND($C$21="Yes",$C$11="SP"),U$80,0)</f>
        <v>0</v>
      </c>
      <c r="O8" s="259">
        <f>IF(AND($C$21="Yes",$C$11="BR"),AC$80,0)</f>
        <v>0</v>
      </c>
      <c r="Q8" s="185"/>
      <c r="R8" s="1226" t="s">
        <v>1019</v>
      </c>
      <c r="S8" s="208">
        <f>HLOOKUP($C$10,Table_StateRates,5,FALSE)</f>
        <v>1.38</v>
      </c>
      <c r="T8" s="208">
        <f>HLOOKUP(C10,Table_StateRates,5,FALSE)</f>
        <v>1.38</v>
      </c>
      <c r="U8" s="208">
        <f>HLOOKUP(C10,Table_StateRates,5,FALSE)</f>
        <v>1.38</v>
      </c>
      <c r="V8" s="208">
        <f>HLOOKUP(C10,Table_StateRates,5,FALSE)</f>
        <v>1.38</v>
      </c>
      <c r="W8" s="208">
        <f>HLOOKUP(C10,Table_StateRates,5,FALSE)</f>
        <v>1.38</v>
      </c>
      <c r="Y8" s="185"/>
      <c r="Z8" s="1226" t="s">
        <v>1019</v>
      </c>
      <c r="AA8" s="208">
        <f>HLOOKUP(C10,Table_StateRates,5,FALSE)</f>
        <v>1.38</v>
      </c>
      <c r="AB8" s="208">
        <f>HLOOKUP(C10,Table_StateRates,5,FALSE)</f>
        <v>1.38</v>
      </c>
      <c r="AC8" s="208">
        <f>HLOOKUP(C10,Table_StateRates,5,FALSE)</f>
        <v>1.38</v>
      </c>
      <c r="AD8" s="208">
        <f>HLOOKUP(C10,Table_StateRates,5,FALSE)</f>
        <v>1.38</v>
      </c>
      <c r="AE8" s="208">
        <f>HLOOKUP(C10,Table_StateRates,5,FALSE)</f>
        <v>1.38</v>
      </c>
      <c r="AG8" s="185"/>
      <c r="AH8" s="1226" t="s">
        <v>1019</v>
      </c>
      <c r="AI8" s="208">
        <f>HLOOKUP($C$10,Table_StateRates,5,FALSE)</f>
        <v>1.38</v>
      </c>
      <c r="AJ8" s="208">
        <f>HLOOKUP($C$10,Table_StateRates,5,FALSE)</f>
        <v>1.38</v>
      </c>
      <c r="AK8" s="208">
        <f>HLOOKUP($C$10,Table_StateRates,5,FALSE)</f>
        <v>1.38</v>
      </c>
      <c r="AL8" s="208">
        <f>HLOOKUP($C$10,Table_StateRates,5,FALSE)</f>
        <v>1.38</v>
      </c>
      <c r="AM8" s="208">
        <f>HLOOKUP($C$10,Table_StateRates,5,FALSE)</f>
        <v>1.38</v>
      </c>
      <c r="AO8" s="185"/>
      <c r="AP8" s="1226" t="s">
        <v>1019</v>
      </c>
      <c r="AQ8" s="208">
        <f>HLOOKUP($C$10,Table_StateRates,5,FALSE)</f>
        <v>1.38</v>
      </c>
      <c r="AR8" s="208">
        <f>HLOOKUP($C$10,Table_StateRates,5,FALSE)</f>
        <v>1.38</v>
      </c>
      <c r="AS8" s="208">
        <f>HLOOKUP($C$10,Table_StateRates,5,FALSE)</f>
        <v>1.38</v>
      </c>
      <c r="AT8" s="208">
        <f>HLOOKUP($C$10,Table_StateRates,5,FALSE)</f>
        <v>1.38</v>
      </c>
      <c r="AU8" s="208">
        <f>HLOOKUP($C$10,Table_StateRates,5,FALSE)</f>
        <v>1.38</v>
      </c>
    </row>
    <row r="9" spans="1:47" x14ac:dyDescent="0.2">
      <c r="A9" s="120" t="s">
        <v>1829</v>
      </c>
      <c r="B9" s="95"/>
      <c r="C9" s="1094">
        <v>1</v>
      </c>
      <c r="D9" s="1326"/>
      <c r="E9" s="1327"/>
      <c r="F9" s="1347"/>
      <c r="G9" s="1328"/>
      <c r="H9" s="1329" t="s">
        <v>2174</v>
      </c>
      <c r="I9" s="1325">
        <f>SUM(I4:I8)</f>
        <v>0</v>
      </c>
      <c r="K9" s="1344" t="s">
        <v>2207</v>
      </c>
      <c r="L9" s="258">
        <f>IF($C$21="Yes",V$35,0)</f>
        <v>0</v>
      </c>
      <c r="M9" s="258">
        <f>IF($C21="Yes",AD$35,0)</f>
        <v>0</v>
      </c>
      <c r="N9" s="259">
        <f>IF(AND($C$21="Yes",$C$11="SP"),V$80,0)</f>
        <v>0</v>
      </c>
      <c r="O9" s="259">
        <f>IF(AND($C$21="Yes",$C$11="BR"),AD$80,0)</f>
        <v>0</v>
      </c>
      <c r="Q9" s="60"/>
      <c r="R9" s="83" t="s">
        <v>2181</v>
      </c>
      <c r="S9" s="1315">
        <f>ROUND(PRODUCT(S3:S8),3)</f>
        <v>0</v>
      </c>
      <c r="T9" s="1315">
        <f>ROUND(PRODUCT(T3:T8),3)</f>
        <v>0</v>
      </c>
      <c r="U9" s="1315">
        <f>ROUND(PRODUCT(U3:U8),3)</f>
        <v>0</v>
      </c>
      <c r="V9" s="1315">
        <f>ROUND(PRODUCT(V3:V8),3)</f>
        <v>0</v>
      </c>
      <c r="W9" s="1315">
        <f>ROUND(PRODUCT(W3:W8),3)</f>
        <v>0</v>
      </c>
      <c r="Y9" s="60"/>
      <c r="Z9" s="83" t="s">
        <v>2223</v>
      </c>
      <c r="AA9" s="1315">
        <f>ROUND(PRODUCT(AA3:AA8),3)</f>
        <v>0</v>
      </c>
      <c r="AB9" s="1315">
        <f>ROUND(PRODUCT(AB3:AB8),3)</f>
        <v>0</v>
      </c>
      <c r="AC9" s="1315">
        <f>ROUND(PRODUCT(AC3:AC8),3)</f>
        <v>0</v>
      </c>
      <c r="AD9" s="1315">
        <f>ROUND(PRODUCT(AD3:AD8),3)</f>
        <v>0</v>
      </c>
      <c r="AE9" s="1315">
        <f>ROUND(PRODUCT(AE3:AE8),3)</f>
        <v>0</v>
      </c>
      <c r="AG9" s="60"/>
      <c r="AH9" s="83" t="s">
        <v>2181</v>
      </c>
      <c r="AI9" s="1315">
        <f>ROUND(PRODUCT(AI3:AI8),3)</f>
        <v>0</v>
      </c>
      <c r="AJ9" s="1315">
        <f>ROUND(PRODUCT(AJ3:AJ8),3)</f>
        <v>0</v>
      </c>
      <c r="AK9" s="1315">
        <f>ROUND(PRODUCT(AK3:AK8),3)</f>
        <v>0</v>
      </c>
      <c r="AL9" s="1315">
        <f>ROUND(PRODUCT(AL3:AL8),3)</f>
        <v>0</v>
      </c>
      <c r="AM9" s="1315">
        <f>ROUND(PRODUCT(AM3:AM8),3)</f>
        <v>0</v>
      </c>
      <c r="AO9" s="60"/>
      <c r="AP9" s="83" t="s">
        <v>2223</v>
      </c>
      <c r="AQ9" s="1312">
        <f>ROUND(PRODUCT(AQ3:AQ8),3)</f>
        <v>0</v>
      </c>
      <c r="AR9" s="1312">
        <f>ROUND(PRODUCT(AR3:AR8),3)</f>
        <v>0</v>
      </c>
      <c r="AS9" s="1312">
        <f>ROUND(PRODUCT(AS3:AS8),3)</f>
        <v>0</v>
      </c>
      <c r="AT9" s="1312">
        <f>ROUND(PRODUCT(AT3:AT8),3)</f>
        <v>0</v>
      </c>
      <c r="AU9" s="1312">
        <f>ROUND(PRODUCT(AU3:AU8),3)</f>
        <v>0</v>
      </c>
    </row>
    <row r="10" spans="1:47" ht="13.5" thickBot="1" x14ac:dyDescent="0.25">
      <c r="A10" s="120" t="s">
        <v>835</v>
      </c>
      <c r="B10" s="1317"/>
      <c r="C10" s="1093" t="s">
        <v>1859</v>
      </c>
      <c r="D10" s="126"/>
      <c r="E10" s="541"/>
      <c r="F10" s="541"/>
      <c r="G10" s="96"/>
      <c r="H10" s="96"/>
      <c r="I10" s="1096"/>
      <c r="K10" s="1345" t="s">
        <v>2208</v>
      </c>
      <c r="L10" s="1357">
        <f>IF($C$21="Yes",W$35,0)</f>
        <v>0</v>
      </c>
      <c r="M10" s="1357">
        <f>IF($C21="Yes",AE$35,0)</f>
        <v>0</v>
      </c>
      <c r="N10" s="884">
        <f>IF(AND($C$21="Yes",$C$11="SP"),W$80,0)</f>
        <v>0</v>
      </c>
      <c r="O10" s="884">
        <f>IF(AND($C$21="Yes",$C$11="BR"),AE$80,0)</f>
        <v>0</v>
      </c>
      <c r="Q10" s="60"/>
      <c r="R10" s="83"/>
      <c r="S10" s="1312"/>
      <c r="T10" s="1312"/>
      <c r="U10" s="1312"/>
      <c r="V10" s="1312"/>
      <c r="W10" s="1312"/>
      <c r="AG10" s="60"/>
      <c r="AH10" s="83"/>
      <c r="AI10" s="1312"/>
      <c r="AJ10" s="1312"/>
      <c r="AK10" s="1312"/>
      <c r="AL10" s="1312"/>
      <c r="AM10" s="1312"/>
    </row>
    <row r="11" spans="1:47" x14ac:dyDescent="0.2">
      <c r="A11" s="415" t="s">
        <v>910</v>
      </c>
      <c r="B11" s="1318"/>
      <c r="C11" s="704" t="s">
        <v>894</v>
      </c>
      <c r="D11" s="500" t="s">
        <v>2215</v>
      </c>
      <c r="E11" s="508"/>
      <c r="F11" s="508"/>
      <c r="G11" s="508"/>
      <c r="H11" s="508"/>
      <c r="I11" s="509"/>
      <c r="K11" s="1343" t="s">
        <v>2218</v>
      </c>
      <c r="L11" s="485">
        <f>SUM(L6:L10)</f>
        <v>0</v>
      </c>
      <c r="M11" s="485">
        <f>SUM(M6:M10)</f>
        <v>0</v>
      </c>
      <c r="N11" s="485">
        <f>SUM(N6:N10)</f>
        <v>0</v>
      </c>
      <c r="O11" s="485">
        <f>SUM(O6:O10)</f>
        <v>0</v>
      </c>
      <c r="Q11" s="60" t="s">
        <v>2183</v>
      </c>
      <c r="R11" s="83"/>
      <c r="S11" s="1312"/>
      <c r="T11" s="1312"/>
      <c r="U11" s="1312"/>
      <c r="V11" s="1312"/>
      <c r="W11" s="1312"/>
      <c r="Y11" s="60" t="s">
        <v>2183</v>
      </c>
      <c r="Z11" s="83"/>
      <c r="AA11" s="1312"/>
      <c r="AB11" s="1312"/>
      <c r="AC11" s="1312"/>
      <c r="AD11" s="1312"/>
      <c r="AE11" s="1312"/>
      <c r="AG11" s="60" t="s">
        <v>2183</v>
      </c>
      <c r="AH11" s="83"/>
      <c r="AI11" s="1312"/>
      <c r="AJ11" s="1312"/>
      <c r="AK11" s="1312"/>
      <c r="AL11" s="1312"/>
      <c r="AM11" s="1312"/>
      <c r="AO11" s="60" t="s">
        <v>2183</v>
      </c>
      <c r="AP11" s="83"/>
      <c r="AQ11" s="1312"/>
      <c r="AR11" s="1312"/>
      <c r="AS11" s="1312"/>
      <c r="AT11" s="1312"/>
      <c r="AU11" s="1312"/>
    </row>
    <row r="12" spans="1:47" ht="13.5" thickBot="1" x14ac:dyDescent="0.25">
      <c r="A12" s="507" t="s">
        <v>1069</v>
      </c>
      <c r="B12" s="95"/>
      <c r="C12" s="1319">
        <v>1</v>
      </c>
      <c r="D12" s="1320" t="s">
        <v>2173</v>
      </c>
      <c r="E12" s="1323" t="s">
        <v>57</v>
      </c>
      <c r="F12" s="1323" t="s">
        <v>2170</v>
      </c>
      <c r="G12" s="1323" t="s">
        <v>2228</v>
      </c>
      <c r="H12" s="1323" t="s">
        <v>2171</v>
      </c>
      <c r="I12" s="1324" t="s">
        <v>2172</v>
      </c>
      <c r="K12" s="1206"/>
      <c r="L12" s="485"/>
      <c r="M12" s="485"/>
      <c r="N12" s="485"/>
      <c r="O12" s="485"/>
      <c r="R12" s="1117" t="s">
        <v>2184</v>
      </c>
      <c r="S12" s="478">
        <f>IF(ISNUMBER($I4),$I4,0)</f>
        <v>0</v>
      </c>
      <c r="T12" s="478">
        <f>IF(ISNUMBER($I5),$I5,0)</f>
        <v>0</v>
      </c>
      <c r="U12" s="478">
        <f>IF(ISNUMBER($I6),$I6,0)</f>
        <v>0</v>
      </c>
      <c r="V12" s="478">
        <f>IF(ISNUMBER($I7),$I7,0)</f>
        <v>0</v>
      </c>
      <c r="W12" s="478">
        <f>IF(ISNUMBER($I8),$I8,0)</f>
        <v>0</v>
      </c>
      <c r="Z12" s="1117" t="s">
        <v>2184</v>
      </c>
      <c r="AA12" s="478">
        <f>IF(ISNUMBER($I$4),$I$4,0)</f>
        <v>0</v>
      </c>
      <c r="AB12" s="478">
        <f>IF(ISNUMBER($I$5),$I$5,0)</f>
        <v>0</v>
      </c>
      <c r="AC12" s="478">
        <f>IF(ISNUMBER($I$6),$I$6,0)</f>
        <v>0</v>
      </c>
      <c r="AD12" s="478">
        <f>IF(ISNUMBER($I$7),$I$7,0)</f>
        <v>0</v>
      </c>
      <c r="AE12" s="478">
        <f>IF(ISNUMBER($I$8),$I$8,0)</f>
        <v>0</v>
      </c>
      <c r="AH12" s="1117" t="s">
        <v>2184</v>
      </c>
      <c r="AI12" s="478">
        <f>IF(ISNUMBER($I13),$I13,0)</f>
        <v>0</v>
      </c>
      <c r="AJ12" s="478">
        <f>IF(ISNUMBER($I14),$I14,0)</f>
        <v>0</v>
      </c>
      <c r="AK12" s="478">
        <f>IF(ISNUMBER($I15),$I15,0)</f>
        <v>0</v>
      </c>
      <c r="AL12" s="478">
        <f>IF(ISNUMBER($I16),$I16,0)</f>
        <v>0</v>
      </c>
      <c r="AM12" s="478">
        <f>IF(ISNUMBER($I17),$I17,0)</f>
        <v>0</v>
      </c>
      <c r="AP12" s="1117" t="s">
        <v>2184</v>
      </c>
      <c r="AQ12" s="478">
        <f>IF(ISNUMBER($I$13),$I$13,0)</f>
        <v>0</v>
      </c>
      <c r="AR12" s="478">
        <f>IF(ISNUMBER($I$14),$I$14,0)</f>
        <v>0</v>
      </c>
      <c r="AS12" s="478">
        <f>IF(ISNUMBER($I$15),$I$15,0)</f>
        <v>0</v>
      </c>
      <c r="AT12" s="478">
        <f>IF(ISNUMBER($I$16),$I$16,0)</f>
        <v>0</v>
      </c>
      <c r="AU12" s="478">
        <f>IF(ISNUMBER($I$17),$I$17,0)</f>
        <v>0</v>
      </c>
    </row>
    <row r="13" spans="1:47" x14ac:dyDescent="0.2">
      <c r="A13" s="1485" t="s">
        <v>2333</v>
      </c>
      <c r="B13" s="95"/>
      <c r="C13" s="1486">
        <v>1</v>
      </c>
      <c r="D13" s="1321">
        <v>1</v>
      </c>
      <c r="E13" s="1349"/>
      <c r="F13" s="1359"/>
      <c r="G13" s="1351"/>
      <c r="H13" s="1352"/>
      <c r="I13" s="1353"/>
      <c r="K13" s="1340" t="s">
        <v>2219</v>
      </c>
      <c r="L13" s="1341"/>
      <c r="M13" s="1342"/>
      <c r="N13" s="1342"/>
      <c r="O13" s="1342"/>
      <c r="Q13" s="185"/>
      <c r="R13" s="1226" t="s">
        <v>2185</v>
      </c>
      <c r="S13" s="238">
        <f>$I$9</f>
        <v>0</v>
      </c>
      <c r="T13" s="238">
        <f>$I$9</f>
        <v>0</v>
      </c>
      <c r="U13" s="238">
        <f>$I$9</f>
        <v>0</v>
      </c>
      <c r="V13" s="238">
        <f>$I$9</f>
        <v>0</v>
      </c>
      <c r="W13" s="238">
        <f>$I$9</f>
        <v>0</v>
      </c>
      <c r="Y13" s="185"/>
      <c r="Z13" s="1226" t="s">
        <v>2185</v>
      </c>
      <c r="AA13" s="238">
        <f>$I$9</f>
        <v>0</v>
      </c>
      <c r="AB13" s="238">
        <f t="shared" ref="AB13:AE13" si="2">$I$9</f>
        <v>0</v>
      </c>
      <c r="AC13" s="238">
        <f t="shared" si="2"/>
        <v>0</v>
      </c>
      <c r="AD13" s="238">
        <f t="shared" si="2"/>
        <v>0</v>
      </c>
      <c r="AE13" s="238">
        <f t="shared" si="2"/>
        <v>0</v>
      </c>
      <c r="AG13" s="185"/>
      <c r="AH13" s="1226" t="s">
        <v>2185</v>
      </c>
      <c r="AI13" s="238">
        <f>$I$18</f>
        <v>0</v>
      </c>
      <c r="AJ13" s="238">
        <f t="shared" ref="AJ13:AM13" si="3">$I$18</f>
        <v>0</v>
      </c>
      <c r="AK13" s="238">
        <f t="shared" si="3"/>
        <v>0</v>
      </c>
      <c r="AL13" s="238">
        <f t="shared" si="3"/>
        <v>0</v>
      </c>
      <c r="AM13" s="238">
        <f t="shared" si="3"/>
        <v>0</v>
      </c>
      <c r="AO13" s="185"/>
      <c r="AP13" s="1226" t="s">
        <v>2185</v>
      </c>
      <c r="AQ13" s="238">
        <f>$I$18</f>
        <v>0</v>
      </c>
      <c r="AR13" s="238">
        <f t="shared" ref="AR13:AU13" si="4">$I$18</f>
        <v>0</v>
      </c>
      <c r="AS13" s="238">
        <f t="shared" si="4"/>
        <v>0</v>
      </c>
      <c r="AT13" s="238">
        <f t="shared" si="4"/>
        <v>0</v>
      </c>
      <c r="AU13" s="238">
        <f t="shared" si="4"/>
        <v>0</v>
      </c>
    </row>
    <row r="14" spans="1:47" x14ac:dyDescent="0.2">
      <c r="A14" s="1485" t="s">
        <v>2332</v>
      </c>
      <c r="B14" s="95"/>
      <c r="C14" s="1486">
        <v>1</v>
      </c>
      <c r="D14" s="1322">
        <v>2</v>
      </c>
      <c r="E14" s="1354"/>
      <c r="F14" s="1360"/>
      <c r="G14" s="1352"/>
      <c r="H14" s="1352"/>
      <c r="I14" s="1356"/>
      <c r="K14" s="1458" t="s">
        <v>2278</v>
      </c>
      <c r="L14" s="1463" t="str">
        <f>IF($C$22="Yes",$AI$30,"NA")</f>
        <v>NA</v>
      </c>
      <c r="M14" s="1463" t="str">
        <f>IF($C$22="Yes",$AQ$30,"NA")</f>
        <v>NA</v>
      </c>
      <c r="N14" s="1463" t="str">
        <f>IF($C$22="Yes",$AI$75,"NA")</f>
        <v>NA</v>
      </c>
      <c r="O14" s="1463" t="str">
        <f>IF($C$22="Yes",$AQ$75,"NA")</f>
        <v>NA</v>
      </c>
      <c r="Q14" s="146"/>
      <c r="R14" s="301" t="s">
        <v>2187</v>
      </c>
      <c r="S14" s="1313" t="e">
        <f>ROUND(S12/S13,2)</f>
        <v>#DIV/0!</v>
      </c>
      <c r="T14" s="1313" t="e">
        <f>ROUND(T12/T13,2)</f>
        <v>#DIV/0!</v>
      </c>
      <c r="U14" s="1313" t="e">
        <f>ROUND(U12/U13,2)</f>
        <v>#DIV/0!</v>
      </c>
      <c r="V14" s="1313" t="e">
        <f>ROUND(V12/V13,2)</f>
        <v>#DIV/0!</v>
      </c>
      <c r="W14" s="1313" t="e">
        <f>ROUND(W12/W13,2)</f>
        <v>#DIV/0!</v>
      </c>
      <c r="Y14" s="146"/>
      <c r="Z14" s="301" t="s">
        <v>2187</v>
      </c>
      <c r="AA14" s="1313" t="e">
        <f>ROUND(AA12/AA13,2)</f>
        <v>#DIV/0!</v>
      </c>
      <c r="AB14" s="1313" t="e">
        <f>ROUND(AB12/AB13,2)</f>
        <v>#DIV/0!</v>
      </c>
      <c r="AC14" s="1313" t="e">
        <f>ROUND(AC12/AC13,2)</f>
        <v>#DIV/0!</v>
      </c>
      <c r="AD14" s="1313" t="e">
        <f>ROUND(AD12/AD13,2)</f>
        <v>#DIV/0!</v>
      </c>
      <c r="AE14" s="1313" t="e">
        <f>ROUND(AE12/AE13,2)</f>
        <v>#DIV/0!</v>
      </c>
      <c r="AG14" s="146"/>
      <c r="AH14" s="301" t="s">
        <v>2187</v>
      </c>
      <c r="AI14" s="1313" t="e">
        <f>ROUND(AI12/AI13,2)</f>
        <v>#DIV/0!</v>
      </c>
      <c r="AJ14" s="1313" t="e">
        <f>ROUND(AJ12/AJ13,2)</f>
        <v>#DIV/0!</v>
      </c>
      <c r="AK14" s="1313" t="e">
        <f>ROUND(AK12/AK13,2)</f>
        <v>#DIV/0!</v>
      </c>
      <c r="AL14" s="1313" t="e">
        <f>ROUND(AL12/AL13,2)</f>
        <v>#DIV/0!</v>
      </c>
      <c r="AM14" s="1313" t="e">
        <f>ROUND(AM12/AM13,2)</f>
        <v>#DIV/0!</v>
      </c>
      <c r="AO14" s="146"/>
      <c r="AP14" s="301" t="s">
        <v>2187</v>
      </c>
      <c r="AQ14" s="1313" t="e">
        <f>ROUND(AQ12/AQ13,2)</f>
        <v>#DIV/0!</v>
      </c>
      <c r="AR14" s="1313" t="e">
        <f>ROUND(AR12/AR13,2)</f>
        <v>#DIV/0!</v>
      </c>
      <c r="AS14" s="1313" t="e">
        <f>ROUND(AS12/AS13,2)</f>
        <v>#DIV/0!</v>
      </c>
      <c r="AT14" s="1313" t="e">
        <f>ROUND(AT12/AT13,2)</f>
        <v>#DIV/0!</v>
      </c>
      <c r="AU14" s="1313" t="e">
        <f>ROUND(AU12/AU13,2)</f>
        <v>#DIV/0!</v>
      </c>
    </row>
    <row r="15" spans="1:47" ht="13.5" customHeight="1" x14ac:dyDescent="0.2">
      <c r="A15" s="1316" t="s">
        <v>2226</v>
      </c>
      <c r="B15" s="160"/>
      <c r="C15" s="1330">
        <v>100</v>
      </c>
      <c r="D15" s="1322">
        <v>3</v>
      </c>
      <c r="E15" s="1354"/>
      <c r="F15" s="1360"/>
      <c r="G15" s="1352"/>
      <c r="H15" s="1352"/>
      <c r="I15" s="1356"/>
      <c r="K15" s="1344" t="s">
        <v>2204</v>
      </c>
      <c r="L15" s="258">
        <f>IF($C$22="Yes",AI$35,0)</f>
        <v>0</v>
      </c>
      <c r="M15" s="258">
        <f>IF($C$22="Yes",AQ$35,0)</f>
        <v>0</v>
      </c>
      <c r="N15" s="259">
        <f>IF(AND($C$22="Yes",$C$11="SP"),AI$80,0)</f>
        <v>0</v>
      </c>
      <c r="O15" s="259">
        <f>IF(AND($C$22="Yes",$C$11="BR"),AQ$80,0)</f>
        <v>0</v>
      </c>
      <c r="Q15" s="185"/>
      <c r="R15" s="1226" t="s">
        <v>2188</v>
      </c>
      <c r="S15" s="238">
        <f>PRODUCT(0.9,$I$9)</f>
        <v>0</v>
      </c>
      <c r="T15" s="238">
        <f>PRODUCT(0.9,$I$9)</f>
        <v>0</v>
      </c>
      <c r="U15" s="238">
        <f>PRODUCT(0.9,$I$9)</f>
        <v>0</v>
      </c>
      <c r="V15" s="238">
        <f>PRODUCT(0.9,$I$9)</f>
        <v>0</v>
      </c>
      <c r="W15" s="238">
        <f>PRODUCT(0.9,$I$9)</f>
        <v>0</v>
      </c>
      <c r="Y15" s="185"/>
      <c r="Z15" s="1226" t="s">
        <v>2188</v>
      </c>
      <c r="AA15" s="238">
        <f>PRODUCT(0.9,$I$9)</f>
        <v>0</v>
      </c>
      <c r="AB15" s="238">
        <f>PRODUCT(0.9,$I$9)</f>
        <v>0</v>
      </c>
      <c r="AC15" s="238">
        <f>PRODUCT(0.9,$I$9)</f>
        <v>0</v>
      </c>
      <c r="AD15" s="238">
        <f>PRODUCT(0.9,$I$9)</f>
        <v>0</v>
      </c>
      <c r="AE15" s="238">
        <f>PRODUCT(0.9,$I$9)</f>
        <v>0</v>
      </c>
      <c r="AG15" s="185"/>
      <c r="AH15" s="1226" t="s">
        <v>2188</v>
      </c>
      <c r="AI15" s="238">
        <f>PRODUCT(0.9,$I$18)</f>
        <v>0</v>
      </c>
      <c r="AJ15" s="238">
        <f>PRODUCT(0.9,$I$18)</f>
        <v>0</v>
      </c>
      <c r="AK15" s="238">
        <f>PRODUCT(0.9,$I$18)</f>
        <v>0</v>
      </c>
      <c r="AL15" s="238">
        <f>PRODUCT(0.9,$I$18)</f>
        <v>0</v>
      </c>
      <c r="AM15" s="238">
        <f>PRODUCT(0.9,$I$18)</f>
        <v>0</v>
      </c>
      <c r="AO15" s="185"/>
      <c r="AP15" s="1226" t="s">
        <v>2188</v>
      </c>
      <c r="AQ15" s="238">
        <f>PRODUCT(0.9,$I$18)</f>
        <v>0</v>
      </c>
      <c r="AR15" s="238">
        <f>PRODUCT(0.9,$I$18)</f>
        <v>0</v>
      </c>
      <c r="AS15" s="238">
        <f>PRODUCT(0.9,$I$18)</f>
        <v>0</v>
      </c>
      <c r="AT15" s="238">
        <f>PRODUCT(0.9,$I$18)</f>
        <v>0</v>
      </c>
      <c r="AU15" s="238">
        <f>PRODUCT(0.9,$I$18)</f>
        <v>0</v>
      </c>
    </row>
    <row r="16" spans="1:47" x14ac:dyDescent="0.2">
      <c r="A16" s="1316" t="s">
        <v>2323</v>
      </c>
      <c r="B16" s="1482">
        <v>500</v>
      </c>
      <c r="C16" s="1483">
        <v>1</v>
      </c>
      <c r="D16" s="1322">
        <v>4</v>
      </c>
      <c r="E16" s="1354"/>
      <c r="F16" s="1360"/>
      <c r="G16" s="1352"/>
      <c r="H16" s="1352"/>
      <c r="I16" s="1356"/>
      <c r="K16" s="1344" t="s">
        <v>2205</v>
      </c>
      <c r="L16" s="258">
        <f>IF($C$22="Yes",AJ$35,0)</f>
        <v>0</v>
      </c>
      <c r="M16" s="258">
        <f>IF($C$22="Yes",AR$35,0)</f>
        <v>0</v>
      </c>
      <c r="N16" s="259">
        <f>IF(AND($C$22="Yes",$C$11="SP"),AJ$80,0)</f>
        <v>0</v>
      </c>
      <c r="O16" s="259">
        <f>IF(AND($C$22="Yes",$C$11="BR"),AR$80,0)</f>
        <v>0</v>
      </c>
      <c r="R16" s="83" t="s">
        <v>2189</v>
      </c>
      <c r="S16" s="248" t="e">
        <f>PRODUCT(S14:S15)</f>
        <v>#DIV/0!</v>
      </c>
      <c r="T16" s="248" t="e">
        <f>PRODUCT(T14:T15)</f>
        <v>#DIV/0!</v>
      </c>
      <c r="U16" s="248" t="e">
        <f>PRODUCT(U14:U15)</f>
        <v>#DIV/0!</v>
      </c>
      <c r="V16" s="248" t="e">
        <f>PRODUCT(V14:V15)</f>
        <v>#DIV/0!</v>
      </c>
      <c r="W16" s="248" t="e">
        <f>PRODUCT(W14:W15)</f>
        <v>#DIV/0!</v>
      </c>
      <c r="Z16" s="83" t="s">
        <v>2189</v>
      </c>
      <c r="AA16" s="248" t="e">
        <f>PRODUCT(AA14:AA15)</f>
        <v>#DIV/0!</v>
      </c>
      <c r="AB16" s="248" t="e">
        <f>PRODUCT(AB14:AB15)</f>
        <v>#DIV/0!</v>
      </c>
      <c r="AC16" s="248" t="e">
        <f>PRODUCT(AC14:AC15)</f>
        <v>#DIV/0!</v>
      </c>
      <c r="AD16" s="248" t="e">
        <f>PRODUCT(AD14:AD15)</f>
        <v>#DIV/0!</v>
      </c>
      <c r="AE16" s="248" t="e">
        <f>PRODUCT(AE14:AE15)</f>
        <v>#DIV/0!</v>
      </c>
      <c r="AH16" s="83" t="s">
        <v>2189</v>
      </c>
      <c r="AI16" s="248" t="e">
        <f>PRODUCT(AI14:AI15)</f>
        <v>#DIV/0!</v>
      </c>
      <c r="AJ16" s="248" t="e">
        <f>PRODUCT(AJ14:AJ15)</f>
        <v>#DIV/0!</v>
      </c>
      <c r="AK16" s="248" t="e">
        <f>PRODUCT(AK14:AK15)</f>
        <v>#DIV/0!</v>
      </c>
      <c r="AL16" s="248" t="e">
        <f>PRODUCT(AL14:AL15)</f>
        <v>#DIV/0!</v>
      </c>
      <c r="AM16" s="248" t="e">
        <f>PRODUCT(AM14:AM15)</f>
        <v>#DIV/0!</v>
      </c>
      <c r="AP16" s="83" t="s">
        <v>2189</v>
      </c>
      <c r="AQ16" s="248" t="e">
        <f>PRODUCT(AQ14:AQ15)</f>
        <v>#DIV/0!</v>
      </c>
      <c r="AR16" s="248" t="e">
        <f>PRODUCT(AR14:AR15)</f>
        <v>#DIV/0!</v>
      </c>
      <c r="AS16" s="248" t="e">
        <f>PRODUCT(AS14:AS15)</f>
        <v>#DIV/0!</v>
      </c>
      <c r="AT16" s="248" t="e">
        <f>PRODUCT(AT14:AT15)</f>
        <v>#DIV/0!</v>
      </c>
      <c r="AU16" s="248" t="e">
        <f>PRODUCT(AU14:AU15)</f>
        <v>#DIV/0!</v>
      </c>
    </row>
    <row r="17" spans="1:47" ht="15" customHeight="1" x14ac:dyDescent="0.2">
      <c r="A17" s="1316" t="s">
        <v>2227</v>
      </c>
      <c r="B17" s="160"/>
      <c r="C17" s="1330">
        <v>100</v>
      </c>
      <c r="D17" s="1322">
        <v>5</v>
      </c>
      <c r="E17" s="1354"/>
      <c r="F17" s="1360"/>
      <c r="G17" s="1352"/>
      <c r="H17" s="1352"/>
      <c r="I17" s="1356"/>
      <c r="K17" s="1344" t="s">
        <v>2206</v>
      </c>
      <c r="L17" s="258">
        <f>IF($C$22="Yes",AK$35,0)</f>
        <v>0</v>
      </c>
      <c r="M17" s="258">
        <f>IF($C$22="Yes",AS$35,0)</f>
        <v>0</v>
      </c>
      <c r="N17" s="259">
        <f>IF(AND($C$22="Yes",$C$11="SP"),AK$80,0)</f>
        <v>0</v>
      </c>
      <c r="O17" s="259">
        <f>IF(AND($C$22="Yes",$C$11="BR"),AS$80,0)</f>
        <v>0</v>
      </c>
      <c r="Q17" s="1332"/>
      <c r="R17" s="1333" t="s">
        <v>2193</v>
      </c>
      <c r="S17" s="1334" t="e">
        <f>IF(S16=0,"N/A",IF(ISNA(MATCH(S16,List_LOI_Bldg,0)),VLOOKUP(S16,List_LOI_Bldg,1,TRUE),"N/A"))</f>
        <v>#DIV/0!</v>
      </c>
      <c r="T17" s="1334" t="e">
        <f>IF(T16=0,"N/A",IF(ISNA(MATCH(T16,List_LOI_Bldg,0)),VLOOKUP(T16,List_LOI_Bldg,1,TRUE),"N/A"))</f>
        <v>#DIV/0!</v>
      </c>
      <c r="U17" s="1334" t="e">
        <f>IF(U16=0,"N/A",IF(ISNA(MATCH(U16,List_LOI_Bldg,0)),VLOOKUP(U16,List_LOI_Bldg,1,TRUE),"N/A"))</f>
        <v>#DIV/0!</v>
      </c>
      <c r="V17" s="1335" t="e">
        <f>IF(V16=0,"N/A",IF(ISNA(MATCH(V16,List_LOI_Bldg,0)),VLOOKUP(V16,List_LOI_Bldg,1,TRUE),"N/A"))</f>
        <v>#DIV/0!</v>
      </c>
      <c r="W17" s="1335" t="e">
        <f>IF(W16=0,"N/A",IF(ISNA(MATCH(W16,List_LOI_Bldg,0)),VLOOKUP(W16,List_LOI_Bldg,1,TRUE),"N/A"))</f>
        <v>#DIV/0!</v>
      </c>
      <c r="Y17" s="1332"/>
      <c r="Z17" s="1333" t="s">
        <v>2193</v>
      </c>
      <c r="AA17" s="1334" t="e">
        <f>IF(AA16=0,"N/A",IF(ISNA(MATCH(AA16,List_LOI_Bldg,0)),VLOOKUP(AA16,List_LOI_Bldg,1,TRUE),"N/A"))</f>
        <v>#DIV/0!</v>
      </c>
      <c r="AB17" s="1334" t="e">
        <f>IF(AB16=0,"N/A",IF(ISNA(MATCH(AB16,List_LOI_Bldg,0)),VLOOKUP(AB16,List_LOI_Bldg,1,TRUE),"N/A"))</f>
        <v>#DIV/0!</v>
      </c>
      <c r="AC17" s="1335" t="e">
        <f>IF(AC16=0,"N/A",IF(ISNA(MATCH(AC16,List_LOI_Bldg,0)),VLOOKUP(AC16,List_LOI_Bldg,1,TRUE),"N/A"))</f>
        <v>#DIV/0!</v>
      </c>
      <c r="AD17" s="1335" t="e">
        <f>IF(AD16=0,"N/A",IF(ISNA(MATCH(AD16,List_LOI_Bldg,0)),VLOOKUP(AD16,List_LOI_Bldg,1,TRUE),"N/A"))</f>
        <v>#DIV/0!</v>
      </c>
      <c r="AE17" s="1335" t="e">
        <f>IF(AE16=0,"N/A",IF(ISNA(MATCH(AE16,List_LOI_Bldg,0)),VLOOKUP(AE16,List_LOI_Bldg,1,TRUE),"N/A"))</f>
        <v>#DIV/0!</v>
      </c>
      <c r="AG17" s="1332"/>
      <c r="AH17" s="1333" t="s">
        <v>2193</v>
      </c>
      <c r="AI17" s="1334" t="e">
        <f>IF(AI16=0,"N/A",IF(ISNA(MATCH(AI16,List_LOI_PP,0)),VLOOKUP(AI16,List_LOI_PP,1,TRUE),"N/A"))</f>
        <v>#DIV/0!</v>
      </c>
      <c r="AJ17" s="1334" t="e">
        <f>IF(AJ16=0,"N/A",IF(ISNA(MATCH(AJ16,List_LOI_PP,0)),VLOOKUP(AJ16,List_LOI_PP,1,TRUE),"N/A"))</f>
        <v>#DIV/0!</v>
      </c>
      <c r="AK17" s="1334" t="e">
        <f>IF(AK16=0,"N/A",IF(ISNA(MATCH(AK16,List_LOI_PP,0)),VLOOKUP(AK16,List_LOI_PP,1,TRUE),"N/A"))</f>
        <v>#DIV/0!</v>
      </c>
      <c r="AL17" s="1335" t="e">
        <f>IF(AL16=0,"N/A",IF(ISNA(MATCH(AL16,List_LOI_PP,0)),VLOOKUP(AL16,List_LOI_PP,1,TRUE),"N/A"))</f>
        <v>#DIV/0!</v>
      </c>
      <c r="AM17" s="1335" t="e">
        <f>IF(AM16=0,"N/A",IF(ISNA(MATCH(AM16,List_LOI_PP,0)),VLOOKUP(AM16,List_LOI_PP,1,TRUE),"N/A"))</f>
        <v>#DIV/0!</v>
      </c>
      <c r="AO17" s="1332"/>
      <c r="AP17" s="1333" t="s">
        <v>2193</v>
      </c>
      <c r="AQ17" s="1334" t="e">
        <f>IF(AQ16=0,"N/A",IF(ISNA(MATCH(AQ16,List_LOI_PP,0)),VLOOKUP(AQ16,List_LOI_PP,1,TRUE),"N/A"))</f>
        <v>#DIV/0!</v>
      </c>
      <c r="AR17" s="1334" t="e">
        <f>IF(AR16=0,"N/A",IF(ISNA(MATCH(AR16,List_LOI_PP,0)),VLOOKUP(AR16,List_LOI_PP,1,TRUE),"N/A"))</f>
        <v>#DIV/0!</v>
      </c>
      <c r="AS17" s="1335" t="e">
        <f>IF(AS16=0,"N/A",IF(ISNA(MATCH(AS16,List_LOI_PP,0)),VLOOKUP(AS16,List_LOI_PP,1,TRUE),"N/A"))</f>
        <v>#DIV/0!</v>
      </c>
      <c r="AT17" s="1335" t="e">
        <f>IF(AT16=0,"N/A",IF(ISNA(MATCH(AT16,List_LOI_PP,0)),VLOOKUP(AT16,List_LOI_PP,1,TRUE),"N/A"))</f>
        <v>#DIV/0!</v>
      </c>
      <c r="AU17" s="1335" t="e">
        <f>IF(AU16=0,"N/A",IF(ISNA(MATCH(AU16,List_LOI_PP,0)),VLOOKUP(AU16,List_LOI_PP,1,TRUE),"N/A"))</f>
        <v>#DIV/0!</v>
      </c>
    </row>
    <row r="18" spans="1:47" x14ac:dyDescent="0.2">
      <c r="A18" s="1316" t="s">
        <v>2323</v>
      </c>
      <c r="B18" s="1482">
        <v>500</v>
      </c>
      <c r="C18" s="1483">
        <v>1</v>
      </c>
      <c r="D18" s="1326"/>
      <c r="E18" s="1327"/>
      <c r="F18" s="1347"/>
      <c r="G18" s="1328"/>
      <c r="H18" s="1329" t="s">
        <v>2174</v>
      </c>
      <c r="I18" s="1325">
        <f>SUM(I13:I17)</f>
        <v>0</v>
      </c>
      <c r="K18" s="1344" t="s">
        <v>2207</v>
      </c>
      <c r="L18" s="258">
        <f>IF($C$22="Yes",AL$35,0)</f>
        <v>0</v>
      </c>
      <c r="M18" s="258">
        <f>IF($C$22="Yes",AT$35,0)</f>
        <v>0</v>
      </c>
      <c r="N18" s="259">
        <f>IF(AND($C$22="Yes",$C$11="SP"),AL$80,0)</f>
        <v>0</v>
      </c>
      <c r="O18" s="259">
        <f>IF(AND($C$22="Yes",$C$11="BR"),AT$80,0)</f>
        <v>0</v>
      </c>
      <c r="Q18" s="1336"/>
      <c r="R18" s="1337" t="s">
        <v>2194</v>
      </c>
      <c r="S18" s="1338" t="e">
        <f>IF(S17="N/A",0,INDEX(List_LOI_Bldg,MATCH(S17,List_LOI_Bldg,0)+1,1))</f>
        <v>#DIV/0!</v>
      </c>
      <c r="T18" s="1338" t="e">
        <f>IF(T17="N/A",0,INDEX(List_LOI_Bldg,MATCH(T17,List_LOI_Bldg,0)+1,1))</f>
        <v>#DIV/0!</v>
      </c>
      <c r="U18" s="1338" t="e">
        <f>IF(U17="N/A",0,INDEX(List_LOI_Bldg,MATCH(U17,List_LOI_Bldg,0)+1,1))</f>
        <v>#DIV/0!</v>
      </c>
      <c r="V18" s="1338" t="e">
        <f>IF(V17="N/A",0,INDEX(List_LOI_Bldg,MATCH(V17,List_LOI_Bldg,0)+1,1))</f>
        <v>#DIV/0!</v>
      </c>
      <c r="W18" s="1338" t="e">
        <f>IF(W17="N/A",0,INDEX(List_LOI_Bldg,MATCH(W17,List_LOI_Bldg,0)+1,1))</f>
        <v>#DIV/0!</v>
      </c>
      <c r="Y18" s="1336"/>
      <c r="Z18" s="1337" t="s">
        <v>2194</v>
      </c>
      <c r="AA18" s="1338" t="e">
        <f>IF(AA17="N/A",0,INDEX(List_LOI_Bldg,MATCH(AA17,List_LOI_Bldg,0)+1,1))</f>
        <v>#DIV/0!</v>
      </c>
      <c r="AB18" s="1338" t="e">
        <f>IF(AB17="N/A",0,INDEX(List_LOI_Bldg,MATCH(AB17,List_LOI_Bldg,0)+1,1))</f>
        <v>#DIV/0!</v>
      </c>
      <c r="AC18" s="1338" t="e">
        <f>IF(AC17="N/A",0,INDEX(List_LOI_Bldg,MATCH(AC17,List_LOI_Bldg,0)+1,1))</f>
        <v>#DIV/0!</v>
      </c>
      <c r="AD18" s="1338" t="e">
        <f>IF(AD17="N/A",0,INDEX(List_LOI_Bldg,MATCH(AD17,List_LOI_Bldg,0)+1,1))</f>
        <v>#DIV/0!</v>
      </c>
      <c r="AE18" s="1338" t="e">
        <f>IF(AE17="N/A",0,INDEX(List_LOI_Bldg,MATCH(AE17,List_LOI_Bldg,0)+1,1))</f>
        <v>#DIV/0!</v>
      </c>
      <c r="AG18" s="1336"/>
      <c r="AH18" s="1337" t="s">
        <v>2194</v>
      </c>
      <c r="AI18" s="1338" t="e">
        <f>IF(AI17="N/A",0,INDEX(List_LOI_PP,MATCH(AI17,List_LOI_PP,0)+1,1))</f>
        <v>#DIV/0!</v>
      </c>
      <c r="AJ18" s="1338" t="e">
        <f>IF(AJ17="N/A",0,INDEX(List_LOI_PP,MATCH(AJ17,List_LOI_PP,0)+1,1))</f>
        <v>#DIV/0!</v>
      </c>
      <c r="AK18" s="1338" t="e">
        <f>IF(AK17="N/A",0,INDEX(List_LOI_PP,MATCH(AK17,List_LOI_PP,0)+1,1))</f>
        <v>#DIV/0!</v>
      </c>
      <c r="AL18" s="1338" t="e">
        <f>IF(AL17="N/A",0,INDEX(List_LOI_PP,MATCH(AL17,List_LOI_PP,0)+1,1))</f>
        <v>#DIV/0!</v>
      </c>
      <c r="AM18" s="1338" t="e">
        <f>IF(AM17="N/A",0,INDEX(List_LOI_PP,MATCH(AM17,List_LOI_PP,0)+1,1))</f>
        <v>#DIV/0!</v>
      </c>
      <c r="AO18" s="1336"/>
      <c r="AP18" s="1337" t="s">
        <v>2194</v>
      </c>
      <c r="AQ18" s="1338" t="e">
        <f>IF(AQ17="N/A",0,INDEX(List_LOI_PP,MATCH(AQ17,List_LOI_PP,0)+1,1))</f>
        <v>#DIV/0!</v>
      </c>
      <c r="AR18" s="1338" t="e">
        <f>IF(AR17="N/A",0,INDEX(List_LOI_PP,MATCH(AR17,List_LOI_PP,0)+1,1))</f>
        <v>#DIV/0!</v>
      </c>
      <c r="AS18" s="1338" t="e">
        <f>IF(AS17="N/A",0,INDEX(List_LOI_PP,MATCH(AS17,List_LOI_PP,0)+1,1))</f>
        <v>#DIV/0!</v>
      </c>
      <c r="AT18" s="1338" t="e">
        <f>IF(AT17="N/A",0,INDEX(List_LOI_PP,MATCH(AT17,List_LOI_PP,0)+1,1))</f>
        <v>#DIV/0!</v>
      </c>
      <c r="AU18" s="1338" t="e">
        <f>IF(AU17="N/A",0,INDEX(List_LOI_PP,MATCH(AU17,List_LOI_PP,0)+1,1))</f>
        <v>#DIV/0!</v>
      </c>
    </row>
    <row r="19" spans="1:47" ht="13.5" thickBot="1" x14ac:dyDescent="0.25">
      <c r="A19" s="120"/>
      <c r="B19" s="95"/>
      <c r="C19" s="1039"/>
      <c r="D19" s="126"/>
      <c r="E19" s="541"/>
      <c r="F19" s="541"/>
      <c r="G19" s="96"/>
      <c r="H19" s="96"/>
      <c r="I19" s="1096"/>
      <c r="K19" s="1345" t="s">
        <v>2208</v>
      </c>
      <c r="L19" s="1357">
        <f>IF($C$22="Yes",AM$35,0)</f>
        <v>0</v>
      </c>
      <c r="M19" s="1357">
        <f>IF($C$22="Yes",AU$35,0)</f>
        <v>0</v>
      </c>
      <c r="N19" s="884">
        <f>IF(AND($C$22="Yes",$C$11="SP"),AM$80,0)</f>
        <v>0</v>
      </c>
      <c r="O19" s="884">
        <f>IF(AND($C$22="Yes",$C$11="BR"),AU$80,0)</f>
        <v>0</v>
      </c>
      <c r="Q19" s="185"/>
      <c r="R19" s="1226" t="s">
        <v>2195</v>
      </c>
      <c r="S19" s="1457" t="e">
        <f>IF(S16=0,0,IF(AND(S17="N/A",S16&gt;0),VLOOKUP(S16,Table_LOI_Bldg,MATCH($G4,List_Relatives,0)+1,FALSE),
ROUND(VLOOKUP(S17,Table_LOI_Bldg,MATCH($G4,List_Relatives,0)+1,FALSE) -
ROUND(PRODUCT((VLOOKUP(S17,Table_LOI_Bldg,MATCH($G4,List_Relatives,0)+1,FALSE) - VLOOKUP(S18,Table_LOI_Bldg,MATCH($G4,List_Relatives,0)+1,FALSE)),S16-S17)/(S18-S17),4),4)))</f>
        <v>#DIV/0!</v>
      </c>
      <c r="T19" s="1457" t="e">
        <f>IF(T16=0,0,IF(AND(T17="N/A",T16&gt;0),VLOOKUP(T16,Table_LOI_Bldg,MATCH($G5,List_Relatives,0)+1,FALSE),
ROUND(VLOOKUP(T17,Table_LOI_Bldg,MATCH($G5,List_Relatives,0)+1,FALSE) -
ROUND(PRODUCT((VLOOKUP(T17,Table_LOI_Bldg,MATCH($G5,List_Relatives,0)+1,FALSE) - VLOOKUP(T18,Table_LOI_Bldg,MATCH($G5,List_Relatives,0)+1,FALSE)),T16-T17)/(T18-T17),4),4)))</f>
        <v>#DIV/0!</v>
      </c>
      <c r="U19" s="1457" t="e">
        <f>IF(U16=0,0,IF(AND(U17="N/A",U16&gt;0),VLOOKUP(U16,Table_LOI_Bldg,MATCH($G6,List_Relatives,0)+1,FALSE),
ROUND(VLOOKUP(U17,Table_LOI_Bldg,MATCH($G6,List_Relatives,0)+1,FALSE) -
ROUND(PRODUCT((VLOOKUP(U17,Table_LOI_Bldg,MATCH($G6,List_Relatives,0)+1,FALSE) - VLOOKUP(U18,Table_LOI_Bldg,MATCH($G6,List_Relatives,0)+1,FALSE)),U16-U17)/(U18-U17),4),4)))</f>
        <v>#DIV/0!</v>
      </c>
      <c r="V19" s="1457" t="e">
        <f>IF(V16=0,0,IF(AND(V17="N/A",V16&gt;0),VLOOKUP(V16,Table_LOI_Bldg,MATCH($G7,List_Relatives,0)+1,FALSE),
ROUND(VLOOKUP(V17,Table_LOI_Bldg,MATCH($G7,List_Relatives,0)+1,FALSE) -
ROUND(PRODUCT((VLOOKUP(V17,Table_LOI_Bldg,MATCH($G7,List_Relatives,0)+1,FALSE) - VLOOKUP(V18,Table_LOI_Bldg,MATCH($G7,List_Relatives,0)+1,FALSE)),V16-V17)/(V18-V17),4),4)))</f>
        <v>#DIV/0!</v>
      </c>
      <c r="W19" s="1457" t="e">
        <f>IF(W16=0,0,IF(AND(W17="N/A",W16&gt;0),VLOOKUP(W16,Table_LOI_Bldg,MATCH($G8,List_Relatives,0)+1,FALSE),
ROUND(VLOOKUP(W17,Table_LOI_Bldg,MATCH($G8,List_Relatives,0)+1,FALSE) -
ROUND(PRODUCT((VLOOKUP(W17,Table_LOI_Bldg,MATCH($G8,List_Relatives,0)+1,FALSE) - VLOOKUP(W18,Table_LOI_Bldg,MATCH($G8,List_Relatives,0)+1,FALSE)),W16-W17)/(W18-W17),4),4)))</f>
        <v>#DIV/0!</v>
      </c>
      <c r="Y19" s="185"/>
      <c r="Z19" s="1226" t="s">
        <v>2195</v>
      </c>
      <c r="AA19" s="1457" t="e">
        <f>IF(AA16=0,0,IF(AND(AA17="N/A",AA16&gt;0),VLOOKUP(AA16,Table_LOI_Bldg,MATCH("BA2",List_Relatives,0)+1,FALSE),
ROUND(VLOOKUP(AA17,Table_LOI_Bldg,MATCH("BA2",List_Relatives,0)+1,FALSE) -
ROUND(PRODUCT((VLOOKUP(AA17,Table_LOI_Bldg,MATCH("BA2",List_Relatives,0)+1,FALSE) - VLOOKUP(AA18,Table_LOI_Bldg,MATCH("BA2",List_Relatives,0)+1,FALSE)),AA16-AA17)/(AA18-AA17),4),4)))</f>
        <v>#DIV/0!</v>
      </c>
      <c r="AB19" s="1457" t="e">
        <f>IF(AB16=0,0,IF(AND(AB17="N/A",AB16&gt;0),VLOOKUP(AB16,Table_LOI_Bldg,MATCH("BA2",List_Relatives,0)+1,FALSE),
ROUND(VLOOKUP(AB17,Table_LOI_Bldg,MATCH("BA2",List_Relatives,0)+1,FALSE) -
ROUND(PRODUCT((VLOOKUP(AB17,Table_LOI_Bldg,MATCH("BA2",List_Relatives,0)+1,FALSE) - VLOOKUP(AB18,Table_LOI_Bldg,MATCH("BA2",List_Relatives,0)+1,FALSE)),AB16-AB17)/(AB18-AB17),4),4)))</f>
        <v>#DIV/0!</v>
      </c>
      <c r="AC19" s="1457" t="e">
        <f>IF(AC16=0,0,IF(AND(AC17="N/A",AC16&gt;0),VLOOKUP(AC16,Table_LOI_Bldg,MATCH("BA2",List_Relatives,0)+1,FALSE),
ROUND(VLOOKUP(AC17,Table_LOI_Bldg,MATCH("BA2",List_Relatives,0)+1,FALSE) -
ROUND(PRODUCT((VLOOKUP(AC17,Table_LOI_Bldg,MATCH("BA2",List_Relatives,0)+1,FALSE) - VLOOKUP(AC18,Table_LOI_Bldg,MATCH("BA2",List_Relatives,0)+1,FALSE)),AC16-AC17)/(AC18-AC17),4),4)))</f>
        <v>#DIV/0!</v>
      </c>
      <c r="AD19" s="1457" t="e">
        <f>IF(AD16=0,0,IF(AND(AD17="N/A",AD16&gt;0),VLOOKUP(AD16,Table_LOI_Bldg,MATCH($G7,List_Relatives,0)+1,FALSE),
ROUND(VLOOKUP(AD17,Table_LOI_Bldg,MATCH($G7,List_Relatives,0)+1,FALSE) -
ROUND(PRODUCT((VLOOKUP(AD17,Table_LOI_Bldg,MATCH($G7,List_Relatives,0)+1,FALSE) - VLOOKUP(AD18,Table_LOI_Bldg,MATCH($G7,List_Relatives,0)+1,FALSE)),AD16-AD17)/(AD18-AD17),4),4)))</f>
        <v>#DIV/0!</v>
      </c>
      <c r="AE19" s="1457" t="e">
        <f>IF(AE16=0,0,IF(AND(AE17="N/A",AE16&gt;0),VLOOKUP(AE16,Table_LOI_Bldg,MATCH($G8,List_Relatives,0)+1,FALSE),
ROUND(VLOOKUP(AE17,Table_LOI_Bldg,MATCH($G8,List_Relatives,0)+1,FALSE) -
ROUND(PRODUCT((VLOOKUP(AE17,Table_LOI_Bldg,MATCH($G8,List_Relatives,0)+1,FALSE) - VLOOKUP(AE18,Table_LOI_Bldg,MATCH($G8,List_Relatives,0)+1,FALSE)),AE16-AE17)/(AE18-AE17),4),4)))</f>
        <v>#DIV/0!</v>
      </c>
      <c r="AG19" s="185"/>
      <c r="AH19" s="1226" t="s">
        <v>2195</v>
      </c>
      <c r="AI19" s="1457" t="e">
        <f>IF(AI16=0,0,IF(AND(AI17="N/A",AI16&gt;0),VLOOKUP(AI16,Table_LOI_PP,MATCH($G13,List_Relatives,0)+1,FALSE),
ROUND(VLOOKUP(AI17,Table_LOI_PP,MATCH($G13,List_Relatives,0)+1,FALSE) -
ROUND(PRODUCT((VLOOKUP(AI17,Table_LOI_PP,MATCH($G13,List_Relatives,0)+1,FALSE) - VLOOKUP(AI18,Table_LOI_PP,MATCH($G13,List_Relatives,0)+1,FALSE)),AI16-AI17)/(AI18-AI17),4),4)))</f>
        <v>#DIV/0!</v>
      </c>
      <c r="AJ19" s="1457" t="e">
        <f>IF(AJ16=0,0,IF(AND(AJ17="N/A",AJ16&gt;0),VLOOKUP(AJ16,Table_LOI_PP,MATCH($G14,List_Relatives,0)+1,FALSE),
ROUND(VLOOKUP(AJ17,Table_LOI_PP,MATCH($G14,List_Relatives,0)+1,FALSE) -
ROUND(PRODUCT((VLOOKUP(AJ17,Table_LOI_PP,MATCH($G14,List_Relatives,0)+1,FALSE) - VLOOKUP(AJ18,Table_LOI_PP,MATCH($G14,List_Relatives,0)+1,FALSE)),AJ16-AJ17)/(AJ18-AJ17),4),4)))</f>
        <v>#DIV/0!</v>
      </c>
      <c r="AK19" s="1457" t="e">
        <f>IF(AK16=0,0,IF(AND(AK17="N/A",AK16&gt;0),VLOOKUP(AK16,Table_LOI_PP,MATCH($G15,List_Relatives,0)+1,FALSE),
ROUND(VLOOKUP(AK17,Table_LOI_PP,MATCH($G15,List_Relatives,0)+1,FALSE) -
ROUND(PRODUCT((VLOOKUP(AK17,Table_LOI_PP,MATCH($G15,List_Relatives,0)+1,FALSE) - VLOOKUP(AK18,Table_LOI_PP,MATCH($G15,List_Relatives,0)+1,FALSE)),AK16-AK17)/(AK18-AK17),4),4)))</f>
        <v>#DIV/0!</v>
      </c>
      <c r="AL19" s="1457" t="e">
        <f>IF(AL16=0,0,IF(AND(AL17="N/A",AL16&gt;0),VLOOKUP(AL16,Table_LOI_PP,MATCH($G16,List_Relatives,0)+1,FALSE),
ROUND(VLOOKUP(AL17,Table_LOI_PP,MATCH($G16,List_Relatives,0)+1,FALSE) -
ROUND(PRODUCT((VLOOKUP(AL17,Table_LOI_PP,MATCH($G16,List_Relatives,0)+1,FALSE) - VLOOKUP(AL18,Table_LOI_PP,MATCH($G16,List_Relatives,0)+1,FALSE)),AL16-AL17)/(AL18-AL17),4),4)))</f>
        <v>#DIV/0!</v>
      </c>
      <c r="AM19" s="1457" t="e">
        <f>IF(AM16=0,0,IF(AND(AM17="N/A",AM16&gt;0),VLOOKUP(AM16,Table_LOI_PP,MATCH($G17,List_Relatives,0)+1,FALSE),
ROUND(VLOOKUP(AM17,Table_LOI_PP,MATCH($G17,List_Relatives,0)+1,FALSE) -
ROUND(PRODUCT((VLOOKUP(AM17,Table_LOI_PP,MATCH($G17,List_Relatives,0)+1,FALSE) - VLOOKUP(AM18,Table_LOI_PP,MATCH($G17,List_Relatives,0)+1,FALSE)),AM16-AM17)/(AM18-AM17),4),4)))</f>
        <v>#DIV/0!</v>
      </c>
      <c r="AO19" s="185"/>
      <c r="AP19" s="1226" t="s">
        <v>2195</v>
      </c>
      <c r="AQ19" s="1457" t="e">
        <f>IF(AQ16=0,0,IF(AND(AQ17="N/A",AQ16&gt;0),VLOOKUP(AQ16,Table_LOI_PP,MATCH("BA2",List_Relatives,0)+1,FALSE),
ROUND(VLOOKUP(AQ17,Table_LOI_PP,MATCH("BA2",List_Relatives,0)+1,FALSE) -
ROUND(PRODUCT((VLOOKUP(AQ17,Table_LOI_PP,MATCH("BA2",List_Relatives,0)+1,FALSE) - VLOOKUP(AQ18,Table_LOI_PP,MATCH("BA2",List_Relatives,0)+1,FALSE)),AQ16-AQ17)/(AQ18-AQ17),4),4)))</f>
        <v>#DIV/0!</v>
      </c>
      <c r="AR19" s="1457" t="e">
        <f>IF(AR16=0,0,IF(AND(AR17="N/A",AR16&gt;0),VLOOKUP(AR16,Table_LOI_PP,MATCH("BA2",List_Relatives,0)+1,FALSE),
ROUND(VLOOKUP(AR17,Table_LOI_PP,MATCH("BA2",List_Relatives,0)+1,FALSE) -
ROUND(PRODUCT((VLOOKUP(AR17,Table_LOI_PP,MATCH("BA2",List_Relatives,0)+1,FALSE) - VLOOKUP(AR18,Table_LOI_PP,MATCH("BA2",List_Relatives,0)+1,FALSE)),AR16-AR17)/(AR18-AR17),4),4)))</f>
        <v>#DIV/0!</v>
      </c>
      <c r="AS19" s="1457" t="e">
        <f>IF(AS16=0,0,IF(AND(AS17="N/A",AS16&gt;0),VLOOKUP(AS16,Table_LOI_PP,MATCH("BA2",List_Relatives,0)+1,FALSE),
ROUND(VLOOKUP(AS17,Table_LOI_PP,MATCH("BA2",List_Relatives,0)+1,FALSE) -
ROUND(PRODUCT((VLOOKUP(AS17,Table_LOI_PP,MATCH("BA2",List_Relatives,0)+1,FALSE) - VLOOKUP(AS18,Table_LOI_PP,MATCH("BA2",List_Relatives,0)+1,FALSE)),AS16-AS17)/(AS18-AS17),4),4)))</f>
        <v>#DIV/0!</v>
      </c>
      <c r="AT19" s="1457" t="e">
        <f>IF(AT16=0,0,IF(AND(AT17="N/A",AT16&gt;0),VLOOKUP(AT16,Table_LOI_PP,MATCH($G16,List_Relatives,0)+1,FALSE),
ROUND(VLOOKUP(AT17,Table_LOI_PP,MATCH($G16,List_Relatives,0)+1,FALSE) -
ROUND(PRODUCT((VLOOKUP(AT17,Table_LOI_PP,MATCH($G16,List_Relatives,0)+1,FALSE) - VLOOKUP(AT18,Table_LOI_PP,MATCH($G16,List_Relatives,0)+1,FALSE)),AT16-AT17)/(AT18-AT17),4),4)))</f>
        <v>#DIV/0!</v>
      </c>
      <c r="AU19" s="1457" t="e">
        <f>IF(AU16=0,0,IF(AND(AU17="N/A",AU16&gt;0),VLOOKUP(AU16,Table_LOI_PP,MATCH($G17,List_Relatives,0)+1,FALSE),
ROUND(VLOOKUP(AU17,Table_LOI_PP,MATCH($G17,List_Relatives,0)+1,FALSE) -
ROUND(PRODUCT((VLOOKUP(AU17,Table_LOI_PP,MATCH($G17,List_Relatives,0)+1,FALSE) - VLOOKUP(AU18,Table_LOI_PP,MATCH($G17,List_Relatives,0)+1,FALSE)),AU16-AU17)/(AU18-AU17),4),4)))</f>
        <v>#DIV/0!</v>
      </c>
    </row>
    <row r="20" spans="1:47" ht="13.5" thickBot="1" x14ac:dyDescent="0.25">
      <c r="A20" s="529" t="s">
        <v>2214</v>
      </c>
      <c r="B20" s="531"/>
      <c r="C20" s="532"/>
      <c r="D20" s="500" t="s">
        <v>2216</v>
      </c>
      <c r="E20" s="508"/>
      <c r="F20" s="508"/>
      <c r="G20" s="508"/>
      <c r="H20" s="508"/>
      <c r="I20" s="509"/>
      <c r="K20" s="1343" t="s">
        <v>2218</v>
      </c>
      <c r="L20" s="485">
        <f>SUM(L15:L19)</f>
        <v>0</v>
      </c>
      <c r="M20" s="485">
        <f>SUM(M15:M19)</f>
        <v>0</v>
      </c>
      <c r="N20" s="485">
        <f>SUM(N15:N19)</f>
        <v>0</v>
      </c>
      <c r="O20" s="485">
        <f>SUM(O15:O19)</f>
        <v>0</v>
      </c>
      <c r="R20" s="83" t="s">
        <v>2196</v>
      </c>
      <c r="S20" s="247" t="e">
        <f>PRODUCT(S9,S19)</f>
        <v>#DIV/0!</v>
      </c>
      <c r="T20" s="247" t="e">
        <f>PRODUCT(T9,T19)</f>
        <v>#DIV/0!</v>
      </c>
      <c r="U20" s="2" t="e">
        <f>PRODUCT(U9,U19)</f>
        <v>#DIV/0!</v>
      </c>
      <c r="V20" s="2" t="e">
        <f>PRODUCT(V9,V19)</f>
        <v>#DIV/0!</v>
      </c>
      <c r="W20" s="2" t="e">
        <f>PRODUCT(W9,W19)</f>
        <v>#DIV/0!</v>
      </c>
      <c r="Z20" s="83" t="s">
        <v>2196</v>
      </c>
      <c r="AA20" s="2" t="e">
        <f>PRODUCT(AA9,AA19)</f>
        <v>#DIV/0!</v>
      </c>
      <c r="AB20" s="2" t="e">
        <f>PRODUCT(AB9,AB19)</f>
        <v>#DIV/0!</v>
      </c>
      <c r="AC20" s="2" t="e">
        <f>PRODUCT(AC9,AC19)</f>
        <v>#DIV/0!</v>
      </c>
      <c r="AD20" s="2" t="e">
        <f>PRODUCT(AD9,AD19)</f>
        <v>#DIV/0!</v>
      </c>
      <c r="AE20" s="2" t="e">
        <f>PRODUCT(AE9,AE19)</f>
        <v>#DIV/0!</v>
      </c>
      <c r="AH20" s="83" t="s">
        <v>2196</v>
      </c>
      <c r="AI20" s="247" t="e">
        <f>PRODUCT(AI9,AI19)</f>
        <v>#DIV/0!</v>
      </c>
      <c r="AJ20" s="247" t="e">
        <f>PRODUCT(AJ9,AJ19)</f>
        <v>#DIV/0!</v>
      </c>
      <c r="AK20" s="2" t="e">
        <f>PRODUCT(AK9,AK19)</f>
        <v>#DIV/0!</v>
      </c>
      <c r="AL20" s="2" t="e">
        <f>PRODUCT(AL9,AL19)</f>
        <v>#DIV/0!</v>
      </c>
      <c r="AM20" s="2" t="e">
        <f>PRODUCT(AM9,AM19)</f>
        <v>#DIV/0!</v>
      </c>
      <c r="AP20" s="83" t="s">
        <v>2196</v>
      </c>
      <c r="AQ20" s="2" t="e">
        <f>PRODUCT(AQ9,AQ19)</f>
        <v>#DIV/0!</v>
      </c>
      <c r="AR20" s="2" t="e">
        <f>PRODUCT(AR9,AR19)</f>
        <v>#DIV/0!</v>
      </c>
      <c r="AS20" s="2" t="e">
        <f>PRODUCT(AS9,AS19)</f>
        <v>#DIV/0!</v>
      </c>
      <c r="AT20" s="2" t="e">
        <f>PRODUCT(AT9,AT19)</f>
        <v>#DIV/0!</v>
      </c>
      <c r="AU20" s="2" t="e">
        <f>PRODUCT(AU9,AU19)</f>
        <v>#DIV/0!</v>
      </c>
    </row>
    <row r="21" spans="1:47" ht="13.5" thickBot="1" x14ac:dyDescent="0.25">
      <c r="A21" s="1346" t="s">
        <v>856</v>
      </c>
      <c r="B21" s="95"/>
      <c r="C21" s="1097" t="s">
        <v>857</v>
      </c>
      <c r="D21" s="1320" t="s">
        <v>2173</v>
      </c>
      <c r="E21" s="1323" t="s">
        <v>57</v>
      </c>
      <c r="F21" s="1323"/>
      <c r="G21" s="1323"/>
      <c r="H21" s="1323" t="s">
        <v>2171</v>
      </c>
      <c r="I21" s="1324" t="s">
        <v>2172</v>
      </c>
      <c r="K21" s="685"/>
      <c r="L21" s="726"/>
      <c r="M21" s="726"/>
      <c r="N21" s="726"/>
      <c r="O21" s="726"/>
      <c r="Q21" s="185"/>
      <c r="R21" s="1226" t="s">
        <v>2197</v>
      </c>
      <c r="S21" s="238">
        <f>IF(ISNUMBER($I4),$I4,0)</f>
        <v>0</v>
      </c>
      <c r="T21" s="238">
        <f>IF(ISNUMBER($I5),$I5,0)</f>
        <v>0</v>
      </c>
      <c r="U21" s="238">
        <f>IF(ISNUMBER($I6),$I6,0)</f>
        <v>0</v>
      </c>
      <c r="V21" s="238">
        <f>IF(ISNUMBER($I7),$I7,0)</f>
        <v>0</v>
      </c>
      <c r="W21" s="238">
        <f>IF(ISNUMBER($I8),$I8,0)</f>
        <v>0</v>
      </c>
      <c r="Y21" s="185"/>
      <c r="Z21" s="1226" t="s">
        <v>2197</v>
      </c>
      <c r="AA21" s="238">
        <f>IF(ISNUMBER($I4),$I4,0)</f>
        <v>0</v>
      </c>
      <c r="AB21" s="238">
        <f>IF(ISNUMBER($I5),$I5,0)</f>
        <v>0</v>
      </c>
      <c r="AC21" s="238">
        <f>IF(ISNUMBER($I6),$I6,0)</f>
        <v>0</v>
      </c>
      <c r="AD21" s="238">
        <f>IF(ISNUMBER($I7),$I7,0)</f>
        <v>0</v>
      </c>
      <c r="AE21" s="238">
        <f>IF(ISNUMBER($I8),$I8,0)</f>
        <v>0</v>
      </c>
      <c r="AG21" s="185"/>
      <c r="AH21" s="1226" t="s">
        <v>2197</v>
      </c>
      <c r="AI21" s="238">
        <f>IF(ISNUMBER($I13),$I13,0)</f>
        <v>0</v>
      </c>
      <c r="AJ21" s="238">
        <f>IF(ISNUMBER($I14),$I14,0)</f>
        <v>0</v>
      </c>
      <c r="AK21" s="238">
        <f>IF(ISNUMBER($I15),$I15,0)</f>
        <v>0</v>
      </c>
      <c r="AL21" s="238">
        <f>IF(ISNUMBER($I16),$I16,0)</f>
        <v>0</v>
      </c>
      <c r="AM21" s="238">
        <f>IF(ISNUMBER($I17),$I17,0)</f>
        <v>0</v>
      </c>
      <c r="AO21" s="185"/>
      <c r="AP21" s="1226" t="s">
        <v>2197</v>
      </c>
      <c r="AQ21" s="238">
        <f>IF(ISNUMBER($I13),$I13,0)</f>
        <v>0</v>
      </c>
      <c r="AR21" s="238">
        <f>IF(ISNUMBER($I14),$I14,0)</f>
        <v>0</v>
      </c>
      <c r="AS21" s="238">
        <f>IF(ISNUMBER($I15),$I15,0)</f>
        <v>0</v>
      </c>
      <c r="AT21" s="238">
        <f>IF(ISNUMBER($I16),$I16,0)</f>
        <v>0</v>
      </c>
      <c r="AU21" s="238">
        <f>IF(ISNUMBER($I17),$I17,0)</f>
        <v>0</v>
      </c>
    </row>
    <row r="22" spans="1:47" x14ac:dyDescent="0.2">
      <c r="A22" s="1346" t="s">
        <v>1068</v>
      </c>
      <c r="B22" s="95"/>
      <c r="C22" s="1348" t="s">
        <v>857</v>
      </c>
      <c r="D22" s="1321">
        <v>1</v>
      </c>
      <c r="E22" s="1349"/>
      <c r="F22" s="1350"/>
      <c r="G22" s="1351"/>
      <c r="H22" s="1352"/>
      <c r="I22" s="1353"/>
      <c r="K22" s="1340" t="s">
        <v>2220</v>
      </c>
      <c r="L22" s="1341"/>
      <c r="M22" s="1342"/>
      <c r="N22" s="1342"/>
      <c r="O22" s="1342"/>
      <c r="R22" s="83" t="s">
        <v>2198</v>
      </c>
      <c r="S22" s="1339" t="e">
        <f>PRODUCT(S20:S21)</f>
        <v>#DIV/0!</v>
      </c>
      <c r="T22" s="1339" t="e">
        <f>PRODUCT(T20:T21)</f>
        <v>#DIV/0!</v>
      </c>
      <c r="U22" s="1339" t="e">
        <f>PRODUCT(U20:U21)</f>
        <v>#DIV/0!</v>
      </c>
      <c r="V22" s="1339" t="e">
        <f>PRODUCT(V20:V21)</f>
        <v>#DIV/0!</v>
      </c>
      <c r="W22" s="1339" t="e">
        <f>PRODUCT(W20:W21)</f>
        <v>#DIV/0!</v>
      </c>
      <c r="Z22" s="83" t="s">
        <v>2198</v>
      </c>
      <c r="AA22" s="1339" t="e">
        <f>PRODUCT(AA20:AA21)</f>
        <v>#DIV/0!</v>
      </c>
      <c r="AB22" s="1339" t="e">
        <f>PRODUCT(AB20:AB21)</f>
        <v>#DIV/0!</v>
      </c>
      <c r="AC22" s="1339" t="e">
        <f>PRODUCT(AC20:AC21)</f>
        <v>#DIV/0!</v>
      </c>
      <c r="AD22" s="1339" t="e">
        <f>PRODUCT(AD20:AD21)</f>
        <v>#DIV/0!</v>
      </c>
      <c r="AE22" s="1339" t="e">
        <f>PRODUCT(AE20:AE21)</f>
        <v>#DIV/0!</v>
      </c>
      <c r="AH22" s="83" t="s">
        <v>2198</v>
      </c>
      <c r="AI22" s="1339" t="e">
        <f>PRODUCT(AI20:AI21)</f>
        <v>#DIV/0!</v>
      </c>
      <c r="AJ22" s="1339" t="e">
        <f>PRODUCT(AJ20:AJ21)</f>
        <v>#DIV/0!</v>
      </c>
      <c r="AK22" s="1339" t="e">
        <f>PRODUCT(AK20:AK21)</f>
        <v>#DIV/0!</v>
      </c>
      <c r="AL22" s="1339" t="e">
        <f>PRODUCT(AL20:AL21)</f>
        <v>#DIV/0!</v>
      </c>
      <c r="AM22" s="1339" t="e">
        <f>PRODUCT(AM20:AM21)</f>
        <v>#DIV/0!</v>
      </c>
      <c r="AP22" s="83" t="s">
        <v>2198</v>
      </c>
      <c r="AQ22" s="1339" t="e">
        <f>PRODUCT(AQ20:AQ21)</f>
        <v>#DIV/0!</v>
      </c>
      <c r="AR22" s="1339" t="e">
        <f>PRODUCT(AR20:AR21)</f>
        <v>#DIV/0!</v>
      </c>
      <c r="AS22" s="1339" t="e">
        <f>PRODUCT(AS20:AS21)</f>
        <v>#DIV/0!</v>
      </c>
      <c r="AT22" s="1339" t="e">
        <f>PRODUCT(AT20:AT21)</f>
        <v>#DIV/0!</v>
      </c>
      <c r="AU22" s="1339" t="e">
        <f>PRODUCT(AU20:AU21)</f>
        <v>#DIV/0!</v>
      </c>
    </row>
    <row r="23" spans="1:47" x14ac:dyDescent="0.2">
      <c r="A23" s="1346" t="s">
        <v>306</v>
      </c>
      <c r="B23" s="95"/>
      <c r="C23" s="1348" t="s">
        <v>857</v>
      </c>
      <c r="D23" s="1322">
        <v>2</v>
      </c>
      <c r="E23" s="1354"/>
      <c r="F23" s="1355"/>
      <c r="G23" s="1352"/>
      <c r="H23" s="1352"/>
      <c r="I23" s="1356"/>
      <c r="K23" s="1458" t="s">
        <v>2278</v>
      </c>
      <c r="L23" s="1459"/>
      <c r="M23" s="1460"/>
      <c r="N23" s="1460"/>
      <c r="O23" s="1461"/>
    </row>
    <row r="24" spans="1:47" x14ac:dyDescent="0.2">
      <c r="A24" s="1346" t="s">
        <v>962</v>
      </c>
      <c r="B24" s="95"/>
      <c r="C24" s="1348" t="s">
        <v>857</v>
      </c>
      <c r="D24" s="1322">
        <v>3</v>
      </c>
      <c r="E24" s="1354"/>
      <c r="F24" s="1355"/>
      <c r="G24" s="1352"/>
      <c r="H24" s="1352"/>
      <c r="I24" s="1356"/>
      <c r="K24" s="1344" t="s">
        <v>2204</v>
      </c>
      <c r="L24" s="258"/>
      <c r="M24" s="258"/>
      <c r="N24" s="259"/>
      <c r="O24" s="259"/>
      <c r="Q24" s="60" t="s">
        <v>2199</v>
      </c>
      <c r="Y24" s="60" t="s">
        <v>2199</v>
      </c>
      <c r="AG24" s="60" t="s">
        <v>2199</v>
      </c>
      <c r="AO24" s="60" t="s">
        <v>2199</v>
      </c>
    </row>
    <row r="25" spans="1:47" ht="13.5" thickBot="1" x14ac:dyDescent="0.25">
      <c r="A25" s="526"/>
      <c r="B25" s="96"/>
      <c r="C25" s="1076"/>
      <c r="D25" s="1322">
        <v>4</v>
      </c>
      <c r="E25" s="1354"/>
      <c r="F25" s="1355"/>
      <c r="G25" s="1352"/>
      <c r="H25" s="1352"/>
      <c r="I25" s="1356"/>
      <c r="K25" s="1344" t="s">
        <v>2205</v>
      </c>
      <c r="L25" s="258"/>
      <c r="M25" s="259"/>
      <c r="N25" s="259"/>
      <c r="O25" s="259"/>
      <c r="R25" s="1117" t="s">
        <v>2200</v>
      </c>
      <c r="S25" s="1339" t="e">
        <f>SUM(S22:W22)</f>
        <v>#DIV/0!</v>
      </c>
      <c r="Z25" s="1117" t="s">
        <v>2200</v>
      </c>
      <c r="AA25" s="1339" t="e">
        <f>SUM(AA22:AE22)</f>
        <v>#DIV/0!</v>
      </c>
      <c r="AH25" s="1117" t="s">
        <v>2200</v>
      </c>
      <c r="AI25" s="1339" t="e">
        <f>SUM(AI22:AM22)</f>
        <v>#DIV/0!</v>
      </c>
      <c r="AP25" s="1117" t="s">
        <v>2200</v>
      </c>
      <c r="AQ25" s="1339" t="e">
        <f>SUM(AQ22:AU22)</f>
        <v>#DIV/0!</v>
      </c>
    </row>
    <row r="26" spans="1:47" x14ac:dyDescent="0.2">
      <c r="D26" s="1322">
        <v>5</v>
      </c>
      <c r="E26" s="1354"/>
      <c r="F26" s="1355"/>
      <c r="G26" s="1352"/>
      <c r="H26" s="1352"/>
      <c r="I26" s="1356"/>
      <c r="K26" s="1344" t="s">
        <v>2206</v>
      </c>
      <c r="L26" s="248"/>
      <c r="M26" s="248"/>
      <c r="N26" s="248"/>
      <c r="O26" s="248"/>
      <c r="Q26" s="185"/>
      <c r="R26" s="1226" t="s">
        <v>2186</v>
      </c>
      <c r="S26" s="238">
        <f>$I$9</f>
        <v>0</v>
      </c>
      <c r="Y26" s="185"/>
      <c r="Z26" s="1226" t="s">
        <v>2186</v>
      </c>
      <c r="AA26" s="238">
        <f>$I$9</f>
        <v>0</v>
      </c>
      <c r="AG26" s="185"/>
      <c r="AH26" s="1226" t="s">
        <v>2186</v>
      </c>
      <c r="AI26" s="238">
        <f>$I$18</f>
        <v>0</v>
      </c>
      <c r="AO26" s="185"/>
      <c r="AP26" s="1226" t="s">
        <v>2186</v>
      </c>
      <c r="AQ26" s="238">
        <f>$I$18</f>
        <v>0</v>
      </c>
    </row>
    <row r="27" spans="1:47" x14ac:dyDescent="0.2">
      <c r="D27" s="1326"/>
      <c r="E27" s="1327"/>
      <c r="F27" s="1347"/>
      <c r="G27" s="1328"/>
      <c r="H27" s="1329" t="s">
        <v>2174</v>
      </c>
      <c r="I27" s="1325">
        <f>SUM(I22:I26)</f>
        <v>0</v>
      </c>
      <c r="K27" s="1344" t="s">
        <v>2207</v>
      </c>
      <c r="L27" s="485"/>
      <c r="M27" s="485"/>
      <c r="N27" s="485"/>
      <c r="O27" s="485"/>
      <c r="R27" s="1117" t="s">
        <v>2201</v>
      </c>
      <c r="S27" s="2" t="e">
        <f>ROUND(S25/S26,3)</f>
        <v>#DIV/0!</v>
      </c>
      <c r="Z27" s="1117" t="s">
        <v>2229</v>
      </c>
      <c r="AA27" s="2" t="e">
        <f>ROUND(AA25/AA26,4)</f>
        <v>#DIV/0!</v>
      </c>
      <c r="AH27" s="1117" t="s">
        <v>2201</v>
      </c>
      <c r="AI27" s="2" t="e">
        <f>ROUND(AI25/AI26,3)</f>
        <v>#DIV/0!</v>
      </c>
      <c r="AP27" s="1117" t="s">
        <v>2229</v>
      </c>
      <c r="AQ27" s="2" t="e">
        <f>ROUND(AQ25/AQ26,4)</f>
        <v>#DIV/0!</v>
      </c>
    </row>
    <row r="28" spans="1:47" ht="13.5" thickBot="1" x14ac:dyDescent="0.25">
      <c r="D28" s="126"/>
      <c r="E28" s="541"/>
      <c r="F28" s="541"/>
      <c r="G28" s="96"/>
      <c r="H28" s="96"/>
      <c r="I28" s="1096"/>
      <c r="K28" s="1345" t="s">
        <v>2208</v>
      </c>
      <c r="L28" s="238"/>
      <c r="M28" s="238"/>
      <c r="N28" s="238"/>
      <c r="O28" s="238"/>
      <c r="Q28" s="146"/>
      <c r="R28" s="1210" t="s">
        <v>2202</v>
      </c>
      <c r="S28" s="299">
        <f>VLOOKUP($C$15,Table_CoIns_Blanket,2,0)</f>
        <v>0.95</v>
      </c>
      <c r="Y28" s="146"/>
      <c r="Z28" s="1210" t="s">
        <v>2202</v>
      </c>
      <c r="AA28" s="299">
        <f>VLOOKUP($C$15,Table_CoIns_Blanket,2,0)</f>
        <v>0.95</v>
      </c>
      <c r="AG28" s="146"/>
      <c r="AH28" s="1210" t="s">
        <v>2202</v>
      </c>
      <c r="AI28" s="299">
        <f>VLOOKUP($C$15,Table_CoIns_Blanket,2,0)</f>
        <v>0.95</v>
      </c>
      <c r="AO28" s="146"/>
      <c r="AP28" s="1210" t="s">
        <v>2202</v>
      </c>
      <c r="AQ28" s="299">
        <f>VLOOKUP($C$15,Table_CoIns_Blanket,2,0)</f>
        <v>0.95</v>
      </c>
    </row>
    <row r="29" spans="1:47" x14ac:dyDescent="0.2">
      <c r="D29" s="500" t="s">
        <v>2217</v>
      </c>
      <c r="E29" s="508"/>
      <c r="F29" s="508"/>
      <c r="G29" s="508"/>
      <c r="H29" s="508"/>
      <c r="I29" s="509"/>
      <c r="K29" s="1343" t="s">
        <v>2218</v>
      </c>
      <c r="L29" s="485">
        <f>SUM(L24:L28)</f>
        <v>0</v>
      </c>
      <c r="M29" s="485">
        <f>SUM(M24:M28)</f>
        <v>0</v>
      </c>
      <c r="N29" s="485">
        <f>SUM(N24:N28)</f>
        <v>0</v>
      </c>
      <c r="O29" s="485">
        <f>SUM(O24:O28)</f>
        <v>0</v>
      </c>
      <c r="Q29" s="185"/>
      <c r="R29" s="1226" t="s">
        <v>1020</v>
      </c>
      <c r="S29" s="208">
        <f>IF($C$6="PAC",VLOOKUP(B7,Table_PakMods,MATCH($C$10,List_Company,0)+1,FALSE),1)</f>
        <v>1</v>
      </c>
      <c r="Y29" s="185"/>
      <c r="Z29" s="1226" t="s">
        <v>1020</v>
      </c>
      <c r="AA29" s="208">
        <f>IF($C$6="PAC",VLOOKUP(B7,Table_PakMods,MATCH($C$10,List_Company,0)+1,FALSE),1)</f>
        <v>1</v>
      </c>
      <c r="AG29" s="185"/>
      <c r="AH29" s="1226" t="s">
        <v>1020</v>
      </c>
      <c r="AI29" s="208">
        <f>IF($C$6="PAC",VLOOKUP(B7,Table_PakMods,MATCH($C$10,List_Company,0)+1,FALSE),1)</f>
        <v>1</v>
      </c>
      <c r="AO29" s="185"/>
      <c r="AP29" s="1226" t="s">
        <v>1020</v>
      </c>
      <c r="AQ29" s="208">
        <f>IF($C$6="PAC",VLOOKUP(B7,Table_PakMods,MATCH($C$10,List_Company,0)+1,FALSE),1)</f>
        <v>1</v>
      </c>
    </row>
    <row r="30" spans="1:47" ht="13.5" thickBot="1" x14ac:dyDescent="0.25">
      <c r="D30" s="1320" t="s">
        <v>2173</v>
      </c>
      <c r="E30" s="1323" t="s">
        <v>57</v>
      </c>
      <c r="F30" s="1323"/>
      <c r="G30" s="1323" t="s">
        <v>2222</v>
      </c>
      <c r="H30" s="1323" t="s">
        <v>2171</v>
      </c>
      <c r="I30" s="1324" t="s">
        <v>2172</v>
      </c>
      <c r="K30" s="702"/>
      <c r="L30" s="575"/>
      <c r="M30" s="478"/>
      <c r="N30" s="575"/>
      <c r="O30" s="575"/>
      <c r="R30" s="83" t="s">
        <v>2203</v>
      </c>
      <c r="S30" s="60" t="e">
        <f>ROUND(PRODUCT(S27:S29),3)</f>
        <v>#DIV/0!</v>
      </c>
      <c r="Z30" s="83" t="s">
        <v>2230</v>
      </c>
      <c r="AA30" s="60" t="e">
        <f>ROUND(PRODUCT(AA27:AA29),3)</f>
        <v>#DIV/0!</v>
      </c>
      <c r="AH30" s="83" t="s">
        <v>2203</v>
      </c>
      <c r="AI30" s="60" t="e">
        <f>ROUND(PRODUCT(AI27:AI29),3)</f>
        <v>#DIV/0!</v>
      </c>
      <c r="AP30" s="83" t="s">
        <v>2230</v>
      </c>
      <c r="AQ30" s="60" t="e">
        <f>ROUND(PRODUCT(AQ27:AQ29),3)</f>
        <v>#DIV/0!</v>
      </c>
    </row>
    <row r="31" spans="1:47" x14ac:dyDescent="0.2">
      <c r="D31" s="1321">
        <v>1</v>
      </c>
      <c r="E31" s="1349"/>
      <c r="F31" s="1350"/>
      <c r="G31" s="1351"/>
      <c r="H31" s="1352"/>
      <c r="I31" s="1353"/>
      <c r="K31" s="1340" t="s">
        <v>2221</v>
      </c>
      <c r="L31" s="1341"/>
      <c r="M31" s="1342"/>
      <c r="N31" s="1342"/>
      <c r="O31" s="1342"/>
    </row>
    <row r="32" spans="1:47" x14ac:dyDescent="0.2">
      <c r="D32" s="1322">
        <v>2</v>
      </c>
      <c r="E32" s="1354"/>
      <c r="F32" s="1355"/>
      <c r="G32" s="1352"/>
      <c r="H32" s="1352"/>
      <c r="I32" s="1356"/>
      <c r="K32" s="1458" t="s">
        <v>2278</v>
      </c>
      <c r="L32" s="1459"/>
      <c r="M32" s="1460"/>
      <c r="N32" s="1460"/>
      <c r="O32" s="1461"/>
      <c r="Q32" s="60" t="s">
        <v>2209</v>
      </c>
      <c r="S32" s="235" t="s">
        <v>2176</v>
      </c>
      <c r="T32" s="235" t="s">
        <v>2177</v>
      </c>
      <c r="U32" s="235" t="s">
        <v>2178</v>
      </c>
      <c r="V32" s="235" t="s">
        <v>2179</v>
      </c>
      <c r="W32" s="235" t="s">
        <v>2180</v>
      </c>
      <c r="Y32" s="60" t="s">
        <v>2209</v>
      </c>
      <c r="AA32" s="235" t="s">
        <v>2176</v>
      </c>
      <c r="AB32" s="235" t="s">
        <v>2177</v>
      </c>
      <c r="AC32" s="235" t="s">
        <v>2178</v>
      </c>
      <c r="AD32" s="235" t="s">
        <v>2179</v>
      </c>
      <c r="AE32" s="235" t="s">
        <v>2180</v>
      </c>
      <c r="AG32" s="60" t="s">
        <v>2209</v>
      </c>
      <c r="AI32" s="235" t="s">
        <v>2176</v>
      </c>
      <c r="AJ32" s="235" t="s">
        <v>2177</v>
      </c>
      <c r="AK32" s="235" t="s">
        <v>2178</v>
      </c>
      <c r="AL32" s="235" t="s">
        <v>2179</v>
      </c>
      <c r="AM32" s="235" t="s">
        <v>2180</v>
      </c>
      <c r="AO32" s="60" t="s">
        <v>2209</v>
      </c>
      <c r="AQ32" s="235" t="s">
        <v>2176</v>
      </c>
      <c r="AR32" s="235" t="s">
        <v>2177</v>
      </c>
      <c r="AS32" s="235" t="s">
        <v>2178</v>
      </c>
      <c r="AT32" s="235" t="s">
        <v>2179</v>
      </c>
      <c r="AU32" s="235" t="s">
        <v>2180</v>
      </c>
    </row>
    <row r="33" spans="4:47" x14ac:dyDescent="0.2">
      <c r="D33" s="1322">
        <v>3</v>
      </c>
      <c r="E33" s="1354"/>
      <c r="F33" s="1355"/>
      <c r="G33" s="1352"/>
      <c r="H33" s="1352"/>
      <c r="I33" s="1356"/>
      <c r="K33" s="1344" t="s">
        <v>2204</v>
      </c>
      <c r="L33" s="258"/>
      <c r="M33" s="258"/>
      <c r="N33" s="259"/>
      <c r="O33" s="259"/>
      <c r="Q33" s="1227"/>
      <c r="R33" s="1117" t="s">
        <v>2212</v>
      </c>
      <c r="S33" s="478">
        <f>IF(ISNUMBER($I4),$I4/100,0)</f>
        <v>0</v>
      </c>
      <c r="T33" s="478">
        <f>IF(ISNUMBER($I5),$I5/100,0)</f>
        <v>0</v>
      </c>
      <c r="U33" s="478">
        <f>IF(ISNUMBER($I6),$I6/100,0)</f>
        <v>0</v>
      </c>
      <c r="V33" s="478">
        <f>IF(ISNUMBER($I7),$I7/100,0)</f>
        <v>0</v>
      </c>
      <c r="W33" s="478">
        <f>IF(ISNUMBER($I8),$I8/100,0)</f>
        <v>0</v>
      </c>
      <c r="Y33" s="1227"/>
      <c r="Z33" s="1117" t="s">
        <v>2212</v>
      </c>
      <c r="AA33" s="478">
        <f>IF(ISNUMBER($I4),$I4/100,0)</f>
        <v>0</v>
      </c>
      <c r="AB33" s="478">
        <f>IF(ISNUMBER($I5),$I5/100,0)</f>
        <v>0</v>
      </c>
      <c r="AC33" s="478">
        <f>IF(ISNUMBER($I6),$I6/100,0)</f>
        <v>0</v>
      </c>
      <c r="AD33" s="478">
        <f>IF(ISNUMBER($I7),$I7/100,0)</f>
        <v>0</v>
      </c>
      <c r="AE33" s="478">
        <f>IF(ISNUMBER($I8),$I8/100,0)</f>
        <v>0</v>
      </c>
      <c r="AG33" s="1227"/>
      <c r="AH33" s="1117" t="s">
        <v>2212</v>
      </c>
      <c r="AI33" s="478">
        <f>IF(ISNUMBER($I13),$I13/100,0)</f>
        <v>0</v>
      </c>
      <c r="AJ33" s="478">
        <f>IF(ISNUMBER($I14),$I14/100,0)</f>
        <v>0</v>
      </c>
      <c r="AK33" s="478">
        <f>IF(ISNUMBER($I15),$I15/100,0)</f>
        <v>0</v>
      </c>
      <c r="AL33" s="478">
        <f>IF(ISNUMBER($I16),$I16/100,0)</f>
        <v>0</v>
      </c>
      <c r="AM33" s="478">
        <f>IF(ISNUMBER($I17),$I17/100,0)</f>
        <v>0</v>
      </c>
      <c r="AO33" s="1227"/>
      <c r="AP33" s="1117" t="s">
        <v>2212</v>
      </c>
      <c r="AQ33" s="478">
        <f>IF(ISNUMBER($I13),$I13/100,0)</f>
        <v>0</v>
      </c>
      <c r="AR33" s="478">
        <f>IF(ISNUMBER($I14),$I14/100,0)</f>
        <v>0</v>
      </c>
      <c r="AS33" s="478">
        <f>IF(ISNUMBER($I15),$I15/100,0)</f>
        <v>0</v>
      </c>
      <c r="AT33" s="478">
        <f>IF(ISNUMBER($I16),$I16/100,0)</f>
        <v>0</v>
      </c>
      <c r="AU33" s="478">
        <f>IF(ISNUMBER($I17),$I17/100,0)</f>
        <v>0</v>
      </c>
    </row>
    <row r="34" spans="4:47" x14ac:dyDescent="0.2">
      <c r="D34" s="1322">
        <v>4</v>
      </c>
      <c r="E34" s="1354"/>
      <c r="F34" s="1355"/>
      <c r="G34" s="1352"/>
      <c r="H34" s="1352"/>
      <c r="I34" s="1356"/>
      <c r="K34" s="1344" t="s">
        <v>2205</v>
      </c>
      <c r="L34" s="258"/>
      <c r="M34" s="259"/>
      <c r="N34" s="259"/>
      <c r="O34" s="259"/>
      <c r="Q34" s="185"/>
      <c r="R34" s="1226" t="s">
        <v>2210</v>
      </c>
      <c r="S34" s="185" t="e">
        <f>$S$30</f>
        <v>#DIV/0!</v>
      </c>
      <c r="T34" s="185" t="e">
        <f>$S$30</f>
        <v>#DIV/0!</v>
      </c>
      <c r="U34" s="185" t="e">
        <f>$S$30</f>
        <v>#DIV/0!</v>
      </c>
      <c r="V34" s="185" t="e">
        <f>$S$30</f>
        <v>#DIV/0!</v>
      </c>
      <c r="W34" s="185" t="e">
        <f>$S$30</f>
        <v>#DIV/0!</v>
      </c>
      <c r="Y34" s="185"/>
      <c r="Z34" s="1226" t="s">
        <v>2210</v>
      </c>
      <c r="AA34" s="185" t="e">
        <f>$AA$30</f>
        <v>#DIV/0!</v>
      </c>
      <c r="AB34" s="185" t="e">
        <f>$AA$30</f>
        <v>#DIV/0!</v>
      </c>
      <c r="AC34" s="185" t="e">
        <f>$AA$30</f>
        <v>#DIV/0!</v>
      </c>
      <c r="AD34" s="185" t="e">
        <f>$AA$30</f>
        <v>#DIV/0!</v>
      </c>
      <c r="AE34" s="185" t="e">
        <f>$AA$30</f>
        <v>#DIV/0!</v>
      </c>
      <c r="AG34" s="185"/>
      <c r="AH34" s="1226" t="s">
        <v>2210</v>
      </c>
      <c r="AI34" s="185" t="e">
        <f>$AI$30</f>
        <v>#DIV/0!</v>
      </c>
      <c r="AJ34" s="185" t="e">
        <f t="shared" ref="AJ34:AM34" si="5">$AI$30</f>
        <v>#DIV/0!</v>
      </c>
      <c r="AK34" s="185" t="e">
        <f t="shared" si="5"/>
        <v>#DIV/0!</v>
      </c>
      <c r="AL34" s="185" t="e">
        <f t="shared" si="5"/>
        <v>#DIV/0!</v>
      </c>
      <c r="AM34" s="185" t="e">
        <f t="shared" si="5"/>
        <v>#DIV/0!</v>
      </c>
      <c r="AO34" s="185"/>
      <c r="AP34" s="1226" t="s">
        <v>2210</v>
      </c>
      <c r="AQ34" s="455" t="e">
        <f>$AQ$30</f>
        <v>#DIV/0!</v>
      </c>
      <c r="AR34" s="455" t="e">
        <f t="shared" ref="AR34:AU34" si="6">$AQ$30</f>
        <v>#DIV/0!</v>
      </c>
      <c r="AS34" s="455" t="e">
        <f t="shared" si="6"/>
        <v>#DIV/0!</v>
      </c>
      <c r="AT34" s="455" t="e">
        <f t="shared" si="6"/>
        <v>#DIV/0!</v>
      </c>
      <c r="AU34" s="455" t="e">
        <f t="shared" si="6"/>
        <v>#DIV/0!</v>
      </c>
    </row>
    <row r="35" spans="4:47" x14ac:dyDescent="0.2">
      <c r="D35" s="1322">
        <v>5</v>
      </c>
      <c r="E35" s="1354"/>
      <c r="F35" s="1355"/>
      <c r="G35" s="1352"/>
      <c r="H35" s="1352"/>
      <c r="I35" s="1356"/>
      <c r="K35" s="1344" t="s">
        <v>2206</v>
      </c>
      <c r="L35" s="248"/>
      <c r="M35" s="248"/>
      <c r="N35" s="248"/>
      <c r="O35" s="248"/>
      <c r="R35" s="83" t="s">
        <v>2211</v>
      </c>
      <c r="S35" s="248" t="e">
        <f>ROUND(PRODUCT(S33:S34),0)</f>
        <v>#DIV/0!</v>
      </c>
      <c r="T35" s="248" t="e">
        <f>ROUND(PRODUCT(T33:T34),0)</f>
        <v>#DIV/0!</v>
      </c>
      <c r="U35" s="248" t="e">
        <f>ROUND(PRODUCT(U33:U34),0)</f>
        <v>#DIV/0!</v>
      </c>
      <c r="V35" s="248" t="e">
        <f>ROUND(PRODUCT(V33:V34),0)</f>
        <v>#DIV/0!</v>
      </c>
      <c r="W35" s="248" t="e">
        <f>ROUND(PRODUCT(W33:W34),0)</f>
        <v>#DIV/0!</v>
      </c>
      <c r="Z35" s="83" t="s">
        <v>2231</v>
      </c>
      <c r="AA35" s="248" t="e">
        <f>ROUND(PRODUCT(AA33:AA34),0)</f>
        <v>#DIV/0!</v>
      </c>
      <c r="AB35" s="248" t="e">
        <f>ROUND(PRODUCT(AB33:AB34),0)</f>
        <v>#DIV/0!</v>
      </c>
      <c r="AC35" s="248" t="e">
        <f>ROUND(PRODUCT(AC33:AC34),0)</f>
        <v>#DIV/0!</v>
      </c>
      <c r="AD35" s="248" t="e">
        <f>ROUND(PRODUCT(AD33:AD34),0)</f>
        <v>#DIV/0!</v>
      </c>
      <c r="AE35" s="248" t="e">
        <f>ROUND(PRODUCT(AE33:AE34),0)</f>
        <v>#DIV/0!</v>
      </c>
      <c r="AH35" s="83" t="s">
        <v>2211</v>
      </c>
      <c r="AI35" s="248" t="e">
        <f>ROUND(PRODUCT(AI33:AI34),0)</f>
        <v>#DIV/0!</v>
      </c>
      <c r="AJ35" s="248" t="e">
        <f>ROUND(PRODUCT(AJ33:AJ34),0)</f>
        <v>#DIV/0!</v>
      </c>
      <c r="AK35" s="248" t="e">
        <f>ROUND(PRODUCT(AK33:AK34),0)</f>
        <v>#DIV/0!</v>
      </c>
      <c r="AL35" s="248" t="e">
        <f>ROUND(PRODUCT(AL33:AL34),0)</f>
        <v>#DIV/0!</v>
      </c>
      <c r="AM35" s="248" t="e">
        <f>ROUND(PRODUCT(AM33:AM34),0)</f>
        <v>#DIV/0!</v>
      </c>
      <c r="AP35" s="83" t="s">
        <v>2231</v>
      </c>
      <c r="AQ35" s="248" t="e">
        <f>ROUND(PRODUCT(AQ33:AQ34),0)</f>
        <v>#DIV/0!</v>
      </c>
      <c r="AR35" s="248" t="e">
        <f>ROUND(PRODUCT(AR33:AR34),0)</f>
        <v>#DIV/0!</v>
      </c>
      <c r="AS35" s="248" t="e">
        <f>ROUND(PRODUCT(AS33:AS34),0)</f>
        <v>#DIV/0!</v>
      </c>
      <c r="AT35" s="248" t="e">
        <f>ROUND(PRODUCT(AT33:AT34),0)</f>
        <v>#DIV/0!</v>
      </c>
      <c r="AU35" s="248" t="e">
        <f>ROUND(PRODUCT(AU33:AU34),0)</f>
        <v>#DIV/0!</v>
      </c>
    </row>
    <row r="36" spans="4:47" x14ac:dyDescent="0.2">
      <c r="D36" s="1326"/>
      <c r="E36" s="1327"/>
      <c r="F36" s="1347"/>
      <c r="G36" s="1328"/>
      <c r="H36" s="1329" t="s">
        <v>2174</v>
      </c>
      <c r="I36" s="1325">
        <f>SUM(I31:I35)</f>
        <v>0</v>
      </c>
      <c r="K36" s="1344" t="s">
        <v>2207</v>
      </c>
      <c r="L36" s="485"/>
      <c r="M36" s="485"/>
      <c r="N36" s="485"/>
      <c r="O36" s="485"/>
    </row>
    <row r="37" spans="4:47" ht="13.5" thickBot="1" x14ac:dyDescent="0.25">
      <c r="D37" s="126"/>
      <c r="E37" s="541"/>
      <c r="F37" s="541"/>
      <c r="G37" s="96"/>
      <c r="H37" s="96"/>
      <c r="I37" s="1096"/>
      <c r="K37" s="1345" t="s">
        <v>2208</v>
      </c>
      <c r="L37" s="238"/>
      <c r="M37" s="238"/>
      <c r="N37" s="238"/>
      <c r="O37" s="238"/>
    </row>
    <row r="38" spans="4:47" x14ac:dyDescent="0.2">
      <c r="I38" s="139"/>
      <c r="K38" s="1343" t="s">
        <v>2218</v>
      </c>
      <c r="L38" s="485">
        <f>SUM(L33:L37)</f>
        <v>0</v>
      </c>
      <c r="M38" s="485">
        <f>SUM(M33:M37)</f>
        <v>0</v>
      </c>
      <c r="N38" s="485">
        <f>SUM(N33:N37)</f>
        <v>0</v>
      </c>
      <c r="O38" s="485">
        <f>SUM(O33:O37)</f>
        <v>0</v>
      </c>
    </row>
    <row r="39" spans="4:47" x14ac:dyDescent="0.2">
      <c r="K39" s="793"/>
      <c r="L39" s="478"/>
      <c r="M39" s="146"/>
      <c r="N39" s="146"/>
      <c r="O39" s="146"/>
    </row>
    <row r="40" spans="4:47" x14ac:dyDescent="0.2">
      <c r="K40" s="793"/>
      <c r="L40" s="146"/>
      <c r="M40" s="146"/>
      <c r="N40" s="146"/>
      <c r="O40" s="146"/>
    </row>
    <row r="41" spans="4:47" x14ac:dyDescent="0.2">
      <c r="K41" s="146"/>
      <c r="L41" s="478"/>
      <c r="M41" s="146"/>
      <c r="N41" s="146"/>
      <c r="O41" s="146"/>
    </row>
    <row r="42" spans="4:47" x14ac:dyDescent="0.2">
      <c r="J42" s="8"/>
      <c r="K42" s="146"/>
      <c r="L42" s="478"/>
      <c r="M42" s="146"/>
      <c r="N42" s="146"/>
      <c r="O42" s="146"/>
    </row>
    <row r="43" spans="4:47" x14ac:dyDescent="0.2">
      <c r="J43" s="8"/>
      <c r="K43" s="146"/>
      <c r="L43" s="146"/>
      <c r="M43" s="146"/>
      <c r="N43" s="146"/>
      <c r="O43" s="146"/>
    </row>
    <row r="44" spans="4:47" x14ac:dyDescent="0.2">
      <c r="J44" s="8"/>
      <c r="K44" s="146"/>
      <c r="L44" s="146"/>
      <c r="M44" s="146"/>
      <c r="N44" s="146"/>
      <c r="O44" s="146"/>
    </row>
    <row r="45" spans="4:47" ht="13.5" thickBot="1" x14ac:dyDescent="0.25">
      <c r="J45" s="8"/>
      <c r="K45" s="146"/>
      <c r="L45" s="146"/>
      <c r="M45" s="146"/>
      <c r="N45" s="146"/>
      <c r="O45" s="146"/>
    </row>
    <row r="46" spans="4:47" ht="13.5" thickBot="1" x14ac:dyDescent="0.25">
      <c r="J46" s="8"/>
      <c r="K46" s="146"/>
      <c r="L46" s="146"/>
      <c r="M46" s="146"/>
      <c r="N46" s="146"/>
      <c r="O46" s="146"/>
      <c r="Q46" s="1612" t="s">
        <v>2279</v>
      </c>
      <c r="R46" s="1613"/>
      <c r="S46" s="1613"/>
      <c r="T46" s="1613"/>
      <c r="U46" s="1613"/>
      <c r="V46" s="1613"/>
      <c r="W46" s="1614"/>
      <c r="Y46" s="1612" t="s">
        <v>2280</v>
      </c>
      <c r="Z46" s="1613"/>
      <c r="AA46" s="1613"/>
      <c r="AB46" s="1613"/>
      <c r="AC46" s="1613"/>
      <c r="AD46" s="1613"/>
      <c r="AE46" s="1614"/>
      <c r="AG46" s="1609" t="s">
        <v>2286</v>
      </c>
      <c r="AH46" s="1610"/>
      <c r="AI46" s="1610"/>
      <c r="AJ46" s="1610"/>
      <c r="AK46" s="1610"/>
      <c r="AL46" s="1610"/>
      <c r="AM46" s="1611"/>
      <c r="AO46" s="1609" t="s">
        <v>2287</v>
      </c>
      <c r="AP46" s="1610"/>
      <c r="AQ46" s="1610"/>
      <c r="AR46" s="1610"/>
      <c r="AS46" s="1610"/>
      <c r="AT46" s="1610"/>
      <c r="AU46" s="1611"/>
    </row>
    <row r="47" spans="4:47" x14ac:dyDescent="0.2">
      <c r="K47" s="146"/>
      <c r="L47" s="146"/>
      <c r="M47" s="146"/>
      <c r="N47" s="146"/>
      <c r="O47" s="146"/>
      <c r="Q47" s="60" t="s">
        <v>2182</v>
      </c>
      <c r="S47" s="235" t="s">
        <v>2176</v>
      </c>
      <c r="T47" s="235" t="s">
        <v>2177</v>
      </c>
      <c r="U47" s="235" t="s">
        <v>2178</v>
      </c>
      <c r="V47" s="235" t="s">
        <v>2179</v>
      </c>
      <c r="W47" s="235" t="s">
        <v>2180</v>
      </c>
      <c r="Y47" s="60" t="s">
        <v>2182</v>
      </c>
      <c r="AA47" s="235" t="s">
        <v>2176</v>
      </c>
      <c r="AB47" s="235" t="s">
        <v>2177</v>
      </c>
      <c r="AC47" s="235" t="s">
        <v>2178</v>
      </c>
      <c r="AD47" s="235" t="s">
        <v>2179</v>
      </c>
      <c r="AE47" s="235" t="s">
        <v>2180</v>
      </c>
      <c r="AG47" s="60" t="s">
        <v>2182</v>
      </c>
      <c r="AI47" s="235" t="s">
        <v>2176</v>
      </c>
      <c r="AJ47" s="235" t="s">
        <v>2177</v>
      </c>
      <c r="AK47" s="235" t="s">
        <v>2178</v>
      </c>
      <c r="AL47" s="235" t="s">
        <v>2179</v>
      </c>
      <c r="AM47" s="235" t="s">
        <v>2180</v>
      </c>
      <c r="AO47" s="60" t="s">
        <v>2182</v>
      </c>
      <c r="AQ47" s="235" t="s">
        <v>2176</v>
      </c>
      <c r="AR47" s="235" t="s">
        <v>2177</v>
      </c>
      <c r="AS47" s="235" t="s">
        <v>2178</v>
      </c>
      <c r="AT47" s="235" t="s">
        <v>2179</v>
      </c>
      <c r="AU47" s="235" t="s">
        <v>2180</v>
      </c>
    </row>
    <row r="48" spans="4:47" x14ac:dyDescent="0.2">
      <c r="K48" s="146"/>
      <c r="L48" s="146"/>
      <c r="M48" s="146"/>
      <c r="N48" s="146"/>
      <c r="O48" s="146"/>
      <c r="Q48" s="60"/>
      <c r="R48" s="1117" t="s">
        <v>1197</v>
      </c>
      <c r="S48" s="2">
        <f>IF(OR(ISBLANK($C$12),$C$12="No"),0,IF(ISTEXT($E4),VLOOKUP(1,Table_Special_Bldg,2,FALSE)*IF(AND($C$11="SP",$C$12=2),VLOOKUP(2,Table_Special_Bldg,2,0),1),0))</f>
        <v>0</v>
      </c>
      <c r="T48" s="2">
        <f>IF(OR(ISBLANK($C$12),$C$12="No"),0,IF(ISTEXT($E5),VLOOKUP(1,Table_Special_Bldg,2,FALSE)*IF(AND($C$11="SP",$C$12=2),VLOOKUP(2,Table_Special_Bldg,2,0),1),0))</f>
        <v>0</v>
      </c>
      <c r="U48" s="2">
        <f>IF(OR(ISBLANK($C$12),$C$12="No"),0,IF(ISTEXT($E6),VLOOKUP(1,Table_Special_Bldg,2,FALSE)*IF(AND($C$11="SP",$C$12=2),VLOOKUP(2,Table_Special_Bldg,2,0),1),0))</f>
        <v>0</v>
      </c>
      <c r="V48" s="2">
        <f>IF(OR(ISBLANK($C$12),$C$12="No"),0,IF(ISTEXT($E7),VLOOKUP(1,Table_Special_Bldg,2,FALSE)*IF(AND($C$11="SP",$C$12=2),VLOOKUP(2,Table_Special_Bldg,2,0),1),0))</f>
        <v>0</v>
      </c>
      <c r="W48" s="2">
        <f>IF(OR(ISBLANK($C$12),$C$12="No"),0,IF(ISTEXT($E8),VLOOKUP(1,Table_Special_Bldg,2,FALSE)*IF(AND($C$11="SP",$C$12=2),VLOOKUP(2,Table_Special_Bldg,2,0),1),0))</f>
        <v>0</v>
      </c>
      <c r="Y48" s="60"/>
      <c r="Z48" s="1117" t="s">
        <v>2283</v>
      </c>
      <c r="AA48" s="1462">
        <f>IF(OR($G$4=5,$G$4=6),1,2)</f>
        <v>2</v>
      </c>
      <c r="AB48" s="1462">
        <f>IF(OR($G$5=5,$G$5=6),1,2)</f>
        <v>2</v>
      </c>
      <c r="AC48" s="1462">
        <f>IF(OR($G$6=5,$G$6=6),1,2)</f>
        <v>2</v>
      </c>
      <c r="AD48" s="1462">
        <f>IF(OR($G$7=5,$G$7=6),1,2)</f>
        <v>2</v>
      </c>
      <c r="AE48" s="1462">
        <f>IF(OR($G$8=5,$G$8=6),1,2)</f>
        <v>2</v>
      </c>
      <c r="AH48" s="1117" t="s">
        <v>2315</v>
      </c>
      <c r="AI48" s="168" t="str">
        <f>IF(ISTEXT($E13),VLOOKUP($E13,Table_G1_LC,3,0),"NA")</f>
        <v>NA</v>
      </c>
      <c r="AJ48" s="168" t="str">
        <f>IF(ISTEXT($E14),VLOOKUP($E14,Table_G1_LC,3,0),"NA")</f>
        <v>NA</v>
      </c>
      <c r="AK48" s="168" t="str">
        <f>IF(ISTEXT($E15),VLOOKUP($E15,Table_G1_LC,3,0),"NA")</f>
        <v>NA</v>
      </c>
      <c r="AL48" s="168" t="str">
        <f>IF(ISTEXT($E16),VLOOKUP($E16,Table_G1_LC,3,0),"NA")</f>
        <v>NA</v>
      </c>
      <c r="AM48" s="168" t="str">
        <f>IF(ISTEXT($E17),VLOOKUP($E17,Table_G1_LC,3,0),"NA")</f>
        <v>NA</v>
      </c>
      <c r="AO48" s="60"/>
      <c r="AP48" s="1117" t="s">
        <v>2283</v>
      </c>
      <c r="AQ48" s="1462">
        <f>IF(OR($G$13=5,$G$13=6),1,2)</f>
        <v>2</v>
      </c>
      <c r="AR48" s="1462">
        <f>IF(OR($G$14=5,$G$14=6),1,2)</f>
        <v>2</v>
      </c>
      <c r="AS48" s="1462">
        <f>IF(OR($G$15=5,$G$15=6),1,2)</f>
        <v>2</v>
      </c>
      <c r="AT48" s="1462">
        <f>IF(OR($G$16=5,$G$16=6),1,2)</f>
        <v>2</v>
      </c>
      <c r="AU48" s="1462">
        <f>IF(OR($G$17=5,$G$17=6),1,2)</f>
        <v>2</v>
      </c>
    </row>
    <row r="49" spans="10:47" x14ac:dyDescent="0.2">
      <c r="K49" s="146"/>
      <c r="L49" s="146"/>
      <c r="M49" s="146"/>
      <c r="N49" s="146"/>
      <c r="O49" s="146"/>
      <c r="Q49" s="60"/>
      <c r="R49" s="1117" t="s">
        <v>1178</v>
      </c>
      <c r="S49" s="207">
        <v>1</v>
      </c>
      <c r="T49" s="207">
        <v>1</v>
      </c>
      <c r="U49" s="207">
        <v>1</v>
      </c>
      <c r="V49" s="207">
        <v>1</v>
      </c>
      <c r="W49" s="207">
        <v>1</v>
      </c>
      <c r="Y49" s="60"/>
      <c r="Z49" s="1117" t="s">
        <v>1197</v>
      </c>
      <c r="AA49" s="2">
        <f>IF(ISTEXT($E4),HLOOKUP(AA48,Table_BroadLC,IF($E$4&lt;&gt;"1150",2,4),FALSE),0)</f>
        <v>0</v>
      </c>
      <c r="AB49" s="2">
        <f>IF(ISTEXT($E5),HLOOKUP(AB48,Table_BroadLC,IF($E$5&lt;&gt;"1150",2,4),FALSE),0)</f>
        <v>0</v>
      </c>
      <c r="AC49" s="2">
        <f>IF(ISTEXT($E6),HLOOKUP(AC48,Table_BroadLC,IF($E$6&lt;&gt;"1150",2,4),FALSE),0)</f>
        <v>0</v>
      </c>
      <c r="AD49" s="2">
        <f>IF(ISTEXT($E7),HLOOKUP(AD48,Table_BroadLC,IF($E$7&lt;&gt;"1150",2,4),FALSE),0)</f>
        <v>0</v>
      </c>
      <c r="AE49" s="2">
        <f>IF(ISTEXT($E8),HLOOKUP(AE48,Table_BroadLC,IF($E$8&lt;&gt;"1150",2,4),FALSE),0)</f>
        <v>0</v>
      </c>
      <c r="AG49" s="60"/>
      <c r="AH49" s="1117" t="s">
        <v>1198</v>
      </c>
      <c r="AI49" s="2">
        <f>IF(OR(ISBLANK($C$12),$C$12="No"),0,IF(ISTEXT($E13),VLOOKUP(AI48,Table_Special_PP,3,FALSE)*IF(AND($C$11="SP",$C$12=2),VLOOKUP(AI48,Table_Special_PP,4,0),1),0))</f>
        <v>0</v>
      </c>
      <c r="AJ49" s="2">
        <f>IF(OR(ISBLANK($C$12),$C$12="No"),0,IF(ISTEXT($E14),VLOOKUP(AJ48,Table_Special_PP,3,FALSE)*IF(AND($C$11="SP",$C$12=2),VLOOKUP(AJ48,Table_Special_PP,4,0),1),0))</f>
        <v>0</v>
      </c>
      <c r="AK49" s="2">
        <f>IF(OR(ISBLANK($C$12),$C$12="No"),0,IF(ISTEXT($E15),VLOOKUP(AK48,Table_Special_PP,3,FALSE)*IF(AND($C$11="SP",$C$12=2),VLOOKUP(AK48,Table_Special_PP,4,0),1),0))</f>
        <v>0</v>
      </c>
      <c r="AL49" s="2">
        <f>IF(OR(ISBLANK($C$12),$C$12="No"),0,IF(ISTEXT($E16),VLOOKUP(AL48,Table_Special_PP,3,FALSE)*IF(AND($C$11="SP",$C$12=2),VLOOKUP(AL48,Table_Special_PP,4,0),1),0))</f>
        <v>0</v>
      </c>
      <c r="AM49" s="2">
        <f>IF(OR(ISBLANK($C$12),$C$12="No"),0,IF(ISTEXT($E17),VLOOKUP(AM48,Table_Special_PP,3,FALSE)*IF(AND($C$11="SP",$C$12=2),VLOOKUP(AM48,Table_Special_PP,4,0),1),0))</f>
        <v>0</v>
      </c>
      <c r="AO49" s="60"/>
      <c r="AP49" s="1117" t="s">
        <v>1198</v>
      </c>
      <c r="AQ49" s="2">
        <f>IF(ISTEXT($E13),HLOOKUP(AQ48,Table_BroadLC,IF($E$4&lt;&gt;"1150",3,4),FALSE),0)</f>
        <v>0</v>
      </c>
      <c r="AR49" s="2">
        <f>IF(ISTEXT($E14),HLOOKUP(AR48,Table_BroadLC,IF($E$5&lt;&gt;"1150",3,4),FALSE),0)</f>
        <v>0</v>
      </c>
      <c r="AS49" s="2">
        <f>IF(ISTEXT($E15),HLOOKUP(AS48,Table_BroadLC,IF($E$6&lt;&gt;"1150",3,4),FALSE),0)</f>
        <v>0</v>
      </c>
      <c r="AT49" s="2">
        <f>IF(ISTEXT($E16),HLOOKUP(AT48,Table_BroadLC,IF($E$7&lt;&gt;"1150",3,4),FALSE),0)</f>
        <v>0</v>
      </c>
      <c r="AU49" s="2">
        <f>IF(ISTEXT($E17),HLOOKUP(AU48,Table_BroadLC,IF($E$8&lt;&gt;"1150",3,4),FALSE),0)</f>
        <v>0</v>
      </c>
    </row>
    <row r="50" spans="10:47" x14ac:dyDescent="0.2">
      <c r="K50" s="146"/>
      <c r="L50" s="146"/>
      <c r="M50" s="146"/>
      <c r="N50" s="146"/>
      <c r="O50" s="146"/>
      <c r="Q50" s="60"/>
      <c r="R50" s="545" t="s">
        <v>971</v>
      </c>
      <c r="S50" s="207">
        <f>HLOOKUP($C$10,Table_StateRates,6,FALSE)</f>
        <v>1.9</v>
      </c>
      <c r="T50" s="207">
        <f>HLOOKUP($C$10,Table_StateRates,6,FALSE)</f>
        <v>1.9</v>
      </c>
      <c r="U50" s="207">
        <f>HLOOKUP($C$10,Table_StateRates,6,FALSE)</f>
        <v>1.9</v>
      </c>
      <c r="V50" s="207">
        <f>HLOOKUP($C$10,Table_StateRates,6,FALSE)</f>
        <v>1.9</v>
      </c>
      <c r="W50" s="207">
        <f>HLOOKUP($C$10,Table_StateRates,6,FALSE)</f>
        <v>1.9</v>
      </c>
      <c r="Y50" s="60"/>
      <c r="Z50" s="545" t="s">
        <v>971</v>
      </c>
      <c r="AA50" s="207">
        <f>HLOOKUP($C$10,Table_StateRates,6,FALSE)</f>
        <v>1.9</v>
      </c>
      <c r="AB50" s="207">
        <f>HLOOKUP($C$10,Table_StateRates,6,FALSE)</f>
        <v>1.9</v>
      </c>
      <c r="AC50" s="207">
        <f>HLOOKUP($C$10,Table_StateRates,6,FALSE)</f>
        <v>1.9</v>
      </c>
      <c r="AD50" s="207">
        <f>HLOOKUP($C$10,Table_StateRates,6,FALSE)</f>
        <v>1.9</v>
      </c>
      <c r="AE50" s="207">
        <f>HLOOKUP($C$10,Table_StateRates,6,FALSE)</f>
        <v>1.9</v>
      </c>
      <c r="AG50" s="60"/>
      <c r="AH50" s="545" t="s">
        <v>971</v>
      </c>
      <c r="AI50" s="207">
        <f>HLOOKUP($C$10,Table_StateRates,6,FALSE)</f>
        <v>1.9</v>
      </c>
      <c r="AJ50" s="207">
        <f>HLOOKUP($C$10,Table_StateRates,6,FALSE)</f>
        <v>1.9</v>
      </c>
      <c r="AK50" s="207">
        <f>HLOOKUP($C$10,Table_StateRates,6,FALSE)</f>
        <v>1.9</v>
      </c>
      <c r="AL50" s="207">
        <f>HLOOKUP($C$10,Table_StateRates,6,FALSE)</f>
        <v>1.9</v>
      </c>
      <c r="AM50" s="207">
        <f>HLOOKUP($C$10,Table_StateRates,6,FALSE)</f>
        <v>1.9</v>
      </c>
      <c r="AO50" s="60"/>
      <c r="AP50" s="545" t="s">
        <v>971</v>
      </c>
      <c r="AQ50" s="207">
        <f>HLOOKUP($C$10,Table_StateRates,6,FALSE)</f>
        <v>1.9</v>
      </c>
      <c r="AR50" s="207">
        <f>HLOOKUP($C$10,Table_StateRates,6,FALSE)</f>
        <v>1.9</v>
      </c>
      <c r="AS50" s="207">
        <f>HLOOKUP($C$10,Table_StateRates,6,FALSE)</f>
        <v>1.9</v>
      </c>
      <c r="AT50" s="207">
        <f>HLOOKUP($C$10,Table_StateRates,6,FALSE)</f>
        <v>1.9</v>
      </c>
      <c r="AU50" s="207">
        <f>HLOOKUP($C$10,Table_StateRates,6,FALSE)</f>
        <v>1.9</v>
      </c>
    </row>
    <row r="51" spans="10:47" x14ac:dyDescent="0.2">
      <c r="J51" s="8"/>
      <c r="K51" s="146"/>
      <c r="L51" s="146"/>
      <c r="M51" s="146"/>
      <c r="N51" s="146"/>
      <c r="O51" s="146"/>
      <c r="Q51" s="60"/>
      <c r="R51" s="1210" t="s">
        <v>1018</v>
      </c>
      <c r="S51" s="207">
        <f>IF($B$16=250,DF_250Deductible,$C$16)</f>
        <v>1</v>
      </c>
      <c r="T51" s="207">
        <f>IF($B$16=250,DF_250Deductible,$C$16)</f>
        <v>1</v>
      </c>
      <c r="U51" s="207">
        <f>IF($B$16=250,DF_250Deductible,$C$16)</f>
        <v>1</v>
      </c>
      <c r="V51" s="207">
        <f>IF($B$16=250,DF_250Deductible,$C$16)</f>
        <v>1</v>
      </c>
      <c r="W51" s="207">
        <f>IF($B$16=250,DF_250Deductible,$C$16)</f>
        <v>1</v>
      </c>
      <c r="Y51" s="60"/>
      <c r="Z51" s="1210" t="s">
        <v>1018</v>
      </c>
      <c r="AA51" s="207">
        <f>IF($B$16=250,DF_250Deductible,$C$16)</f>
        <v>1</v>
      </c>
      <c r="AB51" s="207">
        <f>IF($B$16=250,DF_250Deductible,$C$16)</f>
        <v>1</v>
      </c>
      <c r="AC51" s="207">
        <f>IF($B$16=250,DF_250Deductible,$C$16)</f>
        <v>1</v>
      </c>
      <c r="AD51" s="207">
        <f>IF($B$16=250,DF_250Deductible,$C$16)</f>
        <v>1</v>
      </c>
      <c r="AE51" s="207">
        <f>IF($B$16=250,DF_250Deductible,$C$16)</f>
        <v>1</v>
      </c>
      <c r="AG51" s="60"/>
      <c r="AH51" s="1210" t="s">
        <v>1018</v>
      </c>
      <c r="AI51" s="207">
        <f>IF($B$18=250,DF_250Deductible,$C$18)</f>
        <v>1</v>
      </c>
      <c r="AJ51" s="207">
        <f>IF($B$18=250,DF_250Deductible,$C$18)</f>
        <v>1</v>
      </c>
      <c r="AK51" s="207">
        <f>IF($B$18=250,DF_250Deductible,$C$18)</f>
        <v>1</v>
      </c>
      <c r="AL51" s="207">
        <f>IF($B$18=250,DF_250Deductible,$C$18)</f>
        <v>1</v>
      </c>
      <c r="AM51" s="207">
        <f>IF($B$18=250,DF_250Deductible,$C$18)</f>
        <v>1</v>
      </c>
      <c r="AO51" s="60"/>
      <c r="AP51" s="1210" t="s">
        <v>1018</v>
      </c>
      <c r="AQ51" s="207">
        <f>IF($B$18=250,DF_250Deductible,$C$18)</f>
        <v>1</v>
      </c>
      <c r="AR51" s="207">
        <f>IF($B$18=250,DF_250Deductible,$C$18)</f>
        <v>1</v>
      </c>
      <c r="AS51" s="207">
        <f>IF($B$18=250,DF_250Deductible,$C$18)</f>
        <v>1</v>
      </c>
      <c r="AT51" s="207">
        <f>IF($B$18=250,DF_250Deductible,$C$18)</f>
        <v>1</v>
      </c>
      <c r="AU51" s="207">
        <f>IF($B$18=250,DF_250Deductible,$C$18)</f>
        <v>1</v>
      </c>
    </row>
    <row r="52" spans="10:47" x14ac:dyDescent="0.2">
      <c r="J52" s="8"/>
      <c r="K52" s="146"/>
      <c r="L52" s="146"/>
      <c r="M52" s="146"/>
      <c r="N52" s="146"/>
      <c r="O52" s="146"/>
      <c r="Q52" s="185"/>
      <c r="R52" s="1226" t="s">
        <v>1019</v>
      </c>
      <c r="S52" s="208">
        <f>HLOOKUP($C$10,Table_StateRates,5,FALSE)</f>
        <v>1.38</v>
      </c>
      <c r="T52" s="208">
        <f>HLOOKUP($C$10,Table_StateRates,5,FALSE)</f>
        <v>1.38</v>
      </c>
      <c r="U52" s="208">
        <f>HLOOKUP($C$10,Table_StateRates,5,FALSE)</f>
        <v>1.38</v>
      </c>
      <c r="V52" s="208">
        <f>HLOOKUP($C$10,Table_StateRates,5,FALSE)</f>
        <v>1.38</v>
      </c>
      <c r="W52" s="208">
        <f>HLOOKUP($C$10,Table_StateRates,5,FALSE)</f>
        <v>1.38</v>
      </c>
      <c r="Y52" s="185"/>
      <c r="Z52" s="1226" t="s">
        <v>1019</v>
      </c>
      <c r="AA52" s="208">
        <f>HLOOKUP($C$10,Table_StateRates,5,FALSE)</f>
        <v>1.38</v>
      </c>
      <c r="AB52" s="208">
        <f>HLOOKUP($C$10,Table_StateRates,5,FALSE)</f>
        <v>1.38</v>
      </c>
      <c r="AC52" s="208">
        <f>HLOOKUP($C$10,Table_StateRates,5,FALSE)</f>
        <v>1.38</v>
      </c>
      <c r="AD52" s="208">
        <f>HLOOKUP($C$10,Table_StateRates,5,FALSE)</f>
        <v>1.38</v>
      </c>
      <c r="AE52" s="208">
        <f>HLOOKUP($C$10,Table_StateRates,5,FALSE)</f>
        <v>1.38</v>
      </c>
      <c r="AG52" s="185"/>
      <c r="AH52" s="1226" t="s">
        <v>1019</v>
      </c>
      <c r="AI52" s="208">
        <f>HLOOKUP($C$10,Table_StateRates,5,FALSE)</f>
        <v>1.38</v>
      </c>
      <c r="AJ52" s="208">
        <f>HLOOKUP($C$10,Table_StateRates,5,FALSE)</f>
        <v>1.38</v>
      </c>
      <c r="AK52" s="208">
        <f>HLOOKUP($C$10,Table_StateRates,5,FALSE)</f>
        <v>1.38</v>
      </c>
      <c r="AL52" s="208">
        <f>HLOOKUP($C$10,Table_StateRates,5,FALSE)</f>
        <v>1.38</v>
      </c>
      <c r="AM52" s="208">
        <f>HLOOKUP($C$10,Table_StateRates,5,FALSE)</f>
        <v>1.38</v>
      </c>
      <c r="AO52" s="185"/>
      <c r="AP52" s="1226" t="s">
        <v>1019</v>
      </c>
      <c r="AQ52" s="208">
        <f>HLOOKUP($C$10,Table_StateRates,5,FALSE)</f>
        <v>1.38</v>
      </c>
      <c r="AR52" s="208">
        <f>HLOOKUP($C$10,Table_StateRates,5,FALSE)</f>
        <v>1.38</v>
      </c>
      <c r="AS52" s="208">
        <f>HLOOKUP($C$10,Table_StateRates,5,FALSE)</f>
        <v>1.38</v>
      </c>
      <c r="AT52" s="208">
        <f>HLOOKUP($C$10,Table_StateRates,5,FALSE)</f>
        <v>1.38</v>
      </c>
      <c r="AU52" s="208">
        <f>HLOOKUP($C$10,Table_StateRates,5,FALSE)</f>
        <v>1.38</v>
      </c>
    </row>
    <row r="53" spans="10:47" x14ac:dyDescent="0.2">
      <c r="J53" s="8"/>
      <c r="K53" s="146"/>
      <c r="L53" s="146"/>
      <c r="M53" s="146"/>
      <c r="N53" s="146"/>
      <c r="O53" s="146"/>
      <c r="Q53" s="60"/>
      <c r="R53" s="83" t="s">
        <v>2281</v>
      </c>
      <c r="S53" s="1315">
        <f>ROUND(PRODUCT(S48:S52),3)</f>
        <v>0</v>
      </c>
      <c r="T53" s="1315">
        <f>ROUND(PRODUCT(T48:T52),3)</f>
        <v>0</v>
      </c>
      <c r="U53" s="1315">
        <f>ROUND(PRODUCT(U48:U52),3)</f>
        <v>0</v>
      </c>
      <c r="V53" s="1315">
        <f>ROUND(PRODUCT(V48:V52),3)</f>
        <v>0</v>
      </c>
      <c r="W53" s="1315">
        <f>ROUND(PRODUCT(W48:W52),3)</f>
        <v>0</v>
      </c>
      <c r="Y53" s="60"/>
      <c r="Z53" s="83" t="s">
        <v>2282</v>
      </c>
      <c r="AA53" s="1315">
        <f>ROUND(PRODUCT(AA49:AA52),3)</f>
        <v>0</v>
      </c>
      <c r="AB53" s="1315">
        <f>ROUND(PRODUCT(AB49:AB52),3)</f>
        <v>0</v>
      </c>
      <c r="AC53" s="1315">
        <f>ROUND(PRODUCT(AC49:AC52),3)</f>
        <v>0</v>
      </c>
      <c r="AD53" s="1315">
        <f>ROUND(PRODUCT(AD49:AD52),3)</f>
        <v>0</v>
      </c>
      <c r="AE53" s="1315">
        <f>ROUND(PRODUCT(AE49:AE52),3)</f>
        <v>0</v>
      </c>
      <c r="AG53" s="60"/>
      <c r="AH53" s="83" t="s">
        <v>2281</v>
      </c>
      <c r="AI53" s="1315">
        <f>ROUND(PRODUCT(AI49:AI52),3)</f>
        <v>0</v>
      </c>
      <c r="AJ53" s="1315">
        <f>ROUND(PRODUCT(AJ49:AJ52),3)</f>
        <v>0</v>
      </c>
      <c r="AK53" s="1315">
        <f>ROUND(PRODUCT(AK49:AK52),3)</f>
        <v>0</v>
      </c>
      <c r="AL53" s="1315">
        <f>ROUND(PRODUCT(AL49:AL52),3)</f>
        <v>0</v>
      </c>
      <c r="AM53" s="1315">
        <f>ROUND(PRODUCT(AM49:AM52),3)</f>
        <v>0</v>
      </c>
      <c r="AO53" s="60"/>
      <c r="AP53" s="83" t="s">
        <v>2282</v>
      </c>
      <c r="AQ53" s="1315">
        <f>ROUND(PRODUCT(AQ49:AQ52),3)</f>
        <v>0</v>
      </c>
      <c r="AR53" s="1315">
        <f>ROUND(PRODUCT(AR49:AR52),3)</f>
        <v>0</v>
      </c>
      <c r="AS53" s="1315">
        <f>ROUND(PRODUCT(AS49:AS52),3)</f>
        <v>0</v>
      </c>
      <c r="AT53" s="1315">
        <f>ROUND(PRODUCT(AT49:AT52),3)</f>
        <v>0</v>
      </c>
      <c r="AU53" s="1315">
        <f>ROUND(PRODUCT(AU49:AU52),3)</f>
        <v>0</v>
      </c>
    </row>
    <row r="54" spans="10:47" x14ac:dyDescent="0.2">
      <c r="J54" s="8"/>
      <c r="K54" s="146"/>
      <c r="L54" s="146"/>
      <c r="M54" s="146"/>
      <c r="N54" s="146"/>
      <c r="O54" s="146"/>
      <c r="Q54" s="60"/>
      <c r="R54" s="83"/>
      <c r="S54" s="1312"/>
      <c r="T54" s="1312"/>
      <c r="U54" s="1312"/>
      <c r="V54" s="1312"/>
      <c r="W54" s="1312"/>
      <c r="AG54" s="60"/>
      <c r="AH54" s="83"/>
      <c r="AI54" s="1312"/>
      <c r="AJ54" s="1312"/>
      <c r="AK54" s="1312"/>
      <c r="AL54" s="1312"/>
      <c r="AM54" s="1312"/>
    </row>
    <row r="55" spans="10:47" x14ac:dyDescent="0.2">
      <c r="J55" s="8"/>
      <c r="K55" s="146"/>
      <c r="L55" s="146"/>
      <c r="M55" s="146"/>
      <c r="N55" s="146"/>
      <c r="O55" s="146"/>
      <c r="Q55" s="60" t="s">
        <v>2183</v>
      </c>
      <c r="R55" s="83"/>
      <c r="S55" s="1312"/>
      <c r="T55" s="1312"/>
      <c r="U55" s="1312"/>
      <c r="V55" s="1312"/>
      <c r="W55" s="1312"/>
      <c r="Y55" s="60" t="s">
        <v>2183</v>
      </c>
      <c r="Z55" s="83"/>
      <c r="AA55" s="1312"/>
      <c r="AB55" s="1312"/>
      <c r="AC55" s="1312"/>
      <c r="AD55" s="1312"/>
      <c r="AE55" s="1312"/>
      <c r="AG55" s="60" t="s">
        <v>2183</v>
      </c>
      <c r="AH55" s="83"/>
      <c r="AI55" s="1312"/>
      <c r="AJ55" s="1312"/>
      <c r="AK55" s="1312"/>
      <c r="AL55" s="1312"/>
      <c r="AM55" s="1312"/>
      <c r="AO55" s="60" t="s">
        <v>2183</v>
      </c>
      <c r="AP55" s="83"/>
      <c r="AQ55" s="1312"/>
      <c r="AR55" s="1312"/>
      <c r="AS55" s="1312"/>
      <c r="AT55" s="1312"/>
      <c r="AU55" s="1312"/>
    </row>
    <row r="56" spans="10:47" x14ac:dyDescent="0.2">
      <c r="J56" s="8"/>
      <c r="K56" s="146"/>
      <c r="L56" s="146"/>
      <c r="M56" s="146"/>
      <c r="N56" s="146"/>
      <c r="O56" s="146"/>
      <c r="R56" s="1117" t="s">
        <v>2184</v>
      </c>
      <c r="S56" s="478">
        <f>IF(ISNUMBER($I4),$I4,0)</f>
        <v>0</v>
      </c>
      <c r="T56" s="478">
        <f>IF(ISNUMBER($I5),$I5,0)</f>
        <v>0</v>
      </c>
      <c r="U56" s="478">
        <f>IF(ISNUMBER($I6),$I6,0)</f>
        <v>0</v>
      </c>
      <c r="V56" s="478">
        <f>IF(ISNUMBER($I7),$I7,0)</f>
        <v>0</v>
      </c>
      <c r="W56" s="478">
        <f>IF(ISNUMBER($I8),$I8,0)</f>
        <v>0</v>
      </c>
      <c r="Z56" s="1117" t="s">
        <v>2184</v>
      </c>
      <c r="AA56" s="478">
        <f>IF(ISNUMBER($I$4),$I$4,0)</f>
        <v>0</v>
      </c>
      <c r="AB56" s="478">
        <f>IF(ISNUMBER($I$5),$I$5,0)</f>
        <v>0</v>
      </c>
      <c r="AC56" s="478">
        <f>IF(ISNUMBER($I$6),$I$6,0)</f>
        <v>0</v>
      </c>
      <c r="AD56" s="478">
        <f>IF(ISNUMBER($I$7),$I$7,0)</f>
        <v>0</v>
      </c>
      <c r="AE56" s="478">
        <f>IF(ISNUMBER($I$8),$I$8,0)</f>
        <v>0</v>
      </c>
      <c r="AH56" s="1117" t="s">
        <v>2184</v>
      </c>
      <c r="AI56" s="478">
        <f>IF(ISNUMBER($I13),$I13,0)</f>
        <v>0</v>
      </c>
      <c r="AJ56" s="478">
        <f>IF(ISNUMBER($I14),$I14,0)</f>
        <v>0</v>
      </c>
      <c r="AK56" s="478">
        <f>IF(ISNUMBER($I15),$I15,0)</f>
        <v>0</v>
      </c>
      <c r="AL56" s="478">
        <f>IF(ISNUMBER($I16),$I16,0)</f>
        <v>0</v>
      </c>
      <c r="AM56" s="478">
        <f>IF(ISNUMBER($I17),$I17,0)</f>
        <v>0</v>
      </c>
      <c r="AP56" s="1117" t="s">
        <v>2184</v>
      </c>
      <c r="AQ56" s="478">
        <f>IF(ISNUMBER($I$13),$I$13,0)</f>
        <v>0</v>
      </c>
      <c r="AR56" s="478">
        <f>IF(ISNUMBER($I$14),$I$14,0)</f>
        <v>0</v>
      </c>
      <c r="AS56" s="478">
        <f>IF(ISNUMBER($I$15),$I$15,0)</f>
        <v>0</v>
      </c>
      <c r="AT56" s="478">
        <f>IF(ISNUMBER($I$16),$I$16,0)</f>
        <v>0</v>
      </c>
      <c r="AU56" s="478">
        <f>IF(ISNUMBER($I$17),$I$17,0)</f>
        <v>0</v>
      </c>
    </row>
    <row r="57" spans="10:47" x14ac:dyDescent="0.2">
      <c r="J57" s="8"/>
      <c r="K57" s="146"/>
      <c r="L57" s="146"/>
      <c r="M57" s="146"/>
      <c r="N57" s="146"/>
      <c r="O57" s="146"/>
      <c r="Q57" s="185"/>
      <c r="R57" s="1226" t="s">
        <v>2185</v>
      </c>
      <c r="S57" s="238">
        <f>$I$9</f>
        <v>0</v>
      </c>
      <c r="T57" s="238">
        <f>$I$9</f>
        <v>0</v>
      </c>
      <c r="U57" s="238">
        <f>$I$9</f>
        <v>0</v>
      </c>
      <c r="V57" s="238">
        <f>$I$9</f>
        <v>0</v>
      </c>
      <c r="W57" s="238">
        <f>$I$9</f>
        <v>0</v>
      </c>
      <c r="Y57" s="185"/>
      <c r="Z57" s="1226" t="s">
        <v>2185</v>
      </c>
      <c r="AA57" s="238">
        <f>$I$9</f>
        <v>0</v>
      </c>
      <c r="AB57" s="238">
        <f t="shared" ref="AB57:AE57" si="7">$I$9</f>
        <v>0</v>
      </c>
      <c r="AC57" s="238">
        <f t="shared" si="7"/>
        <v>0</v>
      </c>
      <c r="AD57" s="238">
        <f t="shared" si="7"/>
        <v>0</v>
      </c>
      <c r="AE57" s="238">
        <f t="shared" si="7"/>
        <v>0</v>
      </c>
      <c r="AG57" s="185"/>
      <c r="AH57" s="1226" t="s">
        <v>2185</v>
      </c>
      <c r="AI57" s="238">
        <f>$I$18</f>
        <v>0</v>
      </c>
      <c r="AJ57" s="238">
        <f t="shared" ref="AJ57:AM57" si="8">$I$18</f>
        <v>0</v>
      </c>
      <c r="AK57" s="238">
        <f t="shared" si="8"/>
        <v>0</v>
      </c>
      <c r="AL57" s="238">
        <f t="shared" si="8"/>
        <v>0</v>
      </c>
      <c r="AM57" s="238">
        <f t="shared" si="8"/>
        <v>0</v>
      </c>
      <c r="AO57" s="185"/>
      <c r="AP57" s="1226" t="s">
        <v>2185</v>
      </c>
      <c r="AQ57" s="238">
        <f>$I$18</f>
        <v>0</v>
      </c>
      <c r="AR57" s="238">
        <f t="shared" ref="AR57:AU57" si="9">$I$18</f>
        <v>0</v>
      </c>
      <c r="AS57" s="238">
        <f t="shared" si="9"/>
        <v>0</v>
      </c>
      <c r="AT57" s="238">
        <f t="shared" si="9"/>
        <v>0</v>
      </c>
      <c r="AU57" s="238">
        <f t="shared" si="9"/>
        <v>0</v>
      </c>
    </row>
    <row r="58" spans="10:47" x14ac:dyDescent="0.2">
      <c r="J58" s="8"/>
      <c r="K58" s="146"/>
      <c r="L58" s="146"/>
      <c r="M58" s="146"/>
      <c r="N58" s="146"/>
      <c r="O58" s="146"/>
      <c r="Q58" s="146"/>
      <c r="R58" s="301" t="s">
        <v>2187</v>
      </c>
      <c r="S58" s="1313" t="e">
        <f>ROUND(S56/S57,2)</f>
        <v>#DIV/0!</v>
      </c>
      <c r="T58" s="1313" t="e">
        <f>ROUND(T56/T57,2)</f>
        <v>#DIV/0!</v>
      </c>
      <c r="U58" s="1313" t="e">
        <f>ROUND(U56/U57,2)</f>
        <v>#DIV/0!</v>
      </c>
      <c r="V58" s="1313" t="e">
        <f>ROUND(V56/V57,2)</f>
        <v>#DIV/0!</v>
      </c>
      <c r="W58" s="1313" t="e">
        <f>ROUND(W56/W57,2)</f>
        <v>#DIV/0!</v>
      </c>
      <c r="Y58" s="146"/>
      <c r="Z58" s="301" t="s">
        <v>2187</v>
      </c>
      <c r="AA58" s="1313" t="e">
        <f>ROUND(AA56/AA57,2)</f>
        <v>#DIV/0!</v>
      </c>
      <c r="AB58" s="1313" t="e">
        <f>ROUND(AB56/AB57,2)</f>
        <v>#DIV/0!</v>
      </c>
      <c r="AC58" s="1313" t="e">
        <f>ROUND(AC56/AC57,2)</f>
        <v>#DIV/0!</v>
      </c>
      <c r="AD58" s="1313" t="e">
        <f>ROUND(AD56/AD57,2)</f>
        <v>#DIV/0!</v>
      </c>
      <c r="AE58" s="1313" t="e">
        <f>ROUND(AE56/AE57,2)</f>
        <v>#DIV/0!</v>
      </c>
      <c r="AG58" s="146"/>
      <c r="AH58" s="301" t="s">
        <v>2187</v>
      </c>
      <c r="AI58" s="1313" t="e">
        <f>ROUND(AI56/AI57,2)</f>
        <v>#DIV/0!</v>
      </c>
      <c r="AJ58" s="1313" t="e">
        <f>ROUND(AJ56/AJ57,2)</f>
        <v>#DIV/0!</v>
      </c>
      <c r="AK58" s="1313" t="e">
        <f>ROUND(AK56/AK57,2)</f>
        <v>#DIV/0!</v>
      </c>
      <c r="AL58" s="1313" t="e">
        <f>ROUND(AL56/AL57,2)</f>
        <v>#DIV/0!</v>
      </c>
      <c r="AM58" s="1313" t="e">
        <f>ROUND(AM56/AM57,2)</f>
        <v>#DIV/0!</v>
      </c>
      <c r="AO58" s="146"/>
      <c r="AP58" s="301" t="s">
        <v>2187</v>
      </c>
      <c r="AQ58" s="1313" t="e">
        <f>ROUND(AQ56/AQ57,2)</f>
        <v>#DIV/0!</v>
      </c>
      <c r="AR58" s="1313" t="e">
        <f>ROUND(AR56/AR57,2)</f>
        <v>#DIV/0!</v>
      </c>
      <c r="AS58" s="1313" t="e">
        <f>ROUND(AS56/AS57,2)</f>
        <v>#DIV/0!</v>
      </c>
      <c r="AT58" s="1313" t="e">
        <f>ROUND(AT56/AT57,2)</f>
        <v>#DIV/0!</v>
      </c>
      <c r="AU58" s="1313" t="e">
        <f>ROUND(AU56/AU57,2)</f>
        <v>#DIV/0!</v>
      </c>
    </row>
    <row r="59" spans="10:47" x14ac:dyDescent="0.2">
      <c r="J59" s="146"/>
      <c r="K59" s="146"/>
      <c r="L59" s="146"/>
      <c r="M59" s="146"/>
      <c r="N59" s="146"/>
      <c r="O59" s="146"/>
      <c r="Q59" s="185"/>
      <c r="R59" s="1226" t="s">
        <v>2188</v>
      </c>
      <c r="S59" s="238">
        <f>PRODUCT(0.9,$I$9)</f>
        <v>0</v>
      </c>
      <c r="T59" s="238">
        <f>PRODUCT(0.9,$I$9)</f>
        <v>0</v>
      </c>
      <c r="U59" s="238">
        <f>PRODUCT(0.9,$I$9)</f>
        <v>0</v>
      </c>
      <c r="V59" s="238">
        <f>PRODUCT(0.9,$I$9)</f>
        <v>0</v>
      </c>
      <c r="W59" s="238">
        <f>PRODUCT(0.9,$I$9)</f>
        <v>0</v>
      </c>
      <c r="Y59" s="185"/>
      <c r="Z59" s="1226" t="s">
        <v>2188</v>
      </c>
      <c r="AA59" s="238">
        <f>PRODUCT(0.9,$I$9)</f>
        <v>0</v>
      </c>
      <c r="AB59" s="238">
        <f>PRODUCT(0.9,$I$9)</f>
        <v>0</v>
      </c>
      <c r="AC59" s="238">
        <f>PRODUCT(0.9,$I$9)</f>
        <v>0</v>
      </c>
      <c r="AD59" s="238">
        <f>PRODUCT(0.9,$I$9)</f>
        <v>0</v>
      </c>
      <c r="AE59" s="238">
        <f>PRODUCT(0.9,$I$9)</f>
        <v>0</v>
      </c>
      <c r="AG59" s="185"/>
      <c r="AH59" s="1226" t="s">
        <v>2188</v>
      </c>
      <c r="AI59" s="238">
        <f>PRODUCT(0.9,$I$18)</f>
        <v>0</v>
      </c>
      <c r="AJ59" s="238">
        <f>PRODUCT(0.9,$I$18)</f>
        <v>0</v>
      </c>
      <c r="AK59" s="238">
        <f>PRODUCT(0.9,$I$18)</f>
        <v>0</v>
      </c>
      <c r="AL59" s="238">
        <f>PRODUCT(0.9,$I$18)</f>
        <v>0</v>
      </c>
      <c r="AM59" s="238">
        <f>PRODUCT(0.9,$I$18)</f>
        <v>0</v>
      </c>
      <c r="AO59" s="185"/>
      <c r="AP59" s="1226" t="s">
        <v>2188</v>
      </c>
      <c r="AQ59" s="238">
        <f>PRODUCT(0.9,$I$18)</f>
        <v>0</v>
      </c>
      <c r="AR59" s="238">
        <f>PRODUCT(0.9,$I$18)</f>
        <v>0</v>
      </c>
      <c r="AS59" s="238">
        <f>PRODUCT(0.9,$I$18)</f>
        <v>0</v>
      </c>
      <c r="AT59" s="238">
        <f>PRODUCT(0.9,$I$18)</f>
        <v>0</v>
      </c>
      <c r="AU59" s="238">
        <f>PRODUCT(0.9,$I$18)</f>
        <v>0</v>
      </c>
    </row>
    <row r="60" spans="10:47" x14ac:dyDescent="0.2">
      <c r="K60" s="146"/>
      <c r="L60" s="146"/>
      <c r="M60" s="146"/>
      <c r="N60" s="146"/>
      <c r="O60" s="146"/>
      <c r="R60" s="83" t="s">
        <v>2189</v>
      </c>
      <c r="S60" s="248" t="e">
        <f>PRODUCT(S58:S59)</f>
        <v>#DIV/0!</v>
      </c>
      <c r="T60" s="248" t="e">
        <f>PRODUCT(T58:T59)</f>
        <v>#DIV/0!</v>
      </c>
      <c r="U60" s="248" t="e">
        <f>PRODUCT(U58:U59)</f>
        <v>#DIV/0!</v>
      </c>
      <c r="V60" s="248" t="e">
        <f>PRODUCT(V58:V59)</f>
        <v>#DIV/0!</v>
      </c>
      <c r="W60" s="248" t="e">
        <f>PRODUCT(W58:W59)</f>
        <v>#DIV/0!</v>
      </c>
      <c r="Z60" s="83" t="s">
        <v>2189</v>
      </c>
      <c r="AA60" s="248" t="e">
        <f>PRODUCT(AA58:AA59)</f>
        <v>#DIV/0!</v>
      </c>
      <c r="AB60" s="248" t="e">
        <f>PRODUCT(AB58:AB59)</f>
        <v>#DIV/0!</v>
      </c>
      <c r="AC60" s="248" t="e">
        <f>PRODUCT(AC58:AC59)</f>
        <v>#DIV/0!</v>
      </c>
      <c r="AD60" s="248" t="e">
        <f>PRODUCT(AD58:AD59)</f>
        <v>#DIV/0!</v>
      </c>
      <c r="AE60" s="248" t="e">
        <f>PRODUCT(AE58:AE59)</f>
        <v>#DIV/0!</v>
      </c>
      <c r="AH60" s="83" t="s">
        <v>2189</v>
      </c>
      <c r="AI60" s="248" t="e">
        <f>PRODUCT(AI58:AI59)</f>
        <v>#DIV/0!</v>
      </c>
      <c r="AJ60" s="248" t="e">
        <f>PRODUCT(AJ58:AJ59)</f>
        <v>#DIV/0!</v>
      </c>
      <c r="AK60" s="248" t="e">
        <f>PRODUCT(AK58:AK59)</f>
        <v>#DIV/0!</v>
      </c>
      <c r="AL60" s="248" t="e">
        <f>PRODUCT(AL58:AL59)</f>
        <v>#DIV/0!</v>
      </c>
      <c r="AM60" s="248" t="e">
        <f>PRODUCT(AM58:AM59)</f>
        <v>#DIV/0!</v>
      </c>
      <c r="AP60" s="83" t="s">
        <v>2189</v>
      </c>
      <c r="AQ60" s="248" t="e">
        <f>PRODUCT(AQ58:AQ59)</f>
        <v>#DIV/0!</v>
      </c>
      <c r="AR60" s="248" t="e">
        <f>PRODUCT(AR58:AR59)</f>
        <v>#DIV/0!</v>
      </c>
      <c r="AS60" s="248" t="e">
        <f>PRODUCT(AS58:AS59)</f>
        <v>#DIV/0!</v>
      </c>
      <c r="AT60" s="248" t="e">
        <f>PRODUCT(AT58:AT59)</f>
        <v>#DIV/0!</v>
      </c>
      <c r="AU60" s="248" t="e">
        <f>PRODUCT(AU58:AU59)</f>
        <v>#DIV/0!</v>
      </c>
    </row>
    <row r="61" spans="10:47" x14ac:dyDescent="0.2">
      <c r="K61" s="146"/>
      <c r="L61" s="146"/>
      <c r="M61" s="146"/>
      <c r="N61" s="146"/>
      <c r="O61" s="146"/>
      <c r="Q61" s="1332"/>
      <c r="R61" s="1333" t="s">
        <v>2193</v>
      </c>
      <c r="S61" s="1334" t="e">
        <f>IF(S60=0,"N/A",IF(ISNA(MATCH(S60,List_LOI_Bldg,0)),VLOOKUP(S60,List_LOI_Bldg,1,TRUE),"N/A"))</f>
        <v>#DIV/0!</v>
      </c>
      <c r="T61" s="1334" t="e">
        <f>IF(T60=0,"N/A",IF(ISNA(MATCH(T60,List_LOI_Bldg,0)),VLOOKUP(T60,List_LOI_Bldg,1,TRUE),"N/A"))</f>
        <v>#DIV/0!</v>
      </c>
      <c r="U61" s="1334" t="e">
        <f>IF(U60=0,"N/A",IF(ISNA(MATCH(U60,List_LOI_Bldg,0)),VLOOKUP(U60,List_LOI_Bldg,1,TRUE),"N/A"))</f>
        <v>#DIV/0!</v>
      </c>
      <c r="V61" s="1335" t="e">
        <f>IF(V60=0,"N/A",IF(ISNA(MATCH(V60,List_LOI_Bldg,0)),VLOOKUP(V60,List_LOI_Bldg,1,TRUE),"N/A"))</f>
        <v>#DIV/0!</v>
      </c>
      <c r="W61" s="1335" t="e">
        <f>IF(W60=0,"N/A",IF(ISNA(MATCH(W60,List_LOI_Bldg,0)),VLOOKUP(W60,List_LOI_Bldg,1,TRUE),"N/A"))</f>
        <v>#DIV/0!</v>
      </c>
      <c r="Y61" s="1332"/>
      <c r="Z61" s="1333" t="s">
        <v>2193</v>
      </c>
      <c r="AA61" s="1334" t="e">
        <f>IF(AA60=0,"N/A",IF(ISNA(MATCH(AA60,List_LOI_Bldg,0)),VLOOKUP(AA60,List_LOI_Bldg,1,TRUE),"N/A"))</f>
        <v>#DIV/0!</v>
      </c>
      <c r="AB61" s="1334" t="e">
        <f>IF(AB60=0,"N/A",IF(ISNA(MATCH(AB60,List_LOI_Bldg,0)),VLOOKUP(AB60,List_LOI_Bldg,1,TRUE),"N/A"))</f>
        <v>#DIV/0!</v>
      </c>
      <c r="AC61" s="1335" t="e">
        <f>IF(AC60=0,"N/A",IF(ISNA(MATCH(AC60,List_LOI_Bldg,0)),VLOOKUP(AC60,List_LOI_Bldg,1,TRUE),"N/A"))</f>
        <v>#DIV/0!</v>
      </c>
      <c r="AD61" s="1335" t="e">
        <f>IF(AD60=0,"N/A",IF(ISNA(MATCH(AD60,List_LOI_Bldg,0)),VLOOKUP(AD60,List_LOI_Bldg,1,TRUE),"N/A"))</f>
        <v>#DIV/0!</v>
      </c>
      <c r="AE61" s="1335" t="e">
        <f>IF(AE60=0,"N/A",IF(ISNA(MATCH(AE60,List_LOI_Bldg,0)),VLOOKUP(AE60,List_LOI_Bldg,1,TRUE),"N/A"))</f>
        <v>#DIV/0!</v>
      </c>
      <c r="AG61" s="1332"/>
      <c r="AH61" s="1333" t="s">
        <v>2193</v>
      </c>
      <c r="AI61" s="1334" t="e">
        <f>IF(AI60=0,"N/A",IF(ISNA(MATCH(AI60,List_LOI_PP,0)),VLOOKUP(AI60,List_LOI_PP,1,TRUE),"N/A"))</f>
        <v>#DIV/0!</v>
      </c>
      <c r="AJ61" s="1334" t="e">
        <f>IF(AJ60=0,"N/A",IF(ISNA(MATCH(AJ60,List_LOI_PP,0)),VLOOKUP(AJ60,List_LOI_PP,1,TRUE),"N/A"))</f>
        <v>#DIV/0!</v>
      </c>
      <c r="AK61" s="1334" t="e">
        <f>IF(AK60=0,"N/A",IF(ISNA(MATCH(AK60,List_LOI_PP,0)),VLOOKUP(AK60,List_LOI_PP,1,TRUE),"N/A"))</f>
        <v>#DIV/0!</v>
      </c>
      <c r="AL61" s="1335" t="e">
        <f>IF(AL60=0,"N/A",IF(ISNA(MATCH(AL60,List_LOI_PP,0)),VLOOKUP(AL60,List_LOI_PP,1,TRUE),"N/A"))</f>
        <v>#DIV/0!</v>
      </c>
      <c r="AM61" s="1335" t="e">
        <f>IF(AM60=0,"N/A",IF(ISNA(MATCH(AM60,List_LOI_PP,0)),VLOOKUP(AM60,List_LOI_PP,1,TRUE),"N/A"))</f>
        <v>#DIV/0!</v>
      </c>
      <c r="AO61" s="1332"/>
      <c r="AP61" s="1333" t="s">
        <v>2193</v>
      </c>
      <c r="AQ61" s="1334" t="e">
        <f>IF(AQ60=0,"N/A",IF(ISNA(MATCH(AQ60,List_LOI_PP,0)),VLOOKUP(AQ60,List_LOI_PP,1,TRUE),"N/A"))</f>
        <v>#DIV/0!</v>
      </c>
      <c r="AR61" s="1334" t="e">
        <f>IF(AR60=0,"N/A",IF(ISNA(MATCH(AR60,List_LOI_PP,0)),VLOOKUP(AR60,List_LOI_PP,1,TRUE),"N/A"))</f>
        <v>#DIV/0!</v>
      </c>
      <c r="AS61" s="1335" t="e">
        <f>IF(AS60=0,"N/A",IF(ISNA(MATCH(AS60,List_LOI_PP,0)),VLOOKUP(AS60,List_LOI_PP,1,TRUE),"N/A"))</f>
        <v>#DIV/0!</v>
      </c>
      <c r="AT61" s="1335" t="e">
        <f>IF(AT60=0,"N/A",IF(ISNA(MATCH(AT60,List_LOI_PP,0)),VLOOKUP(AT60,List_LOI_PP,1,TRUE),"N/A"))</f>
        <v>#DIV/0!</v>
      </c>
      <c r="AU61" s="1335" t="e">
        <f>IF(AU60=0,"N/A",IF(ISNA(MATCH(AU60,List_LOI_PP,0)),VLOOKUP(AU60,List_LOI_PP,1,TRUE),"N/A"))</f>
        <v>#DIV/0!</v>
      </c>
    </row>
    <row r="62" spans="10:47" x14ac:dyDescent="0.2">
      <c r="K62" s="146"/>
      <c r="L62" s="146"/>
      <c r="M62" s="146"/>
      <c r="N62" s="146"/>
      <c r="O62" s="146"/>
      <c r="Q62" s="1336"/>
      <c r="R62" s="1337" t="s">
        <v>2194</v>
      </c>
      <c r="S62" s="1338" t="e">
        <f>IF(S61="N/A",0,INDEX(List_LOI_Bldg,MATCH(S61,List_LOI_Bldg,0)+1,1))</f>
        <v>#DIV/0!</v>
      </c>
      <c r="T62" s="1338" t="e">
        <f>IF(T61="N/A",0,INDEX(List_LOI_Bldg,MATCH(T61,List_LOI_Bldg,0)+1,1))</f>
        <v>#DIV/0!</v>
      </c>
      <c r="U62" s="1338" t="e">
        <f>IF(U61="N/A",0,INDEX(List_LOI_Bldg,MATCH(U61,List_LOI_Bldg,0)+1,1))</f>
        <v>#DIV/0!</v>
      </c>
      <c r="V62" s="1338" t="e">
        <f>IF(V61="N/A",0,INDEX(List_LOI_Bldg,MATCH(V61,List_LOI_Bldg,0)+1,1))</f>
        <v>#DIV/0!</v>
      </c>
      <c r="W62" s="1338" t="e">
        <f>IF(W61="N/A",0,INDEX(List_LOI_Bldg,MATCH(W61,List_LOI_Bldg,0)+1,1))</f>
        <v>#DIV/0!</v>
      </c>
      <c r="Y62" s="1336"/>
      <c r="Z62" s="1337" t="s">
        <v>2194</v>
      </c>
      <c r="AA62" s="1338" t="e">
        <f>IF(AA61="N/A",0,INDEX(List_LOI_Bldg,MATCH(AA61,List_LOI_Bldg,0)+1,1))</f>
        <v>#DIV/0!</v>
      </c>
      <c r="AB62" s="1338" t="e">
        <f>IF(AB61="N/A",0,INDEX(List_LOI_Bldg,MATCH(AB61,List_LOI_Bldg,0)+1,1))</f>
        <v>#DIV/0!</v>
      </c>
      <c r="AC62" s="1338" t="e">
        <f>IF(AC61="N/A",0,INDEX(List_LOI_Bldg,MATCH(AC61,List_LOI_Bldg,0)+1,1))</f>
        <v>#DIV/0!</v>
      </c>
      <c r="AD62" s="1338" t="e">
        <f>IF(AD61="N/A",0,INDEX(List_LOI_Bldg,MATCH(AD61,List_LOI_Bldg,0)+1,1))</f>
        <v>#DIV/0!</v>
      </c>
      <c r="AE62" s="1338" t="e">
        <f>IF(AE61="N/A",0,INDEX(List_LOI_Bldg,MATCH(AE61,List_LOI_Bldg,0)+1,1))</f>
        <v>#DIV/0!</v>
      </c>
      <c r="AG62" s="1336"/>
      <c r="AH62" s="1337" t="s">
        <v>2194</v>
      </c>
      <c r="AI62" s="1338" t="e">
        <f>IF(AI61="N/A",0,INDEX(List_LOI_PP,MATCH(AI61,List_LOI_PP,0)+1,1))</f>
        <v>#DIV/0!</v>
      </c>
      <c r="AJ62" s="1338" t="e">
        <f>IF(AJ61="N/A",0,INDEX(List_LOI_PP,MATCH(AJ61,List_LOI_PP,0)+1,1))</f>
        <v>#DIV/0!</v>
      </c>
      <c r="AK62" s="1338" t="e">
        <f>IF(AK61="N/A",0,INDEX(List_LOI_PP,MATCH(AK61,List_LOI_PP,0)+1,1))</f>
        <v>#DIV/0!</v>
      </c>
      <c r="AL62" s="1338" t="e">
        <f>IF(AL61="N/A",0,INDEX(List_LOI_PP,MATCH(AL61,List_LOI_PP,0)+1,1))</f>
        <v>#DIV/0!</v>
      </c>
      <c r="AM62" s="1338" t="e">
        <f>IF(AM61="N/A",0,INDEX(List_LOI_PP,MATCH(AM61,List_LOI_PP,0)+1,1))</f>
        <v>#DIV/0!</v>
      </c>
      <c r="AO62" s="1336"/>
      <c r="AP62" s="1337" t="s">
        <v>2194</v>
      </c>
      <c r="AQ62" s="1338" t="e">
        <f>IF(AQ61="N/A",0,INDEX(List_LOI_PP,MATCH(AQ61,List_LOI_PP,0)+1,1))</f>
        <v>#DIV/0!</v>
      </c>
      <c r="AR62" s="1338" t="e">
        <f>IF(AR61="N/A",0,INDEX(List_LOI_PP,MATCH(AR61,List_LOI_PP,0)+1,1))</f>
        <v>#DIV/0!</v>
      </c>
      <c r="AS62" s="1338" t="e">
        <f>IF(AS61="N/A",0,INDEX(List_LOI_PP,MATCH(AS61,List_LOI_PP,0)+1,1))</f>
        <v>#DIV/0!</v>
      </c>
      <c r="AT62" s="1338" t="e">
        <f>IF(AT61="N/A",0,INDEX(List_LOI_PP,MATCH(AT61,List_LOI_PP,0)+1,1))</f>
        <v>#DIV/0!</v>
      </c>
      <c r="AU62" s="1338" t="e">
        <f>IF(AU61="N/A",0,INDEX(List_LOI_PP,MATCH(AU61,List_LOI_PP,0)+1,1))</f>
        <v>#DIV/0!</v>
      </c>
    </row>
    <row r="63" spans="10:47" x14ac:dyDescent="0.2">
      <c r="Q63" s="185"/>
      <c r="R63" s="1226" t="s">
        <v>2195</v>
      </c>
      <c r="S63" s="1457" t="e">
        <f>IF(S60=0,0,IF(AND(S61="N/A",S60&gt;0),VLOOKUP(S60,Table_LOI_Bldg,MATCH("SP",List_Relatives,0)+1,FALSE),
ROUND(VLOOKUP(S61,Table_LOI_Bldg,MATCH("SP",List_Relatives,0)+1,FALSE) -
ROUND(PRODUCT((VLOOKUP(S61,Table_LOI_Bldg,MATCH("SP",List_Relatives,0)+1,FALSE) - VLOOKUP(S62,Table_LOI_Bldg,MATCH("SP",List_Relatives,0)+1,FALSE)),S60-S61)/(S62-S61),4),4)))</f>
        <v>#DIV/0!</v>
      </c>
      <c r="T63" s="1457" t="e">
        <f>IF(T60=0,0,IF(AND(T61="N/A",T60&gt;0),VLOOKUP(T60,Table_LOI_Bldg,MATCH("SP",List_Relatives,0)+1,FALSE),
ROUND(VLOOKUP(T61,Table_LOI_Bldg,MATCH("SP",List_Relatives,0)+1,FALSE) -
ROUND(PRODUCT((VLOOKUP(T61,Table_LOI_Bldg,MATCH("SP",List_Relatives,0)+1,FALSE) - VLOOKUP(T62,Table_LOI_Bldg,MATCH("SP",List_Relatives,0)+1,FALSE)),T60-T61)/(T62-T61),4),4)))</f>
        <v>#DIV/0!</v>
      </c>
      <c r="U63" s="1457" t="e">
        <f>IF(U60=0,0,IF(AND(U61="N/A",U60&gt;0),VLOOKUP(U60,Table_LOI_Bldg,MATCH("SP",List_Relatives,0)+1,FALSE),
ROUND(VLOOKUP(U61,Table_LOI_Bldg,MATCH("SP",List_Relatives,0)+1,FALSE) -
ROUND(PRODUCT((VLOOKUP(U61,Table_LOI_Bldg,MATCH("SP",List_Relatives,0)+1,FALSE) - VLOOKUP(U62,Table_LOI_Bldg,MATCH("SP",List_Relatives,0)+1,FALSE)),U60-U61)/(U62-U61),4),4)))</f>
        <v>#DIV/0!</v>
      </c>
      <c r="V63" s="1457" t="e">
        <f>IF(V60=0,0,IF(AND(V61="N/A",V60&gt;0),VLOOKUP(V60,Table_LOI_Bldg,MATCH("SP",List_Relatives,0)+1,FALSE),
ROUND(VLOOKUP(V61,Table_LOI_Bldg,MATCH("SP",List_Relatives,0)+1,FALSE) -
ROUND(PRODUCT((VLOOKUP(V61,Table_LOI_Bldg,MATCH("SP",List_Relatives,0)+1,FALSE) - VLOOKUP(V62,Table_LOI_Bldg,MATCH("SP",List_Relatives,0)+1,FALSE)),V60-V61)/(V62-V61),4),4)))</f>
        <v>#DIV/0!</v>
      </c>
      <c r="W63" s="1457" t="e">
        <f>IF(W60=0,0,IF(AND(W61="N/A",W60&gt;0),VLOOKUP(W60,Table_LOI_Bldg,MATCH("SP",List_Relatives,0)+1,FALSE),
ROUND(VLOOKUP(W61,Table_LOI_Bldg,MATCH("SP",List_Relatives,0)+1,FALSE) -
ROUND(PRODUCT((VLOOKUP(W61,Table_LOI_Bldg,MATCH("SP",List_Relatives,0)+1,FALSE) - VLOOKUP(W62,Table_LOI_Bldg,MATCH("SP",List_Relatives,0)+1,FALSE)),W60-W61)/(W62-W61),4),4)))</f>
        <v>#DIV/0!</v>
      </c>
      <c r="Y63" s="185"/>
      <c r="Z63" s="1226" t="s">
        <v>2195</v>
      </c>
      <c r="AA63" s="1457" t="e">
        <f>IF(AA60=0,0,IF(AND(AA61="N/A",AA60&gt;0),VLOOKUP(AA60,Table_LOI_Bldg,MATCH("BR",List_Relatives,0)+1,FALSE),
ROUND(VLOOKUP(AA61,Table_LOI_Bldg,MATCH("BR",List_Relatives,0)+1,FALSE) -
ROUND(PRODUCT((VLOOKUP(AA61,Table_LOI_Bldg,MATCH("BR",List_Relatives,0)+1,FALSE) - VLOOKUP(AA62,Table_LOI_Bldg,MATCH("BR",List_Relatives,0)+1,FALSE)),AA60-AA61)/(AA62-AA61),4),4)))</f>
        <v>#DIV/0!</v>
      </c>
      <c r="AB63" s="1457" t="e">
        <f>IF(AB60=0,0,IF(AND(AB61="N/A",AB60&gt;0),VLOOKUP(AB60,Table_LOI_Bldg,MATCH("BR",List_Relatives,0)+1,FALSE),
ROUND(VLOOKUP(AB61,Table_LOI_Bldg,MATCH("BR",List_Relatives,0)+1,FALSE) -
ROUND(PRODUCT((VLOOKUP(AB61,Table_LOI_Bldg,MATCH("BR",List_Relatives,0)+1,FALSE) - VLOOKUP(AB62,Table_LOI_Bldg,MATCH("BR",List_Relatives,0)+1,FALSE)),AB60-AB61)/(AB62-AB61),4),4)))</f>
        <v>#DIV/0!</v>
      </c>
      <c r="AC63" s="1457" t="e">
        <f>IF(AC60=0,0,IF(AND(AC61="N/A",AC60&gt;0),VLOOKUP(AC60,Table_LOI_Bldg,MATCH("BR",List_Relatives,0)+1,FALSE),
ROUND(VLOOKUP(AC61,Table_LOI_Bldg,MATCH("BR",List_Relatives,0)+1,FALSE) -
ROUND(PRODUCT((VLOOKUP(AC61,Table_LOI_Bldg,MATCH("BR",List_Relatives,0)+1,FALSE) - VLOOKUP(AC62,Table_LOI_Bldg,MATCH("BR",List_Relatives,0)+1,FALSE)),AC60-AC61)/(AC62-AC61),4),4)))</f>
        <v>#DIV/0!</v>
      </c>
      <c r="AD63" s="1457" t="e">
        <f>IF(AD60=0,0,IF(AND(AD61="N/A",AD60&gt;0),VLOOKUP(AD60,Table_LOI_Bldg,MATCH($G41,List_Relatives,0)+1,FALSE),
ROUND(VLOOKUP(AD61,Table_LOI_Bldg,MATCH($G41,List_Relatives,0)+1,FALSE) -
ROUND(PRODUCT((VLOOKUP(AD61,Table_LOI_Bldg,MATCH($G41,List_Relatives,0)+1,FALSE) - VLOOKUP(AD62,Table_LOI_Bldg,MATCH($G41,List_Relatives,0)+1,FALSE)),AD60-AD61)/(AD62-AD61),4),4)))</f>
        <v>#DIV/0!</v>
      </c>
      <c r="AE63" s="1457" t="e">
        <f>IF(AE60=0,0,IF(AND(AE61="N/A",AE60&gt;0),VLOOKUP(AE60,Table_LOI_Bldg,MATCH($G42,List_Relatives,0)+1,FALSE),
ROUND(VLOOKUP(AE61,Table_LOI_Bldg,MATCH($G42,List_Relatives,0)+1,FALSE) -
ROUND(PRODUCT((VLOOKUP(AE61,Table_LOI_Bldg,MATCH($G42,List_Relatives,0)+1,FALSE) - VLOOKUP(AE62,Table_LOI_Bldg,MATCH($G42,List_Relatives,0)+1,FALSE)),AE60-AE61)/(AE62-AE61),4),4)))</f>
        <v>#DIV/0!</v>
      </c>
      <c r="AG63" s="185"/>
      <c r="AH63" s="1226" t="s">
        <v>2195</v>
      </c>
      <c r="AI63" s="1457" t="e">
        <f>IF(AI60=0,0,IF(AND(AI61="N/A",AI60&gt;0),VLOOKUP(AI60,Table_LOI_PP,MATCH("SP",List_Relatives,0)+1,FALSE),
ROUND(VLOOKUP(AI61,Table_LOI_PP,MATCH("SP",List_Relatives,0)+1,FALSE) -
ROUND(PRODUCT((VLOOKUP(AI61,Table_LOI_PP,MATCH("SP",List_Relatives,0)+1,FALSE) - VLOOKUP(AI62,Table_LOI_PP,MATCH("SP",List_Relatives,0)+1,FALSE)),AI60-AI61)/(AI62-AI61),4),4)))</f>
        <v>#DIV/0!</v>
      </c>
      <c r="AJ63" s="1457" t="e">
        <f>IF(AJ60=0,0,IF(AND(AJ61="N/A",AJ60&gt;0),VLOOKUP(AJ60,Table_LOI_PP,MATCH("SP",List_Relatives,0)+1,FALSE),
ROUND(VLOOKUP(AJ61,Table_LOI_PP,MATCH("SP",List_Relatives,0)+1,FALSE) -
ROUND(PRODUCT((VLOOKUP(AJ61,Table_LOI_PP,MATCH("SP",List_Relatives,0)+1,FALSE) - VLOOKUP(AJ62,Table_LOI_PP,MATCH("SP",List_Relatives,0)+1,FALSE)),AJ60-AJ61)/(AJ62-AJ61),4),4)))</f>
        <v>#DIV/0!</v>
      </c>
      <c r="AK63" s="1457" t="e">
        <f>IF(AK60=0,0,IF(AND(AK61="N/A",AK60&gt;0),VLOOKUP(AK60,Table_LOI_PP,MATCH("SP",List_Relatives,0)+1,FALSE),
ROUND(VLOOKUP(AK61,Table_LOI_PP,MATCH("SP",List_Relatives,0)+1,FALSE) -
ROUND(PRODUCT((VLOOKUP(AK61,Table_LOI_PP,MATCH("SP",List_Relatives,0)+1,FALSE) - VLOOKUP(AK62,Table_LOI_PP,MATCH("SP",List_Relatives,0)+1,FALSE)),AK60-AK61)/(AK62-AK61),4),4)))</f>
        <v>#DIV/0!</v>
      </c>
      <c r="AL63" s="1457" t="e">
        <f>IF(AL60=0,0,IF(AND(AL61="N/A",AL60&gt;0),VLOOKUP(AL60,Table_LOI_PP,MATCH("SP",List_Relatives,0)+1,FALSE),
ROUND(VLOOKUP(AL61,Table_LOI_PP,MATCH("SP",List_Relatives,0)+1,FALSE) -
ROUND(PRODUCT((VLOOKUP(AL61,Table_LOI_PP,MATCH("SP",List_Relatives,0)+1,FALSE) - VLOOKUP(AL62,Table_LOI_PP,MATCH("SP",List_Relatives,0)+1,FALSE)),AL60-AL61)/(AL62-AL61),4),4)))</f>
        <v>#DIV/0!</v>
      </c>
      <c r="AM63" s="1457" t="e">
        <f>IF(AM60=0,0,IF(AND(AM61="N/A",AM60&gt;0),VLOOKUP(AM60,Table_LOI_PP,MATCH("SP",List_Relatives,0)+1,FALSE),
ROUND(VLOOKUP(AM61,Table_LOI_PP,MATCH("SP",List_Relatives,0)+1,FALSE) -
ROUND(PRODUCT((VLOOKUP(AM61,Table_LOI_PP,MATCH("SP",List_Relatives,0)+1,FALSE) - VLOOKUP(AM62,Table_LOI_PP,MATCH("SP",List_Relatives,0)+1,FALSE)),AM60-AM61)/(AM62-AM61),4),4)))</f>
        <v>#DIV/0!</v>
      </c>
      <c r="AO63" s="185"/>
      <c r="AP63" s="1226" t="s">
        <v>2195</v>
      </c>
      <c r="AQ63" s="1457" t="e">
        <f>IF(AQ60=0,0,IF(AND(AQ61="N/A",AQ60&gt;0),VLOOKUP(AQ60,Table_LOI_PP,MATCH("BR",List_Relatives,0)+1,FALSE),
ROUND(VLOOKUP(AQ61,Table_LOI_PP,MATCH("BR",List_Relatives,0)+1,FALSE) -
ROUND(PRODUCT((VLOOKUP(AQ61,Table_LOI_PP,MATCH("BR",List_Relatives,0)+1,FALSE) - VLOOKUP(AQ62,Table_LOI_PP,MATCH("BR",List_Relatives,0)+1,FALSE)),AQ60-AQ61)/(AQ62-AQ61),4),4)))</f>
        <v>#DIV/0!</v>
      </c>
      <c r="AR63" s="1457" t="e">
        <f>IF(AR60=0,0,IF(AND(AR61="N/A",AR60&gt;0),VLOOKUP(AR60,Table_LOI_PP,MATCH("BR",List_Relatives,0)+1,FALSE),
ROUND(VLOOKUP(AR61,Table_LOI_PP,MATCH("BR",List_Relatives,0)+1,FALSE) -
ROUND(PRODUCT((VLOOKUP(AR61,Table_LOI_PP,MATCH("BR",List_Relatives,0)+1,FALSE) - VLOOKUP(AR62,Table_LOI_PP,MATCH("BR",List_Relatives,0)+1,FALSE)),AR60-AR61)/(AR62-AR61),4),4)))</f>
        <v>#DIV/0!</v>
      </c>
      <c r="AS63" s="1457" t="e">
        <f>IF(AS60=0,0,IF(AND(AS61="N/A",AS60&gt;0),VLOOKUP(AS60,Table_LOI_PP,MATCH("BR",List_Relatives,0)+1,FALSE),
ROUND(VLOOKUP(AS61,Table_LOI_PP,MATCH("BR",List_Relatives,0)+1,FALSE) -
ROUND(PRODUCT((VLOOKUP(AS61,Table_LOI_PP,MATCH("BR",List_Relatives,0)+1,FALSE) - VLOOKUP(AS62,Table_LOI_PP,MATCH("BR",List_Relatives,0)+1,FALSE)),AS60-AS61)/(AS62-AS61),4),4)))</f>
        <v>#DIV/0!</v>
      </c>
      <c r="AT63" s="1457" t="e">
        <f>IF(AT60=0,0,IF(AND(AT61="N/A",AT60&gt;0),VLOOKUP(AT60,Table_LOI_PP,MATCH($G131,List_Relatives,0)+1,FALSE),
ROUND(VLOOKUP(AT61,Table_LOI_PP,MATCH($G131,List_Relatives,0)+1,FALSE) -
ROUND(PRODUCT((VLOOKUP(AT61,Table_LOI_PP,MATCH($G131,List_Relatives,0)+1,FALSE) - VLOOKUP(AT62,Table_LOI_PP,MATCH($G131,List_Relatives,0)+1,FALSE)),AT60-AT61)/(AT62-AT61),4),4)))</f>
        <v>#DIV/0!</v>
      </c>
      <c r="AU63" s="1457" t="e">
        <f>IF(AU60=0,0,IF(AND(AU61="N/A",AU60&gt;0),VLOOKUP(AU60,Table_LOI_PP,MATCH($G132,List_Relatives,0)+1,FALSE),
ROUND(VLOOKUP(AU61,Table_LOI_PP,MATCH($G132,List_Relatives,0)+1,FALSE) -
ROUND(PRODUCT((VLOOKUP(AU61,Table_LOI_PP,MATCH($G132,List_Relatives,0)+1,FALSE) - VLOOKUP(AU62,Table_LOI_PP,MATCH($G132,List_Relatives,0)+1,FALSE)),AU60-AU61)/(AU62-AU61),4),4)))</f>
        <v>#DIV/0!</v>
      </c>
    </row>
    <row r="64" spans="10:47" x14ac:dyDescent="0.2">
      <c r="R64" s="83" t="s">
        <v>2196</v>
      </c>
      <c r="S64" s="247" t="e">
        <f>PRODUCT(S53,S63)</f>
        <v>#DIV/0!</v>
      </c>
      <c r="T64" s="247" t="e">
        <f>PRODUCT(T53,T63)</f>
        <v>#DIV/0!</v>
      </c>
      <c r="U64" s="2" t="e">
        <f>PRODUCT(U53,U63)</f>
        <v>#DIV/0!</v>
      </c>
      <c r="V64" s="2" t="e">
        <f>PRODUCT(V53,V63)</f>
        <v>#DIV/0!</v>
      </c>
      <c r="W64" s="2" t="e">
        <f>PRODUCT(W53,W63)</f>
        <v>#DIV/0!</v>
      </c>
      <c r="Z64" s="83" t="s">
        <v>2196</v>
      </c>
      <c r="AA64" s="2" t="e">
        <f>PRODUCT(AA53,AA63)</f>
        <v>#DIV/0!</v>
      </c>
      <c r="AB64" s="2" t="e">
        <f>PRODUCT(AB53,AB63)</f>
        <v>#DIV/0!</v>
      </c>
      <c r="AC64" s="2" t="e">
        <f>PRODUCT(AC53,AC63)</f>
        <v>#DIV/0!</v>
      </c>
      <c r="AD64" s="2" t="e">
        <f>PRODUCT(AD53,AD63)</f>
        <v>#DIV/0!</v>
      </c>
      <c r="AE64" s="2" t="e">
        <f>PRODUCT(AE53,AE63)</f>
        <v>#DIV/0!</v>
      </c>
      <c r="AH64" s="83" t="s">
        <v>2196</v>
      </c>
      <c r="AI64" s="247" t="e">
        <f>PRODUCT(AI53,AI63)</f>
        <v>#DIV/0!</v>
      </c>
      <c r="AJ64" s="247" t="e">
        <f>PRODUCT(AJ53,AJ63)</f>
        <v>#DIV/0!</v>
      </c>
      <c r="AK64" s="2" t="e">
        <f>PRODUCT(AK53,AK63)</f>
        <v>#DIV/0!</v>
      </c>
      <c r="AL64" s="2" t="e">
        <f>PRODUCT(AL53,AL63)</f>
        <v>#DIV/0!</v>
      </c>
      <c r="AM64" s="2" t="e">
        <f>PRODUCT(AM53,AM63)</f>
        <v>#DIV/0!</v>
      </c>
      <c r="AP64" s="83" t="s">
        <v>2196</v>
      </c>
      <c r="AQ64" s="2" t="e">
        <f>PRODUCT(AQ53,AQ63)</f>
        <v>#DIV/0!</v>
      </c>
      <c r="AR64" s="2" t="e">
        <f>PRODUCT(AR53,AR63)</f>
        <v>#DIV/0!</v>
      </c>
      <c r="AS64" s="2" t="e">
        <f>PRODUCT(AS53,AS63)</f>
        <v>#DIV/0!</v>
      </c>
      <c r="AT64" s="2" t="e">
        <f>PRODUCT(AT53,AT63)</f>
        <v>#DIV/0!</v>
      </c>
      <c r="AU64" s="2" t="e">
        <f>PRODUCT(AU53,AU63)</f>
        <v>#DIV/0!</v>
      </c>
    </row>
    <row r="65" spans="17:47" x14ac:dyDescent="0.2">
      <c r="R65" s="1117" t="s">
        <v>2330</v>
      </c>
      <c r="S65" s="247">
        <f>$C$14</f>
        <v>1</v>
      </c>
      <c r="T65" s="247">
        <f t="shared" ref="T65:W65" si="10">$C$14</f>
        <v>1</v>
      </c>
      <c r="U65" s="247">
        <f t="shared" si="10"/>
        <v>1</v>
      </c>
      <c r="V65" s="247">
        <f t="shared" si="10"/>
        <v>1</v>
      </c>
      <c r="W65" s="247">
        <f t="shared" si="10"/>
        <v>1</v>
      </c>
      <c r="Z65" s="1117" t="s">
        <v>2330</v>
      </c>
      <c r="AA65" s="247">
        <v>1</v>
      </c>
      <c r="AB65" s="247">
        <v>1</v>
      </c>
      <c r="AC65" s="247">
        <v>1</v>
      </c>
      <c r="AD65" s="247">
        <v>1</v>
      </c>
      <c r="AE65" s="247">
        <v>1</v>
      </c>
      <c r="AH65" s="1117" t="s">
        <v>2330</v>
      </c>
      <c r="AI65" s="247">
        <f>$C$14</f>
        <v>1</v>
      </c>
      <c r="AJ65" s="247">
        <f t="shared" ref="AJ65:AM65" si="11">$C$14</f>
        <v>1</v>
      </c>
      <c r="AK65" s="247">
        <f t="shared" si="11"/>
        <v>1</v>
      </c>
      <c r="AL65" s="247">
        <f t="shared" si="11"/>
        <v>1</v>
      </c>
      <c r="AM65" s="247">
        <f t="shared" si="11"/>
        <v>1</v>
      </c>
      <c r="AP65" s="1117" t="s">
        <v>2330</v>
      </c>
      <c r="AQ65" s="247">
        <v>1</v>
      </c>
      <c r="AR65" s="247">
        <v>1</v>
      </c>
      <c r="AS65" s="247">
        <v>1</v>
      </c>
      <c r="AT65" s="247">
        <v>1</v>
      </c>
      <c r="AU65" s="247">
        <v>1</v>
      </c>
    </row>
    <row r="66" spans="17:47" x14ac:dyDescent="0.2">
      <c r="Q66" s="185"/>
      <c r="R66" s="1226" t="s">
        <v>2197</v>
      </c>
      <c r="S66" s="238">
        <f>IF(ISNUMBER($I4),$I4,0)</f>
        <v>0</v>
      </c>
      <c r="T66" s="238">
        <f>IF(ISNUMBER($I5),$I5,0)</f>
        <v>0</v>
      </c>
      <c r="U66" s="238">
        <f>IF(ISNUMBER($I6),$I6,0)</f>
        <v>0</v>
      </c>
      <c r="V66" s="238">
        <f>IF(ISNUMBER($I7),$I7,0)</f>
        <v>0</v>
      </c>
      <c r="W66" s="238">
        <f>IF(ISNUMBER($I8),$I8,0)</f>
        <v>0</v>
      </c>
      <c r="Y66" s="185"/>
      <c r="Z66" s="1226" t="s">
        <v>2197</v>
      </c>
      <c r="AA66" s="238">
        <f>IF(ISNUMBER($I$4),$I$4,0)</f>
        <v>0</v>
      </c>
      <c r="AB66" s="238">
        <f>IF(ISNUMBER($I$5),$I$5,0)</f>
        <v>0</v>
      </c>
      <c r="AC66" s="238">
        <f>IF(ISNUMBER($I$6),$I$6,0)</f>
        <v>0</v>
      </c>
      <c r="AD66" s="238">
        <f>IF(ISNUMBER($I$7),$I$7,0)</f>
        <v>0</v>
      </c>
      <c r="AE66" s="238">
        <f>IF(ISNUMBER($I$8),$I$8,0)</f>
        <v>0</v>
      </c>
      <c r="AG66" s="185"/>
      <c r="AH66" s="1226" t="s">
        <v>2197</v>
      </c>
      <c r="AI66" s="238">
        <f>IF(ISNUMBER($I13),$I13,0)</f>
        <v>0</v>
      </c>
      <c r="AJ66" s="238">
        <f>IF(ISNUMBER($I14),$I14,0)</f>
        <v>0</v>
      </c>
      <c r="AK66" s="238">
        <f>IF(ISNUMBER($I15),$I15,0)</f>
        <v>0</v>
      </c>
      <c r="AL66" s="238">
        <f>IF(ISNUMBER($I16),$I16,0)</f>
        <v>0</v>
      </c>
      <c r="AM66" s="238">
        <f>IF(ISNUMBER($I17),$I17,0)</f>
        <v>0</v>
      </c>
      <c r="AO66" s="185"/>
      <c r="AP66" s="1226" t="s">
        <v>2197</v>
      </c>
      <c r="AQ66" s="238">
        <f>IF(ISNUMBER($I13),$I13,0)</f>
        <v>0</v>
      </c>
      <c r="AR66" s="238">
        <f>IF(ISNUMBER($I14),$I14,0)</f>
        <v>0</v>
      </c>
      <c r="AS66" s="238">
        <f>IF(ISNUMBER($I15),$I15,0)</f>
        <v>0</v>
      </c>
      <c r="AT66" s="238">
        <f>IF(ISNUMBER($I16),$I16,0)</f>
        <v>0</v>
      </c>
      <c r="AU66" s="238">
        <f>IF(ISNUMBER($I17),$I17,0)</f>
        <v>0</v>
      </c>
    </row>
    <row r="67" spans="17:47" x14ac:dyDescent="0.2">
      <c r="R67" s="83" t="s">
        <v>2198</v>
      </c>
      <c r="S67" s="1339" t="e">
        <f>PRODUCT(S64:S66)</f>
        <v>#DIV/0!</v>
      </c>
      <c r="T67" s="1339" t="e">
        <f>PRODUCT(T64:T66)</f>
        <v>#DIV/0!</v>
      </c>
      <c r="U67" s="1339" t="e">
        <f>PRODUCT(U64:U66)</f>
        <v>#DIV/0!</v>
      </c>
      <c r="V67" s="1339" t="e">
        <f>PRODUCT(V64:V66)</f>
        <v>#DIV/0!</v>
      </c>
      <c r="W67" s="1339" t="e">
        <f>PRODUCT(W64:W66)</f>
        <v>#DIV/0!</v>
      </c>
      <c r="Z67" s="83" t="s">
        <v>2198</v>
      </c>
      <c r="AA67" s="1339" t="e">
        <f>PRODUCT(AA64:AA66)</f>
        <v>#DIV/0!</v>
      </c>
      <c r="AB67" s="1339" t="e">
        <f>PRODUCT(AB64:AB66)</f>
        <v>#DIV/0!</v>
      </c>
      <c r="AC67" s="1339" t="e">
        <f>PRODUCT(AC64:AC66)</f>
        <v>#DIV/0!</v>
      </c>
      <c r="AD67" s="1339" t="e">
        <f>PRODUCT(AD64:AD66)</f>
        <v>#DIV/0!</v>
      </c>
      <c r="AE67" s="1339" t="e">
        <f>PRODUCT(AE64:AE66)</f>
        <v>#DIV/0!</v>
      </c>
      <c r="AH67" s="83" t="s">
        <v>2198</v>
      </c>
      <c r="AI67" s="1339" t="e">
        <f>PRODUCT(AI64:AI66)</f>
        <v>#DIV/0!</v>
      </c>
      <c r="AJ67" s="1339" t="e">
        <f>PRODUCT(AJ64:AJ66)</f>
        <v>#DIV/0!</v>
      </c>
      <c r="AK67" s="1339" t="e">
        <f>PRODUCT(AK64:AK66)</f>
        <v>#DIV/0!</v>
      </c>
      <c r="AL67" s="1339" t="e">
        <f>PRODUCT(AL64:AL66)</f>
        <v>#DIV/0!</v>
      </c>
      <c r="AM67" s="1339" t="e">
        <f>PRODUCT(AM64:AM66)</f>
        <v>#DIV/0!</v>
      </c>
      <c r="AP67" s="83" t="s">
        <v>2198</v>
      </c>
      <c r="AQ67" s="1339" t="e">
        <f>PRODUCT(AQ64:AQ66)</f>
        <v>#DIV/0!</v>
      </c>
      <c r="AR67" s="1339" t="e">
        <f>PRODUCT(AR64:AR66)</f>
        <v>#DIV/0!</v>
      </c>
      <c r="AS67" s="1339" t="e">
        <f>PRODUCT(AS64:AS66)</f>
        <v>#DIV/0!</v>
      </c>
      <c r="AT67" s="1339" t="e">
        <f>PRODUCT(AT64:AT66)</f>
        <v>#DIV/0!</v>
      </c>
      <c r="AU67" s="1339" t="e">
        <f>PRODUCT(AU64:AU66)</f>
        <v>#DIV/0!</v>
      </c>
    </row>
    <row r="69" spans="17:47" x14ac:dyDescent="0.2">
      <c r="Q69" s="60" t="s">
        <v>2199</v>
      </c>
      <c r="Y69" s="60" t="s">
        <v>2199</v>
      </c>
      <c r="AG69" s="60" t="s">
        <v>2199</v>
      </c>
      <c r="AO69" s="60" t="s">
        <v>2199</v>
      </c>
    </row>
    <row r="70" spans="17:47" x14ac:dyDescent="0.2">
      <c r="R70" s="1117" t="s">
        <v>2200</v>
      </c>
      <c r="S70" s="1339" t="e">
        <f>SUM(S67:W67)</f>
        <v>#DIV/0!</v>
      </c>
      <c r="Z70" s="1117" t="s">
        <v>2200</v>
      </c>
      <c r="AA70" s="1339" t="e">
        <f>SUM(AA67:AE67)</f>
        <v>#DIV/0!</v>
      </c>
      <c r="AH70" s="1117" t="s">
        <v>2200</v>
      </c>
      <c r="AI70" s="1339" t="e">
        <f>SUM(AI67:AM67)</f>
        <v>#DIV/0!</v>
      </c>
      <c r="AP70" s="1117" t="s">
        <v>2200</v>
      </c>
      <c r="AQ70" s="1339" t="e">
        <f>SUM(AQ67:AU67)</f>
        <v>#DIV/0!</v>
      </c>
    </row>
    <row r="71" spans="17:47" x14ac:dyDescent="0.2">
      <c r="Q71" s="185"/>
      <c r="R71" s="1226" t="s">
        <v>2186</v>
      </c>
      <c r="S71" s="238">
        <f>$I$9</f>
        <v>0</v>
      </c>
      <c r="Y71" s="185"/>
      <c r="Z71" s="1226" t="s">
        <v>2186</v>
      </c>
      <c r="AA71" s="238">
        <f>$I$9</f>
        <v>0</v>
      </c>
      <c r="AG71" s="185"/>
      <c r="AH71" s="1226" t="s">
        <v>2186</v>
      </c>
      <c r="AI71" s="238">
        <f>$I$18</f>
        <v>0</v>
      </c>
      <c r="AO71" s="185"/>
      <c r="AP71" s="1226" t="s">
        <v>2186</v>
      </c>
      <c r="AQ71" s="238">
        <f>$I$18</f>
        <v>0</v>
      </c>
    </row>
    <row r="72" spans="17:47" x14ac:dyDescent="0.2">
      <c r="R72" s="1117" t="s">
        <v>2201</v>
      </c>
      <c r="S72" s="2" t="e">
        <f>ROUND(S70/S71,3)</f>
        <v>#DIV/0!</v>
      </c>
      <c r="Z72" s="1117" t="s">
        <v>2229</v>
      </c>
      <c r="AA72" s="2" t="e">
        <f>ROUND(AA70/AA71,4)</f>
        <v>#DIV/0!</v>
      </c>
      <c r="AH72" s="1117" t="s">
        <v>2201</v>
      </c>
      <c r="AI72" s="2" t="e">
        <f>ROUND(AI70/AI71,3)</f>
        <v>#DIV/0!</v>
      </c>
      <c r="AP72" s="1117" t="s">
        <v>2229</v>
      </c>
      <c r="AQ72" s="2" t="e">
        <f>ROUND(AQ70/AQ71,4)</f>
        <v>#DIV/0!</v>
      </c>
    </row>
    <row r="73" spans="17:47" x14ac:dyDescent="0.2">
      <c r="Q73" s="146"/>
      <c r="R73" s="1210" t="s">
        <v>2202</v>
      </c>
      <c r="S73" s="299">
        <f>VLOOKUP($C$15,Table_CoIns_Blanket,2,0)</f>
        <v>0.95</v>
      </c>
      <c r="Y73" s="146"/>
      <c r="Z73" s="1210" t="s">
        <v>2202</v>
      </c>
      <c r="AA73" s="299">
        <f>VLOOKUP($C$15,Table_CoIns_Blanket,2,0)</f>
        <v>0.95</v>
      </c>
      <c r="AG73" s="146"/>
      <c r="AH73" s="1210" t="s">
        <v>2202</v>
      </c>
      <c r="AI73" s="299">
        <f>VLOOKUP($C$15,Table_CoIns_Blanket,2,0)</f>
        <v>0.95</v>
      </c>
      <c r="AO73" s="146"/>
      <c r="AP73" s="1210" t="s">
        <v>2202</v>
      </c>
      <c r="AQ73" s="299">
        <f>VLOOKUP($C$15,Table_CoIns_Blanket,2,0)</f>
        <v>0.95</v>
      </c>
    </row>
    <row r="74" spans="17:47" x14ac:dyDescent="0.2">
      <c r="Q74" s="185"/>
      <c r="R74" s="1226" t="s">
        <v>1020</v>
      </c>
      <c r="S74" s="208">
        <f>IF($C$6="PAC",VLOOKUP(B7,Table_PakMods,MATCH($C$10,List_Company,0)+1,FALSE),1)</f>
        <v>1</v>
      </c>
      <c r="Y74" s="185"/>
      <c r="Z74" s="1226" t="s">
        <v>1020</v>
      </c>
      <c r="AA74" s="208">
        <f>IF($C$6="PAC",VLOOKUP(B7,Table_PakMods,MATCH($C$10,List_Company,0)+1,FALSE),1)</f>
        <v>1</v>
      </c>
      <c r="AG74" s="185"/>
      <c r="AH74" s="1226" t="s">
        <v>1020</v>
      </c>
      <c r="AI74" s="208">
        <f>IF($C$6="PAC",VLOOKUP(B7,Table_PakMods,MATCH($C$10,List_Company,0)+1,FALSE),1)</f>
        <v>1</v>
      </c>
      <c r="AO74" s="185"/>
      <c r="AP74" s="1226" t="s">
        <v>1020</v>
      </c>
      <c r="AQ74" s="208">
        <f>IF($C$6="PAC",VLOOKUP(B7,Table_PakMods,MATCH($C$10,List_Company,0)+1,FALSE),1)</f>
        <v>1</v>
      </c>
    </row>
    <row r="75" spans="17:47" x14ac:dyDescent="0.2">
      <c r="R75" s="83" t="s">
        <v>2203</v>
      </c>
      <c r="S75" s="60" t="e">
        <f>ROUND(PRODUCT(S72:S74),3)</f>
        <v>#DIV/0!</v>
      </c>
      <c r="Z75" s="83" t="s">
        <v>2230</v>
      </c>
      <c r="AA75" s="60" t="e">
        <f>ROUND(PRODUCT(AA72:AA74),3)</f>
        <v>#DIV/0!</v>
      </c>
      <c r="AH75" s="83" t="s">
        <v>2203</v>
      </c>
      <c r="AI75" s="60" t="e">
        <f>ROUND(PRODUCT(AI72:AI74),3)</f>
        <v>#DIV/0!</v>
      </c>
      <c r="AP75" s="83" t="s">
        <v>2230</v>
      </c>
      <c r="AQ75" s="60" t="e">
        <f>ROUND(PRODUCT(AQ72:AQ74),3)</f>
        <v>#DIV/0!</v>
      </c>
    </row>
    <row r="77" spans="17:47" x14ac:dyDescent="0.2">
      <c r="Q77" s="60" t="s">
        <v>2209</v>
      </c>
      <c r="S77" s="235" t="s">
        <v>2176</v>
      </c>
      <c r="T77" s="235" t="s">
        <v>2177</v>
      </c>
      <c r="U77" s="235" t="s">
        <v>2178</v>
      </c>
      <c r="V77" s="235" t="s">
        <v>2179</v>
      </c>
      <c r="W77" s="235" t="s">
        <v>2180</v>
      </c>
      <c r="Y77" s="60" t="s">
        <v>2209</v>
      </c>
      <c r="AA77" s="235" t="s">
        <v>2176</v>
      </c>
      <c r="AB77" s="235" t="s">
        <v>2177</v>
      </c>
      <c r="AC77" s="235" t="s">
        <v>2178</v>
      </c>
      <c r="AD77" s="235" t="s">
        <v>2179</v>
      </c>
      <c r="AE77" s="235" t="s">
        <v>2180</v>
      </c>
      <c r="AG77" s="60" t="s">
        <v>2209</v>
      </c>
      <c r="AI77" s="235" t="s">
        <v>2176</v>
      </c>
      <c r="AJ77" s="235" t="s">
        <v>2177</v>
      </c>
      <c r="AK77" s="235" t="s">
        <v>2178</v>
      </c>
      <c r="AL77" s="235" t="s">
        <v>2179</v>
      </c>
      <c r="AM77" s="235" t="s">
        <v>2180</v>
      </c>
      <c r="AO77" s="60" t="s">
        <v>2209</v>
      </c>
      <c r="AQ77" s="235" t="s">
        <v>2176</v>
      </c>
      <c r="AR77" s="235" t="s">
        <v>2177</v>
      </c>
      <c r="AS77" s="235" t="s">
        <v>2178</v>
      </c>
      <c r="AT77" s="235" t="s">
        <v>2179</v>
      </c>
      <c r="AU77" s="235" t="s">
        <v>2180</v>
      </c>
    </row>
    <row r="78" spans="17:47" x14ac:dyDescent="0.2">
      <c r="Q78" s="1227"/>
      <c r="R78" s="1117" t="s">
        <v>2212</v>
      </c>
      <c r="S78" s="478">
        <f>IF(ISNUMBER($I$4),$I$4/100,0)</f>
        <v>0</v>
      </c>
      <c r="T78" s="478">
        <f>IF(ISNUMBER($I$5),$I$5/100,0)</f>
        <v>0</v>
      </c>
      <c r="U78" s="478">
        <f>IF(ISNUMBER($I$6),$I$6/100,0)</f>
        <v>0</v>
      </c>
      <c r="V78" s="478">
        <f>IF(ISNUMBER($I$7),$I$7/100,0)</f>
        <v>0</v>
      </c>
      <c r="W78" s="478">
        <f>IF(ISNUMBER($I$8),$I$8/100,0)</f>
        <v>0</v>
      </c>
      <c r="Y78" s="1227"/>
      <c r="Z78" s="1117" t="s">
        <v>2212</v>
      </c>
      <c r="AA78" s="478">
        <f>IF(ISNUMBER($I$4),$I$4/100,0)</f>
        <v>0</v>
      </c>
      <c r="AB78" s="478">
        <f>IF(ISNUMBER($I$5),$I$5/100,0)</f>
        <v>0</v>
      </c>
      <c r="AC78" s="478">
        <f>IF(ISNUMBER($I$6),$I$6/100,0)</f>
        <v>0</v>
      </c>
      <c r="AD78" s="478">
        <f>IF(ISNUMBER($I$7),$I$7/100,0)</f>
        <v>0</v>
      </c>
      <c r="AE78" s="478">
        <f>IF(ISNUMBER($I$8),$I$8/100,0)</f>
        <v>0</v>
      </c>
      <c r="AG78" s="1227"/>
      <c r="AH78" s="1117" t="s">
        <v>2212</v>
      </c>
      <c r="AI78" s="478">
        <f>IF(ISNUMBER($I$13),$I$13/100,0)</f>
        <v>0</v>
      </c>
      <c r="AJ78" s="478">
        <f>IF(ISNUMBER($I$14),$I$14/100,0)</f>
        <v>0</v>
      </c>
      <c r="AK78" s="478">
        <f>IF(ISNUMBER($I$15),$I$15/100,0)</f>
        <v>0</v>
      </c>
      <c r="AL78" s="478">
        <f>IF(ISNUMBER($I$16),$I$16/100,0)</f>
        <v>0</v>
      </c>
      <c r="AM78" s="478">
        <f>IF(ISNUMBER($I$17),$I$17/100,0)</f>
        <v>0</v>
      </c>
      <c r="AO78" s="1227"/>
      <c r="AP78" s="1117" t="s">
        <v>2212</v>
      </c>
      <c r="AQ78" s="478">
        <f>IF(ISNUMBER($I$13),$I$13/100,0)</f>
        <v>0</v>
      </c>
      <c r="AR78" s="478">
        <f>IF(ISNUMBER($I$14),$I$14/100,0)</f>
        <v>0</v>
      </c>
      <c r="AS78" s="478">
        <f>IF(ISNUMBER($I$15),$I$15/100,0)</f>
        <v>0</v>
      </c>
      <c r="AT78" s="478">
        <f>IF(ISNUMBER($I$16),$I$16/100,0)</f>
        <v>0</v>
      </c>
      <c r="AU78" s="478">
        <f>IF(ISNUMBER($I$17),$I$17/100,0)</f>
        <v>0</v>
      </c>
    </row>
    <row r="79" spans="17:47" x14ac:dyDescent="0.2">
      <c r="Q79" s="185"/>
      <c r="R79" s="1226" t="s">
        <v>2210</v>
      </c>
      <c r="S79" s="185" t="e">
        <f>$S$75</f>
        <v>#DIV/0!</v>
      </c>
      <c r="T79" s="185" t="e">
        <f t="shared" ref="T79:W79" si="12">$S$75</f>
        <v>#DIV/0!</v>
      </c>
      <c r="U79" s="185" t="e">
        <f t="shared" si="12"/>
        <v>#DIV/0!</v>
      </c>
      <c r="V79" s="185" t="e">
        <f t="shared" si="12"/>
        <v>#DIV/0!</v>
      </c>
      <c r="W79" s="185" t="e">
        <f t="shared" si="12"/>
        <v>#DIV/0!</v>
      </c>
      <c r="Y79" s="185"/>
      <c r="Z79" s="1226" t="s">
        <v>2210</v>
      </c>
      <c r="AA79" s="455" t="e">
        <f>$AA$75</f>
        <v>#DIV/0!</v>
      </c>
      <c r="AB79" s="455" t="e">
        <f t="shared" ref="AB79:AE79" si="13">$AA$75</f>
        <v>#DIV/0!</v>
      </c>
      <c r="AC79" s="455" t="e">
        <f t="shared" si="13"/>
        <v>#DIV/0!</v>
      </c>
      <c r="AD79" s="455" t="e">
        <f t="shared" si="13"/>
        <v>#DIV/0!</v>
      </c>
      <c r="AE79" s="455" t="e">
        <f t="shared" si="13"/>
        <v>#DIV/0!</v>
      </c>
      <c r="AG79" s="185"/>
      <c r="AH79" s="1226" t="s">
        <v>2210</v>
      </c>
      <c r="AI79" s="185" t="e">
        <f>$AI$75</f>
        <v>#DIV/0!</v>
      </c>
      <c r="AJ79" s="185" t="e">
        <f t="shared" ref="AJ79:AM79" si="14">$AI$75</f>
        <v>#DIV/0!</v>
      </c>
      <c r="AK79" s="185" t="e">
        <f t="shared" si="14"/>
        <v>#DIV/0!</v>
      </c>
      <c r="AL79" s="185" t="e">
        <f t="shared" si="14"/>
        <v>#DIV/0!</v>
      </c>
      <c r="AM79" s="185" t="e">
        <f t="shared" si="14"/>
        <v>#DIV/0!</v>
      </c>
      <c r="AO79" s="185"/>
      <c r="AP79" s="1226" t="s">
        <v>2210</v>
      </c>
      <c r="AQ79" s="455" t="e">
        <f>$AQ$75</f>
        <v>#DIV/0!</v>
      </c>
      <c r="AR79" s="455" t="e">
        <f t="shared" ref="AR79:AU79" si="15">$AQ$75</f>
        <v>#DIV/0!</v>
      </c>
      <c r="AS79" s="455" t="e">
        <f t="shared" si="15"/>
        <v>#DIV/0!</v>
      </c>
      <c r="AT79" s="455" t="e">
        <f t="shared" si="15"/>
        <v>#DIV/0!</v>
      </c>
      <c r="AU79" s="455" t="e">
        <f t="shared" si="15"/>
        <v>#DIV/0!</v>
      </c>
    </row>
    <row r="80" spans="17:47" x14ac:dyDescent="0.2">
      <c r="R80" s="83" t="s">
        <v>2211</v>
      </c>
      <c r="S80" s="248" t="e">
        <f>ROUND(PRODUCT(S78:S79),0)</f>
        <v>#DIV/0!</v>
      </c>
      <c r="T80" s="248" t="e">
        <f>ROUND(PRODUCT(T78:T79),0)</f>
        <v>#DIV/0!</v>
      </c>
      <c r="U80" s="248" t="e">
        <f>ROUND(PRODUCT(U78:U79),0)</f>
        <v>#DIV/0!</v>
      </c>
      <c r="V80" s="248" t="e">
        <f>ROUND(PRODUCT(V78:V79),0)</f>
        <v>#DIV/0!</v>
      </c>
      <c r="W80" s="248" t="e">
        <f>ROUND(PRODUCT(W78:W79),0)</f>
        <v>#DIV/0!</v>
      </c>
      <c r="Z80" s="83" t="s">
        <v>2231</v>
      </c>
      <c r="AA80" s="248" t="e">
        <f>ROUND(PRODUCT(AA78:AA79),0)</f>
        <v>#DIV/0!</v>
      </c>
      <c r="AB80" s="248" t="e">
        <f>ROUND(PRODUCT(AB78:AB79),0)</f>
        <v>#DIV/0!</v>
      </c>
      <c r="AC80" s="248" t="e">
        <f>ROUND(PRODUCT(AC78:AC79),0)</f>
        <v>#DIV/0!</v>
      </c>
      <c r="AD80" s="248" t="e">
        <f>ROUND(PRODUCT(AD78:AD79),0)</f>
        <v>#DIV/0!</v>
      </c>
      <c r="AE80" s="248" t="e">
        <f>ROUND(PRODUCT(AE78:AE79),0)</f>
        <v>#DIV/0!</v>
      </c>
      <c r="AH80" s="83" t="s">
        <v>2211</v>
      </c>
      <c r="AI80" s="248" t="e">
        <f>ROUND(PRODUCT(AI78:AI79),0)</f>
        <v>#DIV/0!</v>
      </c>
      <c r="AJ80" s="248" t="e">
        <f>ROUND(PRODUCT(AJ78:AJ79),0)</f>
        <v>#DIV/0!</v>
      </c>
      <c r="AK80" s="248" t="e">
        <f>ROUND(PRODUCT(AK78:AK79),0)</f>
        <v>#DIV/0!</v>
      </c>
      <c r="AL80" s="248" t="e">
        <f>ROUND(PRODUCT(AL78:AL79),0)</f>
        <v>#DIV/0!</v>
      </c>
      <c r="AM80" s="248" t="e">
        <f>ROUND(PRODUCT(AM78:AM79),0)</f>
        <v>#DIV/0!</v>
      </c>
      <c r="AP80" s="83" t="s">
        <v>2231</v>
      </c>
      <c r="AQ80" s="248" t="e">
        <f>ROUND(PRODUCT(AQ78:AQ79),0)</f>
        <v>#DIV/0!</v>
      </c>
      <c r="AR80" s="248" t="e">
        <f>ROUND(PRODUCT(AR78:AR79),0)</f>
        <v>#DIV/0!</v>
      </c>
      <c r="AS80" s="248" t="e">
        <f>ROUND(PRODUCT(AS78:AS79),0)</f>
        <v>#DIV/0!</v>
      </c>
      <c r="AT80" s="248" t="e">
        <f>ROUND(PRODUCT(AT78:AT79),0)</f>
        <v>#DIV/0!</v>
      </c>
      <c r="AU80" s="248" t="e">
        <f>ROUND(PRODUCT(AU78:AU79),0)</f>
        <v>#DIV/0!</v>
      </c>
    </row>
  </sheetData>
  <mergeCells count="9">
    <mergeCell ref="Q46:W46"/>
    <mergeCell ref="Y46:AE46"/>
    <mergeCell ref="AG46:AM46"/>
    <mergeCell ref="AO46:AU46"/>
    <mergeCell ref="K1:O1"/>
    <mergeCell ref="Q1:W1"/>
    <mergeCell ref="Y1:AE1"/>
    <mergeCell ref="AG1:AM1"/>
    <mergeCell ref="AO1:AU1"/>
  </mergeCells>
  <conditionalFormatting sqref="E22:I26">
    <cfRule type="expression" dxfId="39" priority="4">
      <formula>IF($C$23="Yes",TRUE,FALSE)</formula>
    </cfRule>
  </conditionalFormatting>
  <conditionalFormatting sqref="E31:I35">
    <cfRule type="expression" dxfId="38" priority="3">
      <formula>IF($C$24="Yes",TRUE,FALSE)</formula>
    </cfRule>
  </conditionalFormatting>
  <conditionalFormatting sqref="E13:I17">
    <cfRule type="expression" dxfId="37" priority="2">
      <formula>IF($C$22="Yes",TRUE,FALSE)</formula>
    </cfRule>
  </conditionalFormatting>
  <conditionalFormatting sqref="E4:I8">
    <cfRule type="expression" dxfId="36" priority="1">
      <formula>IF($C$21="Yes",TRUE,FALSE)</formula>
    </cfRule>
  </conditionalFormatting>
  <dataValidations count="15">
    <dataValidation type="list" allowBlank="1" showInputMessage="1" showErrorMessage="1" promptTitle="Coverage Selection" prompt="Please Select:_x000a_{ Yes or No }" sqref="C21:C24">
      <formula1>List_YN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list" allowBlank="1" showInputMessage="1" showErrorMessage="1" promptTitle="Please Select Cause of Loss:" prompt="BA  = Basic_x000a_BR  = Broad_x000a_SP  = Special" sqref="C11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list" allowBlank="1" showInputMessage="1" showErrorMessage="1" promptTitle="Special - Cause of Loss" prompt="Please select:_x000a_1 - Including Theft_x000a_2 - Excluding Theft" sqref="C12">
      <formula1>IF($C$11="SP",List_SPTheft,List_No)</formula1>
    </dataValidation>
    <dataValidation type="list" allowBlank="1" showInputMessage="1" showErrorMessage="1" promptTitle="Protection Class:" prompt="Please select a number (1 - 10)" sqref="F13:F17">
      <formula1>OFFSET(Table_ProtClass,0,0,,1)</formula1>
    </dataValidation>
    <dataValidation type="list" allowBlank="1" showInputMessage="1" showErrorMessage="1" promptTitle="Class Code Selection" prompt="Please select your building class code" sqref="E4:E8 E13:E17 E22:F26 E31:F35">
      <formula1>OFFSET(Table_G1_LC,0,0,,1)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G4:G8 G13:G17 G22:G26 G31:G35">
      <formula1>List_ConstrNum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H4:H8 H13:H17 H22:H26 H31:H35">
      <formula1>OFFSET(Table_G2SymLC,0,0,,1)</formula1>
    </dataValidation>
    <dataValidation type="list" allowBlank="1" showInputMessage="1" showErrorMessage="1" promptTitle="Protection Class" prompt="Please Select from drop down" sqref="F4:F8">
      <formula1>OFFSET(Table_ProtClass,0,0,,1)</formula1>
    </dataValidation>
    <dataValidation type="list" allowBlank="1" showInputMessage="1" showErrorMessage="1" promptTitle="Coinsurance Percent" prompt="Please Select:_x000a_{ 80, 90, 100 }" sqref="C15 C17">
      <formula1>OFFSET(Table_CoIns_Blanket,0,0,,1)</formula1>
    </dataValidation>
    <dataValidation type="list" allowBlank="1" showInputMessage="1" showErrorMessage="1" promptTitle="Deductible Amount:" prompt="Please Select from list:_x000a_(250 - 75,000)" sqref="B16 B18">
      <formula1>List_DedSelect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rowBreaks count="1" manualBreakCount="1">
    <brk id="45" max="46" man="1"/>
  </rowBreaks>
  <colBreaks count="6" manualBreakCount="6">
    <brk id="9" max="1048575" man="1"/>
    <brk id="16" max="44" man="1"/>
    <brk id="24" max="44" man="1"/>
    <brk id="24" min="45" max="81" man="1"/>
    <brk id="40" max="44" man="1"/>
    <brk id="40" min="45" max="81" man="1"/>
  </colBreak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rgb="FFFFFF00"/>
  </sheetPr>
  <dimension ref="A1:G51"/>
  <sheetViews>
    <sheetView zoomScale="90" zoomScaleNormal="90" workbookViewId="0">
      <selection activeCell="C48" sqref="C48:E48"/>
    </sheetView>
  </sheetViews>
  <sheetFormatPr defaultRowHeight="12.75" x14ac:dyDescent="0.2"/>
  <cols>
    <col min="1" max="1" width="18" style="2" customWidth="1"/>
    <col min="2" max="2" width="16.85546875" style="2" customWidth="1"/>
    <col min="3" max="3" width="17" style="2" customWidth="1"/>
    <col min="4" max="4" width="5.42578125" style="2" customWidth="1"/>
    <col min="5" max="5" width="17.85546875" style="2" customWidth="1"/>
    <col min="6" max="6" width="13.7109375" style="2" customWidth="1"/>
    <col min="7" max="7" width="16.85546875" style="2" customWidth="1"/>
    <col min="8" max="16384" width="9.140625" style="2"/>
  </cols>
  <sheetData>
    <row r="1" spans="1:7" ht="15.75" x14ac:dyDescent="0.2">
      <c r="A1" s="1440" t="s">
        <v>2256</v>
      </c>
    </row>
    <row r="2" spans="1:7" x14ac:dyDescent="0.2">
      <c r="A2" s="1227"/>
    </row>
    <row r="3" spans="1:7" ht="14.25" customHeight="1" x14ac:dyDescent="0.2">
      <c r="A3" s="82" t="s">
        <v>1024</v>
      </c>
      <c r="B3" s="917" t="str">
        <f>DF_State</f>
        <v>CT</v>
      </c>
    </row>
    <row r="4" spans="1:7" ht="17.25" customHeight="1" x14ac:dyDescent="0.2">
      <c r="A4" s="82" t="s">
        <v>2104</v>
      </c>
      <c r="B4" s="1441" t="str">
        <f>UI_CustNumber</f>
        <v>0004514584</v>
      </c>
    </row>
    <row r="5" spans="1:7" ht="16.5" customHeight="1" x14ac:dyDescent="0.2">
      <c r="A5" s="82"/>
      <c r="B5" s="984"/>
    </row>
    <row r="6" spans="1:7" x14ac:dyDescent="0.2">
      <c r="A6" s="82" t="s">
        <v>2258</v>
      </c>
      <c r="B6" s="1442"/>
      <c r="F6" s="1443"/>
      <c r="G6" s="1444"/>
    </row>
    <row r="7" spans="1:7" ht="16.5" customHeight="1" x14ac:dyDescent="0.2">
      <c r="A7" s="82"/>
      <c r="B7" s="834"/>
      <c r="F7" s="1443"/>
      <c r="G7" s="1444"/>
    </row>
    <row r="8" spans="1:7" x14ac:dyDescent="0.2">
      <c r="A8" s="82" t="s">
        <v>2259</v>
      </c>
      <c r="B8" s="1442"/>
      <c r="F8" s="1443"/>
      <c r="G8" s="1444"/>
    </row>
    <row r="9" spans="1:7" ht="16.5" customHeight="1" x14ac:dyDescent="0.2">
      <c r="A9" s="82"/>
      <c r="B9" s="984"/>
      <c r="F9" s="1443"/>
      <c r="G9" s="1444"/>
    </row>
    <row r="10" spans="1:7" x14ac:dyDescent="0.2">
      <c r="A10" s="82" t="s">
        <v>2257</v>
      </c>
      <c r="B10" s="1593"/>
      <c r="C10" s="1593"/>
      <c r="D10" s="1593"/>
      <c r="G10" s="834"/>
    </row>
    <row r="13" spans="1:7" ht="13.5" thickBot="1" x14ac:dyDescent="0.25">
      <c r="A13" s="1464" t="s">
        <v>55</v>
      </c>
      <c r="B13" s="1465"/>
      <c r="C13" s="1465"/>
      <c r="D13" s="1465"/>
      <c r="E13" s="1465"/>
    </row>
    <row r="14" spans="1:7" x14ac:dyDescent="0.2">
      <c r="A14" s="1449" t="s">
        <v>2275</v>
      </c>
      <c r="B14" s="1449" t="s">
        <v>2274</v>
      </c>
      <c r="C14" s="1449" t="s">
        <v>2273</v>
      </c>
      <c r="D14" s="1449"/>
      <c r="E14" s="1449" t="s">
        <v>388</v>
      </c>
    </row>
    <row r="15" spans="1:7" x14ac:dyDescent="0.2">
      <c r="A15" s="1445">
        <v>1</v>
      </c>
      <c r="B15" s="1453"/>
      <c r="C15" s="1446" t="str">
        <f ca="1">IF(ISBLANK(B15),"",INDIRECT($B15&amp;"!"&amp;"$I$47"))</f>
        <v/>
      </c>
      <c r="E15" s="1446" t="str">
        <f ca="1">IF(ISBLANK(B15),"",INDIRECT($B15&amp;"!"&amp;"$I$44"))</f>
        <v/>
      </c>
    </row>
    <row r="16" spans="1:7" x14ac:dyDescent="0.2">
      <c r="A16" s="1453">
        <v>2</v>
      </c>
      <c r="B16" s="1453"/>
      <c r="C16" s="1446" t="str">
        <f t="shared" ref="C16:C19" ca="1" si="0">IF(ISBLANK(B16),"",INDIRECT($B16&amp;"!"&amp;"$I$47"))</f>
        <v/>
      </c>
      <c r="E16" s="1446" t="str">
        <f t="shared" ref="E16:E19" ca="1" si="1">IF(ISBLANK(B16),"",INDIRECT($B16&amp;"!"&amp;"$I$44"))</f>
        <v/>
      </c>
    </row>
    <row r="17" spans="1:5" ht="17.25" customHeight="1" x14ac:dyDescent="0.2">
      <c r="A17" s="1453">
        <v>3</v>
      </c>
      <c r="B17" s="1453"/>
      <c r="C17" s="1446" t="str">
        <f t="shared" ca="1" si="0"/>
        <v/>
      </c>
      <c r="E17" s="1446" t="str">
        <f t="shared" ca="1" si="1"/>
        <v/>
      </c>
    </row>
    <row r="18" spans="1:5" x14ac:dyDescent="0.2">
      <c r="A18" s="1453">
        <v>4</v>
      </c>
      <c r="B18" s="1453"/>
      <c r="C18" s="1446" t="str">
        <f t="shared" ca="1" si="0"/>
        <v/>
      </c>
      <c r="E18" s="1446" t="str">
        <f t="shared" ca="1" si="1"/>
        <v/>
      </c>
    </row>
    <row r="19" spans="1:5" ht="13.5" thickBot="1" x14ac:dyDescent="0.25">
      <c r="A19" s="1084">
        <v>5</v>
      </c>
      <c r="B19" s="1453"/>
      <c r="C19" s="1446" t="str">
        <f t="shared" ca="1" si="0"/>
        <v/>
      </c>
      <c r="E19" s="1446" t="str">
        <f t="shared" ca="1" si="1"/>
        <v/>
      </c>
    </row>
    <row r="20" spans="1:5" x14ac:dyDescent="0.2">
      <c r="A20" s="1450"/>
      <c r="B20" s="1451" t="s">
        <v>2271</v>
      </c>
      <c r="C20" s="1452">
        <f ca="1">SUM(C15:C19)</f>
        <v>0</v>
      </c>
      <c r="D20" s="1450"/>
      <c r="E20" s="1452">
        <f ca="1">SUM(E15:E19)</f>
        <v>0</v>
      </c>
    </row>
    <row r="21" spans="1:5" ht="19.5" customHeight="1" x14ac:dyDescent="0.2"/>
    <row r="22" spans="1:5" ht="19.5" customHeight="1" thickBot="1" x14ac:dyDescent="0.25">
      <c r="A22" s="1464" t="s">
        <v>2219</v>
      </c>
      <c r="B22" s="1465"/>
      <c r="C22" s="1465"/>
      <c r="D22" s="1465"/>
      <c r="E22" s="1465"/>
    </row>
    <row r="23" spans="1:5" ht="18.75" customHeight="1" x14ac:dyDescent="0.2">
      <c r="A23" s="1449" t="s">
        <v>2275</v>
      </c>
      <c r="B23" s="1449" t="s">
        <v>2274</v>
      </c>
      <c r="C23" s="1449" t="s">
        <v>2273</v>
      </c>
      <c r="D23" s="1449"/>
      <c r="E23" s="1449" t="s">
        <v>388</v>
      </c>
    </row>
    <row r="24" spans="1:5" x14ac:dyDescent="0.2">
      <c r="A24" s="1445">
        <v>1</v>
      </c>
      <c r="B24" s="1445"/>
      <c r="C24" s="1446" t="str">
        <f ca="1">IF(ISBLANK(B24),"",INDIRECT($B24&amp;"!"&amp;"$I$54"))</f>
        <v/>
      </c>
      <c r="E24" s="1446" t="str">
        <f ca="1">IF(ISBLANK(B24),"",INDIRECT($B24&amp;"!"&amp;"$I$49"))</f>
        <v/>
      </c>
    </row>
    <row r="25" spans="1:5" x14ac:dyDescent="0.2">
      <c r="A25" s="1453">
        <v>2</v>
      </c>
      <c r="B25" s="1453"/>
      <c r="C25" s="1446" t="str">
        <f t="shared" ref="C25:C28" ca="1" si="2">IF(ISBLANK(B25),"",INDIRECT($B25&amp;"!"&amp;"$I$54"))</f>
        <v/>
      </c>
      <c r="D25" s="146"/>
      <c r="E25" s="1446" t="str">
        <f t="shared" ref="E25:E28" ca="1" si="3">IF(ISBLANK(B25),"",INDIRECT($B25&amp;"!"&amp;"$I$49"))</f>
        <v/>
      </c>
    </row>
    <row r="26" spans="1:5" x14ac:dyDescent="0.2">
      <c r="A26" s="1445">
        <v>3</v>
      </c>
      <c r="B26" s="1453"/>
      <c r="C26" s="1446" t="str">
        <f t="shared" ca="1" si="2"/>
        <v/>
      </c>
      <c r="D26" s="146"/>
      <c r="E26" s="1446" t="str">
        <f t="shared" ca="1" si="3"/>
        <v/>
      </c>
    </row>
    <row r="27" spans="1:5" x14ac:dyDescent="0.2">
      <c r="A27" s="1453">
        <v>4</v>
      </c>
      <c r="B27" s="1453"/>
      <c r="C27" s="1446" t="str">
        <f t="shared" ca="1" si="2"/>
        <v/>
      </c>
      <c r="D27" s="146"/>
      <c r="E27" s="1446" t="str">
        <f t="shared" ca="1" si="3"/>
        <v/>
      </c>
    </row>
    <row r="28" spans="1:5" ht="13.5" thickBot="1" x14ac:dyDescent="0.25">
      <c r="A28" s="1084">
        <v>5</v>
      </c>
      <c r="B28" s="1453"/>
      <c r="C28" s="1447" t="str">
        <f t="shared" ca="1" si="2"/>
        <v/>
      </c>
      <c r="D28" s="146"/>
      <c r="E28" s="1447" t="str">
        <f t="shared" ca="1" si="3"/>
        <v/>
      </c>
    </row>
    <row r="29" spans="1:5" x14ac:dyDescent="0.2">
      <c r="A29" s="1450"/>
      <c r="B29" s="1451" t="s">
        <v>2271</v>
      </c>
      <c r="C29" s="1452">
        <f ca="1">SUM(C24:C28)</f>
        <v>0</v>
      </c>
      <c r="D29" s="1450"/>
      <c r="E29" s="1452">
        <f ca="1">SUM(E24:E28)</f>
        <v>0</v>
      </c>
    </row>
    <row r="31" spans="1:5" ht="13.5" thickBot="1" x14ac:dyDescent="0.25">
      <c r="A31" s="1464" t="s">
        <v>2220</v>
      </c>
      <c r="B31" s="1465"/>
      <c r="C31" s="1465"/>
      <c r="D31" s="1465"/>
      <c r="E31" s="1465"/>
    </row>
    <row r="32" spans="1:5" x14ac:dyDescent="0.2">
      <c r="A32" s="1449" t="s">
        <v>2275</v>
      </c>
      <c r="B32" s="1449" t="s">
        <v>2274</v>
      </c>
      <c r="C32" s="1449" t="s">
        <v>2273</v>
      </c>
      <c r="D32" s="1449"/>
      <c r="E32" s="1449" t="s">
        <v>388</v>
      </c>
    </row>
    <row r="33" spans="1:5" x14ac:dyDescent="0.2">
      <c r="A33" s="1445">
        <v>1</v>
      </c>
      <c r="B33" s="1445"/>
      <c r="C33" s="1446" t="str">
        <f ca="1">IF(ISBLANK(B33),"",INDIRECT($B33&amp;"!"&amp;"$I$29"))</f>
        <v/>
      </c>
      <c r="E33" s="1446" t="str">
        <f ca="1">IF(ISBLANK(B33),"",INDIRECT($B33&amp;"!"&amp;"$I$26"))</f>
        <v/>
      </c>
    </row>
    <row r="34" spans="1:5" x14ac:dyDescent="0.2">
      <c r="A34" s="1453">
        <v>2</v>
      </c>
      <c r="B34" s="1453"/>
      <c r="C34" s="1446" t="str">
        <f t="shared" ref="C34:C37" ca="1" si="4">IF(ISBLANK(B34),"",INDIRECT($B34&amp;"!"&amp;"$I$29"))</f>
        <v/>
      </c>
      <c r="E34" s="1446" t="str">
        <f t="shared" ref="E34:E37" ca="1" si="5">IF(ISBLANK(B34),"",INDIRECT($B34&amp;"!"&amp;"$I$26"))</f>
        <v/>
      </c>
    </row>
    <row r="35" spans="1:5" x14ac:dyDescent="0.2">
      <c r="A35" s="1445">
        <v>3</v>
      </c>
      <c r="B35" s="1453"/>
      <c r="C35" s="1446" t="str">
        <f t="shared" ca="1" si="4"/>
        <v/>
      </c>
      <c r="E35" s="1446" t="str">
        <f t="shared" ca="1" si="5"/>
        <v/>
      </c>
    </row>
    <row r="36" spans="1:5" x14ac:dyDescent="0.2">
      <c r="A36" s="1453">
        <v>4</v>
      </c>
      <c r="B36" s="1453"/>
      <c r="C36" s="1446" t="str">
        <f t="shared" ca="1" si="4"/>
        <v/>
      </c>
      <c r="E36" s="1446" t="str">
        <f t="shared" ca="1" si="5"/>
        <v/>
      </c>
    </row>
    <row r="37" spans="1:5" ht="13.5" thickBot="1" x14ac:dyDescent="0.25">
      <c r="A37" s="1084">
        <v>5</v>
      </c>
      <c r="B37" s="1453"/>
      <c r="C37" s="1446" t="str">
        <f t="shared" ca="1" si="4"/>
        <v/>
      </c>
      <c r="E37" s="1446" t="str">
        <f t="shared" ca="1" si="5"/>
        <v/>
      </c>
    </row>
    <row r="38" spans="1:5" x14ac:dyDescent="0.2">
      <c r="A38" s="1450"/>
      <c r="B38" s="1451" t="s">
        <v>2271</v>
      </c>
      <c r="C38" s="1452">
        <f ca="1">SUM(C33:C37)</f>
        <v>0</v>
      </c>
      <c r="D38" s="1450"/>
      <c r="E38" s="1452">
        <f ca="1">SUM(E33:E37)</f>
        <v>0</v>
      </c>
    </row>
    <row r="41" spans="1:5" ht="13.5" thickBot="1" x14ac:dyDescent="0.25">
      <c r="A41" s="1464" t="s">
        <v>2221</v>
      </c>
      <c r="B41" s="1465"/>
      <c r="C41" s="1465"/>
      <c r="D41" s="1465"/>
      <c r="E41" s="1465"/>
    </row>
    <row r="42" spans="1:5" x14ac:dyDescent="0.2">
      <c r="A42" s="1449" t="s">
        <v>2275</v>
      </c>
      <c r="B42" s="1449" t="s">
        <v>2274</v>
      </c>
      <c r="C42" s="1449" t="s">
        <v>2273</v>
      </c>
      <c r="D42" s="1449"/>
      <c r="E42" s="1449" t="s">
        <v>388</v>
      </c>
    </row>
    <row r="43" spans="1:5" x14ac:dyDescent="0.2">
      <c r="A43" s="1445">
        <v>1</v>
      </c>
      <c r="B43" s="1445"/>
      <c r="C43" s="1446" t="str">
        <f ca="1">IF(ISBLANK(B43),"",INDIRECT($B43&amp;"!"&amp;"$I$21"))</f>
        <v/>
      </c>
      <c r="E43" s="1446" t="str">
        <f ca="1">IF(ISBLANK(B43),"",INDIRECT($B43&amp;"!"&amp;"$I$18"))</f>
        <v/>
      </c>
    </row>
    <row r="44" spans="1:5" x14ac:dyDescent="0.2">
      <c r="A44" s="1453">
        <v>2</v>
      </c>
      <c r="B44" s="1453"/>
      <c r="C44" s="1446" t="str">
        <f t="shared" ref="C44:C47" ca="1" si="6">IF(ISBLANK(B44),"",INDIRECT($B44&amp;"!"&amp;"$I$21"))</f>
        <v/>
      </c>
      <c r="E44" s="1446" t="str">
        <f t="shared" ref="E44:E47" ca="1" si="7">IF(ISBLANK(B44),"",INDIRECT($B44&amp;"!"&amp;"$I$18"))</f>
        <v/>
      </c>
    </row>
    <row r="45" spans="1:5" x14ac:dyDescent="0.2">
      <c r="A45" s="1445">
        <v>3</v>
      </c>
      <c r="B45" s="1453"/>
      <c r="C45" s="1446" t="str">
        <f t="shared" ca="1" si="6"/>
        <v/>
      </c>
      <c r="E45" s="1446" t="str">
        <f t="shared" ca="1" si="7"/>
        <v/>
      </c>
    </row>
    <row r="46" spans="1:5" x14ac:dyDescent="0.2">
      <c r="A46" s="1453">
        <v>4</v>
      </c>
      <c r="B46" s="1453"/>
      <c r="C46" s="1446" t="str">
        <f t="shared" ca="1" si="6"/>
        <v/>
      </c>
      <c r="E46" s="1446" t="str">
        <f t="shared" ca="1" si="7"/>
        <v/>
      </c>
    </row>
    <row r="47" spans="1:5" ht="13.5" thickBot="1" x14ac:dyDescent="0.25">
      <c r="A47" s="1084">
        <v>5</v>
      </c>
      <c r="B47" s="1084"/>
      <c r="C47" s="1447" t="str">
        <f t="shared" ca="1" si="6"/>
        <v/>
      </c>
      <c r="D47" s="86"/>
      <c r="E47" s="1447" t="str">
        <f t="shared" ca="1" si="7"/>
        <v/>
      </c>
    </row>
    <row r="48" spans="1:5" x14ac:dyDescent="0.2">
      <c r="A48" s="1450"/>
      <c r="B48" s="1451" t="s">
        <v>2271</v>
      </c>
      <c r="C48" s="1452">
        <f ca="1">SUM(C43:C47)</f>
        <v>0</v>
      </c>
      <c r="D48" s="1450"/>
      <c r="E48" s="1452">
        <f ca="1">SUM(E43:E47)</f>
        <v>0</v>
      </c>
    </row>
    <row r="50" spans="4:5" ht="13.5" thickBot="1" x14ac:dyDescent="0.25"/>
    <row r="51" spans="4:5" ht="13.5" thickBot="1" x14ac:dyDescent="0.25">
      <c r="D51" s="788" t="s">
        <v>2272</v>
      </c>
      <c r="E51" s="1448">
        <f ca="1">SUM(C20:E20,C29:E29,C38:E38,C48:E48)</f>
        <v>0</v>
      </c>
    </row>
  </sheetData>
  <mergeCells count="1">
    <mergeCell ref="B10:D10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R76"/>
  <sheetViews>
    <sheetView topLeftCell="B1" zoomScale="90" zoomScaleNormal="90" zoomScaleSheetLayoutView="85" workbookViewId="0">
      <selection activeCell="R34" sqref="R34"/>
    </sheetView>
  </sheetViews>
  <sheetFormatPr defaultRowHeight="12.75" x14ac:dyDescent="0.2"/>
  <cols>
    <col min="1" max="1" width="32.42578125" style="2" customWidth="1"/>
    <col min="2" max="2" width="15.140625" style="2" customWidth="1"/>
    <col min="3" max="3" width="13.28515625" style="2" customWidth="1"/>
    <col min="4" max="4" width="35.7109375" style="2" customWidth="1"/>
    <col min="5" max="5" width="12.5703125" style="2" bestFit="1" customWidth="1"/>
    <col min="6" max="6" width="11.7109375" style="2" customWidth="1"/>
    <col min="7" max="7" width="6.28515625" style="2" customWidth="1"/>
    <col min="8" max="8" width="40.140625" style="2" customWidth="1"/>
    <col min="9" max="12" width="12.85546875" style="2" customWidth="1"/>
    <col min="13" max="13" width="6.28515625" style="2" customWidth="1"/>
    <col min="14" max="14" width="14.7109375" style="2" customWidth="1"/>
    <col min="15" max="15" width="25" style="2" customWidth="1"/>
    <col min="16" max="16" width="11.28515625" style="2" customWidth="1"/>
    <col min="17" max="19" width="11" style="2" customWidth="1"/>
    <col min="20" max="20" width="5" style="2" customWidth="1"/>
    <col min="21" max="21" width="14.7109375" style="2" customWidth="1"/>
    <col min="22" max="22" width="25" style="2" customWidth="1"/>
    <col min="23" max="23" width="11.28515625" style="2" customWidth="1"/>
    <col min="24" max="26" width="11" style="2" customWidth="1"/>
    <col min="27" max="27" width="5" style="2" customWidth="1"/>
    <col min="28" max="28" width="14.85546875" style="2" customWidth="1"/>
    <col min="29" max="29" width="25" style="2" customWidth="1"/>
    <col min="30" max="31" width="11.42578125" style="2" customWidth="1"/>
    <col min="32" max="32" width="13.140625" style="2" customWidth="1"/>
    <col min="33" max="33" width="12.140625" style="2" customWidth="1"/>
    <col min="34" max="34" width="6.7109375" style="2" customWidth="1"/>
    <col min="35" max="35" width="15" style="2" customWidth="1"/>
    <col min="36" max="36" width="25" style="2" customWidth="1"/>
    <col min="37" max="38" width="11.42578125" style="2" customWidth="1"/>
    <col min="39" max="40" width="13" style="2" customWidth="1"/>
    <col min="41" max="41" width="6.42578125" style="266" customWidth="1"/>
    <col min="42" max="42" width="18.7109375" style="266" customWidth="1"/>
    <col min="43" max="43" width="25" style="266" customWidth="1"/>
    <col min="44" max="47" width="11.42578125" style="266" customWidth="1"/>
    <col min="48" max="48" width="6" style="266" customWidth="1"/>
    <col min="49" max="49" width="13.28515625" style="266" customWidth="1"/>
    <col min="50" max="50" width="25" style="266" customWidth="1"/>
    <col min="51" max="51" width="11.42578125" style="266" customWidth="1"/>
    <col min="52" max="52" width="4.42578125" style="266" customWidth="1"/>
    <col min="53" max="53" width="15.28515625" style="266" customWidth="1"/>
    <col min="54" max="54" width="20.7109375" style="266" customWidth="1"/>
    <col min="55" max="55" width="12.28515625" style="266" customWidth="1"/>
    <col min="56" max="56" width="6" style="266" customWidth="1"/>
    <col min="57" max="57" width="12.85546875" style="266" customWidth="1"/>
    <col min="58" max="58" width="25.85546875" style="266" customWidth="1"/>
    <col min="59" max="59" width="10.28515625" style="266" customWidth="1"/>
    <col min="60" max="60" width="5.7109375" style="385" customWidth="1"/>
    <col min="61" max="61" width="12.85546875" style="385" customWidth="1"/>
    <col min="62" max="62" width="25.85546875" style="146" customWidth="1"/>
    <col min="63" max="63" width="10.5703125" style="2" customWidth="1"/>
    <col min="64" max="64" width="5" style="2" customWidth="1"/>
    <col min="65" max="65" width="34.28515625" style="2" customWidth="1"/>
    <col min="66" max="66" width="23.7109375" style="2" customWidth="1"/>
    <col min="67" max="67" width="14.28515625" style="2" customWidth="1"/>
    <col min="68" max="68" width="11.5703125" style="2" customWidth="1"/>
    <col min="69" max="69" width="10.28515625" style="2" customWidth="1"/>
    <col min="70" max="70" width="9.140625" style="2"/>
    <col min="71" max="71" width="4.140625" style="2" customWidth="1"/>
    <col min="72" max="16384" width="9.140625" style="2"/>
  </cols>
  <sheetData>
    <row r="1" spans="1:67" ht="15" customHeight="1" thickBot="1" x14ac:dyDescent="0.25">
      <c r="A1" s="99" t="s">
        <v>834</v>
      </c>
      <c r="B1" s="94"/>
      <c r="C1" s="94"/>
      <c r="D1" s="544"/>
      <c r="E1" s="544"/>
      <c r="F1" s="106" t="s">
        <v>840</v>
      </c>
      <c r="H1" s="1594" t="s">
        <v>1754</v>
      </c>
      <c r="I1" s="1595"/>
      <c r="J1" s="1595"/>
      <c r="K1" s="1595"/>
      <c r="L1" s="1596"/>
      <c r="N1" s="60" t="s">
        <v>1133</v>
      </c>
      <c r="P1" s="235" t="s">
        <v>1012</v>
      </c>
      <c r="Q1" s="235" t="s">
        <v>1013</v>
      </c>
      <c r="R1" s="235" t="s">
        <v>838</v>
      </c>
      <c r="S1" s="235" t="s">
        <v>837</v>
      </c>
      <c r="U1" s="60" t="s">
        <v>1613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60" t="s">
        <v>1665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793" t="s">
        <v>2244</v>
      </c>
      <c r="AJ1" s="1210"/>
      <c r="AK1" s="235" t="s">
        <v>1012</v>
      </c>
      <c r="AL1" s="235" t="s">
        <v>1013</v>
      </c>
      <c r="AM1" s="235" t="s">
        <v>838</v>
      </c>
      <c r="AN1" s="235" t="s">
        <v>837</v>
      </c>
      <c r="AO1" s="557"/>
      <c r="AP1" s="2"/>
      <c r="AQ1" s="2"/>
      <c r="AR1" s="235" t="s">
        <v>1012</v>
      </c>
      <c r="AS1" s="235" t="s">
        <v>1013</v>
      </c>
      <c r="AT1" s="235" t="s">
        <v>838</v>
      </c>
      <c r="AU1" s="235" t="s">
        <v>837</v>
      </c>
      <c r="AV1" s="557"/>
      <c r="AW1" s="1599" t="s">
        <v>675</v>
      </c>
      <c r="AX1" s="1600"/>
      <c r="AY1" s="1600"/>
      <c r="AZ1" s="1600"/>
      <c r="BA1" s="1600"/>
      <c r="BB1" s="1600"/>
      <c r="BC1" s="1601"/>
      <c r="BD1" s="557"/>
      <c r="BE1" s="557"/>
      <c r="BF1" s="557"/>
      <c r="BG1" s="235"/>
      <c r="BH1" s="562"/>
      <c r="BI1" s="562"/>
      <c r="BJ1" s="562"/>
      <c r="BM1" s="152" t="s">
        <v>949</v>
      </c>
    </row>
    <row r="2" spans="1:67" ht="12.75" customHeight="1" thickBot="1" x14ac:dyDescent="0.25">
      <c r="A2" s="500" t="s">
        <v>1832</v>
      </c>
      <c r="B2" s="501"/>
      <c r="C2" s="501"/>
      <c r="D2" s="161" t="s">
        <v>897</v>
      </c>
      <c r="E2" s="217"/>
      <c r="F2" s="218"/>
      <c r="O2" s="1117" t="s">
        <v>916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V2" s="168" t="s">
        <v>1019</v>
      </c>
      <c r="W2" s="207">
        <f>HLOOKUP(C11,Table_StateRates,5,FALSE)</f>
        <v>1.38</v>
      </c>
      <c r="X2" s="207">
        <f>HLOOKUP(C11,Table_StateRates,5,FALSE)</f>
        <v>1.38</v>
      </c>
      <c r="Y2" s="207">
        <f>HLOOKUP(C11,Table_StateRates,5,FALSE)</f>
        <v>1.38</v>
      </c>
      <c r="Z2" s="207">
        <f>HLOOKUP(C11,Table_StateRates,5,FALSE)</f>
        <v>1.38</v>
      </c>
      <c r="AB2" s="546"/>
      <c r="AC2" s="545" t="s">
        <v>1019</v>
      </c>
      <c r="AD2" s="207">
        <f>HLOOKUP(C11,Table_StateRates,5,FALSE)</f>
        <v>1.38</v>
      </c>
      <c r="AE2" s="207">
        <f>HLOOKUP(C11,Table_StateRates,5,FALSE)</f>
        <v>1.38</v>
      </c>
      <c r="AF2" s="207">
        <f>HLOOKUP(C11,Table_StateRates,5,FALSE)</f>
        <v>1.38</v>
      </c>
      <c r="AG2" s="207">
        <f>HLOOKUP(C11,Table_StateRates,5,FALSE)</f>
        <v>1.38</v>
      </c>
      <c r="AJ2" s="1117" t="s">
        <v>916</v>
      </c>
      <c r="AK2" s="207">
        <f>HLOOKUP(C11,Table_StateRates,5,FALSE)</f>
        <v>1.38</v>
      </c>
      <c r="AL2" s="207">
        <f>HLOOKUP(C11,Table_StateRates,5,FALSE)</f>
        <v>1.38</v>
      </c>
      <c r="AM2" s="207">
        <f>HLOOKUP(C11,Table_StateRates,5,FALSE)</f>
        <v>1.38</v>
      </c>
      <c r="AN2" s="207">
        <f>HLOOKUP(C11,Table_StateRates,5,FALSE)</f>
        <v>1.38</v>
      </c>
      <c r="AO2" s="557"/>
      <c r="AP2" s="60" t="s">
        <v>1647</v>
      </c>
      <c r="AQ2" s="2"/>
      <c r="AR2" s="235"/>
      <c r="AS2" s="235"/>
      <c r="AT2" s="235"/>
      <c r="AU2" s="235"/>
      <c r="AW2" s="814"/>
      <c r="AX2" s="814"/>
      <c r="AY2" s="814"/>
      <c r="AZ2" s="814"/>
      <c r="BA2" s="814"/>
      <c r="BB2" s="814"/>
      <c r="BC2" s="814"/>
      <c r="BE2" s="60" t="s">
        <v>1712</v>
      </c>
      <c r="BF2" s="2"/>
      <c r="BI2" s="60" t="s">
        <v>1699</v>
      </c>
      <c r="BK2" s="235"/>
      <c r="BL2" s="235"/>
    </row>
    <row r="3" spans="1:67" ht="13.5" thickBot="1" x14ac:dyDescent="0.25">
      <c r="A3" s="505" t="s">
        <v>1024</v>
      </c>
      <c r="B3" s="506"/>
      <c r="C3" s="1085" t="str">
        <f>DF_State</f>
        <v>CT</v>
      </c>
      <c r="D3" s="573" t="s">
        <v>1664</v>
      </c>
      <c r="E3" s="160"/>
      <c r="F3" s="1066" t="s">
        <v>857</v>
      </c>
      <c r="H3" s="1273">
        <f>Summary10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85"/>
      <c r="V3" s="186" t="s">
        <v>971</v>
      </c>
      <c r="W3" s="208">
        <f>HLOOKUP(C11,Table_StateRates,6,FALSE)</f>
        <v>1.9</v>
      </c>
      <c r="X3" s="208">
        <f>HLOOKUP(C11,Table_StateRates,6,FALSE)</f>
        <v>1.9</v>
      </c>
      <c r="Y3" s="208">
        <f>HLOOKUP(C11,Table_StateRates,6,FALSE)</f>
        <v>1.9</v>
      </c>
      <c r="Z3" s="208">
        <f>HLOOKUP(C11,Table_StateRates,6,FALSE)</f>
        <v>1.9</v>
      </c>
      <c r="AB3" s="185"/>
      <c r="AC3" s="186" t="s">
        <v>1666</v>
      </c>
      <c r="AD3" s="208">
        <f>HLOOKUP(C11,Table_StateRates,6,FALSE)</f>
        <v>1.9</v>
      </c>
      <c r="AE3" s="208">
        <f>HLOOKUP(C11,Table_StateRates,6,FALSE)</f>
        <v>1.9</v>
      </c>
      <c r="AF3" s="208">
        <f>HLOOKUP(C11,Table_StateRates,6,FALSE)</f>
        <v>1.9</v>
      </c>
      <c r="AG3" s="208">
        <f>HLOOKUP(C11,Table_StateRates,6,FALSE)</f>
        <v>1.9</v>
      </c>
      <c r="AH3" s="207"/>
      <c r="AI3" s="185"/>
      <c r="AJ3" s="186" t="s">
        <v>971</v>
      </c>
      <c r="AK3" s="208">
        <f>HLOOKUP($C$11,Table_StateRates,6,FALSE)</f>
        <v>1.9</v>
      </c>
      <c r="AL3" s="208">
        <f>HLOOKUP($C$11,Table_StateRates,6,FALSE)</f>
        <v>1.9</v>
      </c>
      <c r="AM3" s="208">
        <f>HLOOKUP($C$11,Table_StateRates,6,FALSE)</f>
        <v>1.9</v>
      </c>
      <c r="AN3" s="208">
        <f>HLOOKUP($C$11,Table_StateRates,6,FALSE)</f>
        <v>1.9</v>
      </c>
      <c r="AP3" s="2"/>
      <c r="AQ3" s="168" t="s">
        <v>1378</v>
      </c>
      <c r="AR3" s="2">
        <f>IF(F30="Yes",VLOOKUP(F36,Table_Utility_Svcs,VLOOKUP("G1",Table_UtilityCol,2,FALSE),FALSE),0)</f>
        <v>0</v>
      </c>
      <c r="AS3" s="2">
        <f>IF(F30="Yes",VLOOKUP(F36,Table_Utility_Svcs,VLOOKUP("G2",Table_UtilityCol,2,FALSE),FALSE),0)</f>
        <v>0</v>
      </c>
      <c r="AT3" s="247">
        <f>IF(F30="Yes",VLOOKUP(F36,Table_Utility_Svcs,VLOOKUP("SP",Table_UtilityCol,2,FALSE),FALSE),0)</f>
        <v>0</v>
      </c>
      <c r="AU3" s="2">
        <f>IF(F30="Yes",VLOOKUP(F36,Table_Utility_Svcs,VLOOKUP("BR",Table_UtilityCol,2,FALSE),FALSE),0)</f>
        <v>0</v>
      </c>
      <c r="AW3" s="60" t="s">
        <v>682</v>
      </c>
      <c r="AX3" s="2"/>
      <c r="AY3" s="235"/>
      <c r="AZ3" s="235"/>
      <c r="BA3" s="60" t="s">
        <v>683</v>
      </c>
      <c r="BB3" s="2"/>
      <c r="BC3" s="235"/>
      <c r="BE3" s="560" t="s">
        <v>1771</v>
      </c>
      <c r="BF3" s="2"/>
      <c r="BI3" s="560" t="s">
        <v>1771</v>
      </c>
      <c r="BJ3" s="2"/>
      <c r="BK3" s="266"/>
      <c r="BL3" s="266"/>
      <c r="BM3" s="154" t="s">
        <v>950</v>
      </c>
      <c r="BN3" s="86"/>
      <c r="BO3" s="156" t="s">
        <v>951</v>
      </c>
    </row>
    <row r="4" spans="1:67" x14ac:dyDescent="0.2">
      <c r="A4" s="1036" t="s">
        <v>1828</v>
      </c>
      <c r="B4" s="1037"/>
      <c r="C4" s="1046"/>
      <c r="D4" s="159" t="s">
        <v>1670</v>
      </c>
      <c r="E4" s="950"/>
      <c r="F4" s="1065"/>
      <c r="H4" s="82"/>
      <c r="I4" s="189"/>
      <c r="J4" s="4"/>
      <c r="K4" s="4"/>
      <c r="L4" s="4"/>
      <c r="N4" s="60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46"/>
      <c r="V4" s="83" t="s">
        <v>2166</v>
      </c>
      <c r="W4" s="1312">
        <f>PRODUCT(W2:W3)</f>
        <v>2.6219999999999999</v>
      </c>
      <c r="X4" s="1312">
        <f>PRODUCT(X2:X3)</f>
        <v>2.6219999999999999</v>
      </c>
      <c r="Y4" s="1312">
        <f>PRODUCT(Y2:Y3)</f>
        <v>2.6219999999999999</v>
      </c>
      <c r="Z4" s="1312">
        <f>PRODUCT(Z2:Z3)</f>
        <v>2.6219999999999999</v>
      </c>
      <c r="AB4" s="60"/>
      <c r="AC4" s="83" t="s">
        <v>2166</v>
      </c>
      <c r="AD4" s="1312">
        <f>PRODUCT(AD2:AD3)</f>
        <v>2.6219999999999999</v>
      </c>
      <c r="AE4" s="1312">
        <f>PRODUCT(AE2:AE3)</f>
        <v>2.6219999999999999</v>
      </c>
      <c r="AF4" s="1312">
        <f>PRODUCT(AF2:AF3)</f>
        <v>2.6219999999999999</v>
      </c>
      <c r="AG4" s="1312">
        <f>PRODUCT(AG2:AG3)</f>
        <v>2.6219999999999999</v>
      </c>
      <c r="AI4" s="60"/>
      <c r="AJ4" s="83" t="s">
        <v>2166</v>
      </c>
      <c r="AK4" s="1312">
        <f>PRODUCT(AK2:AK3)</f>
        <v>2.6219999999999999</v>
      </c>
      <c r="AL4" s="1312">
        <f>PRODUCT(AL2:AL3)</f>
        <v>2.6219999999999999</v>
      </c>
      <c r="AM4" s="1312">
        <f>PRODUCT(AM2:AM3)</f>
        <v>2.6219999999999999</v>
      </c>
      <c r="AN4" s="1312">
        <f>PRODUCT(AN2:AN3)</f>
        <v>2.6219999999999999</v>
      </c>
      <c r="AP4" s="2"/>
      <c r="AQ4" s="168" t="s">
        <v>971</v>
      </c>
      <c r="AR4" s="2">
        <f>HLOOKUP(C11,Table_StateRates,6,FALSE)</f>
        <v>1.9</v>
      </c>
      <c r="AS4" s="2">
        <f>HLOOKUP(C11,Table_StateRates,6,FALSE)</f>
        <v>1.9</v>
      </c>
      <c r="AT4" s="247">
        <f>HLOOKUP(C11,Table_StateRates,6,FALSE)</f>
        <v>1.9</v>
      </c>
      <c r="AU4" s="2">
        <f>HLOOKUP(C11,Table_StateRates,6,FALSE)</f>
        <v>1.9</v>
      </c>
      <c r="AV4" s="558"/>
      <c r="AX4" s="268" t="s">
        <v>1749</v>
      </c>
      <c r="AY4" s="426">
        <f>IF(F47="Yes",VLOOKUP(F49,Table_EQ_LC,3,FALSE),0)</f>
        <v>0</v>
      </c>
      <c r="BB4" s="268" t="s">
        <v>1752</v>
      </c>
      <c r="BC4" s="426">
        <f>IF(F51="Yes",VLOOKUP(E52,Table_Other_PierWharf,6,FALSE),0)</f>
        <v>0</v>
      </c>
      <c r="BD4" s="558"/>
      <c r="BE4" s="2"/>
      <c r="BF4" s="168" t="s">
        <v>1713</v>
      </c>
      <c r="BG4" s="247">
        <f>IF(F57="Yes",VLOOKUP(IF(E59&gt;500,500,E59),Table_MortgageHolder,MATCH(F58,List_MHCol,1)+1,TRUE),0)</f>
        <v>0</v>
      </c>
      <c r="BH4" s="146"/>
      <c r="BI4" s="2"/>
      <c r="BJ4" s="168" t="s">
        <v>1713</v>
      </c>
      <c r="BK4" s="247">
        <f>IF(F57="Yes",VLOOKUP(IF(E59&gt;500,500,E59),Table_MortgageHolder,MATCH(1001,List_MHCol,1)+1,TRUE),0)</f>
        <v>0</v>
      </c>
      <c r="BL4" s="247"/>
      <c r="BM4" s="686" t="s">
        <v>1715</v>
      </c>
      <c r="BO4" s="155">
        <f>IF(BO22&lt;-0.05,-0.05,IF(BO22&gt;0.05,0.05,BO22))</f>
        <v>0</v>
      </c>
    </row>
    <row r="5" spans="1:67" x14ac:dyDescent="0.2">
      <c r="A5" s="120"/>
      <c r="B5" s="95"/>
      <c r="C5" s="1047"/>
      <c r="D5" s="159" t="s">
        <v>1242</v>
      </c>
      <c r="E5" s="572" t="str">
        <f>IF(AND(F3="Yes",ISBLANK(E4)=FALSE),E4-DF_DebrisRem,"")</f>
        <v/>
      </c>
      <c r="F5" s="1065"/>
      <c r="H5" s="82" t="s">
        <v>856</v>
      </c>
      <c r="I5" s="258">
        <f>IF(C27="Yes",P36,0)</f>
        <v>793</v>
      </c>
      <c r="J5" s="258">
        <f>IF(C27="Yes",Q36,0)</f>
        <v>275</v>
      </c>
      <c r="K5" s="259">
        <f>IF(AND(C27="Yes",C12="SP"),R36,0)</f>
        <v>0</v>
      </c>
      <c r="L5" s="259">
        <f>IF(AND(C27="Yes",C12="BR"),S36,0)</f>
        <v>0</v>
      </c>
      <c r="O5" s="168" t="s">
        <v>1197</v>
      </c>
      <c r="P5" s="247">
        <f>IF(OR(C28="S",C28="T"),B29,IF(C28="SC",VLOOKUP(C42,Table_SpecialLC,B42,FALSE),VLOOKUP(C35,Table_G1_LC,MATCH(C15&amp;"B",List_ClassLC,0)+3,FALSE))) - IF(AND(C59="Yes",ISNUMBER(C61),N52="LC"), C61,0) -  IF(AND(C62="Yes",Q52="LC"),P14,0)</f>
        <v>0.126</v>
      </c>
      <c r="Q5" s="247">
        <f>IF(OR(C28="S",C28="T"),C29,VLOOKUP(C16,Table_G2SymLC,2,FALSE)*IF(C64&lt;&gt;"Yes",B16,1))</f>
        <v>4.2000000000000003E-2</v>
      </c>
      <c r="R5" s="247">
        <f>IF(OR(ISBLANK(C13),C13="No"),0,VLOOKUP(1,Table_Special_Bldg,2,FALSE)*IF(AND(C12="SP",C13=2),VLOOKUP(2,Table_Special_Bldg,2,0),1))</f>
        <v>0</v>
      </c>
      <c r="S5" s="247">
        <f>HLOOKUP(B12,Table_BroadLC,IF(C35&lt;&gt;"1150",2,4),FALSE)</f>
        <v>1.4999999999999999E-2</v>
      </c>
      <c r="V5" s="168" t="s">
        <v>1197</v>
      </c>
      <c r="W5" s="247">
        <f>IF(OR(C28="S",C28="T"),B29,IF(C28="SC",VLOOKUP(C42,Table_SpecialLC,B42,FALSE),VLOOKUP(C35,Table_G1_LC,MATCH(C15&amp;"B",List_ClassLC,0)+3,FALSE))+IF(ISBLANK(B41),0,B41)) - IF(AND(C59="Yes",ISNUMBER(C61),N52="LC"), C61,0) -  IF(AND(C62="Yes",Q52="LC"),W16,0)</f>
        <v>0.126</v>
      </c>
      <c r="X5" s="247">
        <f>IF(OR(C28="S",C28="T"),C29,VLOOKUP(C16,Table_G2SymLC,2,FALSE)*IF(C64&lt;&gt;"Yes",B16,1))</f>
        <v>4.2000000000000003E-2</v>
      </c>
      <c r="Y5" s="247">
        <f>IF(OR(ISBLANK(C13),C13="No"),0,VLOOKUP(C13,Table_Special_Bldg,2,FALSE))</f>
        <v>0</v>
      </c>
      <c r="Z5" s="247">
        <f>HLOOKUP(B12,Table_BroadLC,IF(C35&lt;&gt;"1150",2,4),FALSE)</f>
        <v>1.4999999999999999E-2</v>
      </c>
      <c r="AC5" s="168" t="s">
        <v>1197</v>
      </c>
      <c r="AD5" s="2">
        <f>IF(OR(C28="S",C28="T"),B29,IF(C28="SC",VLOOKUP(C42,Table_SpecialLC,B42,FALSE),VLOOKUP(C35,Table_G1_LC,MATCH(C15&amp;"B",List_ClassLC,0)+3,FALSE))+IF(ISBLANK(B41),0,B41))</f>
        <v>0.126</v>
      </c>
      <c r="AE5" s="247">
        <f>IF(OR(C28="S",C28="T"),C29,VLOOKUP(C16,Table_G2SymLC,2,FALSE)*IF(C64&lt;&gt;"Yes",B16,1))</f>
        <v>4.2000000000000003E-2</v>
      </c>
      <c r="AF5" s="563">
        <f>VLOOKUP("SP",Table_DebrisRemoval,2,FALSE)</f>
        <v>0.01</v>
      </c>
      <c r="AG5" s="563">
        <f>VLOOKUP("BR",Table_DebrisRemoval,2,FALSE)</f>
        <v>0.01</v>
      </c>
      <c r="AI5" s="146"/>
      <c r="AJ5" s="1210" t="s">
        <v>2116</v>
      </c>
      <c r="AK5" s="247">
        <f>P5</f>
        <v>0.126</v>
      </c>
      <c r="AL5" s="247">
        <f>Q5</f>
        <v>4.2000000000000003E-2</v>
      </c>
      <c r="AM5" s="247">
        <f>R5</f>
        <v>0</v>
      </c>
      <c r="AN5" s="247">
        <f>S5</f>
        <v>1.4999999999999999E-2</v>
      </c>
      <c r="AP5" s="146"/>
      <c r="AQ5" s="545" t="s">
        <v>1379</v>
      </c>
      <c r="AR5" s="299">
        <f>IF(AND(F32="Yes",F30="Yes"),E32,1)</f>
        <v>1</v>
      </c>
      <c r="AS5" s="299">
        <f>IF(AND(F32="Yes",F30="Yes"),E32,1)</f>
        <v>1</v>
      </c>
      <c r="AT5" s="299">
        <f>IF(AND(F32="Yes",F30="Yes"),E32,1)</f>
        <v>1</v>
      </c>
      <c r="AU5" s="299">
        <f>IF(AND(F32="Yes",F30="Yes"),E32,1)</f>
        <v>1</v>
      </c>
      <c r="AW5" s="542"/>
      <c r="AX5" s="724" t="s">
        <v>1750</v>
      </c>
      <c r="AY5" s="757">
        <f>IF(F47="Yes",VLOOKUP(F48,Table_EQ_SprLkgExt,4,FALSE),0)</f>
        <v>0</v>
      </c>
      <c r="AZ5" s="558"/>
      <c r="BA5" s="558"/>
      <c r="BB5" s="755" t="s">
        <v>971</v>
      </c>
      <c r="BC5" s="558">
        <f>HLOOKUP(C11,Table_StateRates,6,FALSE)</f>
        <v>1.9</v>
      </c>
      <c r="BE5" s="146"/>
      <c r="BF5" s="545" t="s">
        <v>1666</v>
      </c>
      <c r="BG5" s="2">
        <f>HLOOKUP(C11,Table_StateRates,6,FALSE)</f>
        <v>1.9</v>
      </c>
      <c r="BH5" s="146"/>
      <c r="BI5" s="146"/>
      <c r="BJ5" s="545" t="s">
        <v>1666</v>
      </c>
      <c r="BK5" s="2">
        <f>HLOOKUP(C11,Table_StateRates,6,FALSE)</f>
        <v>1.9</v>
      </c>
      <c r="BM5" s="151" t="s">
        <v>1714</v>
      </c>
      <c r="BO5" s="155">
        <f>IF(BO23&lt;-0.06,-0.06,IF(BO23&gt;0.06,0.06,BO23))</f>
        <v>0</v>
      </c>
    </row>
    <row r="6" spans="1:67" ht="13.5" thickBot="1" x14ac:dyDescent="0.25">
      <c r="A6" s="120" t="s">
        <v>969</v>
      </c>
      <c r="B6" s="95"/>
      <c r="C6" s="1048" t="s">
        <v>980</v>
      </c>
      <c r="D6" s="91"/>
      <c r="E6" s="195"/>
      <c r="F6" s="1067"/>
      <c r="H6" s="189"/>
      <c r="I6" s="258"/>
      <c r="J6" s="259"/>
      <c r="K6" s="259"/>
      <c r="L6" s="259"/>
      <c r="O6" s="1117" t="s">
        <v>2036</v>
      </c>
      <c r="P6" s="247">
        <f>IF(ISTEXT(C39),B41,0)</f>
        <v>0</v>
      </c>
      <c r="Q6" s="247">
        <v>1</v>
      </c>
      <c r="R6" s="247">
        <v>1</v>
      </c>
      <c r="S6" s="247">
        <v>1</v>
      </c>
      <c r="V6" s="168" t="s">
        <v>970</v>
      </c>
      <c r="W6" s="207">
        <f>IF(B60="Yes",DF_Sprinkler50,1)</f>
        <v>1</v>
      </c>
      <c r="X6" s="207">
        <v>1</v>
      </c>
      <c r="Y6" s="207">
        <v>1</v>
      </c>
      <c r="Z6" s="207">
        <v>1</v>
      </c>
      <c r="AB6" s="185"/>
      <c r="AC6" s="186" t="s">
        <v>972</v>
      </c>
      <c r="AD6" s="208">
        <f>IF(OR(C28="S",C28="T",C28="SC"),1,VLOOKUP(C14,Table_ProtClass,IF(C15&lt;=3,2,3),FALSE))</f>
        <v>0.96</v>
      </c>
      <c r="AE6" s="208">
        <v>1</v>
      </c>
      <c r="AF6" s="208">
        <v>1</v>
      </c>
      <c r="AG6" s="208">
        <v>1</v>
      </c>
      <c r="AH6" s="207"/>
      <c r="AI6" s="185"/>
      <c r="AJ6" s="186" t="s">
        <v>972</v>
      </c>
      <c r="AK6" s="208">
        <f>IF(OR(C28="S",C28="T",C28="SC"),1,VLOOKUP(C14,Table_ProtClass,IF(C15&lt;=3,2,3),FALSE)) - IF(AND(C59="Yes",ISNUMBER(C61),N52="PC"), C61,0) - IF(AND(C62="Yes",Q52="PC"),P14,0)</f>
        <v>0.96</v>
      </c>
      <c r="AL6" s="208">
        <v>1</v>
      </c>
      <c r="AM6" s="208">
        <v>1</v>
      </c>
      <c r="AN6" s="208">
        <v>1</v>
      </c>
      <c r="AO6" s="423"/>
      <c r="AP6" s="146"/>
      <c r="AQ6" s="545" t="s">
        <v>1019</v>
      </c>
      <c r="AR6" s="299">
        <f>HLOOKUP(C11,Table_StateRates,5,FALSE)</f>
        <v>1.38</v>
      </c>
      <c r="AS6" s="299">
        <f>HLOOKUP(C11,Table_StateRates,5,FALSE)</f>
        <v>1.38</v>
      </c>
      <c r="AT6" s="299">
        <f>HLOOKUP(C11,Table_StateRates,5,FALSE)</f>
        <v>1.38</v>
      </c>
      <c r="AU6" s="299">
        <f>HLOOKUP(C11,Table_StateRates,5,FALSE)</f>
        <v>1.38</v>
      </c>
      <c r="AX6" s="568" t="s">
        <v>1751</v>
      </c>
      <c r="AY6" s="426">
        <f>PRODUCT(AY4:AY5)</f>
        <v>0</v>
      </c>
      <c r="BB6" s="268" t="s">
        <v>1019</v>
      </c>
      <c r="BC6" s="423">
        <f>HLOOKUP(C11,Table_StateRates,5,FALSE)</f>
        <v>1.38</v>
      </c>
      <c r="BE6" s="453"/>
      <c r="BF6" s="186" t="s">
        <v>1019</v>
      </c>
      <c r="BG6" s="208">
        <f>HLOOKUP(C11,Table_StateRates,5,FALSE)</f>
        <v>1.38</v>
      </c>
      <c r="BH6" s="146"/>
      <c r="BI6" s="453"/>
      <c r="BJ6" s="186" t="s">
        <v>1019</v>
      </c>
      <c r="BK6" s="208">
        <f>HLOOKUP(C11,Table_StateRates,5,FALSE)</f>
        <v>1.38</v>
      </c>
      <c r="BL6" s="146"/>
      <c r="BM6" s="8" t="s">
        <v>1716</v>
      </c>
      <c r="BO6" s="155">
        <f>IF(BO24&lt;-0.06,-0.06,IF(BO24&gt;0.06,0.06,BO24))</f>
        <v>0</v>
      </c>
    </row>
    <row r="7" spans="1:67" x14ac:dyDescent="0.2">
      <c r="A7" s="143" t="s">
        <v>923</v>
      </c>
      <c r="B7" s="940" t="s">
        <v>857</v>
      </c>
      <c r="C7" s="1047"/>
      <c r="D7" s="573" t="s">
        <v>1848</v>
      </c>
      <c r="E7" s="160"/>
      <c r="F7" s="1068" t="s">
        <v>857</v>
      </c>
      <c r="H7" s="82" t="s">
        <v>1661</v>
      </c>
      <c r="I7" s="248"/>
      <c r="J7" s="248"/>
      <c r="K7" s="248"/>
      <c r="L7" s="248"/>
      <c r="O7" s="168" t="s">
        <v>972</v>
      </c>
      <c r="P7" s="207">
        <f>IF(OR(C28="S",C28="T",C28="SC"),1,VLOOKUP(C14,Table_ProtClass,IF(C15&lt;=3,2,3),FALSE)) - IF(AND(C59="Yes",ISNUMBER(C61),N52="PC"), C61,0) - IF(AND(C62="Yes",Q52="PC"),P14,0)</f>
        <v>0.96</v>
      </c>
      <c r="Q7" s="207">
        <v>1</v>
      </c>
      <c r="R7" s="207">
        <v>1</v>
      </c>
      <c r="S7" s="207">
        <v>1</v>
      </c>
      <c r="U7" s="185"/>
      <c r="V7" s="186" t="s">
        <v>972</v>
      </c>
      <c r="W7" s="208">
        <f>IF(OR(C28="S",C28="T",C28="SC"),1,VLOOKUP(C14,Table_ProtClass,IF(C15&lt;=3,2,3),FALSE)) - IF(AND(C59="Yes",ISNUMBER(C61),N52="PC"), C61,0) - IF(AND(C62="Yes",Q52="PC"),W16,0)</f>
        <v>0.96</v>
      </c>
      <c r="X7" s="208">
        <v>1</v>
      </c>
      <c r="Y7" s="208">
        <v>1</v>
      </c>
      <c r="Z7" s="208">
        <v>1</v>
      </c>
      <c r="AC7" s="301" t="s">
        <v>917</v>
      </c>
      <c r="AD7" s="1315">
        <f>ROUND(PRODUCT(AD4:AD6),3)</f>
        <v>0.317</v>
      </c>
      <c r="AE7" s="1315">
        <f>ROUND(PRODUCT(AE4:AE6),3)</f>
        <v>0.11</v>
      </c>
      <c r="AF7" s="1315">
        <f>ROUND(PRODUCT(AF4:AF6),3)</f>
        <v>2.5999999999999999E-2</v>
      </c>
      <c r="AG7" s="1315">
        <f>ROUND(PRODUCT(AG4:AG6),3)</f>
        <v>2.5999999999999999E-2</v>
      </c>
      <c r="AH7" s="207"/>
      <c r="AI7" s="146"/>
      <c r="AJ7" s="301" t="s">
        <v>2243</v>
      </c>
      <c r="AK7" s="1315">
        <f>ROUND(PRODUCT(AK4:AK6),3)</f>
        <v>0.317</v>
      </c>
      <c r="AL7" s="1315">
        <f>ROUND(PRODUCT(AL4:AL6),3)</f>
        <v>0.11</v>
      </c>
      <c r="AM7" s="1315">
        <f>ROUND(PRODUCT(AM4:AM6),3)</f>
        <v>0</v>
      </c>
      <c r="AN7" s="1315">
        <f>ROUND(PRODUCT(AN4:AN6),3)</f>
        <v>3.9E-2</v>
      </c>
      <c r="AO7" s="423"/>
      <c r="AP7" s="146"/>
      <c r="AQ7" s="545" t="s">
        <v>1017</v>
      </c>
      <c r="AR7" s="299">
        <f>IF(F7="Yes",1,IF(C48&gt;=80,VLOOKUP(C48,Table_CoIns1,2,FALSE),1+ IF(P5&lt;B49,VLOOKUP(B62,Table_CIUnder80,5,FALSE),0.5)))</f>
        <v>1</v>
      </c>
      <c r="AS7" s="299">
        <f>IF(F7="Yes",1,IF(C48&gt;=80,VLOOKUP(C48,Table_CoIns1,2,FALSE),1+ IF(P5&lt;B49,VLOOKUP(B62,Table_CIUnder80,5,FALSE),0.5)))</f>
        <v>1</v>
      </c>
      <c r="AT7" s="299">
        <f>IF(F7="Yes",1,IF(C48&gt;=80,VLOOKUP(C48,Table_CoIns1,2,FALSE),1+ IF(P5&lt;B49,VLOOKUP(B62,Table_CIUnder80,5,FALSE),0.5)))</f>
        <v>1</v>
      </c>
      <c r="AU7" s="299">
        <f>IF(F7="Yes",1,IF(C48&gt;=80,VLOOKUP(C48,Table_CoIns1,2,FALSE),1+ IF(P5&lt;B49,VLOOKUP(B62,Table_CIUnder80,5,FALSE),0.5)))</f>
        <v>1</v>
      </c>
      <c r="AW7" s="558"/>
      <c r="AX7" s="755" t="s">
        <v>971</v>
      </c>
      <c r="AY7" s="558">
        <f>HLOOKUP(C11,Table_StateRates,6,FALSE)</f>
        <v>1.9</v>
      </c>
      <c r="BB7" s="268" t="s">
        <v>1018</v>
      </c>
      <c r="BC7" s="423">
        <f>IF(C46=250,DF_250Deductible,C47)</f>
        <v>1</v>
      </c>
      <c r="BE7" s="2"/>
      <c r="BF7" s="301" t="s">
        <v>1773</v>
      </c>
      <c r="BG7" s="247">
        <f>ROUND(PRODUCT(BG4:BG6),3)</f>
        <v>0</v>
      </c>
      <c r="BH7" s="563"/>
      <c r="BI7" s="2"/>
      <c r="BJ7" s="301" t="s">
        <v>1773</v>
      </c>
      <c r="BK7" s="247">
        <f>ROUND(PRODUCT(BK4:BK6),3)</f>
        <v>0</v>
      </c>
      <c r="BL7" s="247"/>
      <c r="BM7" s="8" t="s">
        <v>1717</v>
      </c>
      <c r="BO7" s="155">
        <f>IF(BO25&lt;-0.1,-0.1,IF(BO25&gt;0.1,0.1,BO25))</f>
        <v>0</v>
      </c>
    </row>
    <row r="8" spans="1:67" x14ac:dyDescent="0.2">
      <c r="A8" s="120"/>
      <c r="B8" s="95"/>
      <c r="C8" s="1047"/>
      <c r="D8" s="518" t="s">
        <v>1646</v>
      </c>
      <c r="E8" s="572" t="str">
        <f>IF(F7="Yes",C45,"N/A")</f>
        <v>N/A</v>
      </c>
      <c r="F8" s="1069"/>
      <c r="H8" s="1206" t="s">
        <v>1665</v>
      </c>
      <c r="I8" s="485">
        <f>IF(OR(AND(C27="No",F41="Yes",F3="Yes"),AND(C27="Yes",F3="Yes")),AD19,0)</f>
        <v>0</v>
      </c>
      <c r="J8" s="485">
        <f>IF(OR(AND(C27="No",F41="Yes",F3="Yes"),AND(C27="Yes",F3="Yes")),AE19,0)</f>
        <v>0</v>
      </c>
      <c r="K8" s="485">
        <f>IF(OR(AND(C27="No",F41="Yes",C12="SP",F3="Yes"),AND(C27="Yes",F3="Yes",C12="SP")),AF19,0)</f>
        <v>0</v>
      </c>
      <c r="L8" s="485">
        <f>IF(OR(AND(C27="No",F41="Yes",F3="Yes",C12="BR"),AND(C27="Yes",F3="Yes",C12="BR")),AG19,0)</f>
        <v>0</v>
      </c>
      <c r="N8" s="185"/>
      <c r="O8" s="186" t="s">
        <v>970</v>
      </c>
      <c r="P8" s="208">
        <f>IF(B60="Yes",DF_Sprinkler50,1)</f>
        <v>1</v>
      </c>
      <c r="Q8" s="208">
        <v>1</v>
      </c>
      <c r="R8" s="208">
        <v>1</v>
      </c>
      <c r="S8" s="208">
        <f>IF(B60="Yes",DF_Sprinkler50,1)</f>
        <v>1</v>
      </c>
      <c r="V8" s="83" t="s">
        <v>1134</v>
      </c>
      <c r="W8" s="1315">
        <f>ROUND(PRODUCT(W4:W7),3)</f>
        <v>0.317</v>
      </c>
      <c r="X8" s="1315">
        <f>ROUND(PRODUCT(X4:X7),3)</f>
        <v>0.11</v>
      </c>
      <c r="Y8" s="1315">
        <f>ROUND(PRODUCT(Y4:Y7),3)</f>
        <v>0</v>
      </c>
      <c r="Z8" s="1315">
        <f>ROUND(PRODUCT(Z4:Z7),3)</f>
        <v>3.9E-2</v>
      </c>
      <c r="AC8" s="545" t="s">
        <v>1199</v>
      </c>
      <c r="AD8" s="207">
        <f>IF(OR(C28="S",C28="T",C28="SC"),1,VLOOKUP(C17,Table_TerrMult,2,FALSE))</f>
        <v>1</v>
      </c>
      <c r="AE8" s="207">
        <v>1</v>
      </c>
      <c r="AF8" s="207">
        <f>IF(C12="SP",VLOOKUP(C18,Table_TerrMult_SP,2,0),1)</f>
        <v>1</v>
      </c>
      <c r="AG8" s="207">
        <v>1</v>
      </c>
      <c r="AH8" s="563"/>
      <c r="AI8" s="146"/>
      <c r="AJ8" s="1210"/>
      <c r="AK8" s="247"/>
      <c r="AL8" s="247"/>
      <c r="AM8" s="558"/>
      <c r="AN8" s="558"/>
      <c r="AO8" s="559"/>
      <c r="AP8" s="146"/>
      <c r="AQ8" s="545" t="s">
        <v>1018</v>
      </c>
      <c r="AR8" s="299">
        <f>IF(C46=250,DF_250Deductible,C47)</f>
        <v>1</v>
      </c>
      <c r="AS8" s="299">
        <f>IF(C46=250,DF_250Deductible,C47)</f>
        <v>1</v>
      </c>
      <c r="AT8" s="299">
        <f>IF(C46=250,DF_250Deductible,C47)</f>
        <v>1</v>
      </c>
      <c r="AU8" s="299">
        <f>IF(C46=250,DF_250Deductible,C47)</f>
        <v>1</v>
      </c>
      <c r="AX8" s="268" t="s">
        <v>1018</v>
      </c>
      <c r="AY8" s="423">
        <f>IF(C46=250,DF_250Deductible,C47)</f>
        <v>1</v>
      </c>
      <c r="BB8" s="268" t="s">
        <v>1017</v>
      </c>
      <c r="BC8" s="423">
        <f>IF(F7="Yes",1,IF(C48&gt;=80,VLOOKUP(C48,Table_CoIns1,2,FALSE),1+ IF(P5&lt;B49,VLOOKUP(B62,Table_CIUnder80,5,FALSE),0.5)))</f>
        <v>1</v>
      </c>
      <c r="BE8" s="185"/>
      <c r="BF8" s="186" t="s">
        <v>1772</v>
      </c>
      <c r="BG8" s="185">
        <f>IF(E59&gt;500,500,E59)</f>
        <v>0</v>
      </c>
      <c r="BH8" s="146"/>
      <c r="BI8" s="185"/>
      <c r="BJ8" s="186" t="s">
        <v>1783</v>
      </c>
      <c r="BK8" s="185">
        <f>IF(E59&gt;500,500,E59)</f>
        <v>0</v>
      </c>
      <c r="BL8" s="146"/>
      <c r="BM8" s="687" t="s">
        <v>1718</v>
      </c>
      <c r="BO8" s="155">
        <f>IF(BO26&lt;-0.06,-0.06,IF(BO26&gt;0.06,0.06,BO26))</f>
        <v>0</v>
      </c>
    </row>
    <row r="9" spans="1:67" ht="13.5" thickBot="1" x14ac:dyDescent="0.25">
      <c r="A9" s="120" t="s">
        <v>1829</v>
      </c>
      <c r="B9" s="95"/>
      <c r="C9" s="1049">
        <v>1</v>
      </c>
      <c r="D9" s="91"/>
      <c r="E9" s="195"/>
      <c r="F9" s="1067"/>
      <c r="H9" s="1205" t="s">
        <v>1098</v>
      </c>
      <c r="I9" s="248">
        <f>IF(OR(AND(C27="No",F41="Yes",F10="Yes"),AND(C27="Yes",F10="Yes")),W27,0)</f>
        <v>0</v>
      </c>
      <c r="J9" s="248">
        <f>IF(OR(AND(C27="No",F41="Yes",F10="Yes"),AND(C27="Yes",F10="Yes")),X27,0)</f>
        <v>0</v>
      </c>
      <c r="K9" s="248">
        <f>IF(OR(AND(C27="No",F41="Yes",F10="Yes",C12="SP"),AND(C27="Yes",F10="Yes",C12="SP")),Y27,0)</f>
        <v>0</v>
      </c>
      <c r="L9" s="248">
        <f>IF(OR(AND(C27="No",F41="Yes",F10="Yes",C12="BR"),AND(C27="Yes",F10="Yes",C12="BR")),Z27,0)</f>
        <v>0</v>
      </c>
      <c r="N9" s="146"/>
      <c r="O9" s="301" t="s">
        <v>917</v>
      </c>
      <c r="P9" s="1313">
        <f>ROUND(PRODUCT(P4,IF(ISTEXT(C39),SUM(P5,PRODUCT(P6:P7)),P5),P7:P8),3)</f>
        <v>0.317</v>
      </c>
      <c r="Q9" s="1313">
        <f>ROUND(PRODUCT(Q4:Q8),3)</f>
        <v>0.11</v>
      </c>
      <c r="R9" s="1313">
        <f>ROUND(PRODUCT(R4:R8),3)</f>
        <v>0</v>
      </c>
      <c r="S9" s="1313">
        <f>ROUND(PRODUCT(S4:S8),3)</f>
        <v>3.9E-2</v>
      </c>
      <c r="V9" s="168" t="s">
        <v>1658</v>
      </c>
      <c r="W9" s="207">
        <f>PRODUCT(VLOOKUP(80,Table_CoIns1,2,FALSE),DF_LL_CIBldg)</f>
        <v>0.25</v>
      </c>
      <c r="X9" s="207">
        <f>PRODUCT(VLOOKUP(80,Table_CoIns2,2,FALSE),DF_LL_CIBldg)</f>
        <v>0.25</v>
      </c>
      <c r="Y9" s="207">
        <f>PRODUCT(VLOOKUP(80,Table_CoIns2,2,FALSE),DF_LL_CIBldg)</f>
        <v>0.25</v>
      </c>
      <c r="Z9" s="207">
        <f>PRODUCT(VLOOKUP(80,Table_CoIns2,2,FALSE),DF_LL_CIBldg)</f>
        <v>0.25</v>
      </c>
      <c r="AB9" s="146"/>
      <c r="AC9" s="545" t="s">
        <v>1667</v>
      </c>
      <c r="AD9" s="563">
        <f>VLOOKUP("BA",Table_DebrisRemoval,2,FALSE)</f>
        <v>0.5</v>
      </c>
      <c r="AE9" s="563">
        <f>VLOOKUP("BA",Table_DebrisRemoval,2,FALSE)</f>
        <v>0.5</v>
      </c>
      <c r="AF9" s="207">
        <v>1</v>
      </c>
      <c r="AG9" s="207">
        <v>1</v>
      </c>
      <c r="AH9" s="423"/>
      <c r="AI9" s="60" t="s">
        <v>2246</v>
      </c>
      <c r="AJ9" s="1210"/>
      <c r="AK9" s="247"/>
      <c r="AL9" s="247"/>
      <c r="AM9" s="558"/>
      <c r="AN9" s="558"/>
      <c r="AO9" s="423"/>
      <c r="AP9" s="146"/>
      <c r="AQ9" s="545" t="s">
        <v>1062</v>
      </c>
      <c r="AR9" s="299">
        <f>IF(F41="Yes",VLOOKUP(2,Table_VPFactors,2,FALSE),1)</f>
        <v>1</v>
      </c>
      <c r="AS9" s="299">
        <f>IF(F41="Yes",VLOOKUP(2,Table_VPFactors,2,FALSE),1)</f>
        <v>1</v>
      </c>
      <c r="AT9" s="299">
        <f>IF(F41="Yes",VLOOKUP(2,Table_VPFactors,2,FALSE),1)</f>
        <v>1</v>
      </c>
      <c r="AU9" s="299">
        <f>IF(F41="Yes",VLOOKUP(2,Table_VPFactors,2,FALSE),1)</f>
        <v>1</v>
      </c>
      <c r="AX9" s="268" t="s">
        <v>1017</v>
      </c>
      <c r="AY9" s="423">
        <f>IF(F7="Yes",1,IF(C48&gt;=80,VLOOKUP(C48,Table_CoIns1,2,FALSE),1+ IF(P5&lt;B49,VLOOKUP(B62,Table_CIUnder80,5,FALSE),0.5)))</f>
        <v>1</v>
      </c>
      <c r="BB9" s="268" t="s">
        <v>180</v>
      </c>
      <c r="BC9" s="423">
        <f>1+$BQ$24</f>
        <v>1</v>
      </c>
      <c r="BE9" s="2"/>
      <c r="BF9" s="301" t="s">
        <v>1774</v>
      </c>
      <c r="BG9" s="248">
        <f>ROUND(PRODUCT(BG7:BG8),0)</f>
        <v>0</v>
      </c>
      <c r="BH9" s="146"/>
      <c r="BI9" s="2"/>
      <c r="BJ9" s="301" t="s">
        <v>1690</v>
      </c>
      <c r="BK9" s="248">
        <f>ROUND(PRODUCT(BK7:BK8),0)</f>
        <v>0</v>
      </c>
      <c r="BL9" s="248"/>
      <c r="BM9" s="153" t="s">
        <v>1719</v>
      </c>
      <c r="BO9" s="155">
        <f>IF(BO27&lt;-0.025,-0.025,IF(BO27&gt;0.025,0.025,BO27))</f>
        <v>0</v>
      </c>
    </row>
    <row r="10" spans="1:67" x14ac:dyDescent="0.2">
      <c r="A10" s="751" t="s">
        <v>668</v>
      </c>
      <c r="B10" s="752" t="str">
        <f>IF(C10=1, "BG &amp; PP",IF(C10=2, "CAC",IF(C10=3,"CCUO","Pls Select")))</f>
        <v>BG &amp; PP</v>
      </c>
      <c r="C10" s="1050">
        <v>1</v>
      </c>
      <c r="D10" s="190" t="s">
        <v>963</v>
      </c>
      <c r="E10" s="160"/>
      <c r="F10" s="1070" t="s">
        <v>833</v>
      </c>
      <c r="H10" s="1206" t="s">
        <v>1586</v>
      </c>
      <c r="I10" s="485">
        <f>IF(OR(AND(C27="No",F41="Yes",F20="Yes"),AND(C27="Yes",F20="Yes")),AD38,0)</f>
        <v>0</v>
      </c>
      <c r="J10" s="485">
        <f>IF(OR(AND(C27="No",F41="Yes",F20="Yes"),AND(C27="Yes",F20="Yes")),AE38,0)</f>
        <v>0</v>
      </c>
      <c r="K10" s="485">
        <f>IF(OR(AND(C27="No",F41="Yes",F20="Yes",C12="SP"),AND(C27="Yes",F20="Yes",C12="SP")),AF38,0)</f>
        <v>0</v>
      </c>
      <c r="L10" s="485">
        <f>IF(OR(AND(C27="No",F41="Yes",F20="Yes",C12="BR"),AND(C27="Yes",F20="Yes",C12="BR")),AG38,0)</f>
        <v>0</v>
      </c>
      <c r="O10" s="189" t="s">
        <v>1496</v>
      </c>
      <c r="P10" s="207">
        <v>1</v>
      </c>
      <c r="Q10" s="247">
        <f>IF(C64="Yes",VLOOKUP(C15,Table_Construction,3,FALSE),1)</f>
        <v>1</v>
      </c>
      <c r="R10" s="207">
        <v>1</v>
      </c>
      <c r="S10" s="207">
        <v>1</v>
      </c>
      <c r="U10" s="185"/>
      <c r="V10" s="186" t="s">
        <v>1657</v>
      </c>
      <c r="W10" s="208">
        <f>IF(E12="Yes",DF_LL_AddInsured,1)</f>
        <v>1</v>
      </c>
      <c r="X10" s="208">
        <f>IF(E12="Yes",DF_LL_AddInsured,1)</f>
        <v>1</v>
      </c>
      <c r="Y10" s="208">
        <f>IF(E12="Yes",DF_LL_AddInsured,1)</f>
        <v>1</v>
      </c>
      <c r="Z10" s="208">
        <f>IF(E12="Yes",DF_LL_AddInsured,1)</f>
        <v>1</v>
      </c>
      <c r="AB10" s="185"/>
      <c r="AC10" s="186" t="s">
        <v>1062</v>
      </c>
      <c r="AD10" s="455">
        <f>IF(F41="Yes",VLOOKUP(2,Table_VPFactors,2,FALSE),1)</f>
        <v>1</v>
      </c>
      <c r="AE10" s="455">
        <f>IF(F41="Yes",VLOOKUP(2,Table_VPFactors,2,FALSE),1)</f>
        <v>1</v>
      </c>
      <c r="AF10" s="455">
        <f>IF(F41="Yes",VLOOKUP(2,Table_VPFactors,2,FALSE),1)</f>
        <v>1</v>
      </c>
      <c r="AG10" s="455">
        <f>IF(F41="Yes",VLOOKUP(2,Table_VPFactors,2,FALSE),1)</f>
        <v>1</v>
      </c>
      <c r="AH10" s="559"/>
      <c r="AI10" s="146"/>
      <c r="AJ10" s="1210"/>
      <c r="AK10" s="235" t="s">
        <v>1012</v>
      </c>
      <c r="AL10" s="235" t="s">
        <v>1013</v>
      </c>
      <c r="AM10" s="235" t="s">
        <v>838</v>
      </c>
      <c r="AN10" s="235" t="s">
        <v>837</v>
      </c>
      <c r="AO10" s="559"/>
      <c r="AQ10" s="268" t="s">
        <v>180</v>
      </c>
      <c r="AR10" s="423">
        <f>1+$BQ$24</f>
        <v>1</v>
      </c>
      <c r="AS10" s="423">
        <f>1+$BQ$24</f>
        <v>1</v>
      </c>
      <c r="AT10" s="423">
        <f>1+$BQ$24</f>
        <v>1</v>
      </c>
      <c r="AU10" s="423">
        <f>1+$BQ$24</f>
        <v>1</v>
      </c>
      <c r="AX10" s="268" t="s">
        <v>180</v>
      </c>
      <c r="AY10" s="423">
        <f>1+$BQ$24</f>
        <v>1</v>
      </c>
      <c r="BB10" s="545" t="s">
        <v>1020</v>
      </c>
      <c r="BC10" s="299">
        <f>IF(C6="PAC",VLOOKUP(B7,Table_PakMods,MATCH(C11,List_Company,0)+1,FALSE),1)</f>
        <v>1</v>
      </c>
      <c r="BI10" s="185"/>
      <c r="BJ10" s="477" t="s">
        <v>1689</v>
      </c>
      <c r="BK10" s="565">
        <f>IF(E58&gt;1000000,(E58-1000000)/1000000,0)</f>
        <v>0</v>
      </c>
      <c r="BL10" s="299"/>
      <c r="BM10" s="687" t="s">
        <v>1720</v>
      </c>
      <c r="BO10" s="155">
        <f>IF(BO28&lt;-0.025,-0.025,IF(BO28&gt;0.025,0.025,BO28))</f>
        <v>0</v>
      </c>
    </row>
    <row r="11" spans="1:67" x14ac:dyDescent="0.2">
      <c r="A11" s="120" t="s">
        <v>835</v>
      </c>
      <c r="B11" s="95"/>
      <c r="C11" s="1048" t="s">
        <v>1859</v>
      </c>
      <c r="D11" s="473" t="s">
        <v>1242</v>
      </c>
      <c r="E11" s="950"/>
      <c r="F11" s="1071"/>
      <c r="H11" s="1206" t="s">
        <v>1381</v>
      </c>
      <c r="I11" s="485">
        <f>IF(OR(AND($C$27="No",$F$41="Yes",$F$26="Yes"),AND($C$27="Yes",$F$26="Yes")),AR52,0)</f>
        <v>0</v>
      </c>
      <c r="J11" s="485">
        <f>IF(OR(AND($C$27="No",$F$41="Yes",$F$26="Yes"),AND($C$27="Yes",$F$26="Yes")),AS52,0)</f>
        <v>0</v>
      </c>
      <c r="K11" s="485">
        <f>IF(OR(AND($C$27="No",$F$41="Yes",$F$26="Yes",C12="SP"),AND($C$27="Yes",$F$26="Yes",C12="SP")),AT52,0)</f>
        <v>0</v>
      </c>
      <c r="L11" s="485">
        <f>IF(OR(AND($C$27="No",$F$41="Yes",$F$26="Yes",C12="BR"),AND($C$27="Yes",$F$26="Yes",C12="BR")),AU52,0)</f>
        <v>0</v>
      </c>
      <c r="O11" s="189" t="s">
        <v>1497</v>
      </c>
      <c r="P11" s="207">
        <v>1</v>
      </c>
      <c r="Q11" s="207">
        <f>IF(AND(OR(C28="S",C28="T"),ISBLANK(C54)),"Enter Grade",VLOOKUP(C54,Table_BCEG,3,FALSE))</f>
        <v>1</v>
      </c>
      <c r="R11" s="207">
        <v>1</v>
      </c>
      <c r="S11" s="207">
        <v>1</v>
      </c>
      <c r="V11" s="83" t="s">
        <v>917</v>
      </c>
      <c r="W11" s="1315">
        <f>ROUND(PRODUCT(W8:W10),3)</f>
        <v>7.9000000000000001E-2</v>
      </c>
      <c r="X11" s="1315">
        <f>ROUND(PRODUCT(X8:X10),3)</f>
        <v>2.8000000000000001E-2</v>
      </c>
      <c r="Y11" s="1315">
        <f>ROUND(PRODUCT(Y8:Y10),3)</f>
        <v>0</v>
      </c>
      <c r="Z11" s="1315">
        <f>ROUND(PRODUCT(Z8:Z10),3)</f>
        <v>0.01</v>
      </c>
      <c r="AB11" s="146"/>
      <c r="AC11" s="83" t="s">
        <v>2167</v>
      </c>
      <c r="AD11" s="1313">
        <f>ROUND(PRODUCT(AD7:AD10),3)</f>
        <v>0.159</v>
      </c>
      <c r="AE11" s="1313">
        <f>ROUND(PRODUCT(AE7:AE10),3)</f>
        <v>5.5E-2</v>
      </c>
      <c r="AF11" s="1313">
        <f>ROUND(PRODUCT(AF7:AF10),3)</f>
        <v>2.5999999999999999E-2</v>
      </c>
      <c r="AG11" s="1313">
        <f>ROUND(PRODUCT(AG7:AG10),3)</f>
        <v>2.5999999999999999E-2</v>
      </c>
      <c r="AH11" s="426"/>
      <c r="AI11" s="146"/>
      <c r="AJ11" s="1210" t="s">
        <v>2243</v>
      </c>
      <c r="AK11" s="1424">
        <f>AK7</f>
        <v>0.317</v>
      </c>
      <c r="AL11" s="1424">
        <f>AL7</f>
        <v>0.11</v>
      </c>
      <c r="AM11" s="1424">
        <f>AM7</f>
        <v>0</v>
      </c>
      <c r="AN11" s="1424">
        <f>AN7</f>
        <v>3.9E-2</v>
      </c>
      <c r="AO11" s="426"/>
      <c r="AP11" s="146"/>
      <c r="AQ11" s="545" t="s">
        <v>1020</v>
      </c>
      <c r="AR11" s="299">
        <f>IF(C6="PAC",VLOOKUP(B7,Table_PakMods,MATCH(C11,List_Company,0)+1,FALSE),1)</f>
        <v>1</v>
      </c>
      <c r="AS11" s="299">
        <f>IF(C6="PAC",VLOOKUP(B7,Table_PakMods,MATCH(C11,List_Company,0)+1,FALSE),1)</f>
        <v>1</v>
      </c>
      <c r="AT11" s="299">
        <f>IF(C6="PAC",VLOOKUP(B7,Table_PakMods,MATCH(C11,List_Company,0)+1,FALSE),1)</f>
        <v>1</v>
      </c>
      <c r="AU11" s="299">
        <f>IF(C6="PAC",VLOOKUP(B7,Table_PakMods,MATCH(C11,List_Company,0)+1,FALSE),1)</f>
        <v>1</v>
      </c>
      <c r="AV11" s="385"/>
      <c r="AX11" s="545" t="s">
        <v>1020</v>
      </c>
      <c r="AY11" s="299">
        <f>IF(C6="PAC",VLOOKUP(B7,Table_PakMods,MATCH(C11,List_Company,0)+1,FALSE),1)</f>
        <v>1</v>
      </c>
      <c r="BA11" s="542"/>
      <c r="BB11" s="724" t="s">
        <v>1022</v>
      </c>
      <c r="BC11" s="279">
        <f>1+$BO$14</f>
        <v>1</v>
      </c>
      <c r="BD11" s="385"/>
      <c r="BE11" s="560" t="s">
        <v>1775</v>
      </c>
      <c r="BF11" s="2"/>
      <c r="BH11" s="1259"/>
      <c r="BI11" s="2"/>
      <c r="BJ11" s="301" t="s">
        <v>1774</v>
      </c>
      <c r="BK11" s="248">
        <f>ROUND(PRODUCT(BK9:BK10),0)</f>
        <v>0</v>
      </c>
      <c r="BL11" s="266"/>
      <c r="BM11" s="687" t="s">
        <v>1721</v>
      </c>
      <c r="BO11" s="155">
        <f>IF(BO29&lt;-0.075,-0.075,IF(BO29&gt;0.075,0.075,BO29))</f>
        <v>0</v>
      </c>
    </row>
    <row r="12" spans="1:67" ht="13.5" thickBot="1" x14ac:dyDescent="0.25">
      <c r="A12" s="415" t="s">
        <v>910</v>
      </c>
      <c r="B12" s="493">
        <f>IF(OR(C15=5,C15=6),1,2)</f>
        <v>2</v>
      </c>
      <c r="C12" s="1119" t="s">
        <v>1006</v>
      </c>
      <c r="D12" s="159" t="s">
        <v>1837</v>
      </c>
      <c r="E12" s="950"/>
      <c r="F12" s="1072"/>
      <c r="H12" s="1260" t="s">
        <v>1584</v>
      </c>
      <c r="I12" s="487">
        <f>IF(F41="Yes",W61,0)</f>
        <v>0</v>
      </c>
      <c r="J12" s="487">
        <f>IF(F41="Yes",X61,0)</f>
        <v>0</v>
      </c>
      <c r="K12" s="487">
        <f>IF(AND(F41="Yes",C12="SP"),Y61,0)</f>
        <v>0</v>
      </c>
      <c r="L12" s="487">
        <f>IF(AND(F41="Yes",C12="BR"),Z61,0)</f>
        <v>0</v>
      </c>
      <c r="O12" s="168" t="s">
        <v>1199</v>
      </c>
      <c r="P12" s="977">
        <f>IF(OR(C28="S",C28="T",C28="SC"),1,VLOOKUP(C17,Table_TerrMult,2,FALSE)) - IF(AND(C59="Yes",ISNUMBER(C61),N52="TM"), C61,0) - IF(AND(C62="Yes",Q52="TM"),P14,0)</f>
        <v>1</v>
      </c>
      <c r="Q12" s="207">
        <v>1</v>
      </c>
      <c r="R12" s="207">
        <v>1</v>
      </c>
      <c r="S12" s="247">
        <v>1</v>
      </c>
      <c r="V12" s="189" t="s">
        <v>1496</v>
      </c>
      <c r="W12" s="207">
        <v>1</v>
      </c>
      <c r="X12" s="247">
        <f>IF(C64="Yes",VLOOKUP(C15,Table_Construction,3,FALSE),1)</f>
        <v>1</v>
      </c>
      <c r="Y12" s="207">
        <v>1</v>
      </c>
      <c r="Z12" s="207">
        <v>1</v>
      </c>
      <c r="AB12" s="266"/>
      <c r="AC12" s="268" t="s">
        <v>180</v>
      </c>
      <c r="AD12" s="423">
        <f>1+$BQ$24</f>
        <v>1</v>
      </c>
      <c r="AE12" s="423">
        <f>1+$BQ$24</f>
        <v>1</v>
      </c>
      <c r="AF12" s="423">
        <f>1+$BQ$24</f>
        <v>1</v>
      </c>
      <c r="AG12" s="423">
        <f>1+$BQ$24</f>
        <v>1</v>
      </c>
      <c r="AH12" s="575"/>
      <c r="AI12" s="542"/>
      <c r="AJ12" s="1211" t="s">
        <v>2118</v>
      </c>
      <c r="AK12" s="542">
        <f>DF_OrdLaw</f>
        <v>0.15</v>
      </c>
      <c r="AL12" s="542">
        <f>DF_OrdLaw</f>
        <v>0.15</v>
      </c>
      <c r="AM12" s="542">
        <f>DF_OrdLaw</f>
        <v>0.15</v>
      </c>
      <c r="AN12" s="542">
        <f>DF_OrdLaw</f>
        <v>0.15</v>
      </c>
      <c r="AO12" s="575"/>
      <c r="AP12" s="542"/>
      <c r="AQ12" s="724" t="s">
        <v>1022</v>
      </c>
      <c r="AR12" s="279">
        <f>1+$BO$14</f>
        <v>1</v>
      </c>
      <c r="AS12" s="279">
        <f>1+$BO$14</f>
        <v>1</v>
      </c>
      <c r="AT12" s="279">
        <f>1+$BO$14</f>
        <v>1</v>
      </c>
      <c r="AU12" s="279">
        <f>1+$BO$14</f>
        <v>1</v>
      </c>
      <c r="AW12" s="542"/>
      <c r="AX12" s="724" t="s">
        <v>1022</v>
      </c>
      <c r="AY12" s="279">
        <f>1+$BO$14</f>
        <v>1</v>
      </c>
      <c r="AZ12" s="385"/>
      <c r="BA12" s="385"/>
      <c r="BB12" s="685" t="s">
        <v>396</v>
      </c>
      <c r="BC12" s="385">
        <f>ROUND(PRODUCT(BC4:BC11),3)</f>
        <v>0</v>
      </c>
      <c r="BE12" s="2"/>
      <c r="BF12" s="168" t="s">
        <v>1713</v>
      </c>
      <c r="BG12" s="247">
        <f>IF(F57="Yes",VLOOKUP(IF(AND(E59&gt;500,E59&lt;1001),E59,1000),Table_MortgageHolder,MATCH(F58,List_MHCol,1)+1,TRUE),0)</f>
        <v>0</v>
      </c>
      <c r="BK12" s="299"/>
      <c r="BL12" s="247"/>
      <c r="BM12" s="8" t="s">
        <v>1722</v>
      </c>
      <c r="BO12" s="155">
        <f>IF(BO30&lt;-0.05,-0.05,IF(BO30&gt;0.05,0.05,BO30))</f>
        <v>0</v>
      </c>
    </row>
    <row r="13" spans="1:67" ht="13.5" thickBot="1" x14ac:dyDescent="0.25">
      <c r="A13" s="507" t="s">
        <v>1069</v>
      </c>
      <c r="B13" s="681">
        <f>IF(C13=1,2,IF(C15&lt;4,3,4))</f>
        <v>3</v>
      </c>
      <c r="C13" s="1106" t="s">
        <v>857</v>
      </c>
      <c r="D13" s="91"/>
      <c r="E13" s="195"/>
      <c r="F13" s="1067"/>
      <c r="H13" s="568" t="s">
        <v>2289</v>
      </c>
      <c r="I13" s="248">
        <f>SUM(I8:I12)</f>
        <v>0</v>
      </c>
      <c r="J13" s="248">
        <f t="shared" ref="J13:L13" si="0">SUM(J8:J12)</f>
        <v>0</v>
      </c>
      <c r="K13" s="248">
        <f t="shared" si="0"/>
        <v>0</v>
      </c>
      <c r="L13" s="248">
        <f t="shared" si="0"/>
        <v>0</v>
      </c>
      <c r="O13" s="168" t="s">
        <v>1100</v>
      </c>
      <c r="P13" s="247">
        <f>IF(C59="Yes",IF($C$61&lt;&gt;"Sprinkler",1,VLOOKUP(C15,Table_SprLkg,2,FALSE)),1)</f>
        <v>1</v>
      </c>
      <c r="Q13" s="207">
        <v>1</v>
      </c>
      <c r="R13" s="207">
        <v>1</v>
      </c>
      <c r="S13" s="207">
        <v>1</v>
      </c>
      <c r="V13" s="189" t="s">
        <v>1497</v>
      </c>
      <c r="W13" s="207">
        <v>1</v>
      </c>
      <c r="X13" s="207">
        <f>IF(ISBLANK(C54),"Enter Grade",VLOOKUP(C54,Table_BCEG,3,FALSE))</f>
        <v>1</v>
      </c>
      <c r="Y13" s="207">
        <v>1</v>
      </c>
      <c r="Z13" s="207">
        <v>1</v>
      </c>
      <c r="AB13" s="146"/>
      <c r="AC13" s="545" t="s">
        <v>1020</v>
      </c>
      <c r="AD13" s="299">
        <f>IF(C6="PAC",VLOOKUP(B7,Table_PakMods,MATCH(C11,List_Company,0)+1,FALSE),1)</f>
        <v>1</v>
      </c>
      <c r="AE13" s="299">
        <f>IF(C6="PAC",VLOOKUP(B7,Table_PakMods,MATCH(C11,List_Company,0)+1,FALSE),1)</f>
        <v>1</v>
      </c>
      <c r="AF13" s="299">
        <f>IF(C6="PAC",VLOOKUP(B7,Table_PakMods,MATCH(C11,List_Company,0)+1,FALSE),1)</f>
        <v>1</v>
      </c>
      <c r="AG13" s="299">
        <f>IF(C6="PAC",VLOOKUP(B7,Table_PakMods,MATCH(C11,List_Company,0)+1,FALSE),1)</f>
        <v>1</v>
      </c>
      <c r="AH13" s="485"/>
      <c r="AI13" s="146"/>
      <c r="AJ13" s="301" t="s">
        <v>2245</v>
      </c>
      <c r="AK13" s="1423">
        <f>ROUND(PRODUCT(AK11:AK12),3)</f>
        <v>4.8000000000000001E-2</v>
      </c>
      <c r="AL13" s="1423">
        <f>ROUND(PRODUCT(AL11:AL12),3)</f>
        <v>1.7000000000000001E-2</v>
      </c>
      <c r="AM13" s="1423">
        <f>ROUND(PRODUCT(AM11:AM12),3)</f>
        <v>0</v>
      </c>
      <c r="AN13" s="1423">
        <f>ROUND(PRODUCT(AN11:AN12),3)</f>
        <v>6.0000000000000001E-3</v>
      </c>
      <c r="AO13" s="485"/>
      <c r="AP13" s="2"/>
      <c r="AQ13" s="301" t="s">
        <v>1384</v>
      </c>
      <c r="AR13" s="247">
        <f>ROUND(PRODUCT(AR3:AR12),3)</f>
        <v>0</v>
      </c>
      <c r="AS13" s="247">
        <f>ROUND(PRODUCT(AS3:AS12),3)</f>
        <v>0</v>
      </c>
      <c r="AT13" s="247">
        <f>ROUND(PRODUCT(AT3:AT12),3)</f>
        <v>0</v>
      </c>
      <c r="AU13" s="247">
        <f>ROUND(PRODUCT(AU3:AU12),3)</f>
        <v>0</v>
      </c>
      <c r="AW13" s="385"/>
      <c r="AX13" s="685" t="s">
        <v>679</v>
      </c>
      <c r="AY13" s="558">
        <f>ROUND(PRODUCT(AY6:AY12),3)</f>
        <v>0</v>
      </c>
      <c r="BA13" s="542"/>
      <c r="BB13" s="724" t="s">
        <v>678</v>
      </c>
      <c r="BC13" s="238">
        <f>IF(ISBLANK(F46),1,F46/100)</f>
        <v>0</v>
      </c>
      <c r="BE13" s="146"/>
      <c r="BF13" s="545" t="s">
        <v>1666</v>
      </c>
      <c r="BG13" s="2">
        <f>HLOOKUP(C11,Table_StateRates,6,FALSE)</f>
        <v>1.9</v>
      </c>
      <c r="BI13" s="560" t="s">
        <v>1775</v>
      </c>
      <c r="BJ13" s="2"/>
      <c r="BK13" s="266"/>
      <c r="BM13" s="8"/>
      <c r="BO13" s="155"/>
    </row>
    <row r="14" spans="1:67" x14ac:dyDescent="0.2">
      <c r="A14" s="108" t="s">
        <v>898</v>
      </c>
      <c r="B14" s="95"/>
      <c r="C14" s="1048">
        <v>3</v>
      </c>
      <c r="D14" s="577" t="s">
        <v>1850</v>
      </c>
      <c r="E14" s="271"/>
      <c r="F14" s="1068" t="s">
        <v>857</v>
      </c>
      <c r="H14" s="486"/>
      <c r="I14" s="248"/>
      <c r="J14" s="248"/>
      <c r="K14" s="248"/>
      <c r="L14" s="248"/>
      <c r="O14" s="236" t="s">
        <v>1099</v>
      </c>
      <c r="P14" s="281">
        <f>IF(C62="Yes",VLOOKUP(B63,Table_VandalExcl,3,FALSE),1)</f>
        <v>1</v>
      </c>
      <c r="Q14" s="207">
        <v>1</v>
      </c>
      <c r="R14" s="211">
        <v>1</v>
      </c>
      <c r="S14" s="281">
        <v>1</v>
      </c>
      <c r="V14" s="168" t="s">
        <v>1199</v>
      </c>
      <c r="W14" s="977">
        <f>IF(OR(C28="S",C28="T",C28="SC"),1,VLOOKUP(C17,Table_TerrMult,2,FALSE)) - IF(AND(C59="Yes",ISNUMBER(C61),N52="TM"), C61,0) - IF(AND(C62="Yes",Q52="TM"),P14,0)</f>
        <v>1</v>
      </c>
      <c r="X14" s="207">
        <v>1</v>
      </c>
      <c r="Y14" s="247">
        <f>IF(C12="SP",VLOOKUP(C18,Table_TerrMult_SP,2,0),1)</f>
        <v>1</v>
      </c>
      <c r="Z14" s="247">
        <v>1</v>
      </c>
      <c r="AB14" s="542"/>
      <c r="AC14" s="724" t="s">
        <v>1022</v>
      </c>
      <c r="AD14" s="279">
        <f>1+$BO$14</f>
        <v>1</v>
      </c>
      <c r="AE14" s="279">
        <f>1+$BO$14</f>
        <v>1</v>
      </c>
      <c r="AF14" s="279">
        <f>1+$BO$14</f>
        <v>1</v>
      </c>
      <c r="AG14" s="279">
        <f>1+$BO$14</f>
        <v>1</v>
      </c>
      <c r="AH14" s="266"/>
      <c r="AI14" s="1332"/>
      <c r="AJ14" s="1333" t="s">
        <v>2193</v>
      </c>
      <c r="AK14" s="1335" t="str">
        <f>IF(ISNUMBER($E$15)=FALSE,"NA",IF(ISNA(MATCH($E$15,List_LOI_Bldg,0)),VLOOKUP($E$15,List_LOI_Bldg,1,TRUE),"NA"))</f>
        <v>NA</v>
      </c>
      <c r="AL14" s="1335" t="str">
        <f>IF(ISNUMBER($E$15)=FALSE,"NA",IF(ISNA(MATCH($E$15,List_LOI_Bldg,0)),VLOOKUP($E$15,List_LOI_Bldg,1,TRUE),"NA"))</f>
        <v>NA</v>
      </c>
      <c r="AM14" s="1335" t="str">
        <f>IF(ISNUMBER($E$15)=FALSE,"NA",IF(ISNA(MATCH($E$15,List_LOI_Bldg,0)),VLOOKUP($E$15,List_LOI_Bldg,1,TRUE),"NA"))</f>
        <v>NA</v>
      </c>
      <c r="AN14" s="1335" t="str">
        <f>IF(ISNUMBER($E$15)=FALSE,"NA",IF(ISNA(MATCH($E$15,List_LOI_Bldg,0)),VLOOKUP($E$15,List_LOI_Bldg,1,TRUE),"NA"))</f>
        <v>NA</v>
      </c>
      <c r="AP14" s="185"/>
      <c r="AQ14" s="186" t="s">
        <v>1025</v>
      </c>
      <c r="AR14" s="238">
        <f>IF(ISBLANK(E31),0,E31/100)</f>
        <v>0</v>
      </c>
      <c r="AS14" s="238">
        <f>IF(ISBLANK(E31),0,E31/100)</f>
        <v>0</v>
      </c>
      <c r="AT14" s="238">
        <f>IF(ISBLANK(E31),0,E31/100)</f>
        <v>0</v>
      </c>
      <c r="AU14" s="238">
        <f>IF(ISBLANK(E31),0,E31/100)</f>
        <v>0</v>
      </c>
      <c r="AW14" s="542"/>
      <c r="AX14" s="724" t="s">
        <v>678</v>
      </c>
      <c r="AY14" s="238">
        <f>IF(ISBLANK(F46),1,F46/100)</f>
        <v>0</v>
      </c>
      <c r="BB14" s="568" t="s">
        <v>680</v>
      </c>
      <c r="BC14" s="248">
        <f>ROUND(PRODUCT(BC12:BC13),0)</f>
        <v>0</v>
      </c>
      <c r="BE14" s="453"/>
      <c r="BF14" s="186" t="s">
        <v>1019</v>
      </c>
      <c r="BG14" s="208">
        <f>HLOOKUP(C11,Table_StateRates,5,FALSE)</f>
        <v>1.38</v>
      </c>
      <c r="BI14" s="2"/>
      <c r="BJ14" s="168" t="s">
        <v>1713</v>
      </c>
      <c r="BK14" s="247">
        <f>IF(F57="Yes",VLOOKUP(IF(AND(E59&gt;500,E59&lt;1001),E59,1000),Table_MortgageHolder,MATCH(1001,List_MHCol,1)+1,TRUE),0)</f>
        <v>0</v>
      </c>
      <c r="BL14" s="146"/>
      <c r="BN14" s="60" t="s">
        <v>952</v>
      </c>
      <c r="BO14" s="157">
        <f>IF(SUM(BO4:BO13)&lt;-0.4,-0.4,IF(SUM(BO4:BO13)&gt;0.4,0.4,SUM(BO4:BO13)))</f>
        <v>0</v>
      </c>
    </row>
    <row r="15" spans="1:67" ht="13.5" customHeight="1" x14ac:dyDescent="0.2">
      <c r="A15" s="108" t="s">
        <v>1830</v>
      </c>
      <c r="B15" s="494"/>
      <c r="C15" s="1051">
        <v>1</v>
      </c>
      <c r="D15" s="585" t="s">
        <v>1164</v>
      </c>
      <c r="E15" s="950"/>
      <c r="F15" s="1073"/>
      <c r="H15" s="260"/>
      <c r="I15" s="248"/>
      <c r="J15" s="248"/>
      <c r="K15" s="248"/>
      <c r="L15" s="890" t="s">
        <v>1048</v>
      </c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V15" s="168" t="s">
        <v>1100</v>
      </c>
      <c r="W15" s="207">
        <f>IF(C59="Yes",IF($C$61&lt;&gt;"Sprinkler",1,VLOOKUP(C15,Table_SprLkg,2,FALSE)),1)</f>
        <v>1</v>
      </c>
      <c r="X15" s="207">
        <v>1</v>
      </c>
      <c r="Y15" s="207">
        <v>1</v>
      </c>
      <c r="Z15" s="207">
        <v>1</v>
      </c>
      <c r="AB15" s="385"/>
      <c r="AC15" s="685" t="s">
        <v>2168</v>
      </c>
      <c r="AD15" s="1314">
        <f>ROUND(PRODUCT(AD12:AD14),3)</f>
        <v>1</v>
      </c>
      <c r="AE15" s="1314">
        <f>ROUND(PRODUCT(AE12:AE14),3)</f>
        <v>1</v>
      </c>
      <c r="AF15" s="1314">
        <f>ROUND(PRODUCT(AF12:AF14),3)</f>
        <v>1</v>
      </c>
      <c r="AG15" s="1314">
        <f>ROUND(PRODUCT(AG12:AG14),3)</f>
        <v>1</v>
      </c>
      <c r="AH15" s="266"/>
      <c r="AI15" s="1336"/>
      <c r="AJ15" s="1337" t="s">
        <v>2194</v>
      </c>
      <c r="AK15" s="1425">
        <f>IF(AK14="NA",0,INDEX(List_LOI_Bldg,MATCH(AK14,List_LOI_Bldg,0)+1,1))</f>
        <v>0</v>
      </c>
      <c r="AL15" s="1425">
        <f>IF(AL14="NA",0,INDEX(List_LOI_Bldg,MATCH(AL14,List_LOI_Bldg,0)+1,1))</f>
        <v>0</v>
      </c>
      <c r="AM15" s="1425">
        <f>IF(AM14="NA",0,INDEX(List_LOI_Bldg,MATCH(AM14,List_LOI_Bldg,0)+1,1))</f>
        <v>0</v>
      </c>
      <c r="AN15" s="1425">
        <f>IF(AN14="NA",0,INDEX(List_LOI_Bldg,MATCH(AN14,List_LOI_Bldg,0)+1,1))</f>
        <v>0</v>
      </c>
      <c r="AP15" s="2"/>
      <c r="AQ15" s="301" t="s">
        <v>321</v>
      </c>
      <c r="AR15" s="248">
        <f>ROUND(PRODUCT(AR13:AR14),0)</f>
        <v>0</v>
      </c>
      <c r="AS15" s="248">
        <f>ROUND(PRODUCT(AS13:AS14),0)</f>
        <v>0</v>
      </c>
      <c r="AT15" s="248">
        <f>ROUND(PRODUCT(AT13:AT14),0)</f>
        <v>0</v>
      </c>
      <c r="AU15" s="248">
        <f>ROUND(PRODUCT(AU13:AU14),0)</f>
        <v>0</v>
      </c>
      <c r="AV15" s="557"/>
      <c r="AX15" s="568" t="s">
        <v>680</v>
      </c>
      <c r="AY15" s="248">
        <f>ROUND(PRODUCT(AY13:AY14),0)</f>
        <v>0</v>
      </c>
      <c r="BD15" s="557"/>
      <c r="BE15" s="2"/>
      <c r="BF15" s="301" t="s">
        <v>1773</v>
      </c>
      <c r="BG15" s="247">
        <f>ROUND(PRODUCT(BG12:BG14),3)</f>
        <v>0</v>
      </c>
      <c r="BI15" s="146"/>
      <c r="BJ15" s="545" t="s">
        <v>1666</v>
      </c>
      <c r="BK15" s="2">
        <f>HLOOKUP(C11,Table_StateRates,6,FALSE)</f>
        <v>1.9</v>
      </c>
      <c r="BL15" s="247"/>
    </row>
    <row r="16" spans="1:67" ht="13.5" thickBot="1" x14ac:dyDescent="0.25">
      <c r="A16" s="84" t="s">
        <v>975</v>
      </c>
      <c r="B16" s="289">
        <f>IF(C28="SC",VLOOKUP(C42,Table_SpecialLC,7,FALSE),IF(ISERROR(MATCH(C35,List_AddtlClass,0)),1,VLOOKUP(C35,Table_AddtlClass,MATCH(C15,List_ConstrNum,0)+1,FALSE)))</f>
        <v>1</v>
      </c>
      <c r="C16" s="1115" t="s">
        <v>18</v>
      </c>
      <c r="D16" s="473" t="s">
        <v>1163</v>
      </c>
      <c r="E16" s="950"/>
      <c r="F16" s="1071"/>
      <c r="H16" s="728" t="s">
        <v>1585</v>
      </c>
      <c r="I16" s="485">
        <f>IF(F7="Yes",W45,0)</f>
        <v>0</v>
      </c>
      <c r="J16" s="485"/>
      <c r="K16" s="485"/>
      <c r="L16" s="485"/>
      <c r="O16" s="168" t="s">
        <v>671</v>
      </c>
      <c r="P16" s="207">
        <f>IF(AND(C10=3,B36="Yes"),DF_MRPCredit,1)</f>
        <v>1</v>
      </c>
      <c r="Q16" s="207">
        <f>IF(AND(C10=3,B36="Yes"),DF_MRPCredit,1)</f>
        <v>1</v>
      </c>
      <c r="R16" s="207">
        <f>IF(AND(C10=3,B36="Yes"),DF_MRPCredit,1)</f>
        <v>1</v>
      </c>
      <c r="S16" s="207">
        <f>IF(AND(C10=3,B36="Yes"),DF_MRPCredit,1)</f>
        <v>1</v>
      </c>
      <c r="V16" s="236" t="s">
        <v>1099</v>
      </c>
      <c r="W16" s="281">
        <f>IF(C62="Yes",VLOOKUP(B63,Table_VandalExcl,3,FALSE),1)</f>
        <v>1</v>
      </c>
      <c r="X16" s="207">
        <v>1</v>
      </c>
      <c r="Y16" s="281">
        <v>1</v>
      </c>
      <c r="Z16" s="211">
        <v>1</v>
      </c>
      <c r="AB16" s="542"/>
      <c r="AC16" s="1211" t="s">
        <v>2169</v>
      </c>
      <c r="AD16" s="757">
        <f>AD11</f>
        <v>0.159</v>
      </c>
      <c r="AE16" s="757">
        <f>AE11</f>
        <v>5.5E-2</v>
      </c>
      <c r="AF16" s="757">
        <f>AF11</f>
        <v>2.5999999999999999E-2</v>
      </c>
      <c r="AG16" s="757">
        <f>AG11</f>
        <v>2.5999999999999999E-2</v>
      </c>
      <c r="AH16" s="557"/>
      <c r="AI16" s="146"/>
      <c r="AJ16" s="1209" t="s">
        <v>2119</v>
      </c>
      <c r="AK16" s="247">
        <f>IF(ISNUMBER($E$15)=FALSE,0,IF(AND(AK14="NA", ISNUMBER($E$15)),VLOOKUP($E$15,Table_LOI_Bldg,MATCH($C$15,List_Relatives,0)+1,FALSE),ROUND(VLOOKUP(AK14,Table_LOI_Bldg,MATCH($C$15,List_Relatives,0)+1,FALSE) - PRODUCT((VLOOKUP(AK14,Table_LOI_Bldg,MATCH($C$15,List_Relatives,0)+1,FALSE) - VLOOKUP(AK15,Table_LOI_Bldg,MATCH($C$15,List_Relatives,0)+1,FALSE)),$E$15-AK14)/(AK15-AK14),3)))</f>
        <v>0</v>
      </c>
      <c r="AL16" s="247">
        <f>IF(ISNUMBER($E$15)=FALSE,0,IF(AND(AL14="NA", ISNUMBER($E$15)),VLOOKUP($E$15,Table_LOI_Bldg,MATCH("BA2",List_Relatives,0)+1,FALSE),ROUND(VLOOKUP(AL14,Table_LOI_Bldg,MATCH("BA2",List_Relatives,0)+1,FALSE) - PRODUCT((VLOOKUP(AL14,Table_LOI_Bldg,MATCH("BA2",List_Relatives,0)+1,FALSE) - VLOOKUP(AL15,Table_LOI_Bldg,MATCH("BA2",List_Relatives,0)+1,FALSE)),$E$15-AL14)/(AL15-AL14),3)))</f>
        <v>0</v>
      </c>
      <c r="AM16" s="247">
        <f>IF(ISNUMBER($E$15)=FALSE,0,IF(AND(AM14="NA", ISNUMBER($E$15)),VLOOKUP($E$15,Table_LOI_Bldg,MATCH("SP",List_Relatives,0)+1,FALSE),ROUND(VLOOKUP(AM14,Table_LOI_Bldg,MATCH("SP",List_Relatives,0)+1,FALSE) - PRODUCT((VLOOKUP(AM14,Table_LOI_Bldg,MATCH("SP",List_Relatives,0)+1,FALSE) - VLOOKUP(AM15,Table_LOI_Bldg,MATCH("SP",List_Relatives,0)+1,FALSE)),$E$15-AM14)/(AM15-AM14),3)))</f>
        <v>0</v>
      </c>
      <c r="AN16" s="247">
        <f>IF(ISNUMBER($E$15)=FALSE,0,IF(AND(AN14="NA", ISNUMBER($E$15)),VLOOKUP($E$15,Table_LOI_Bldg,MATCH("BR",List_Relatives,0)+1,FALSE),ROUND(VLOOKUP(AN14,Table_LOI_Bldg,MATCH("BR",List_Relatives,0)+1,FALSE) - PRODUCT((VLOOKUP(AN14,Table_LOI_Bldg,MATCH("BR",List_Relatives,0)+1,FALSE) - VLOOKUP(AN15,Table_LOI_Bldg,MATCH("BR",List_Relatives,0)+1,FALSE)),$E$15-AN14)/(AN15-AN14),3)))</f>
        <v>0</v>
      </c>
      <c r="AO16" s="557"/>
      <c r="AZ16" s="557"/>
      <c r="BA16" s="557"/>
      <c r="BB16" s="557"/>
      <c r="BC16" s="557"/>
      <c r="BE16" s="185"/>
      <c r="BF16" s="186" t="s">
        <v>1780</v>
      </c>
      <c r="BG16" s="185">
        <f>IF(E59&gt;1000,500,IF(E59&gt;500,E59-500,0))</f>
        <v>0</v>
      </c>
      <c r="BI16" s="453"/>
      <c r="BJ16" s="186" t="s">
        <v>1019</v>
      </c>
      <c r="BK16" s="208">
        <f>HLOOKUP(C11,Table_StateRates,5,FALSE)</f>
        <v>1.38</v>
      </c>
      <c r="BL16" s="146"/>
    </row>
    <row r="17" spans="1:70" ht="13.5" customHeight="1" x14ac:dyDescent="0.2">
      <c r="A17" s="122" t="s">
        <v>974</v>
      </c>
      <c r="B17" s="95"/>
      <c r="C17" s="1048">
        <v>1</v>
      </c>
      <c r="D17" s="586" t="s">
        <v>1153</v>
      </c>
      <c r="E17" s="951"/>
      <c r="F17" s="1071"/>
      <c r="H17" s="486"/>
      <c r="I17" s="485"/>
      <c r="J17" s="485"/>
      <c r="K17" s="485"/>
      <c r="L17" s="485"/>
      <c r="O17" s="168" t="s">
        <v>672</v>
      </c>
      <c r="P17" s="207">
        <f>IF(AND(C10=3,B37="Yes"),DF_SepHeatCredit,1)</f>
        <v>1</v>
      </c>
      <c r="Q17" s="207">
        <f>IF(AND(C10=3,B37="Yes"),DF_SepHeatCredit,1)</f>
        <v>1</v>
      </c>
      <c r="R17" s="207">
        <f>IF(AND(C10=3,B37="Yes"),DF_SepHeatCredit,1)</f>
        <v>1</v>
      </c>
      <c r="S17" s="207">
        <f>IF(AND(C10=3,B37="Yes"),DF_SepHeatCredit,1)</f>
        <v>1</v>
      </c>
      <c r="U17" s="209"/>
      <c r="V17" s="210" t="s">
        <v>1016</v>
      </c>
      <c r="W17" s="212">
        <v>1</v>
      </c>
      <c r="X17" s="212">
        <v>1</v>
      </c>
      <c r="Y17" s="212">
        <v>1</v>
      </c>
      <c r="Z17" s="212">
        <v>1</v>
      </c>
      <c r="AC17" s="301" t="s">
        <v>2235</v>
      </c>
      <c r="AD17" s="1315">
        <f>ROUND(PRODUCT(AD15:AD16),3)</f>
        <v>0.159</v>
      </c>
      <c r="AE17" s="1315">
        <f>ROUND(PRODUCT(AE15:AE16),3)</f>
        <v>5.5E-2</v>
      </c>
      <c r="AF17" s="1315">
        <f>ROUND(PRODUCT(AF15:AF16),3)</f>
        <v>2.5999999999999999E-2</v>
      </c>
      <c r="AG17" s="1315">
        <f>ROUND(PRODUCT(AG15:AG16),3)</f>
        <v>2.5999999999999999E-2</v>
      </c>
      <c r="AH17" s="266"/>
      <c r="AI17" s="216"/>
      <c r="AJ17" s="1226" t="s">
        <v>2117</v>
      </c>
      <c r="AK17" s="1427">
        <f>IF(F14="Yes",IF(C58="Yes",E15/100,E16/100),0)</f>
        <v>0</v>
      </c>
      <c r="AL17" s="1427">
        <f>IF(F14="Yes",IF(C58="Yes",E15/100,E16/100),0)</f>
        <v>0</v>
      </c>
      <c r="AM17" s="1427">
        <f>IF(F14="Yes",IF(C58="Yes",E15/100,E16/100),0)</f>
        <v>0</v>
      </c>
      <c r="AN17" s="1427">
        <f>IF(F14="Yes",IF(C58="Yes",E15/100,E16/100),0)</f>
        <v>0</v>
      </c>
      <c r="AP17" s="385"/>
      <c r="AQ17" s="685" t="s">
        <v>1385</v>
      </c>
      <c r="AR17" s="725">
        <f>IF(C12="SP",SUM(AR15:AT15),IF(C12="BR",SUM(AR15:AS15,AU15),SUM(AR15:AS15)))</f>
        <v>0</v>
      </c>
      <c r="AS17" s="385"/>
      <c r="AT17" s="385"/>
      <c r="AU17" s="385"/>
      <c r="AW17" s="557"/>
      <c r="AX17" s="557"/>
      <c r="AY17" s="557"/>
      <c r="BA17" s="60" t="s">
        <v>684</v>
      </c>
      <c r="BB17" s="2"/>
      <c r="BC17" s="235"/>
      <c r="BE17" s="2"/>
      <c r="BF17" s="301" t="s">
        <v>1774</v>
      </c>
      <c r="BG17" s="248">
        <f>ROUND(PRODUCT(BG15:BG16),0)</f>
        <v>0</v>
      </c>
      <c r="BI17" s="2"/>
      <c r="BJ17" s="301" t="s">
        <v>1773</v>
      </c>
      <c r="BK17" s="247">
        <f>ROUND(PRODUCT(BK14:BK16),3)</f>
        <v>0</v>
      </c>
      <c r="BL17" s="248"/>
      <c r="BM17" s="136" t="s">
        <v>947</v>
      </c>
      <c r="BN17" s="137"/>
      <c r="BO17" s="137"/>
      <c r="BP17" s="137"/>
      <c r="BQ17" s="136" t="s">
        <v>938</v>
      </c>
      <c r="BR17" s="517"/>
    </row>
    <row r="18" spans="1:70" x14ac:dyDescent="0.2">
      <c r="A18" s="1195" t="s">
        <v>2097</v>
      </c>
      <c r="B18" s="95"/>
      <c r="C18" s="1194"/>
      <c r="D18" s="587" t="s">
        <v>1154</v>
      </c>
      <c r="E18" s="950"/>
      <c r="F18" s="1071"/>
      <c r="H18" s="576" t="s">
        <v>1162</v>
      </c>
      <c r="I18" s="485"/>
      <c r="J18" s="485"/>
      <c r="K18" s="485"/>
      <c r="L18" s="485"/>
      <c r="O18" s="168" t="s">
        <v>1202</v>
      </c>
      <c r="P18" s="207">
        <f>IF(C53="Yes",DF_AgreedFctr,1)</f>
        <v>1</v>
      </c>
      <c r="Q18" s="207">
        <f>IF(C53="Yes",DF_AgreedFctr,1)</f>
        <v>1</v>
      </c>
      <c r="R18" s="207">
        <f>IF(C53="Yes",DF_AgreedFctr,1)</f>
        <v>1</v>
      </c>
      <c r="S18" s="207">
        <f>IF(C53="Yes",DF_AgreedFctr,1)</f>
        <v>1</v>
      </c>
      <c r="V18" s="545" t="s">
        <v>1062</v>
      </c>
      <c r="W18" s="207">
        <f>IF(F41="Yes",VLOOKUP(2,Table_VPFactors,2,FALSE),1)</f>
        <v>1</v>
      </c>
      <c r="X18" s="207">
        <f>IF(F41="Yes",VLOOKUP(2,Table_VPFactors,2,FALSE),1)</f>
        <v>1</v>
      </c>
      <c r="Y18" s="207">
        <f>IF(F41="Yes",VLOOKUP(2,Table_VPFactors,2,FALSE),1)</f>
        <v>1</v>
      </c>
      <c r="Z18" s="207">
        <f>IF(F41="Yes",VLOOKUP(2,Table_VPFactors,2,FALSE),1)</f>
        <v>1</v>
      </c>
      <c r="AB18" s="185"/>
      <c r="AC18" s="186" t="s">
        <v>1567</v>
      </c>
      <c r="AD18" s="238">
        <f>IF(F3="Yes",E5/100,0)</f>
        <v>0</v>
      </c>
      <c r="AE18" s="238">
        <f>IF(F3="Yes",E5/100,0)</f>
        <v>0</v>
      </c>
      <c r="AF18" s="238">
        <f>IF(F3="Yes",E5/100,0)</f>
        <v>0</v>
      </c>
      <c r="AG18" s="238">
        <f>IF(F3="Yes",E5/100,0)</f>
        <v>0</v>
      </c>
      <c r="AH18" s="266"/>
      <c r="AI18" s="146"/>
      <c r="AJ18" s="301" t="s">
        <v>2120</v>
      </c>
      <c r="AK18" s="1228">
        <f>ROUND(PRODUCT(AK13,AK16:AK17),0)</f>
        <v>0</v>
      </c>
      <c r="AL18" s="1228">
        <f>ROUND(PRODUCT(AL5:AL17),0)</f>
        <v>0</v>
      </c>
      <c r="AM18" s="1228">
        <f>ROUND(PRODUCT(AM5:AM17),0)</f>
        <v>0</v>
      </c>
      <c r="AN18" s="1228">
        <f>ROUND(PRODUCT(AN5:AN17),0)</f>
        <v>0</v>
      </c>
      <c r="AW18" s="60" t="s">
        <v>681</v>
      </c>
      <c r="AX18" s="2"/>
      <c r="AY18" s="235"/>
      <c r="BB18" s="268" t="s">
        <v>1753</v>
      </c>
      <c r="BC18" s="426">
        <f>IF(F54="Yes",VLOOKUP(E55,Table_Other_WaterBuyback,6,FALSE),0)</f>
        <v>0</v>
      </c>
      <c r="BE18" s="423"/>
      <c r="BF18" s="423"/>
      <c r="BG18" s="423"/>
      <c r="BH18" s="559"/>
      <c r="BI18" s="185"/>
      <c r="BJ18" s="186" t="s">
        <v>1780</v>
      </c>
      <c r="BK18" s="185">
        <f>IF(E59&gt;1000,500,IF(E59&gt;500,E59-500,0))</f>
        <v>0</v>
      </c>
      <c r="BL18" s="423"/>
      <c r="BM18" s="138" t="s">
        <v>939</v>
      </c>
      <c r="BN18" s="8"/>
      <c r="BO18" s="8"/>
      <c r="BP18" s="8"/>
      <c r="BQ18" s="445" t="s">
        <v>940</v>
      </c>
      <c r="BR18" s="481"/>
    </row>
    <row r="19" spans="1:70" ht="13.5" thickBot="1" x14ac:dyDescent="0.25">
      <c r="A19" s="120"/>
      <c r="B19" s="95"/>
      <c r="C19" s="1047"/>
      <c r="D19" s="91"/>
      <c r="E19" s="195"/>
      <c r="F19" s="1067"/>
      <c r="H19" s="1207" t="s">
        <v>2113</v>
      </c>
      <c r="I19" s="485">
        <f>IF(OR(AND(C27="No",F41="Yes",F14="Yes"),AND(C27="Yes",F14="Yes")),AK51,0)</f>
        <v>0</v>
      </c>
      <c r="J19" s="575"/>
      <c r="K19" s="575"/>
      <c r="L19" s="575"/>
      <c r="O19" s="168" t="s">
        <v>1018</v>
      </c>
      <c r="P19" s="207">
        <f>IF(C46=250,DF_250Deductible,C47)</f>
        <v>1</v>
      </c>
      <c r="Q19" s="207">
        <f>IF(C65="Yes",1,IF(C46=250,DF_250Deductible,C47))</f>
        <v>1</v>
      </c>
      <c r="R19" s="207">
        <f>IF(C46=250,DF_250Deductible,C47)</f>
        <v>1</v>
      </c>
      <c r="S19" s="207">
        <f>IF(C46=250,DF_250Deductible,C47)</f>
        <v>1</v>
      </c>
      <c r="U19" s="266"/>
      <c r="V19" s="268" t="s">
        <v>180</v>
      </c>
      <c r="W19" s="423">
        <f>1+$BQ$24</f>
        <v>1</v>
      </c>
      <c r="X19" s="423">
        <f>1+$BQ$24</f>
        <v>1</v>
      </c>
      <c r="Y19" s="423">
        <f>1+$BQ$24</f>
        <v>1</v>
      </c>
      <c r="Z19" s="423">
        <f>1+$BQ$24</f>
        <v>1</v>
      </c>
      <c r="AC19" s="301" t="s">
        <v>1665</v>
      </c>
      <c r="AD19" s="248">
        <f>ROUND(PRODUCT(AD17:AD18),0)</f>
        <v>0</v>
      </c>
      <c r="AE19" s="248">
        <f>ROUND(PRODUCT(AE17:AE18),0)</f>
        <v>0</v>
      </c>
      <c r="AF19" s="248">
        <f>ROUND(PRODUCT(AF17:AF18),0)</f>
        <v>0</v>
      </c>
      <c r="AG19" s="248">
        <f>ROUND(PRODUCT(AG17:AG18),0)</f>
        <v>0</v>
      </c>
      <c r="AH19" s="266"/>
      <c r="AL19" s="559"/>
      <c r="AM19" s="559"/>
      <c r="AX19" s="268" t="s">
        <v>1724</v>
      </c>
      <c r="AY19" s="426">
        <f>IF(OR(C28="S",C28="T"),B29,IF(C28="SC",VLOOKUP(C42,Table_SpecialLC,B42,FALSE),VLOOKUP(C35,Table_G1_LC,MATCH(C15&amp;"B",List_ClassLC,0)+2,FALSE))+IF(ISBLANK(B41),0,B41))</f>
        <v>6</v>
      </c>
      <c r="BA19" s="558"/>
      <c r="BB19" s="755" t="s">
        <v>971</v>
      </c>
      <c r="BC19" s="558">
        <f>HLOOKUP(C11,Table_StateRates,6,FALSE)</f>
        <v>1.9</v>
      </c>
      <c r="BE19" s="560" t="s">
        <v>1776</v>
      </c>
      <c r="BF19" s="2"/>
      <c r="BH19" s="559"/>
      <c r="BI19" s="2"/>
      <c r="BJ19" s="301" t="s">
        <v>1690</v>
      </c>
      <c r="BK19" s="248">
        <f>ROUND(PRODUCT(BK17:BK18),0)</f>
        <v>0</v>
      </c>
      <c r="BL19" s="266"/>
      <c r="BM19" s="138" t="s">
        <v>941</v>
      </c>
      <c r="BN19" s="8"/>
      <c r="BO19" s="8"/>
      <c r="BP19" s="8"/>
      <c r="BQ19" s="26"/>
      <c r="BR19" s="481"/>
    </row>
    <row r="20" spans="1:70" x14ac:dyDescent="0.2">
      <c r="A20" s="88" t="s">
        <v>954</v>
      </c>
      <c r="B20" s="89"/>
      <c r="C20" s="1053"/>
      <c r="D20" s="577" t="s">
        <v>1810</v>
      </c>
      <c r="E20" s="912" t="str">
        <f>IF(TC10_PP1!F26="Yes","PP","Available")</f>
        <v>Available</v>
      </c>
      <c r="F20" s="1070" t="s">
        <v>857</v>
      </c>
      <c r="H20" s="1207" t="s">
        <v>2114</v>
      </c>
      <c r="I20" s="485">
        <f>IF(OR(AND(C27="No",F41="Yes",F14="Yes"),AND(C27="Yes",F14="Yes")),AK52,0)</f>
        <v>0</v>
      </c>
      <c r="J20" s="575"/>
      <c r="K20" s="575"/>
      <c r="L20" s="575"/>
      <c r="N20" s="185"/>
      <c r="O20" s="186" t="s">
        <v>1498</v>
      </c>
      <c r="P20" s="208">
        <v>1</v>
      </c>
      <c r="Q20" s="208">
        <f>IF(C65="Yes",VLOOKUP(C45/1000,Table_WHDed,MATCH(B66,List_WHDed,0)+1,TRUE),1)</f>
        <v>1</v>
      </c>
      <c r="R20" s="208">
        <v>1</v>
      </c>
      <c r="S20" s="208">
        <v>1</v>
      </c>
      <c r="U20" s="146"/>
      <c r="V20" s="545" t="s">
        <v>1020</v>
      </c>
      <c r="W20" s="299">
        <f>IF(C6="PAC",VLOOKUP(B7,Table_PakMods,MATCH(C11,List_Company,0)+1,FALSE),1)</f>
        <v>1</v>
      </c>
      <c r="X20" s="299">
        <f>IF(C6="PAC",VLOOKUP(B7,Table_PakMods,MATCH(C11,List_Company,0)+1,FALSE),1)</f>
        <v>1</v>
      </c>
      <c r="Y20" s="299">
        <f>IF(C6="PAC",VLOOKUP(B7,Table_PakMods,MATCH(C11,List_Company,0)+1,FALSE),1)</f>
        <v>1</v>
      </c>
      <c r="Z20" s="299">
        <f>IF(C6="PAC",VLOOKUP(B7,Table_PakMods,MATCH(C11,List_Company,0)+1,FALSE),1)</f>
        <v>1</v>
      </c>
      <c r="AC20" s="301"/>
      <c r="AD20" s="248"/>
      <c r="AH20" s="423"/>
      <c r="AL20" s="559"/>
      <c r="AM20" s="559"/>
      <c r="AO20" s="423"/>
      <c r="AP20" s="60" t="s">
        <v>1386</v>
      </c>
      <c r="AQ20" s="2"/>
      <c r="AR20" s="235" t="s">
        <v>1012</v>
      </c>
      <c r="AS20" s="235" t="s">
        <v>1013</v>
      </c>
      <c r="AT20" s="235" t="s">
        <v>838</v>
      </c>
      <c r="AU20" s="235" t="s">
        <v>837</v>
      </c>
      <c r="AW20" s="757"/>
      <c r="AX20" s="758" t="s">
        <v>971</v>
      </c>
      <c r="AY20" s="279">
        <f>HLOOKUP(C11,Table_StateRates,6,FALSE)</f>
        <v>1.9</v>
      </c>
      <c r="BB20" s="268" t="s">
        <v>1019</v>
      </c>
      <c r="BC20" s="423">
        <f>HLOOKUP(C11,Table_StateRates,5,FALSE)</f>
        <v>1.38</v>
      </c>
      <c r="BE20" s="2"/>
      <c r="BF20" s="168" t="s">
        <v>1713</v>
      </c>
      <c r="BG20" s="247">
        <f>IF(F57="Yes",VLOOKUP(IF(AND(E59&gt;1001,E59&lt;5001),E59,5000),Table_MortgageHolder,MATCH(F58,List_MHCol,1)+1,TRUE),0)</f>
        <v>0</v>
      </c>
      <c r="BH20" s="558"/>
      <c r="BI20" s="185"/>
      <c r="BJ20" s="477" t="s">
        <v>1689</v>
      </c>
      <c r="BK20" s="565">
        <f>(E58-1000000)/1000000</f>
        <v>-1</v>
      </c>
      <c r="BL20" s="247"/>
      <c r="BM20" s="26"/>
      <c r="BN20" s="8"/>
      <c r="BO20" s="8"/>
      <c r="BP20" s="8"/>
      <c r="BQ20" s="727" t="s">
        <v>942</v>
      </c>
      <c r="BR20" s="481"/>
    </row>
    <row r="21" spans="1:70" ht="13.5" thickBot="1" x14ac:dyDescent="0.25">
      <c r="A21" s="122" t="s">
        <v>956</v>
      </c>
      <c r="B21" s="1434">
        <v>1</v>
      </c>
      <c r="C21" s="1054" t="s">
        <v>833</v>
      </c>
      <c r="D21" s="539" t="s">
        <v>1646</v>
      </c>
      <c r="E21" s="950"/>
      <c r="F21" s="1065"/>
      <c r="H21" s="1208" t="s">
        <v>2115</v>
      </c>
      <c r="I21" s="487">
        <f>IF(OR(AND(C27="No",F41="Yes",F14="Yes"),AND(C27="Yes",F14="Yes")),AK53,0)</f>
        <v>0</v>
      </c>
      <c r="J21" s="575"/>
      <c r="K21" s="575"/>
      <c r="L21" s="575"/>
      <c r="O21" s="83" t="s">
        <v>2167</v>
      </c>
      <c r="P21" s="1312">
        <f>ROUND(PRODUCT(P9:P12,IF(AND(C59="Yes",C61="Sprinkler",C62="Yes"),P13-P14,P13),P15:P20),3)</f>
        <v>0.317</v>
      </c>
      <c r="Q21" s="1312">
        <f>ROUND(PRODUCT(Q9:Q20),3)</f>
        <v>0.11</v>
      </c>
      <c r="R21" s="1312">
        <f>ROUND(PRODUCT(R9:R20),3)</f>
        <v>0</v>
      </c>
      <c r="S21" s="1315">
        <f>ROUND(PRODUCT(S9:S20),3)</f>
        <v>3.9E-2</v>
      </c>
      <c r="U21" s="542"/>
      <c r="V21" s="724" t="s">
        <v>1022</v>
      </c>
      <c r="W21" s="279">
        <f>1+$BO$14</f>
        <v>1</v>
      </c>
      <c r="X21" s="279">
        <f>1+$BO$14</f>
        <v>1</v>
      </c>
      <c r="Y21" s="279">
        <f>1+$BO$14</f>
        <v>1</v>
      </c>
      <c r="Z21" s="279">
        <f>1+$BO$14</f>
        <v>1</v>
      </c>
      <c r="AB21" s="86"/>
      <c r="AC21" s="1426"/>
      <c r="AD21" s="1279"/>
      <c r="AE21" s="86"/>
      <c r="AF21" s="86"/>
      <c r="AG21" s="86"/>
      <c r="AH21" s="423"/>
      <c r="AI21" s="60" t="s">
        <v>2249</v>
      </c>
      <c r="AJ21" s="1210"/>
      <c r="AK21" s="247"/>
      <c r="AL21" s="247"/>
      <c r="AM21" s="558"/>
      <c r="AN21" s="558"/>
      <c r="AO21" s="423"/>
      <c r="AP21" s="2"/>
      <c r="AQ21" s="168" t="s">
        <v>1387</v>
      </c>
      <c r="AR21" s="2">
        <f>VLOOKUP(1,Table_Utility_OHLines,VLOOKUP("G1",Table_UtilityCol,2,FALSE),FALSE)</f>
        <v>8.0000000000000002E-3</v>
      </c>
      <c r="AS21" s="2">
        <f>VLOOKUP(1,Table_Utility_OHLines,VLOOKUP("G2",Table_UtilityCol,2,FALSE),FALSE)</f>
        <v>6.0000000000000001E-3</v>
      </c>
      <c r="AT21" s="247">
        <f>VLOOKUP(1,Table_Utility_OHLines,VLOOKUP("SP",Table_UtilityCol,2,FALSE),FALSE)</f>
        <v>6.0000000000000001E-3</v>
      </c>
      <c r="AU21" s="2">
        <f>VLOOKUP(1,Table_Utility_OHLines,VLOOKUP("BR",Table_UtilityCol,2,FALSE),FALSE)</f>
        <v>6.0000000000000001E-3</v>
      </c>
      <c r="AV21" s="385"/>
      <c r="AX21" s="568" t="s">
        <v>685</v>
      </c>
      <c r="AY21" s="266">
        <f>ROUND(PRODUCT(AY19:AY20),3)</f>
        <v>11.4</v>
      </c>
      <c r="BB21" s="268" t="s">
        <v>1018</v>
      </c>
      <c r="BC21" s="423">
        <f>IF(C46=250,DF_250Deductible,C47)</f>
        <v>1</v>
      </c>
      <c r="BD21" s="385"/>
      <c r="BE21" s="146"/>
      <c r="BF21" s="545" t="s">
        <v>1666</v>
      </c>
      <c r="BG21" s="2">
        <f>HLOOKUP(C11,Table_StateRates,6,FALSE)</f>
        <v>1.9</v>
      </c>
      <c r="BI21" s="2"/>
      <c r="BJ21" s="301" t="s">
        <v>1774</v>
      </c>
      <c r="BK21" s="248">
        <f>ROUND(PRODUCT(BK19:BK20),0)</f>
        <v>0</v>
      </c>
      <c r="BM21" s="445" t="s">
        <v>943</v>
      </c>
      <c r="BN21" s="8"/>
      <c r="BO21" s="142" t="s">
        <v>944</v>
      </c>
      <c r="BP21" s="8"/>
      <c r="BQ21" s="727" t="s">
        <v>945</v>
      </c>
      <c r="BR21" s="481"/>
    </row>
    <row r="22" spans="1:70" ht="13.5" thickBot="1" x14ac:dyDescent="0.25">
      <c r="A22" s="911" t="s">
        <v>958</v>
      </c>
      <c r="B22" s="90"/>
      <c r="C22" s="958" t="s">
        <v>857</v>
      </c>
      <c r="D22" s="122" t="s">
        <v>1160</v>
      </c>
      <c r="E22" s="596" t="str">
        <f>IF(F20="Yes",VLOOKUP(C14,Table_SpecialCR,2,FALSE),"N/A")</f>
        <v>N/A</v>
      </c>
      <c r="F22" s="1062"/>
      <c r="H22" s="568" t="s">
        <v>1165</v>
      </c>
      <c r="I22" s="569">
        <f>SUM(I19:I21)</f>
        <v>0</v>
      </c>
      <c r="J22" s="726"/>
      <c r="K22" s="726"/>
      <c r="L22" s="726"/>
      <c r="O22" s="168" t="s">
        <v>1017</v>
      </c>
      <c r="P22" s="247">
        <f>IF(F7="Yes",1,IF(C48&gt;=80,VLOOKUP(C48,Table_CoIns1,2,FALSE),1+ IF(P5&lt;B49,VLOOKUP(B62,Table_CIUnder80,5,FALSE),0.5)))</f>
        <v>1</v>
      </c>
      <c r="Q22" s="247">
        <f>IF(F7="Yes",1,IF(C48&gt;=80,VLOOKUP(C48,Table_CoIns2,2,FALSE),1+ IF(Q5&lt;B49,VLOOKUP(B62,Table_CIUnder80,5,FALSE),0.5)))</f>
        <v>1</v>
      </c>
      <c r="R22" s="247">
        <f>IF(F7="Yes",1,IF(C48&gt;=80,VLOOKUP(C48,Table_CoIns1,2,FALSE),1+ IF(P5&lt;B49,VLOOKUP(B62,Table_CIUnder80,5,FALSE),0.5)))</f>
        <v>1</v>
      </c>
      <c r="S22" s="247">
        <f>IF(F7="Yes",1,IF(C48&gt;=80,VLOOKUP(C48,Table_CoIns1,2,FALSE),1+ IF(P5&lt;B49,VLOOKUP(B62,Table_CIUnder80,5,FALSE),0.5)))</f>
        <v>1</v>
      </c>
      <c r="V22" s="83" t="s">
        <v>1150</v>
      </c>
      <c r="W22" s="1315">
        <f>ROUND(PRODUCT(W11:W14,IF(AND(C59="Yes",C61="Sprinkler",C62="Yes"),W15-W16,W15),W17:W21),3)</f>
        <v>7.9000000000000001E-2</v>
      </c>
      <c r="X22" s="1315">
        <f>ROUND(PRODUCT(X11:X21),3)</f>
        <v>2.8000000000000001E-2</v>
      </c>
      <c r="Y22" s="1315">
        <f>ROUND(PRODUCT(Y11:Y21),3)</f>
        <v>0</v>
      </c>
      <c r="Z22" s="1315">
        <f>ROUND(PRODUCT(Z11:Z21),3)</f>
        <v>0.01</v>
      </c>
      <c r="AC22" s="168"/>
      <c r="AH22" s="559"/>
      <c r="AI22" s="146"/>
      <c r="AJ22" s="1210"/>
      <c r="AK22" s="235" t="s">
        <v>1012</v>
      </c>
      <c r="AL22" s="235" t="s">
        <v>1013</v>
      </c>
      <c r="AM22" s="235" t="s">
        <v>838</v>
      </c>
      <c r="AN22" s="235" t="s">
        <v>837</v>
      </c>
      <c r="AO22" s="559"/>
      <c r="AP22" s="2"/>
      <c r="AQ22" s="168" t="s">
        <v>971</v>
      </c>
      <c r="AR22" s="2">
        <f>HLOOKUP(C11,Table_StateRates,6,FALSE)</f>
        <v>1.9</v>
      </c>
      <c r="AS22" s="2">
        <f>HLOOKUP(C11,Table_StateRates,6,FALSE)</f>
        <v>1.9</v>
      </c>
      <c r="AT22" s="247">
        <f>HLOOKUP(C11,Table_StateRates,6,FALSE)</f>
        <v>1.9</v>
      </c>
      <c r="AU22" s="2">
        <f>HLOOKUP(C11,Table_StateRates,6,FALSE)</f>
        <v>1.9</v>
      </c>
      <c r="AV22" s="423"/>
      <c r="AW22" s="542"/>
      <c r="AX22" s="724" t="s">
        <v>1740</v>
      </c>
      <c r="AY22" s="279">
        <f>DF_MoltenMaterial</f>
        <v>0.1</v>
      </c>
      <c r="AZ22" s="385"/>
      <c r="BB22" s="268" t="s">
        <v>1017</v>
      </c>
      <c r="BC22" s="423">
        <f>IF(F7="Yes",1,IF(C48&gt;=80,VLOOKUP(C48,Table_CoIns1,2,FALSE),1+ IF(P5&lt;B49,VLOOKUP(B62,Table_CIUnder80,5,FALSE),0.5)))</f>
        <v>1</v>
      </c>
      <c r="BD22" s="423"/>
      <c r="BE22" s="453"/>
      <c r="BF22" s="186" t="s">
        <v>1019</v>
      </c>
      <c r="BG22" s="208">
        <f>HLOOKUP(C11,Table_StateRates,5,FALSE)</f>
        <v>1.38</v>
      </c>
      <c r="BI22" s="423"/>
      <c r="BJ22" s="423"/>
      <c r="BK22" s="423"/>
      <c r="BL22" s="146"/>
      <c r="BM22" s="140" t="s">
        <v>1715</v>
      </c>
      <c r="BN22" s="8"/>
      <c r="BO22" s="144"/>
      <c r="BP22" s="8"/>
      <c r="BQ22" s="727" t="s">
        <v>946</v>
      </c>
      <c r="BR22" s="481"/>
    </row>
    <row r="23" spans="1:70" ht="13.5" thickBot="1" x14ac:dyDescent="0.25">
      <c r="A23" s="908" t="s">
        <v>955</v>
      </c>
      <c r="B23" s="909"/>
      <c r="C23" s="1055"/>
      <c r="D23" s="588" t="str">
        <f>IF(F20&lt;&gt;"Yes","Outdoor Trees, Shrubs &amp; Plants - N/A",IF(AND(ISBLANK(F22),F20="Yes"),"Please Select Special Class Item #",VLOOKUP(F22,Table_SpecialLC,2,FALSE)))</f>
        <v>Outdoor Trees, Shrubs &amp; Plants - N/A</v>
      </c>
      <c r="E23" s="95"/>
      <c r="F23" s="1039"/>
      <c r="H23" s="486"/>
      <c r="I23" s="485"/>
      <c r="J23" s="485"/>
      <c r="K23" s="485"/>
      <c r="L23" s="485"/>
      <c r="N23" s="266"/>
      <c r="O23" s="268" t="s">
        <v>180</v>
      </c>
      <c r="P23" s="423">
        <f>1+$BQ$24</f>
        <v>1</v>
      </c>
      <c r="Q23" s="423">
        <f>1+$BQ$24</f>
        <v>1</v>
      </c>
      <c r="R23" s="423">
        <f>1+$BQ$24</f>
        <v>1</v>
      </c>
      <c r="S23" s="423">
        <f>1+$BQ$24</f>
        <v>1</v>
      </c>
      <c r="U23" s="1332"/>
      <c r="V23" s="1333" t="s">
        <v>2193</v>
      </c>
      <c r="W23" s="1335" t="str">
        <f>IF(ISNUMBER($E$11)=FALSE,"NA",IF(ISNA(MATCH($E$11,List_LOI_Bldg,0)),VLOOKUP($E$11,List_LOI_Bldg,1,TRUE),"NA"))</f>
        <v>NA</v>
      </c>
      <c r="X23" s="1335" t="str">
        <f>IF(ISNUMBER($E$11)=FALSE,"NA",IF(ISNA(MATCH($E$11,List_LOI_Bldg,0)),VLOOKUP($E$11,List_LOI_Bldg,1,TRUE),"NA"))</f>
        <v>NA</v>
      </c>
      <c r="Y23" s="1335" t="str">
        <f>IF(ISNUMBER($E$11)=FALSE,"NA",IF(ISNA(MATCH($E$11,List_LOI_Bldg,0)),VLOOKUP($E$11,List_LOI_Bldg,1,TRUE),"NA"))</f>
        <v>NA</v>
      </c>
      <c r="Z23" s="1335" t="str">
        <f>IF(ISNUMBER($E$11)=FALSE,"NA",IF(ISNA(MATCH($E$11,List_LOI_Bldg,0)),VLOOKUP($E$11,List_LOI_Bldg,1,TRUE),"NA"))</f>
        <v>NA</v>
      </c>
      <c r="AB23" s="60" t="s">
        <v>1851</v>
      </c>
      <c r="AD23" s="235" t="s">
        <v>1012</v>
      </c>
      <c r="AE23" s="235" t="s">
        <v>1013</v>
      </c>
      <c r="AF23" s="235" t="s">
        <v>838</v>
      </c>
      <c r="AG23" s="235" t="s">
        <v>837</v>
      </c>
      <c r="AH23" s="423"/>
      <c r="AI23" s="146"/>
      <c r="AJ23" s="1210" t="s">
        <v>2243</v>
      </c>
      <c r="AK23" s="1424">
        <f>AK7</f>
        <v>0.317</v>
      </c>
      <c r="AL23" s="1424">
        <f>AL7</f>
        <v>0.11</v>
      </c>
      <c r="AM23" s="1424">
        <f>AM7</f>
        <v>0</v>
      </c>
      <c r="AN23" s="1424">
        <f>AN7</f>
        <v>3.9E-2</v>
      </c>
      <c r="AO23" s="423"/>
      <c r="AP23" s="146"/>
      <c r="AQ23" s="545" t="s">
        <v>1388</v>
      </c>
      <c r="AR23" s="299">
        <f>IF(AND(F30="Yes",F37="Yes"),E37,1)</f>
        <v>1</v>
      </c>
      <c r="AS23" s="299">
        <f>IF(AND(F30="Yes",F37="Yes"),E37,1)</f>
        <v>1</v>
      </c>
      <c r="AT23" s="299">
        <f>IF(AND(F30="Yes",F37="Yes"),E37,1)</f>
        <v>1</v>
      </c>
      <c r="AU23" s="299">
        <f>IF(AND(F30="Yes",F37="Yes"),E37,1)</f>
        <v>1</v>
      </c>
      <c r="AV23" s="559"/>
      <c r="AX23" s="568" t="s">
        <v>917</v>
      </c>
      <c r="AY23" s="426">
        <f>ROUND(PRODUCT(AY21:AY22),3)</f>
        <v>1.1399999999999999</v>
      </c>
      <c r="AZ23" s="423"/>
      <c r="BB23" s="268" t="s">
        <v>180</v>
      </c>
      <c r="BC23" s="423">
        <f>1+$BQ$24</f>
        <v>1</v>
      </c>
      <c r="BD23" s="559"/>
      <c r="BE23" s="2"/>
      <c r="BF23" s="301" t="s">
        <v>1773</v>
      </c>
      <c r="BG23" s="247">
        <f>ROUND(PRODUCT(BG20:BG22),3)</f>
        <v>0</v>
      </c>
      <c r="BI23" s="560" t="s">
        <v>1776</v>
      </c>
      <c r="BJ23" s="2"/>
      <c r="BK23" s="266"/>
      <c r="BL23" s="247"/>
      <c r="BM23" s="141" t="s">
        <v>1714</v>
      </c>
      <c r="BN23" s="139"/>
      <c r="BO23" s="145"/>
      <c r="BP23" s="139"/>
      <c r="BQ23" s="445"/>
      <c r="BR23" s="481"/>
    </row>
    <row r="24" spans="1:70" ht="13.5" thickBot="1" x14ac:dyDescent="0.25">
      <c r="A24" s="415" t="s">
        <v>957</v>
      </c>
      <c r="B24" s="941"/>
      <c r="C24" s="1056" t="s">
        <v>833</v>
      </c>
      <c r="D24" s="159" t="s">
        <v>113</v>
      </c>
      <c r="E24" s="894" t="str">
        <f>IF(F20="Yes",VLOOKUP(F22,Table_SpecialLC,6,FALSE),"None")</f>
        <v>None</v>
      </c>
      <c r="F24" s="543" t="str">
        <f>IF(F20="Yes",VLOOKUP(F22,Table_SpecialLC,7,FALSE),"None")</f>
        <v>None</v>
      </c>
      <c r="H24" s="576" t="s">
        <v>1647</v>
      </c>
      <c r="I24" s="682"/>
      <c r="J24" s="454"/>
      <c r="N24" s="146"/>
      <c r="O24" s="545" t="s">
        <v>1020</v>
      </c>
      <c r="P24" s="299">
        <f>IF(C6="PAC",VLOOKUP(B7,Table_PakMods,MATCH(C11,List_Company,0)+1,FALSE),1)</f>
        <v>1</v>
      </c>
      <c r="Q24" s="299">
        <f>IF(C6="PAC",VLOOKUP(B7,Table_PakMods,MATCH(C11,List_Company,0)+1,FALSE),1)</f>
        <v>1</v>
      </c>
      <c r="R24" s="299">
        <f>IF(C6="PAC",VLOOKUP(B7,Table_PakMods,MATCH(C11,List_Company,0)+1,FALSE),1)</f>
        <v>1</v>
      </c>
      <c r="S24" s="299">
        <f>IF(C6="PAC",VLOOKUP(B7,Table_PakMods,MATCH(C11,List_Company,0)+1,FALSE),1)</f>
        <v>1</v>
      </c>
      <c r="U24" s="1336"/>
      <c r="V24" s="1337" t="s">
        <v>2194</v>
      </c>
      <c r="W24" s="1425">
        <f>IF(W23="NA",0,INDEX(List_LOI_Bldg,MATCH(W23,List_LOI_Bldg,0)+1,1))</f>
        <v>0</v>
      </c>
      <c r="X24" s="1425">
        <f>IF(X23="NA",0,INDEX(List_LOI_Bldg,MATCH(X23,List_LOI_Bldg,0)+1,1))</f>
        <v>0</v>
      </c>
      <c r="Y24" s="1425">
        <f>IF(Y23="NA",0,INDEX(List_LOI_Bldg,MATCH(Y23,List_LOI_Bldg,0)+1,1))</f>
        <v>0</v>
      </c>
      <c r="Z24" s="1425">
        <f>IF(Z23="NA",0,INDEX(List_LOI_Bldg,MATCH(Z23,List_LOI_Bldg,0)+1,1))</f>
        <v>0</v>
      </c>
      <c r="AC24" s="168" t="s">
        <v>1197</v>
      </c>
      <c r="AD24" s="2">
        <f>IF(F20="Yes",VLOOKUP(F22,Table_SpecialLC,E22,FALSE),0)</f>
        <v>0</v>
      </c>
      <c r="AE24" s="247">
        <f>IF(OR(C28="S",C28="T"),C29,VLOOKUP(C16,Table_G2SymLC,2,FALSE)*IF(C64&lt;&gt;"Yes",B16,1))</f>
        <v>4.2000000000000003E-2</v>
      </c>
      <c r="AF24" s="247">
        <f>IF(OR(ISBLANK(C13),C13="No"),0,VLOOKUP(C13,Table_Special_Bldg,2,FALSE))</f>
        <v>0</v>
      </c>
      <c r="AG24" s="2">
        <f>HLOOKUP(B12,Table_BroadLC,IF(C35&lt;&gt;"1150",2,4),FALSE)</f>
        <v>1.4999999999999999E-2</v>
      </c>
      <c r="AH24" s="559"/>
      <c r="AI24" s="542"/>
      <c r="AJ24" s="1211" t="s">
        <v>2118</v>
      </c>
      <c r="AK24" s="542">
        <f>DF_OrdLaw</f>
        <v>0.15</v>
      </c>
      <c r="AL24" s="542">
        <f>DF_OrdLaw</f>
        <v>0.15</v>
      </c>
      <c r="AM24" s="542">
        <f>DF_OrdLaw</f>
        <v>0.15</v>
      </c>
      <c r="AN24" s="542">
        <f>DF_OrdLaw</f>
        <v>0.15</v>
      </c>
      <c r="AO24" s="559"/>
      <c r="AP24" s="146"/>
      <c r="AQ24" s="545" t="s">
        <v>1019</v>
      </c>
      <c r="AR24" s="299">
        <f>HLOOKUP(C11,Table_StateRates,5,FALSE)</f>
        <v>1.38</v>
      </c>
      <c r="AS24" s="299">
        <f>HLOOKUP(C11,Table_StateRates,5,FALSE)</f>
        <v>1.38</v>
      </c>
      <c r="AT24" s="299">
        <f>HLOOKUP(C11,Table_StateRates,5,FALSE)</f>
        <v>1.38</v>
      </c>
      <c r="AU24" s="299">
        <f>HLOOKUP(C11,Table_StateRates,5,FALSE)</f>
        <v>1.38</v>
      </c>
      <c r="AV24" s="426"/>
      <c r="AX24" s="268" t="s">
        <v>180</v>
      </c>
      <c r="AY24" s="423">
        <f>1+$BQ$24</f>
        <v>1</v>
      </c>
      <c r="AZ24" s="559"/>
      <c r="BB24" s="545" t="s">
        <v>1020</v>
      </c>
      <c r="BC24" s="299">
        <f>IF(C6="PAC",VLOOKUP(B7,Table_PakMods,MATCH(C11,List_Company,0)+1,FALSE),1)</f>
        <v>1</v>
      </c>
      <c r="BD24" s="426"/>
      <c r="BE24" s="185"/>
      <c r="BF24" s="186" t="s">
        <v>1781</v>
      </c>
      <c r="BG24" s="185">
        <f>IF(E59&gt;15000,4000,IF(AND(E59&gt;4000,E59&lt;15001),E59-1000,0))</f>
        <v>0</v>
      </c>
      <c r="BI24" s="2"/>
      <c r="BJ24" s="168" t="s">
        <v>1713</v>
      </c>
      <c r="BK24" s="247">
        <f>IF(F57="Yes",VLOOKUP(IF(AND(E59&gt;1001,E59&lt;5001),E59,5000),Table_MortgageHolder,MATCH(1001,List_MHCol,1)+1,TRUE),0)</f>
        <v>0</v>
      </c>
      <c r="BL24" s="146"/>
      <c r="BM24" s="141" t="s">
        <v>1716</v>
      </c>
      <c r="BN24" s="139"/>
      <c r="BO24" s="145"/>
      <c r="BP24" s="139"/>
      <c r="BQ24" s="1597"/>
      <c r="BR24" s="1598"/>
    </row>
    <row r="25" spans="1:70" ht="13.5" thickBot="1" x14ac:dyDescent="0.25">
      <c r="A25" s="503"/>
      <c r="B25" s="504"/>
      <c r="C25" s="1057"/>
      <c r="D25" s="91"/>
      <c r="E25" s="195"/>
      <c r="F25" s="1067"/>
      <c r="H25" s="486" t="s">
        <v>319</v>
      </c>
      <c r="I25" s="248">
        <f>IF(OR(AND(C27="No",F41="Yes",F30="Yes",F32="Yes"),AND(C27="Yes",F30="Yes",F32="Yes")),AR17,0)</f>
        <v>0</v>
      </c>
      <c r="J25" s="454"/>
      <c r="N25" s="542"/>
      <c r="O25" s="724" t="s">
        <v>1022</v>
      </c>
      <c r="P25" s="279">
        <f>1+$BO$14</f>
        <v>1</v>
      </c>
      <c r="Q25" s="279">
        <f>1+$BO$14</f>
        <v>1</v>
      </c>
      <c r="R25" s="279">
        <f>1+$BO$14</f>
        <v>1</v>
      </c>
      <c r="S25" s="279">
        <f>1+$BO$14</f>
        <v>1</v>
      </c>
      <c r="V25" s="1117" t="s">
        <v>2038</v>
      </c>
      <c r="W25" s="247">
        <f>IF(ISNUMBER($E$11)=FALSE,0,IF(AND(W23="NA", ISNUMBER($E$11)),VLOOKUP($E$11,Table_LOI_Bldg,MATCH($C$15,List_Relatives,0)+1,FALSE),ROUND(VLOOKUP(W23,Table_LOI_Bldg,MATCH($C$15,List_Relatives,0)+1,FALSE) - PRODUCT((VLOOKUP(W23,Table_LOI_Bldg,MATCH($C$15,List_Relatives,0)+1,FALSE) - VLOOKUP(W24,Table_LOI_Bldg,MATCH($C$15,List_Relatives,0)+1,FALSE)),$E$11-W23)/(W24-W23),3)))</f>
        <v>0</v>
      </c>
      <c r="X25" s="247">
        <f>IF(ISNUMBER($E$11)=FALSE,0,IF(AND(X23="NA", ISNUMBER($E$11)),VLOOKUP($E$11,Table_LOI_Bldg,MATCH("BA2",List_Relatives,0)+1,FALSE),ROUND(VLOOKUP(X23,Table_LOI_Bldg,MATCH("BA2",List_Relatives,0)+1,FALSE) - PRODUCT((VLOOKUP(X23,Table_LOI_Bldg,MATCH("BA2",List_Relatives,0)+1,FALSE) - VLOOKUP(X24,Table_LOI_Bldg,MATCH("BA2",List_Relatives,0)+1,FALSE)),$E$11-X23)/(X24-X23),3)))</f>
        <v>0</v>
      </c>
      <c r="Y25" s="247">
        <f>IF(ISNUMBER($E$11)=FALSE,0,IF(AND(Y23="NA", ISNUMBER($E$11)),VLOOKUP($E$11,Table_LOI_Bldg,MATCH("SP",List_Relatives,0)+1,FALSE),ROUND(VLOOKUP(Y23,Table_LOI_Bldg,MATCH("SP",List_Relatives,0)+1,FALSE) - PRODUCT((VLOOKUP(Y23,Table_LOI_Bldg,MATCH("SP",List_Relatives,0)+1,FALSE) - VLOOKUP(Y24,Table_LOI_Bldg,MATCH("SP",List_Relatives,0)+1,FALSE)),$E$11-Y23)/(Y24-Y23),3)))</f>
        <v>0</v>
      </c>
      <c r="Z25" s="247">
        <f>IF(ISNUMBER($E$11)=FALSE,0,IF(AND(Z23="NA", ISNUMBER($E$11)),VLOOKUP($E$11,Table_LOI_Bldg,MATCH("BR",List_Relatives,0)+1,FALSE),ROUND(VLOOKUP(Z23,Table_LOI_Bldg,MATCH("BR",List_Relatives,0)+1,FALSE) - PRODUCT((VLOOKUP(Z23,Table_LOI_Bldg,MATCH("BR",List_Relatives,0)+1,FALSE) - VLOOKUP(Z24,Table_LOI_Bldg,MATCH("BR",List_Relatives,0)+1,FALSE)),$E$11-Z23)/(Z24-Z23),3)))</f>
        <v>0</v>
      </c>
      <c r="AB25" s="185"/>
      <c r="AC25" s="186" t="s">
        <v>114</v>
      </c>
      <c r="AD25" s="895">
        <v>1</v>
      </c>
      <c r="AE25" s="895">
        <f>IF(F20="Yes",F24,1)</f>
        <v>1</v>
      </c>
      <c r="AF25" s="895">
        <v>1</v>
      </c>
      <c r="AG25" s="895">
        <v>1</v>
      </c>
      <c r="AH25" s="426"/>
      <c r="AI25" s="146"/>
      <c r="AJ25" s="301" t="s">
        <v>2245</v>
      </c>
      <c r="AK25" s="1423">
        <f>ROUND(PRODUCT(AK23:AK24),3)</f>
        <v>4.8000000000000001E-2</v>
      </c>
      <c r="AL25" s="1423">
        <f>ROUND(PRODUCT(AL23:AL24),3)</f>
        <v>1.7000000000000001E-2</v>
      </c>
      <c r="AM25" s="1423">
        <f>ROUND(PRODUCT(AM23:AM24),3)</f>
        <v>0</v>
      </c>
      <c r="AN25" s="1423">
        <f>ROUND(PRODUCT(AN23:AN24),3)</f>
        <v>6.0000000000000001E-3</v>
      </c>
      <c r="AO25" s="426"/>
      <c r="AP25" s="146"/>
      <c r="AQ25" s="545" t="s">
        <v>1017</v>
      </c>
      <c r="AR25" s="299">
        <f>IF(F7="Yes",1,IF(C48&gt;=80,VLOOKUP(C48,Table_CoIns1,2,FALSE),1+ IF(P5&lt;B49,VLOOKUP(B62,Table_CIUnder80,5,FALSE),0.5)))</f>
        <v>1</v>
      </c>
      <c r="AS25" s="299">
        <f>IF(F7="Yes",1,IF(C48&gt;=80,VLOOKUP(C48,Table_CoIns1,2,FALSE),1+ IF(P5&lt;B49,VLOOKUP(B62,Table_CIUnder80,5,FALSE),0.5)))</f>
        <v>1</v>
      </c>
      <c r="AT25" s="299">
        <f>IF(F7="Yes",1,IF(C48&gt;=80,VLOOKUP(C48,Table_CoIns1,2,FALSE),1+ IF(P5&lt;B49,VLOOKUP(B62,Table_CIUnder80,5,FALSE),0.5)))</f>
        <v>1</v>
      </c>
      <c r="AU25" s="299">
        <f>IF(F7="Yes",1,IF(C48&gt;=80,VLOOKUP(C48,Table_CoIns1,2,FALSE),1+ IF(P5&lt;B49,VLOOKUP(B62,Table_CIUnder80,5,FALSE),0.5)))</f>
        <v>1</v>
      </c>
      <c r="AV25" s="385"/>
      <c r="AX25" s="545" t="s">
        <v>1020</v>
      </c>
      <c r="AY25" s="299">
        <f>IF(C6="PAC",VLOOKUP(B7,Table_PakMods,MATCH(C11,List_Company,0)+1,FALSE),1)</f>
        <v>1</v>
      </c>
      <c r="AZ25" s="426"/>
      <c r="BA25" s="542"/>
      <c r="BB25" s="724" t="s">
        <v>1022</v>
      </c>
      <c r="BC25" s="279">
        <f>1+$BO$14</f>
        <v>1</v>
      </c>
      <c r="BD25" s="385"/>
      <c r="BE25" s="2"/>
      <c r="BF25" s="301" t="s">
        <v>1774</v>
      </c>
      <c r="BG25" s="248">
        <f>ROUND(PRODUCT(BG23:BG24),0)</f>
        <v>0</v>
      </c>
      <c r="BH25" s="1259"/>
      <c r="BI25" s="146"/>
      <c r="BJ25" s="545" t="s">
        <v>1666</v>
      </c>
      <c r="BK25" s="2">
        <f>HLOOKUP(C11,Table_StateRates,6,FALSE)</f>
        <v>1.9</v>
      </c>
      <c r="BL25" s="248"/>
      <c r="BM25" s="141" t="s">
        <v>1717</v>
      </c>
      <c r="BN25" s="139"/>
      <c r="BO25" s="145"/>
      <c r="BP25" s="139"/>
      <c r="BQ25" s="445"/>
      <c r="BR25" s="481"/>
    </row>
    <row r="26" spans="1:70" x14ac:dyDescent="0.2">
      <c r="A26" s="500" t="s">
        <v>1831</v>
      </c>
      <c r="B26" s="508"/>
      <c r="C26" s="509"/>
      <c r="D26" s="577" t="s">
        <v>1380</v>
      </c>
      <c r="E26" s="271"/>
      <c r="F26" s="1070" t="s">
        <v>857</v>
      </c>
      <c r="H26" s="597" t="s">
        <v>320</v>
      </c>
      <c r="I26" s="238">
        <f>IF(OR(AND(C27="No",F41="Yes",F30="Yes",F37="Yes"),AND(C27="Yes",F30="Yes",F37="Yes")),AR35,0)</f>
        <v>0</v>
      </c>
      <c r="J26" s="454"/>
      <c r="K26" s="485"/>
      <c r="L26" s="485"/>
      <c r="N26" s="385"/>
      <c r="O26" s="685" t="s">
        <v>2168</v>
      </c>
      <c r="P26" s="1314">
        <f>ROUND(PRODUCT(P22:P25),3)</f>
        <v>1</v>
      </c>
      <c r="Q26" s="1314">
        <f>ROUND(PRODUCT(Q22:Q25),3)</f>
        <v>1</v>
      </c>
      <c r="R26" s="1314">
        <f>ROUND(PRODUCT(R22:R25),3)</f>
        <v>1</v>
      </c>
      <c r="S26" s="1314">
        <f>ROUND(PRODUCT(S22:S25),3)</f>
        <v>1</v>
      </c>
      <c r="U26" s="185"/>
      <c r="V26" s="186" t="s">
        <v>1025</v>
      </c>
      <c r="W26" s="238">
        <f>IF(ISNUMBER(E11),E11/100,0)</f>
        <v>0</v>
      </c>
      <c r="X26" s="238">
        <f>IF(ISNUMBER(E11),E11/100,0)</f>
        <v>0</v>
      </c>
      <c r="Y26" s="238">
        <f>IF(ISNUMBER(E11),E11/100,0)</f>
        <v>0</v>
      </c>
      <c r="Z26" s="238">
        <f>IF(ISNUMBER(E11),E11/100,0)</f>
        <v>0</v>
      </c>
      <c r="AC26" s="83" t="s">
        <v>115</v>
      </c>
      <c r="AD26" s="247">
        <f>PRODUCT(AD24:AD25)</f>
        <v>0</v>
      </c>
      <c r="AE26" s="247">
        <f>PRODUCT(AE24:AE25)</f>
        <v>4.2000000000000003E-2</v>
      </c>
      <c r="AF26" s="247">
        <f>PRODUCT(AF24:AF25)</f>
        <v>0</v>
      </c>
      <c r="AG26" s="247">
        <f>PRODUCT(AG24:AG25)</f>
        <v>1.4999999999999999E-2</v>
      </c>
      <c r="AH26" s="575"/>
      <c r="AI26" s="1332"/>
      <c r="AJ26" s="1333" t="s">
        <v>2193</v>
      </c>
      <c r="AK26" s="1335" t="str">
        <f>IF(ISNUMBER($E$16)=FALSE,"NA",IF(ISNA(MATCH($E$16,List_LOI_Bldg,0)),VLOOKUP($E$16,List_LOI_Bldg,1,TRUE),"NA"))</f>
        <v>NA</v>
      </c>
      <c r="AL26" s="1335" t="str">
        <f>IF(ISNUMBER($E$16)=FALSE,"NA",IF(ISNA(MATCH($E$16,List_LOI_Bldg,0)),VLOOKUP($E$16,List_LOI_Bldg,1,TRUE),"NA"))</f>
        <v>NA</v>
      </c>
      <c r="AM26" s="1335" t="str">
        <f>IF(ISNUMBER($E$16)=FALSE,"NA",IF(ISNA(MATCH($E$16,List_LOI_Bldg,0)),VLOOKUP($E$16,List_LOI_Bldg,1,TRUE),"NA"))</f>
        <v>NA</v>
      </c>
      <c r="AN26" s="1335" t="str">
        <f>IF(ISNUMBER($E$16)=FALSE,"NA",IF(ISNA(MATCH($E$16,List_LOI_Bldg,0)),VLOOKUP($E$16,List_LOI_Bldg,1,TRUE),"NA"))</f>
        <v>NA</v>
      </c>
      <c r="AO26" s="575"/>
      <c r="AP26" s="146"/>
      <c r="AQ26" s="545" t="s">
        <v>375</v>
      </c>
      <c r="AR26" s="299">
        <f>IF(C46=250,DF_250Deductible,C47)</f>
        <v>1</v>
      </c>
      <c r="AS26" s="299">
        <f>IF(C46=250,DF_250Deductible,C47)</f>
        <v>1</v>
      </c>
      <c r="AT26" s="299">
        <f>IF(C46=250,DF_250Deductible,C47)</f>
        <v>1</v>
      </c>
      <c r="AU26" s="299">
        <f>IF(C46=250,DF_250Deductible,C47)</f>
        <v>1</v>
      </c>
      <c r="AW26" s="542"/>
      <c r="AX26" s="724" t="s">
        <v>1022</v>
      </c>
      <c r="AY26" s="279">
        <f>1+$BO$14</f>
        <v>1</v>
      </c>
      <c r="AZ26" s="385"/>
      <c r="BA26" s="385"/>
      <c r="BB26" s="685" t="s">
        <v>686</v>
      </c>
      <c r="BC26" s="385">
        <f>ROUND(PRODUCT(BC18:BC25),3)</f>
        <v>0</v>
      </c>
      <c r="BI26" s="453"/>
      <c r="BJ26" s="186" t="s">
        <v>1019</v>
      </c>
      <c r="BK26" s="208">
        <f>HLOOKUP(C11,Table_StateRates,5,FALSE)</f>
        <v>1.38</v>
      </c>
      <c r="BL26" s="266"/>
      <c r="BM26" s="141" t="s">
        <v>1718</v>
      </c>
      <c r="BN26" s="8"/>
      <c r="BO26" s="145"/>
      <c r="BP26" s="8"/>
      <c r="BQ26" s="26"/>
      <c r="BR26" s="481"/>
    </row>
    <row r="27" spans="1:70" x14ac:dyDescent="0.2">
      <c r="A27" s="524" t="s">
        <v>856</v>
      </c>
      <c r="B27" s="522"/>
      <c r="C27" s="1058" t="s">
        <v>833</v>
      </c>
      <c r="D27" s="518" t="s">
        <v>1646</v>
      </c>
      <c r="E27" s="950"/>
      <c r="F27" s="1069"/>
      <c r="H27" s="568" t="s">
        <v>321</v>
      </c>
      <c r="I27" s="248">
        <f>SUM(I25:I26)</f>
        <v>0</v>
      </c>
      <c r="J27" s="454"/>
      <c r="K27" s="248"/>
      <c r="L27" s="248"/>
      <c r="N27" s="542"/>
      <c r="O27" s="1211" t="s">
        <v>2169</v>
      </c>
      <c r="P27" s="757">
        <f>P21</f>
        <v>0.317</v>
      </c>
      <c r="Q27" s="757">
        <f>Q21</f>
        <v>0.11</v>
      </c>
      <c r="R27" s="757">
        <f>R21</f>
        <v>0</v>
      </c>
      <c r="S27" s="757">
        <f>S21</f>
        <v>3.9E-2</v>
      </c>
      <c r="V27" s="83" t="s">
        <v>1659</v>
      </c>
      <c r="W27" s="260">
        <f>ROUND(PRODUCT(W22,W25:W26),0)</f>
        <v>0</v>
      </c>
      <c r="X27" s="260">
        <f>ROUND(PRODUCT(X22,X25:X26),0)</f>
        <v>0</v>
      </c>
      <c r="Y27" s="260">
        <f>ROUND(PRODUCT(Y22,Y25:Y26),0)</f>
        <v>0</v>
      </c>
      <c r="Z27" s="260">
        <f>ROUND(PRODUCT(Z22,Z25:Z26),0)</f>
        <v>0</v>
      </c>
      <c r="AB27" s="146"/>
      <c r="AC27" s="545" t="s">
        <v>1666</v>
      </c>
      <c r="AD27" s="2">
        <f>HLOOKUP(C11,Table_StateRates,6,FALSE)</f>
        <v>1.9</v>
      </c>
      <c r="AE27" s="2">
        <f>HLOOKUP(C11,Table_StateRates,6,FALSE)</f>
        <v>1.9</v>
      </c>
      <c r="AF27" s="2">
        <f>HLOOKUP(C11,Table_StateRates,6,FALSE)</f>
        <v>1.9</v>
      </c>
      <c r="AG27" s="2">
        <f>HLOOKUP(C11,Table_StateRates,6,FALSE)</f>
        <v>1.9</v>
      </c>
      <c r="AH27" s="485"/>
      <c r="AI27" s="1336"/>
      <c r="AJ27" s="1337" t="s">
        <v>2194</v>
      </c>
      <c r="AK27" s="1425">
        <f>IF(AK26="NA",0,INDEX(List_LOI_Bldg,MATCH(AK26,List_LOI_Bldg,0)+1,1))</f>
        <v>0</v>
      </c>
      <c r="AL27" s="1425">
        <f>IF(AL26="NA",0,INDEX(List_LOI_Bldg,MATCH(AL26,List_LOI_Bldg,0)+1,1))</f>
        <v>0</v>
      </c>
      <c r="AM27" s="1425">
        <f>IF(AM26="NA",0,INDEX(List_LOI_Bldg,MATCH(AM26,List_LOI_Bldg,0)+1,1))</f>
        <v>0</v>
      </c>
      <c r="AN27" s="1425">
        <f>IF(AN26="NA",0,INDEX(List_LOI_Bldg,MATCH(AN26,List_LOI_Bldg,0)+1,1))</f>
        <v>0</v>
      </c>
      <c r="AO27" s="485"/>
      <c r="AP27" s="146"/>
      <c r="AQ27" s="545" t="s">
        <v>1062</v>
      </c>
      <c r="AR27" s="299">
        <f>IF(F41="Yes",VLOOKUP(2,Table_VPFactors,2,FALSE),1)</f>
        <v>1</v>
      </c>
      <c r="AS27" s="299">
        <f>IF(F41="Yes",VLOOKUP(2,Table_VPFactors,2,FALSE),1)</f>
        <v>1</v>
      </c>
      <c r="AT27" s="299">
        <f>IF(F41="Yes",VLOOKUP(2,Table_VPFactors,2,FALSE),1)</f>
        <v>1</v>
      </c>
      <c r="AU27" s="299">
        <f>IF(F41="Yes",VLOOKUP(2,Table_VPFactors,2,FALSE),1)</f>
        <v>1</v>
      </c>
      <c r="AW27" s="385"/>
      <c r="AX27" s="685" t="s">
        <v>1741</v>
      </c>
      <c r="AY27" s="558">
        <f>ROUND(PRODUCT(AY23:AY26),3)</f>
        <v>1.1399999999999999</v>
      </c>
      <c r="BA27" s="542"/>
      <c r="BB27" s="724" t="s">
        <v>678</v>
      </c>
      <c r="BC27" s="238">
        <f>IF(ISBLANK(F46),1,F46/100)</f>
        <v>0</v>
      </c>
      <c r="BE27" s="560" t="s">
        <v>1777</v>
      </c>
      <c r="BF27" s="2"/>
      <c r="BI27" s="2"/>
      <c r="BJ27" s="301" t="s">
        <v>1773</v>
      </c>
      <c r="BK27" s="247">
        <f>ROUND(PRODUCT(BK24:BK26),3)</f>
        <v>0</v>
      </c>
      <c r="BL27" s="266"/>
      <c r="BM27" s="141" t="s">
        <v>181</v>
      </c>
      <c r="BN27" s="8"/>
      <c r="BO27" s="145"/>
      <c r="BP27" s="8"/>
      <c r="BQ27" s="26"/>
      <c r="BR27" s="481"/>
    </row>
    <row r="28" spans="1:70" x14ac:dyDescent="0.2">
      <c r="A28" s="523" t="s">
        <v>899</v>
      </c>
      <c r="B28" s="95"/>
      <c r="C28" s="1038" t="s">
        <v>83</v>
      </c>
      <c r="D28" s="898" t="s">
        <v>724</v>
      </c>
      <c r="E28" s="950"/>
      <c r="F28" s="1069"/>
      <c r="H28" s="486"/>
      <c r="I28" s="248"/>
      <c r="J28" s="454"/>
      <c r="K28" s="248"/>
      <c r="L28" s="248"/>
      <c r="O28" s="83" t="s">
        <v>1150</v>
      </c>
      <c r="P28" s="1315">
        <f>IF($C$30="Yes",B31,ROUND(PRODUCT(P26:P27),3))</f>
        <v>0.317</v>
      </c>
      <c r="Q28" s="1315">
        <f>IF($C$30="Yes",C31,ROUND(PRODUCT(Q26:Q27),3))</f>
        <v>0.11</v>
      </c>
      <c r="R28" s="1315">
        <f>IF($C$30="Yes",B32,ROUND(PRODUCT(R26:R27),3))</f>
        <v>0</v>
      </c>
      <c r="S28" s="1315">
        <f>IF($C$30="Yes",C32,ROUND(PRODUCT(S26:S27),3))</f>
        <v>3.9E-2</v>
      </c>
      <c r="AC28" s="168" t="s">
        <v>1019</v>
      </c>
      <c r="AD28" s="207">
        <f>HLOOKUP(C11,Table_StateRates,5,FALSE)</f>
        <v>1.38</v>
      </c>
      <c r="AE28" s="207">
        <f>HLOOKUP(C11,Table_StateRates,5,FALSE)</f>
        <v>1.38</v>
      </c>
      <c r="AF28" s="207">
        <f>HLOOKUP(C11,Table_StateRates,5,FALSE)</f>
        <v>1.38</v>
      </c>
      <c r="AG28" s="207">
        <f>HLOOKUP(C11,Table_StateRates,5,FALSE)</f>
        <v>1.38</v>
      </c>
      <c r="AH28" s="266"/>
      <c r="AI28" s="146"/>
      <c r="AJ28" s="1209" t="s">
        <v>2119</v>
      </c>
      <c r="AK28" s="247">
        <f>IF(ISNUMBER($E$16)=FALSE,0,IF(AND(AK26="NA", ISNUMBER($E$16)),VLOOKUP($E$16,Table_LOI_Bldg,MATCH($C$15,List_Relatives,0)+1,FALSE),ROUND(VLOOKUP(AK26,Table_LOI_Bldg,MATCH($C$15,List_Relatives,0)+1,FALSE) - PRODUCT((VLOOKUP(AK26,Table_LOI_Bldg,MATCH($C$15,List_Relatives,0)+1,FALSE) - VLOOKUP(AK27,Table_LOI_Bldg,MATCH($C$15,List_Relatives,0)+1,FALSE)),$E$16-AK26)/(AK27-AK26),3)))</f>
        <v>0</v>
      </c>
      <c r="AL28" s="247">
        <f>IF(ISNUMBER($E$16)=FALSE,0,IF(AND(AL26="NA", ISNUMBER($E$16)),VLOOKUP($E$16,Table_LOI_Bldg,MATCH("BA2",List_Relatives,0)+1,FALSE),ROUND(VLOOKUP(AL26,Table_LOI_Bldg,MATCH("BA2",List_Relatives,0)+1,FALSE) - PRODUCT((VLOOKUP(AL26,Table_LOI_Bldg,MATCH("BA2",List_Relatives,0)+1,FALSE) - VLOOKUP(AL27,Table_LOI_Bldg,MATCH("BA2",List_Relatives,0)+1,FALSE)),$E$16-AL26)/(AL27-AL26),3)))</f>
        <v>0</v>
      </c>
      <c r="AM28" s="247">
        <f>IF(ISNUMBER($E$16)=FALSE,0,IF(AND(AM26="NA", ISNUMBER($E$16)),VLOOKUP($E$16,Table_LOI_Bldg,MATCH("SP",List_Relatives,0)+1,FALSE),ROUND(VLOOKUP(AM26,Table_LOI_Bldg,MATCH("SP",List_Relatives,0)+1,FALSE) - PRODUCT((VLOOKUP(AM26,Table_LOI_Bldg,MATCH("SP",List_Relatives,0)+1,FALSE) - VLOOKUP(AM27,Table_LOI_Bldg,MATCH("SP",List_Relatives,0)+1,FALSE)),$E$16-AM26)/(AM27-AM26),3)))</f>
        <v>0</v>
      </c>
      <c r="AN28" s="247">
        <f>IF(ISNUMBER($E$16)=FALSE,0,IF(AND(AN26="NA", ISNUMBER($E$16)),VLOOKUP($E$16,Table_LOI_Bldg,MATCH("BR",List_Relatives,0)+1,FALSE),ROUND(VLOOKUP(AN26,Table_LOI_Bldg,MATCH("BR",List_Relatives,0)+1,FALSE) - PRODUCT((VLOOKUP(AN26,Table_LOI_Bldg,MATCH("BR",List_Relatives,0)+1,FALSE) - VLOOKUP(AN27,Table_LOI_Bldg,MATCH("BR",List_Relatives,0)+1,FALSE)),$E$16-AN26)/(AN27-AN26),3)))</f>
        <v>0</v>
      </c>
      <c r="AQ28" s="268" t="s">
        <v>180</v>
      </c>
      <c r="AR28" s="423">
        <f>1+$BQ$24</f>
        <v>1</v>
      </c>
      <c r="AS28" s="423">
        <f>1+$BQ$24</f>
        <v>1</v>
      </c>
      <c r="AT28" s="423">
        <f>1+$BQ$24</f>
        <v>1</v>
      </c>
      <c r="AU28" s="423">
        <f>1+$BQ$24</f>
        <v>1</v>
      </c>
      <c r="AW28" s="542"/>
      <c r="AX28" s="724" t="s">
        <v>678</v>
      </c>
      <c r="AY28" s="238">
        <f>IF(ISBLANK(F46),1,F46/100)</f>
        <v>0</v>
      </c>
      <c r="BB28" s="568" t="s">
        <v>687</v>
      </c>
      <c r="BC28" s="248">
        <f>ROUND(PRODUCT(BC26:BC27),0)</f>
        <v>0</v>
      </c>
      <c r="BE28" s="2"/>
      <c r="BF28" s="168" t="s">
        <v>1713</v>
      </c>
      <c r="BG28" s="247">
        <f>IF(F57="Yes",VLOOKUP(IF(AND(E59&gt;5001,E59&lt;15001),E59,15000),Table_MortgageHolder,MATCH(F58,List_MHCol,1)+1,TRUE),0)</f>
        <v>0</v>
      </c>
      <c r="BI28" s="185"/>
      <c r="BJ28" s="186" t="s">
        <v>1781</v>
      </c>
      <c r="BK28" s="185">
        <f>IF(E59&gt;15000,4000,IF(AND(E59&gt;4000,E59&lt;15000),E59-1000,0))</f>
        <v>0</v>
      </c>
      <c r="BL28" s="247"/>
      <c r="BM28" s="141" t="s">
        <v>1720</v>
      </c>
      <c r="BN28" s="8"/>
      <c r="BO28" s="145"/>
      <c r="BP28" s="8"/>
      <c r="BQ28" s="26"/>
      <c r="BR28" s="481"/>
    </row>
    <row r="29" spans="1:70" ht="13.5" thickBot="1" x14ac:dyDescent="0.25">
      <c r="A29" s="124" t="s">
        <v>959</v>
      </c>
      <c r="B29" s="1274"/>
      <c r="C29" s="1275"/>
      <c r="D29" s="195"/>
      <c r="E29" s="195"/>
      <c r="F29" s="1067"/>
      <c r="H29" s="60" t="s">
        <v>1581</v>
      </c>
      <c r="I29" s="2">
        <f>IF(C51="Yes",VLOOKUP(B52,Table_PlusEnd,2,FALSE),0)</f>
        <v>0</v>
      </c>
      <c r="J29" s="454"/>
      <c r="K29" s="248"/>
      <c r="L29" s="485"/>
      <c r="N29" s="1332"/>
      <c r="O29" s="1333" t="s">
        <v>2193</v>
      </c>
      <c r="P29" s="1335" t="str">
        <f>IF(ISNUMBER($C$45)=FALSE,"NA",IF(ISNA(MATCH($C$45,List_LOI_Bldg,0)),VLOOKUP($C$45,List_LOI_Bldg,1,TRUE),"NA"))</f>
        <v>NA</v>
      </c>
      <c r="Q29" s="1335" t="str">
        <f>IF(ISNUMBER($C$45)=FALSE,"NA",IF(ISNA(MATCH($C$45,List_LOI_Bldg,0)),VLOOKUP($C$45,List_LOI_Bldg,1,TRUE),"NA"))</f>
        <v>NA</v>
      </c>
      <c r="R29" s="1335" t="str">
        <f>IF(ISNUMBER($C$45)=FALSE,"NA",IF(ISNA(MATCH($C$45,List_LOI_Bldg,0)),VLOOKUP($C$45,List_LOI_Bldg,1,TRUE),"NA"))</f>
        <v>NA</v>
      </c>
      <c r="S29" s="1335" t="str">
        <f>IF(ISNUMBER($C$45)=FALSE,"NA",IF(ISNA(MATCH($C$45,List_LOI_Bldg,0)),VLOOKUP($C$45,List_LOI_Bldg,1,TRUE),"NA"))</f>
        <v>NA</v>
      </c>
      <c r="AC29" s="168" t="s">
        <v>1017</v>
      </c>
      <c r="AD29" s="247">
        <f>IF(F7="Yes",1,IF(C48&gt;=80,VLOOKUP(C48,Table_CoIns1,2,FALSE),1+ IF(P5&lt;B49,VLOOKUP(B62,Table_CIUnder80,5,FALSE),0.5)))</f>
        <v>1</v>
      </c>
      <c r="AE29" s="247">
        <f>IF(F7="Yes",1,IF(C48&gt;=80,VLOOKUP(C48,Table_CoIns1,2,FALSE),1+ IF(P5&lt;B49,VLOOKUP(B62,Table_CIUnder80,5,FALSE),0.5)))</f>
        <v>1</v>
      </c>
      <c r="AF29" s="247">
        <f>IF(F7="Yes",1,IF(C48&gt;=80,VLOOKUP(C48,Table_CoIns1,2,FALSE),1+ IF(P5&lt;B49,VLOOKUP(B62,Table_CIUnder80,5,FALSE),0.5)))</f>
        <v>1</v>
      </c>
      <c r="AG29" s="247">
        <f>IF(F7="Yes",1,IF(C48&gt;=80,VLOOKUP(C48,Table_CoIns1,2,FALSE),1+ IF(P5&lt;B49,VLOOKUP(B62,Table_CIUnder80,5,FALSE),0.5)))</f>
        <v>1</v>
      </c>
      <c r="AH29" s="266"/>
      <c r="AI29" s="216"/>
      <c r="AJ29" s="1226" t="s">
        <v>2117</v>
      </c>
      <c r="AK29" s="1427">
        <f>IF(F25="Yes",IF(C69="Yes",E26/100,E27/100),0)</f>
        <v>0</v>
      </c>
      <c r="AL29" s="1427">
        <f>IF(F25="Yes",IF(C69="Yes",E26/100,E27/100),0)</f>
        <v>0</v>
      </c>
      <c r="AM29" s="1427">
        <f>IF(F25="Yes",IF(C69="Yes",E26/100,E27/100),0)</f>
        <v>0</v>
      </c>
      <c r="AN29" s="1427">
        <f>IF(F25="Yes",IF(C69="Yes",E26/100,E27/100),0)</f>
        <v>0</v>
      </c>
      <c r="AP29" s="146"/>
      <c r="AQ29" s="545" t="s">
        <v>1020</v>
      </c>
      <c r="AR29" s="299">
        <f>IF(C6="PAC",VLOOKUP(B7,Table_PakMods,MATCH(C11,List_Company,0)+1,FALSE),1)</f>
        <v>1</v>
      </c>
      <c r="AS29" s="299">
        <f>IF(C6="PAC",VLOOKUP(B7,Table_PakMods,MATCH(C11,List_Company,0)+1,FALSE),1)</f>
        <v>1</v>
      </c>
      <c r="AT29" s="299">
        <f>IF(C6="PAC",VLOOKUP(B7,Table_PakMods,MATCH(C11,List_Company,0)+1,FALSE),1)</f>
        <v>1</v>
      </c>
      <c r="AU29" s="299">
        <f>IF(C6="PAC",VLOOKUP(B7,Table_PakMods,MATCH(C11,List_Company,0)+1,FALSE),1)</f>
        <v>1</v>
      </c>
      <c r="AV29" s="557"/>
      <c r="AX29" s="568" t="s">
        <v>681</v>
      </c>
      <c r="AY29" s="248">
        <f>ROUND(PRODUCT(AY27:AY28),0)</f>
        <v>0</v>
      </c>
      <c r="BD29" s="557"/>
      <c r="BE29" s="146"/>
      <c r="BF29" s="545" t="s">
        <v>1666</v>
      </c>
      <c r="BG29" s="2">
        <f>HLOOKUP(C11,Table_StateRates,6,FALSE)</f>
        <v>1.9</v>
      </c>
      <c r="BI29" s="2"/>
      <c r="BJ29" s="301" t="s">
        <v>1690</v>
      </c>
      <c r="BK29" s="248">
        <f>ROUND(PRODUCT(BK27:BK28),0)</f>
        <v>0</v>
      </c>
      <c r="BM29" s="141" t="s">
        <v>182</v>
      </c>
      <c r="BN29" s="8"/>
      <c r="BO29" s="145"/>
      <c r="BP29" s="8"/>
      <c r="BQ29" s="26"/>
      <c r="BR29" s="481"/>
    </row>
    <row r="30" spans="1:70" x14ac:dyDescent="0.2">
      <c r="A30" s="108" t="s">
        <v>953</v>
      </c>
      <c r="B30" s="95"/>
      <c r="C30" s="1059" t="s">
        <v>857</v>
      </c>
      <c r="D30" s="929" t="s">
        <v>1669</v>
      </c>
      <c r="E30" s="510"/>
      <c r="F30" s="1066" t="s">
        <v>857</v>
      </c>
      <c r="H30" s="486"/>
      <c r="I30" s="248"/>
      <c r="J30" s="454"/>
      <c r="K30" s="248"/>
      <c r="L30" s="485"/>
      <c r="N30" s="1336"/>
      <c r="O30" s="1337" t="s">
        <v>2194</v>
      </c>
      <c r="P30" s="1425">
        <f>IF(P29="NA",0,INDEX(List_LOI_Bldg,MATCH(P29,List_LOI_Bldg,0)+1,1))</f>
        <v>0</v>
      </c>
      <c r="Q30" s="1425">
        <f>IF(Q29="NA",0,INDEX(List_LOI_Bldg,MATCH(Q29,List_LOI_Bldg,0)+1,1))</f>
        <v>0</v>
      </c>
      <c r="R30" s="1425">
        <f>IF(R29="NA",0,INDEX(List_LOI_Bldg,MATCH(R29,List_LOI_Bldg,0)+1,1))</f>
        <v>0</v>
      </c>
      <c r="S30" s="1425">
        <f>IF(S29="NA",0,INDEX(List_LOI_Bldg,MATCH(S29,List_LOI_Bldg,0)+1,1))</f>
        <v>0</v>
      </c>
      <c r="U30" s="60" t="s">
        <v>1848</v>
      </c>
      <c r="W30" s="235" t="s">
        <v>1012</v>
      </c>
      <c r="X30" s="235" t="s">
        <v>1013</v>
      </c>
      <c r="Y30" s="235" t="s">
        <v>838</v>
      </c>
      <c r="Z30" s="235" t="s">
        <v>837</v>
      </c>
      <c r="AC30" s="545" t="s">
        <v>112</v>
      </c>
      <c r="AD30" s="207">
        <f>IF(C46=250,DF_250Deductible,C47)</f>
        <v>1</v>
      </c>
      <c r="AE30" s="207">
        <f>IF(C46=250,DF_250Deductible,C47)</f>
        <v>1</v>
      </c>
      <c r="AF30" s="207">
        <f>IF(C46=250,DF_250Deductible,C47)</f>
        <v>1</v>
      </c>
      <c r="AG30" s="207">
        <f>IF(C46=250,DF_250Deductible,C47)</f>
        <v>1</v>
      </c>
      <c r="AH30" s="266"/>
      <c r="AI30" s="146"/>
      <c r="AJ30" s="301" t="s">
        <v>2120</v>
      </c>
      <c r="AK30" s="1228">
        <f>ROUND(PRODUCT(AK25,AK28:AK29),0)</f>
        <v>0</v>
      </c>
      <c r="AL30" s="1228">
        <f>ROUND(PRODUCT(AL16:AL29),0)</f>
        <v>0</v>
      </c>
      <c r="AM30" s="1228">
        <f>ROUND(PRODUCT(AM16:AM29),0)</f>
        <v>0</v>
      </c>
      <c r="AN30" s="1228">
        <f>ROUND(PRODUCT(AN16:AN29),0)</f>
        <v>0</v>
      </c>
      <c r="AP30" s="542"/>
      <c r="AQ30" s="724" t="s">
        <v>1022</v>
      </c>
      <c r="AR30" s="279">
        <f>1+$BO$14</f>
        <v>1</v>
      </c>
      <c r="AS30" s="279">
        <f>1+$BO$14</f>
        <v>1</v>
      </c>
      <c r="AT30" s="279">
        <f>1+$BO$14</f>
        <v>1</v>
      </c>
      <c r="AU30" s="279">
        <f>1+$BO$14</f>
        <v>1</v>
      </c>
      <c r="AZ30" s="557"/>
      <c r="BA30" s="557"/>
      <c r="BB30" s="557"/>
      <c r="BC30" s="557"/>
      <c r="BE30" s="453"/>
      <c r="BF30" s="186" t="s">
        <v>1019</v>
      </c>
      <c r="BG30" s="208">
        <f>HLOOKUP(C11,Table_StateRates,5,FALSE)</f>
        <v>1.38</v>
      </c>
      <c r="BI30" s="185"/>
      <c r="BJ30" s="477" t="s">
        <v>1689</v>
      </c>
      <c r="BK30" s="565">
        <f>(E58-1000000)/1000000</f>
        <v>-1</v>
      </c>
      <c r="BL30" s="146"/>
      <c r="BM30" s="141" t="s">
        <v>1722</v>
      </c>
      <c r="BN30" s="8"/>
      <c r="BO30" s="145"/>
      <c r="BP30" s="8"/>
      <c r="BQ30" s="26"/>
      <c r="BR30" s="481"/>
    </row>
    <row r="31" spans="1:70" ht="13.5" thickBot="1" x14ac:dyDescent="0.25">
      <c r="A31" s="1454" t="s">
        <v>2276</v>
      </c>
      <c r="B31" s="1434">
        <v>0.21299999999999999</v>
      </c>
      <c r="C31" s="1455">
        <v>0.09</v>
      </c>
      <c r="D31" s="930" t="s">
        <v>1646</v>
      </c>
      <c r="E31" s="951"/>
      <c r="F31" s="1069"/>
      <c r="H31" s="1466" t="s">
        <v>2290</v>
      </c>
      <c r="I31" s="1467">
        <f>SUM(I13:L13,I16,I22,I27,I29)</f>
        <v>0</v>
      </c>
      <c r="J31" s="454"/>
      <c r="K31" s="248"/>
      <c r="L31" s="485"/>
      <c r="O31" s="1117" t="s">
        <v>2038</v>
      </c>
      <c r="P31" s="247">
        <f>IF(ISNUMBER($C$45)=FALSE,0,IF(AND(P29="NA", ISNUMBER($C$45)),VLOOKUP($C$45,Table_LOI_Bldg,MATCH($C$15,List_Relatives,0)+1,FALSE),ROUND(VLOOKUP(P29,Table_LOI_Bldg,MATCH($C$15,List_Relatives,0)+1,FALSE) - PRODUCT((VLOOKUP(P29,Table_LOI_Bldg,MATCH($C$15,List_Relatives,0)+1,FALSE) - VLOOKUP(P30,Table_LOI_Bldg,MATCH($C$15,List_Relatives,0)+1,FALSE)),$C$45-P29)/(P30-P29),3)))</f>
        <v>1</v>
      </c>
      <c r="Q31" s="247">
        <f>IF(ISNUMBER($C$45)=FALSE,0,IF(AND(Q29="NA", ISNUMBER($C$45)),VLOOKUP($C$45,Table_LOI_Bldg,MATCH("BA2",List_Relatives,0)+1,FALSE),ROUND(VLOOKUP(Q29,Table_LOI_Bldg,MATCH("BA2",List_Relatives,0)+1,FALSE) - PRODUCT((VLOOKUP(Q29,Table_LOI_Bldg,MATCH("BA2",List_Relatives,0)+1,FALSE) - VLOOKUP(Q30,Table_LOI_Bldg,MATCH("BA2",List_Relatives,0)+1,FALSE)),$C$45-Q29)/(Q30-Q29),3)))</f>
        <v>1</v>
      </c>
      <c r="R31" s="247">
        <f>IF(ISNUMBER($C$45)=FALSE,0,IF(AND(R29="NA", ISNUMBER($C$45)),VLOOKUP($C$45,Table_LOI_Bldg,MATCH("SP",List_Relatives,0)+1,FALSE),ROUND(VLOOKUP(R29,Table_LOI_Bldg,MATCH("SP",List_Relatives,0)+1,FALSE) - PRODUCT((VLOOKUP(R29,Table_LOI_Bldg,MATCH("SP",List_Relatives,0)+1,FALSE) - VLOOKUP(R30,Table_LOI_Bldg,MATCH("SP",List_Relatives,0)+1,FALSE)),$C$45-R29)/(R30-R29),3)))</f>
        <v>1</v>
      </c>
      <c r="S31" s="247">
        <f>IF(ISNUMBER($C$45)=FALSE,0,IF(AND(S29="NA", ISNUMBER($C$45)),VLOOKUP($C$45,Table_LOI_Bldg,MATCH("BR",List_Relatives,0)+1,FALSE),ROUND(VLOOKUP(S29,Table_LOI_Bldg,MATCH("BR",List_Relatives,0)+1,FALSE) - PRODUCT((VLOOKUP(S29,Table_LOI_Bldg,MATCH("BR",List_Relatives,0)+1,FALSE) - VLOOKUP(S30,Table_LOI_Bldg,MATCH("BR",List_Relatives,0)+1,FALSE)),$C$45-S29)/(S30-S29),3)))</f>
        <v>1</v>
      </c>
      <c r="V31" s="168" t="s">
        <v>407</v>
      </c>
      <c r="W31" s="247">
        <f>P28</f>
        <v>0.317</v>
      </c>
      <c r="X31" s="247">
        <f>Q28</f>
        <v>0.11</v>
      </c>
      <c r="Y31" s="247">
        <f>R28</f>
        <v>0</v>
      </c>
      <c r="Z31" s="247">
        <f>S28</f>
        <v>3.9E-2</v>
      </c>
      <c r="AB31" s="266"/>
      <c r="AC31" s="268" t="s">
        <v>180</v>
      </c>
      <c r="AD31" s="423">
        <f>1+$BQ$24</f>
        <v>1</v>
      </c>
      <c r="AE31" s="423">
        <f>1+$BQ$24</f>
        <v>1</v>
      </c>
      <c r="AF31" s="423">
        <f>1+$BQ$24</f>
        <v>1</v>
      </c>
      <c r="AG31" s="423">
        <f>1+$BQ$24</f>
        <v>1</v>
      </c>
      <c r="AH31" s="557"/>
      <c r="AL31" s="559"/>
      <c r="AM31" s="559"/>
      <c r="AO31" s="557"/>
      <c r="AP31" s="2"/>
      <c r="AQ31" s="301" t="s">
        <v>1389</v>
      </c>
      <c r="AR31" s="247">
        <f>ROUND(PRODUCT(AR21:AR30),3)</f>
        <v>2.1000000000000001E-2</v>
      </c>
      <c r="AS31" s="247">
        <f>ROUND(PRODUCT(AS21:AS30),3)</f>
        <v>1.6E-2</v>
      </c>
      <c r="AT31" s="247">
        <f>ROUND(PRODUCT(AT21:AT30),3)</f>
        <v>1.6E-2</v>
      </c>
      <c r="AU31" s="247">
        <f>ROUND(PRODUCT(AU21:AU30),3)</f>
        <v>1.6E-2</v>
      </c>
      <c r="BE31" s="2"/>
      <c r="BF31" s="301" t="s">
        <v>1773</v>
      </c>
      <c r="BG31" s="247">
        <f>ROUND(PRODUCT(BG28:BG30),3)</f>
        <v>0</v>
      </c>
      <c r="BI31" s="2"/>
      <c r="BJ31" s="301" t="s">
        <v>1774</v>
      </c>
      <c r="BK31" s="248">
        <f>ROUND(PRODUCT(BK29:BK30),0)</f>
        <v>0</v>
      </c>
      <c r="BL31" s="247"/>
      <c r="BM31" s="85"/>
      <c r="BN31" s="86"/>
      <c r="BO31" s="86"/>
      <c r="BP31" s="86"/>
      <c r="BQ31" s="85"/>
      <c r="BR31" s="196"/>
    </row>
    <row r="32" spans="1:70" ht="13.5" thickBot="1" x14ac:dyDescent="0.25">
      <c r="A32" s="1454" t="s">
        <v>2277</v>
      </c>
      <c r="B32" s="1456">
        <v>8.8999999999999996E-2</v>
      </c>
      <c r="C32" s="1455"/>
      <c r="D32" s="930" t="s">
        <v>314</v>
      </c>
      <c r="E32" s="678" t="str">
        <f>IF(F32="No","N/A",COUNTIF(E33:E35,"Yes"))</f>
        <v>N/A</v>
      </c>
      <c r="F32" s="952" t="s">
        <v>857</v>
      </c>
      <c r="H32" s="486"/>
      <c r="I32" s="485"/>
      <c r="J32" s="485"/>
      <c r="K32" s="485"/>
      <c r="L32" s="485"/>
      <c r="O32" s="1117" t="s">
        <v>2330</v>
      </c>
      <c r="P32" s="247">
        <v>1</v>
      </c>
      <c r="Q32" s="247">
        <v>1</v>
      </c>
      <c r="R32" s="247">
        <f>IF(C12="SP",VLOOKUP(C18,Table_TerrMult_SP,2,0),1)</f>
        <v>1</v>
      </c>
      <c r="S32" s="247">
        <v>1</v>
      </c>
      <c r="U32" s="185"/>
      <c r="V32" s="187" t="s">
        <v>408</v>
      </c>
      <c r="W32" s="208">
        <f>IF(C48&gt;80,P22,1)</f>
        <v>1</v>
      </c>
      <c r="X32" s="208">
        <f>IF(C48&gt;80,Q22,1)</f>
        <v>1</v>
      </c>
      <c r="Y32" s="208">
        <f>IF(C48&gt;80,R22,1)</f>
        <v>1</v>
      </c>
      <c r="Z32" s="208">
        <f>IF(C48&gt;80,S22,1)</f>
        <v>1</v>
      </c>
      <c r="AB32" s="146"/>
      <c r="AC32" s="545" t="s">
        <v>1020</v>
      </c>
      <c r="AD32" s="299">
        <f>IF(C6="PAC",VLOOKUP(B7,Table_PakMods,MATCH(C11,List_Company,0)+1,FALSE),1)</f>
        <v>1</v>
      </c>
      <c r="AE32" s="299">
        <f>IF(C6="PAC",VLOOKUP(B7,Table_PakMods,MATCH(C11,List_Company,0)+1,FALSE),1)</f>
        <v>1</v>
      </c>
      <c r="AF32" s="299">
        <f>IF(C6="PAC",VLOOKUP(B7,Table_PakMods,MATCH(C11,List_Company,0)+1,FALSE),1)</f>
        <v>1</v>
      </c>
      <c r="AG32" s="299">
        <f>IF(C6="PAC",VLOOKUP(B7,Table_PakMods,MATCH(C11,List_Company,0)+1,FALSE),1)</f>
        <v>1</v>
      </c>
      <c r="AH32" s="266"/>
      <c r="AL32" s="559"/>
      <c r="AM32" s="559"/>
      <c r="AP32" s="185"/>
      <c r="AQ32" s="186" t="s">
        <v>1025</v>
      </c>
      <c r="AR32" s="238">
        <f>IF(ISBLANK(E31),0,E31/100)</f>
        <v>0</v>
      </c>
      <c r="AS32" s="238">
        <f>IF(ISBLANK(E31),0,E31/100)</f>
        <v>0</v>
      </c>
      <c r="AT32" s="238">
        <f>IF(ISBLANK(E31),0,E31/100)</f>
        <v>0</v>
      </c>
      <c r="AU32" s="238">
        <f>IF(ISBLANK(E31),0,E31/100)</f>
        <v>0</v>
      </c>
      <c r="AW32" s="1599" t="s">
        <v>388</v>
      </c>
      <c r="AX32" s="1600"/>
      <c r="AY32" s="1600"/>
      <c r="AZ32" s="1600"/>
      <c r="BA32" s="1600"/>
      <c r="BB32" s="1600"/>
      <c r="BC32" s="1601"/>
      <c r="BE32" s="185"/>
      <c r="BF32" s="186" t="s">
        <v>1782</v>
      </c>
      <c r="BG32" s="185">
        <f>IF(E59&gt;30001,10000,IF(AND(E59&gt;15000,E59&lt;30001),E59-5000,0))</f>
        <v>0</v>
      </c>
      <c r="BH32" s="559"/>
      <c r="BI32" s="266"/>
      <c r="BJ32" s="266"/>
      <c r="BK32" s="266"/>
      <c r="BL32" s="146"/>
    </row>
    <row r="33" spans="1:64" ht="13.5" thickBot="1" x14ac:dyDescent="0.25">
      <c r="A33" s="122" t="s">
        <v>905</v>
      </c>
      <c r="B33" s="733" t="str">
        <f>IF(ISNUMBER(C33),VLOOKUP(C33,Table_Special_PP,2,0),"NA")</f>
        <v>Motels/Hotels</v>
      </c>
      <c r="C33" s="1201">
        <f>IF(ISTEXT(C35),VLOOKUP(C35,Table_G1_LC,3,0),"NA")</f>
        <v>6</v>
      </c>
      <c r="D33" s="931" t="s">
        <v>315</v>
      </c>
      <c r="E33" s="953" t="s">
        <v>857</v>
      </c>
      <c r="F33" s="574"/>
      <c r="H33" s="483" t="s">
        <v>662</v>
      </c>
      <c r="I33" s="485"/>
      <c r="J33" s="485"/>
      <c r="K33" s="485"/>
      <c r="L33" s="485"/>
      <c r="N33" s="185"/>
      <c r="O33" s="186" t="s">
        <v>1025</v>
      </c>
      <c r="P33" s="238">
        <f>IF(ISNUMBER(C45),C45/100,0)</f>
        <v>2500</v>
      </c>
      <c r="Q33" s="238">
        <f>IF(ISNUMBER(C45),C45/100,0)</f>
        <v>2500</v>
      </c>
      <c r="R33" s="238">
        <f>IF(ISNUMBER(C45),C45/100,0)</f>
        <v>2500</v>
      </c>
      <c r="S33" s="238">
        <f>IF(ISNUMBER(C45),C45/100,0)</f>
        <v>2500</v>
      </c>
      <c r="U33" s="546"/>
      <c r="V33" s="301" t="s">
        <v>409</v>
      </c>
      <c r="W33" s="247">
        <f>ROUND(W31/W32,3)</f>
        <v>0.317</v>
      </c>
      <c r="X33" s="247">
        <f>ROUND(X31/X32,3)</f>
        <v>0.11</v>
      </c>
      <c r="Y33" s="247">
        <f>ROUND(Y31/Y32,3)</f>
        <v>0</v>
      </c>
      <c r="Z33" s="247">
        <f>ROUND(Z31/Z32,3)</f>
        <v>3.9E-2</v>
      </c>
      <c r="AB33" s="542"/>
      <c r="AC33" s="724" t="s">
        <v>1022</v>
      </c>
      <c r="AD33" s="279">
        <f>1+$BO$14</f>
        <v>1</v>
      </c>
      <c r="AE33" s="279">
        <f>1+$BO$14</f>
        <v>1</v>
      </c>
      <c r="AF33" s="279">
        <f>1+$BO$14</f>
        <v>1</v>
      </c>
      <c r="AG33" s="279">
        <f>1+$BO$14</f>
        <v>1</v>
      </c>
      <c r="AH33" s="558"/>
      <c r="AI33" s="60" t="s">
        <v>1166</v>
      </c>
      <c r="AJ33" s="700"/>
      <c r="AK33" s="559"/>
      <c r="AL33" s="562"/>
      <c r="AM33" s="559"/>
      <c r="AN33" s="559"/>
      <c r="AO33" s="558"/>
      <c r="AP33" s="2"/>
      <c r="AQ33" s="301" t="s">
        <v>1386</v>
      </c>
      <c r="AR33" s="248">
        <f>ROUND(PRODUCT(AR31:AR32),0)</f>
        <v>0</v>
      </c>
      <c r="AS33" s="248">
        <f>ROUND(PRODUCT(AS31:AS32),0)</f>
        <v>0</v>
      </c>
      <c r="AT33" s="248">
        <f>ROUND(PRODUCT(AT31:AT32),0)</f>
        <v>0</v>
      </c>
      <c r="AU33" s="248">
        <f>ROUND(PRODUCT(AU31:AU32),0)</f>
        <v>0</v>
      </c>
      <c r="BE33" s="2"/>
      <c r="BF33" s="301" t="s">
        <v>1774</v>
      </c>
      <c r="BG33" s="248">
        <f>ROUND(PRODUCT(BG31:BG32),0)</f>
        <v>0</v>
      </c>
      <c r="BH33" s="559"/>
      <c r="BI33" s="560" t="s">
        <v>1777</v>
      </c>
      <c r="BJ33" s="2"/>
      <c r="BK33" s="266"/>
      <c r="BL33" s="248"/>
    </row>
    <row r="34" spans="1:64" x14ac:dyDescent="0.2">
      <c r="A34" s="120"/>
      <c r="B34" s="95"/>
      <c r="C34" s="1039"/>
      <c r="D34" s="931" t="s">
        <v>316</v>
      </c>
      <c r="E34" s="948" t="s">
        <v>857</v>
      </c>
      <c r="F34" s="574"/>
      <c r="H34" s="486" t="s">
        <v>682</v>
      </c>
      <c r="I34" s="485">
        <f>IF(AND(C27="Yes",F47="Yes"),AY15,0)</f>
        <v>0</v>
      </c>
      <c r="J34" s="485"/>
      <c r="K34" s="485"/>
      <c r="L34" s="485"/>
      <c r="O34" s="83" t="s">
        <v>1151</v>
      </c>
      <c r="P34" s="1481">
        <f>IF($C$30="Yes",ROUND(PRODUCT(P28,P33),0),ROUND(PRODUCT(P28,P31:P33),0))</f>
        <v>793</v>
      </c>
      <c r="Q34" s="1481">
        <f>IF($C$30="Yes",ROUND(PRODUCT(Q28,Q33),0),ROUND(PRODUCT(Q28,Q31:Q33),0))</f>
        <v>275</v>
      </c>
      <c r="R34" s="1481">
        <f>IF($C$30="Yes",ROUND(PRODUCT(R28,R33),0),ROUND(PRODUCT(R28,R31:R33),0))</f>
        <v>0</v>
      </c>
      <c r="S34" s="1481">
        <f>IF($C$30="Yes",ROUND(PRODUCT(S28,S33),0),ROUND(PRODUCT(S28,S31:S33),0))</f>
        <v>98</v>
      </c>
      <c r="U34" s="146"/>
      <c r="V34" s="545" t="s">
        <v>1561</v>
      </c>
      <c r="W34" s="299">
        <f>DF_FBldgValue</f>
        <v>0.3</v>
      </c>
      <c r="X34" s="299">
        <f>DF_FBldgValue</f>
        <v>0.3</v>
      </c>
      <c r="Y34" s="299">
        <f>DF_FBldgValue</f>
        <v>0.3</v>
      </c>
      <c r="Z34" s="299">
        <f>DF_FBldgValue</f>
        <v>0.3</v>
      </c>
      <c r="AC34" s="301" t="s">
        <v>1059</v>
      </c>
      <c r="AD34" s="247">
        <f>ROUND(PRODUCT(AD26:AD33),3)</f>
        <v>0</v>
      </c>
      <c r="AE34" s="247">
        <f>ROUND(PRODUCT(AE26:AE33),3)</f>
        <v>0.11</v>
      </c>
      <c r="AF34" s="247">
        <f>ROUND(PRODUCT(AF26:AF33),3)</f>
        <v>0</v>
      </c>
      <c r="AG34" s="247">
        <f>ROUND(PRODUCT(AG26:AG33),3)</f>
        <v>3.9E-2</v>
      </c>
      <c r="AH34" s="266"/>
      <c r="AI34" s="146"/>
      <c r="AJ34" s="1210"/>
      <c r="AK34" s="235" t="s">
        <v>1012</v>
      </c>
      <c r="AL34" s="235" t="s">
        <v>1013</v>
      </c>
      <c r="AM34" s="235" t="s">
        <v>838</v>
      </c>
      <c r="AN34" s="235" t="s">
        <v>837</v>
      </c>
      <c r="AW34" s="566" t="s">
        <v>389</v>
      </c>
      <c r="BA34" s="566" t="s">
        <v>1416</v>
      </c>
      <c r="BE34" s="426"/>
      <c r="BF34" s="426"/>
      <c r="BG34" s="426"/>
      <c r="BH34" s="558"/>
      <c r="BI34" s="2"/>
      <c r="BJ34" s="168" t="s">
        <v>1713</v>
      </c>
      <c r="BK34" s="247">
        <f>IF(F57="Yes",VLOOKUP(IF(AND(E59&gt;5001,E59&lt;15001),E59,15000),Table_MortgageHolder,MATCH(1001,List_MHCol,1)+1,TRUE),0)</f>
        <v>0</v>
      </c>
      <c r="BL34" s="426"/>
    </row>
    <row r="35" spans="1:64" x14ac:dyDescent="0.2">
      <c r="A35" s="108" t="s">
        <v>904</v>
      </c>
      <c r="B35" s="680" t="str">
        <f>IF(ISBLANK(C35),"",IF(ISERROR(VLOOKUP(C35,Table_G1_LC,2,FALSE)),"None",VLOOKUP(C35,Table_G1_LC,2,FALSE)))</f>
        <v>A</v>
      </c>
      <c r="C35" s="1114" t="s">
        <v>48</v>
      </c>
      <c r="D35" s="931" t="s">
        <v>317</v>
      </c>
      <c r="E35" s="948" t="s">
        <v>857</v>
      </c>
      <c r="F35" s="574"/>
      <c r="H35" s="486" t="s">
        <v>681</v>
      </c>
      <c r="I35" s="485">
        <f>IF(AND(C27="Yes",F50="Yes"),AY29,0)</f>
        <v>0</v>
      </c>
      <c r="J35" s="248"/>
      <c r="K35" s="485"/>
      <c r="L35" s="248"/>
      <c r="N35" s="185"/>
      <c r="O35" s="187" t="s">
        <v>1021</v>
      </c>
      <c r="P35" s="238">
        <f>P42</f>
        <v>0</v>
      </c>
      <c r="Q35" s="185">
        <f>Q42</f>
        <v>0</v>
      </c>
      <c r="R35" s="185">
        <f>R42</f>
        <v>0</v>
      </c>
      <c r="S35" s="185">
        <f>S42</f>
        <v>0</v>
      </c>
      <c r="U35" s="146"/>
      <c r="V35" s="545" t="s">
        <v>1062</v>
      </c>
      <c r="W35" s="299">
        <f>IF(F41="Yes",VLOOKUP(2,Table_VPFactors,2,FALSE),1)</f>
        <v>1</v>
      </c>
      <c r="X35" s="299">
        <f>IF(F41="Yes",VLOOKUP(2,Table_VPFactors,2,FALSE),1)</f>
        <v>1</v>
      </c>
      <c r="Y35" s="299">
        <f>IF(F41="Yes",VLOOKUP(2,Table_VPFactors,2,FALSE),1)</f>
        <v>1</v>
      </c>
      <c r="Z35" s="299">
        <f>IF(F41="Yes",VLOOKUP(2,Table_VPFactors,2,FALSE),1)</f>
        <v>1</v>
      </c>
      <c r="AB35" s="185"/>
      <c r="AC35" s="186" t="s">
        <v>1025</v>
      </c>
      <c r="AD35" s="238">
        <f>IF(F20="Yes",E21/100,0)</f>
        <v>0</v>
      </c>
      <c r="AE35" s="238">
        <f>IF(F20="Yes",E21/100,0)</f>
        <v>0</v>
      </c>
      <c r="AF35" s="238">
        <f>IF(F20="Yes",E21/100,0)</f>
        <v>0</v>
      </c>
      <c r="AG35" s="238">
        <f>IF(F20="Yes",E21/100,0)</f>
        <v>0</v>
      </c>
      <c r="AH35" s="266"/>
      <c r="AI35" s="146"/>
      <c r="AJ35" s="1210" t="s">
        <v>2243</v>
      </c>
      <c r="AK35" s="247">
        <f>AK7</f>
        <v>0.317</v>
      </c>
      <c r="AL35" s="247">
        <f>AL7</f>
        <v>0.11</v>
      </c>
      <c r="AM35" s="247">
        <f>AM7</f>
        <v>0</v>
      </c>
      <c r="AN35" s="247">
        <f>AN7</f>
        <v>3.9E-2</v>
      </c>
      <c r="AP35" s="385"/>
      <c r="AQ35" s="685" t="s">
        <v>1390</v>
      </c>
      <c r="AR35" s="725">
        <f>IF(C12="SP",SUM(AR33:AT33),IF(C12="BR",SUM(AR33:AS33,AU33),SUM(AR33:AS33)))</f>
        <v>0</v>
      </c>
      <c r="AS35" s="385"/>
      <c r="AT35" s="385"/>
      <c r="AU35" s="385"/>
      <c r="AV35" s="385"/>
      <c r="AX35" s="486" t="s">
        <v>228</v>
      </c>
      <c r="AY35" s="426">
        <f>IF(C21="Yes",HLOOKUP(B21,Table_Terrorism,3,FALSE),0)</f>
        <v>1.4999999999999999E-2</v>
      </c>
      <c r="BB35" s="486" t="s">
        <v>228</v>
      </c>
      <c r="BC35" s="426">
        <f>IF(C21="Yes",HLOOKUP(B21,Table_Terrorism,3,FALSE),0)</f>
        <v>1.4999999999999999E-2</v>
      </c>
      <c r="BD35" s="385"/>
      <c r="BE35" s="560" t="s">
        <v>1778</v>
      </c>
      <c r="BF35" s="2"/>
      <c r="BI35" s="146"/>
      <c r="BJ35" s="545" t="s">
        <v>1666</v>
      </c>
      <c r="BK35" s="2">
        <f>HLOOKUP(C11,Table_StateRates,6,FALSE)</f>
        <v>1.9</v>
      </c>
      <c r="BL35" s="266"/>
    </row>
    <row r="36" spans="1:64" ht="13.5" thickBot="1" x14ac:dyDescent="0.25">
      <c r="A36" s="158" t="s">
        <v>669</v>
      </c>
      <c r="B36" s="940" t="s">
        <v>857</v>
      </c>
      <c r="C36" s="753"/>
      <c r="D36" s="898" t="s">
        <v>1710</v>
      </c>
      <c r="E36" s="948" t="s">
        <v>857</v>
      </c>
      <c r="F36" s="574" t="str">
        <f>IF(ISBLANK(E36),"",IF(E36=1,1,IF(E36=2,3,"N/A")))</f>
        <v>N/A</v>
      </c>
      <c r="H36" s="486" t="s">
        <v>1742</v>
      </c>
      <c r="I36" s="485">
        <f>IF(AND(C27="Yes",F51="Yes"),BC14,0)</f>
        <v>0</v>
      </c>
      <c r="J36" s="248"/>
      <c r="K36" s="485"/>
      <c r="O36" s="83" t="s">
        <v>1152</v>
      </c>
      <c r="P36" s="248">
        <f>SUM(P34:P35)</f>
        <v>793</v>
      </c>
      <c r="Q36" s="248">
        <f>SUM(Q34:Q35)</f>
        <v>275</v>
      </c>
      <c r="R36" s="248">
        <f>SUM(R34:R35)</f>
        <v>0</v>
      </c>
      <c r="S36" s="248">
        <f>SUM(S34:S35)</f>
        <v>98</v>
      </c>
      <c r="U36" s="266"/>
      <c r="V36" s="268" t="s">
        <v>180</v>
      </c>
      <c r="W36" s="423">
        <f>1+$BQ$24</f>
        <v>1</v>
      </c>
      <c r="X36" s="423">
        <f>1+$BQ$24</f>
        <v>1</v>
      </c>
      <c r="Y36" s="423">
        <f>1+$BQ$24</f>
        <v>1</v>
      </c>
      <c r="Z36" s="423">
        <f>1+$BQ$24</f>
        <v>1</v>
      </c>
      <c r="AC36" s="301" t="s">
        <v>1060</v>
      </c>
      <c r="AD36" s="248">
        <f>ROUND(PRODUCT(AD34:AD35),0)</f>
        <v>0</v>
      </c>
      <c r="AE36" s="248">
        <f>ROUND(PRODUCT(AE34:AE35),0)</f>
        <v>0</v>
      </c>
      <c r="AF36" s="248">
        <f>ROUND(PRODUCT(AF34:AF35),0)</f>
        <v>0</v>
      </c>
      <c r="AG36" s="248">
        <f>ROUND(PRODUCT(AG34:AG35),0)</f>
        <v>0</v>
      </c>
      <c r="AH36" s="266"/>
      <c r="AI36" s="1332"/>
      <c r="AJ36" s="1333" t="s">
        <v>2193</v>
      </c>
      <c r="AK36" s="1335" t="str">
        <f>IF(ISNUMBER($E$17)=FALSE,"NA",IF(ISNA(MATCH($E$17,List_LOI_Bldg,0)),VLOOKUP($E$17,List_LOI_Bldg,1,TRUE),"NA"))</f>
        <v>NA</v>
      </c>
      <c r="AL36" s="1335" t="str">
        <f>IF(ISNUMBER($E$17)=FALSE,"NA",IF(ISNA(MATCH($E$17,List_LOI_Bldg,0)),VLOOKUP($E$17,List_LOI_Bldg,1,TRUE),"NA"))</f>
        <v>NA</v>
      </c>
      <c r="AM36" s="1335" t="str">
        <f>IF(ISNUMBER($E$17)=FALSE,"NA",IF(ISNA(MATCH($E$17,List_LOI_Bldg,0)),VLOOKUP($E$17,List_LOI_Bldg,1,TRUE),"NA"))</f>
        <v>NA</v>
      </c>
      <c r="AN36" s="1335" t="str">
        <f>IF(ISNUMBER($E$17)=FALSE,"NA",IF(ISNA(MATCH($E$17,List_LOI_Bldg,0)),VLOOKUP($E$17,List_LOI_Bldg,1,TRUE),"NA"))</f>
        <v>NA</v>
      </c>
      <c r="AP36" s="385"/>
      <c r="AQ36" s="685"/>
      <c r="AR36" s="385"/>
      <c r="AS36" s="385"/>
      <c r="AT36" s="385"/>
      <c r="AU36" s="385"/>
      <c r="AV36" s="423"/>
      <c r="AW36" s="209"/>
      <c r="AX36" s="280" t="s">
        <v>1176</v>
      </c>
      <c r="AY36" s="212">
        <v>1</v>
      </c>
      <c r="BA36" s="209"/>
      <c r="BB36" s="280" t="s">
        <v>1176</v>
      </c>
      <c r="BC36" s="212">
        <v>1</v>
      </c>
      <c r="BD36" s="423"/>
      <c r="BE36" s="2"/>
      <c r="BF36" s="168" t="s">
        <v>1713</v>
      </c>
      <c r="BG36" s="247">
        <f>IF(E59&gt;15001,VLOOKUP(E59,Table_MortgageHolder,MATCH(F58,List_MHCol,1)+1,TRUE),0)</f>
        <v>0</v>
      </c>
      <c r="BI36" s="453"/>
      <c r="BJ36" s="186" t="s">
        <v>1019</v>
      </c>
      <c r="BK36" s="208">
        <f>HLOOKUP(C11,Table_StateRates,5,FALSE)</f>
        <v>1.38</v>
      </c>
      <c r="BL36" s="247"/>
    </row>
    <row r="37" spans="1:64" ht="13.5" thickBot="1" x14ac:dyDescent="0.25">
      <c r="A37" s="158" t="s">
        <v>670</v>
      </c>
      <c r="B37" s="940" t="s">
        <v>857</v>
      </c>
      <c r="C37" s="753"/>
      <c r="D37" s="930" t="s">
        <v>318</v>
      </c>
      <c r="E37" s="678" t="str">
        <f>IF(F37="No","N/A",COUNTIF(E38:E39,"Yes"))</f>
        <v>N/A</v>
      </c>
      <c r="F37" s="952" t="s">
        <v>857</v>
      </c>
      <c r="H37" s="597" t="s">
        <v>1743</v>
      </c>
      <c r="I37" s="487">
        <f>IF(AND(C27="Yes",F54="Yes"),BC28,0)</f>
        <v>0</v>
      </c>
      <c r="J37" s="248"/>
      <c r="K37" s="485"/>
      <c r="O37" s="168"/>
      <c r="U37" s="146"/>
      <c r="V37" s="545" t="s">
        <v>1020</v>
      </c>
      <c r="W37" s="299">
        <f>IF(C6="PAC",VLOOKUP(B7,Table_PakMods,MATCH(C11,List_Company,0)+1,FALSE),1)</f>
        <v>1</v>
      </c>
      <c r="X37" s="299">
        <f>IF(C6="PAC",VLOOKUP(B7,Table_PakMods,MATCH(C11,List_Company,0)+1,FALSE),1)</f>
        <v>1</v>
      </c>
      <c r="Y37" s="299">
        <f>IF(C6="PAC",VLOOKUP(B7,Table_PakMods,MATCH(C11,List_Company,0)+1,FALSE),1)</f>
        <v>1</v>
      </c>
      <c r="Z37" s="299">
        <f>IF(C6="PAC",VLOOKUP(B7,Table_PakMods,MATCH(C11,List_Company,0)+1,FALSE),1)</f>
        <v>1</v>
      </c>
      <c r="AB37" s="185"/>
      <c r="AC37" s="187" t="s">
        <v>1021</v>
      </c>
      <c r="AD37" s="238">
        <f>AD44</f>
        <v>0</v>
      </c>
      <c r="AE37" s="185">
        <f>AE44</f>
        <v>0</v>
      </c>
      <c r="AF37" s="185">
        <f>AF44</f>
        <v>0</v>
      </c>
      <c r="AG37" s="185">
        <f>AG44</f>
        <v>0</v>
      </c>
      <c r="AH37" s="266"/>
      <c r="AI37" s="1336"/>
      <c r="AJ37" s="1337" t="s">
        <v>2194</v>
      </c>
      <c r="AK37" s="1425">
        <f>IF(AK36="NA",0,INDEX(List_LOI_Bldg,MATCH(AK36,List_LOI_Bldg,0)+1,1))</f>
        <v>0</v>
      </c>
      <c r="AL37" s="1425">
        <f>IF(AL36="NA",0,INDEX(List_LOI_Bldg,MATCH(AL36,List_LOI_Bldg,0)+1,1))</f>
        <v>0</v>
      </c>
      <c r="AM37" s="1425">
        <f>IF(AM36="NA",0,INDEX(List_LOI_Bldg,MATCH(AM36,List_LOI_Bldg,0)+1,1))</f>
        <v>0</v>
      </c>
      <c r="AN37" s="1425">
        <f>IF(AN36="NA",0,INDEX(List_LOI_Bldg,MATCH(AN36,List_LOI_Bldg,0)+1,1))</f>
        <v>0</v>
      </c>
      <c r="AV37" s="559"/>
      <c r="AX37" s="486" t="s">
        <v>1177</v>
      </c>
      <c r="AY37" s="423">
        <f>IF(C22="Yes",VLOOKUP(B21,Table_TerrorNBC,2,FALSE),1)</f>
        <v>1</v>
      </c>
      <c r="BB37" s="486" t="s">
        <v>1177</v>
      </c>
      <c r="BC37" s="423">
        <f>IF(C22="Yes",VLOOKUP(B21,Table_TerrorNBC,2,FALSE),1)</f>
        <v>1</v>
      </c>
      <c r="BD37" s="559"/>
      <c r="BE37" s="146"/>
      <c r="BF37" s="545" t="s">
        <v>1666</v>
      </c>
      <c r="BG37" s="2">
        <f>HLOOKUP(C11,Table_StateRates,6,FALSE)</f>
        <v>1.9</v>
      </c>
      <c r="BI37" s="2"/>
      <c r="BJ37" s="301" t="s">
        <v>1773</v>
      </c>
      <c r="BK37" s="247">
        <f>ROUND(PRODUCT(BK34:BK36),3)</f>
        <v>0</v>
      </c>
    </row>
    <row r="38" spans="1:64" x14ac:dyDescent="0.2">
      <c r="A38" s="693" t="str">
        <f>IF(AND(OR(C35="0833",C35="1185",C35="1190",C35="1200"),C28&lt;&gt;"SC"),"Special Class Pty - Change Rating Type",IF(AND(OR(C35="0833",C35="1185",C35="1190",C35="1200"),C28="SC"),"Choose Special Class Pty Item # Below",IF(C35="1180","Enter Prior/Intended Occ. Class Code Below","")))</f>
        <v/>
      </c>
      <c r="B38" s="193"/>
      <c r="C38" s="283"/>
      <c r="D38" s="931" t="s">
        <v>316</v>
      </c>
      <c r="E38" s="953" t="s">
        <v>857</v>
      </c>
      <c r="F38" s="574"/>
      <c r="H38" s="568" t="s">
        <v>1744</v>
      </c>
      <c r="I38" s="569">
        <f>SUM(I34:I37)</f>
        <v>0</v>
      </c>
      <c r="K38" s="248"/>
      <c r="O38" s="168"/>
      <c r="U38" s="542"/>
      <c r="V38" s="724" t="s">
        <v>1022</v>
      </c>
      <c r="W38" s="279">
        <f>1+$BO$14</f>
        <v>1</v>
      </c>
      <c r="X38" s="279">
        <f>1+$BO$14</f>
        <v>1</v>
      </c>
      <c r="Y38" s="279">
        <f>1+$BO$14</f>
        <v>1</v>
      </c>
      <c r="Z38" s="279">
        <f>1+$BO$14</f>
        <v>1</v>
      </c>
      <c r="AC38" s="83" t="s">
        <v>118</v>
      </c>
      <c r="AD38" s="248">
        <f>SUM(AD36:AD37)</f>
        <v>0</v>
      </c>
      <c r="AE38" s="248">
        <f>SUM(AE36:AE37)</f>
        <v>0</v>
      </c>
      <c r="AF38" s="248">
        <f>SUM(AF36:AF37)</f>
        <v>0</v>
      </c>
      <c r="AG38" s="248">
        <f>SUM(AG36:AG37)</f>
        <v>0</v>
      </c>
      <c r="AH38" s="266"/>
      <c r="AI38" s="146"/>
      <c r="AJ38" s="1209" t="s">
        <v>2247</v>
      </c>
      <c r="AK38" s="247">
        <f>IF(ISNUMBER($E$17)=FALSE,0,IF(AND(AK36="NA", ISNUMBER($E$17)),VLOOKUP($E$17,Table_LOI_Bldg,MATCH($C$15,List_Relatives,0)+1,FALSE),ROUND(VLOOKUP(AK36,Table_LOI_Bldg,MATCH($C$15,List_Relatives,0)+1,FALSE) - PRODUCT((VLOOKUP(AK36,Table_LOI_Bldg,MATCH($C$15,List_Relatives,0)+1,FALSE) - VLOOKUP(AK37,Table_LOI_Bldg,MATCH($C$15,List_Relatives,0)+1,FALSE)),$E$17-AK36)/(AK37-AK36),3)))</f>
        <v>0</v>
      </c>
      <c r="AL38" s="247">
        <f>IF(ISNUMBER($E$17)=FALSE,0,IF(AND(AL36="NA", ISNUMBER($E$17)),VLOOKUP($E$17,Table_LOI_Bldg,MATCH("BA2",List_Relatives,0)+1,FALSE),ROUND(VLOOKUP(AL36,Table_LOI_Bldg,MATCH("BA2",List_Relatives,0)+1,FALSE) - PRODUCT((VLOOKUP(AL36,Table_LOI_Bldg,MATCH("BA2",List_Relatives,0)+1,FALSE) - VLOOKUP(AL37,Table_LOI_Bldg,MATCH("BA2",List_Relatives,0)+1,FALSE)),$E$17-AL36)/(AL37-AL36),3)))</f>
        <v>0</v>
      </c>
      <c r="AM38" s="247">
        <f>IF(ISNUMBER($E$17)=FALSE,0,IF(AND(AM36="NA", ISNUMBER($E$17)),VLOOKUP($E$17,Table_LOI_Bldg,MATCH("SP",List_Relatives,0)+1,FALSE),ROUND(VLOOKUP(AM36,Table_LOI_Bldg,MATCH("SP",List_Relatives,0)+1,FALSE) - PRODUCT((VLOOKUP(AM36,Table_LOI_Bldg,MATCH("SP",List_Relatives,0)+1,FALSE) - VLOOKUP(AM37,Table_LOI_Bldg,MATCH("SP",List_Relatives,0)+1,FALSE)),$E$17-AM36)/(AM37-AM36),3)))</f>
        <v>0</v>
      </c>
      <c r="AN38" s="247">
        <f>IF(ISNUMBER($E$17)=FALSE,0,IF(AND(AN36="NA", ISNUMBER($E$17)),VLOOKUP($E$17,Table_LOI_Bldg,MATCH("BR",List_Relatives,0)+1,FALSE),ROUND(VLOOKUP(AN36,Table_LOI_Bldg,MATCH("BR",List_Relatives,0)+1,FALSE) - PRODUCT((VLOOKUP(AN36,Table_LOI_Bldg,MATCH("BR",List_Relatives,0)+1,FALSE) - VLOOKUP(AN37,Table_LOI_Bldg,MATCH("BR",List_Relatives,0)+1,FALSE)),$E$17-AN36)/(AN37-AN36),3)))</f>
        <v>0</v>
      </c>
      <c r="AP38" s="60" t="s">
        <v>721</v>
      </c>
      <c r="AQ38" s="2"/>
      <c r="AR38" s="235" t="s">
        <v>1012</v>
      </c>
      <c r="AS38" s="235" t="s">
        <v>1013</v>
      </c>
      <c r="AT38" s="235" t="s">
        <v>838</v>
      </c>
      <c r="AU38" s="235" t="s">
        <v>837</v>
      </c>
      <c r="AV38" s="426"/>
      <c r="AX38" s="486" t="s">
        <v>971</v>
      </c>
      <c r="AY38" s="423">
        <f>HLOOKUP(C11,Table_StateRates,6,FALSE)</f>
        <v>1.9</v>
      </c>
      <c r="AZ38" s="385"/>
      <c r="BB38" s="486" t="s">
        <v>971</v>
      </c>
      <c r="BC38" s="423">
        <f>HLOOKUP(C11,Table_StateRates,6,FALSE)</f>
        <v>1.9</v>
      </c>
      <c r="BD38" s="426"/>
      <c r="BE38" s="453"/>
      <c r="BF38" s="186" t="s">
        <v>1019</v>
      </c>
      <c r="BG38" s="208">
        <f>HLOOKUP(C11,Table_StateRates,5,FALSE)</f>
        <v>1.38</v>
      </c>
      <c r="BI38" s="185"/>
      <c r="BJ38" s="186" t="s">
        <v>1782</v>
      </c>
      <c r="BK38" s="185">
        <f>IF(E59&gt;30001,10000,IF(AND(E59&gt;15000,E59&lt;30001),E59-5000,0))</f>
        <v>0</v>
      </c>
      <c r="BL38" s="146"/>
    </row>
    <row r="39" spans="1:64" ht="13.5" thickBot="1" x14ac:dyDescent="0.25">
      <c r="A39" s="108" t="s">
        <v>960</v>
      </c>
      <c r="B39" s="160"/>
      <c r="C39" s="1114"/>
      <c r="D39" s="931" t="s">
        <v>317</v>
      </c>
      <c r="E39" s="948" t="s">
        <v>857</v>
      </c>
      <c r="F39" s="574"/>
      <c r="H39" s="568"/>
      <c r="I39" s="569"/>
      <c r="K39" s="248"/>
      <c r="N39" s="60" t="s">
        <v>1063</v>
      </c>
      <c r="V39" s="301" t="s">
        <v>1562</v>
      </c>
      <c r="W39" s="247">
        <f>ROUND(PRODUCT(W33:W38),3)</f>
        <v>9.5000000000000001E-2</v>
      </c>
      <c r="X39" s="247">
        <f>ROUND(PRODUCT(X33:X38),3)</f>
        <v>3.3000000000000002E-2</v>
      </c>
      <c r="Y39" s="247">
        <f>ROUND(PRODUCT(Y33:Y38),3)</f>
        <v>0</v>
      </c>
      <c r="Z39" s="247">
        <f>ROUND(PRODUCT(Z33:Z38),3)</f>
        <v>1.2E-2</v>
      </c>
      <c r="AH39" s="266"/>
      <c r="AI39" s="216"/>
      <c r="AJ39" s="1226" t="s">
        <v>2117</v>
      </c>
      <c r="AK39" s="1427">
        <f>IF(F14="Yes",E17/100,0)</f>
        <v>0</v>
      </c>
      <c r="AL39" s="1427">
        <f>IF(F14="Yes",E17/100,0)</f>
        <v>0</v>
      </c>
      <c r="AM39" s="542">
        <f>IF(F14="Yes",E17/100,0)</f>
        <v>0</v>
      </c>
      <c r="AN39" s="1211">
        <f>IF(F14="Yes",E17/100,0)</f>
        <v>0</v>
      </c>
      <c r="AP39" s="2"/>
      <c r="AQ39" s="168" t="s">
        <v>1197</v>
      </c>
      <c r="AR39" s="2">
        <f>IF(OR(C28="S",C28="T"),B29,IF(C28="SC",VLOOKUP(C42,Table_SpecialLC,B42,FALSE),VLOOKUP(C35,Table_G1_LC,MATCH(C15&amp;"B",List_ClassLC,0)+3,FALSE))+IF(ISBLANK(B41),0,B41))</f>
        <v>0.126</v>
      </c>
      <c r="AS39" s="247">
        <f>IF(OR(C28="S",C28="T"),C29,VLOOKUP(C16,Table_G2SymLC,2,FALSE)*IF(C64&lt;&gt;"Yes",B16,1))</f>
        <v>4.2000000000000003E-2</v>
      </c>
      <c r="AT39" s="247">
        <v>1</v>
      </c>
      <c r="AU39" s="247">
        <v>1</v>
      </c>
      <c r="AV39" s="385"/>
      <c r="AW39" s="542"/>
      <c r="AX39" s="597" t="s">
        <v>1019</v>
      </c>
      <c r="AY39" s="279">
        <f>HLOOKUP(C11,Table_StateRates,5,FALSE)</f>
        <v>1.38</v>
      </c>
      <c r="AZ39" s="423"/>
      <c r="BA39" s="542"/>
      <c r="BB39" s="597" t="s">
        <v>1019</v>
      </c>
      <c r="BC39" s="279">
        <f>HLOOKUP(C11,Table_StateRates,5,FALSE)</f>
        <v>1.38</v>
      </c>
      <c r="BD39" s="385"/>
      <c r="BE39" s="2"/>
      <c r="BF39" s="301" t="s">
        <v>1773</v>
      </c>
      <c r="BG39" s="247">
        <f>ROUND(PRODUCT(BG36:BG38),3)</f>
        <v>0</v>
      </c>
      <c r="BI39" s="2"/>
      <c r="BJ39" s="301" t="s">
        <v>1690</v>
      </c>
      <c r="BK39" s="248">
        <f>ROUND(PRODUCT(BK37:BK38),0)</f>
        <v>0</v>
      </c>
      <c r="BL39" s="247"/>
    </row>
    <row r="40" spans="1:64" ht="13.5" thickBot="1" x14ac:dyDescent="0.25">
      <c r="A40" s="122" t="s">
        <v>905</v>
      </c>
      <c r="B40" s="733" t="str">
        <f>IF(ISNUMBER(C40),VLOOKUP(C40,Table_Special_PP,2,0),"NA")</f>
        <v>NA</v>
      </c>
      <c r="C40" s="1201" t="str">
        <f>IF(ISTEXT(C39),VLOOKUP(C39,Table_G1_LC,3,0),"NA")</f>
        <v>NA</v>
      </c>
      <c r="D40" s="195"/>
      <c r="E40" s="195"/>
      <c r="F40" s="1067"/>
      <c r="H40" s="189"/>
      <c r="I40" s="248"/>
      <c r="K40" s="248"/>
      <c r="O40" s="168" t="s">
        <v>1151</v>
      </c>
      <c r="P40" s="248">
        <f>P34</f>
        <v>793</v>
      </c>
      <c r="Q40" s="248">
        <f>Q34</f>
        <v>275</v>
      </c>
      <c r="R40" s="248">
        <f>R34</f>
        <v>0</v>
      </c>
      <c r="S40" s="248">
        <f>S34</f>
        <v>98</v>
      </c>
      <c r="U40" s="185"/>
      <c r="V40" s="186" t="s">
        <v>1025</v>
      </c>
      <c r="W40" s="238">
        <f>IF(F7="No",0,E8/100)</f>
        <v>0</v>
      </c>
      <c r="X40" s="238">
        <f>IF(F7="No",0,E8/100)</f>
        <v>0</v>
      </c>
      <c r="Y40" s="238">
        <f>IF(F7="No",0,E8/100)</f>
        <v>0</v>
      </c>
      <c r="Z40" s="238">
        <f>IF(F7="No",0,E8/100)</f>
        <v>0</v>
      </c>
      <c r="AH40" s="385"/>
      <c r="AI40" s="146"/>
      <c r="AJ40" s="301" t="s">
        <v>2121</v>
      </c>
      <c r="AK40" s="1228">
        <f>ROUND(PRODUCT(AK35,AK38:AK39),0)</f>
        <v>0</v>
      </c>
      <c r="AL40" s="1228">
        <f>ROUND(PRODUCT(AL35,AL38:AL39),0)</f>
        <v>0</v>
      </c>
      <c r="AM40" s="1228">
        <f>ROUND(PRODUCT(AM35,AM38:AM39),0)</f>
        <v>0</v>
      </c>
      <c r="AN40" s="1228">
        <f>ROUND(PRODUCT(AN35,AN38:AN39),0)</f>
        <v>0</v>
      </c>
      <c r="AO40" s="385"/>
      <c r="AP40" s="146"/>
      <c r="AQ40" s="545" t="s">
        <v>1666</v>
      </c>
      <c r="AR40" s="2">
        <f>HLOOKUP(C11,Table_StateRates,6,FALSE)</f>
        <v>1.9</v>
      </c>
      <c r="AS40" s="2">
        <f>HLOOKUP(C11,Table_StateRates,6,FALSE)</f>
        <v>1.9</v>
      </c>
      <c r="AT40" s="2">
        <f>HLOOKUP(C11,Table_StateRates,6,FALSE)</f>
        <v>1.9</v>
      </c>
      <c r="AU40" s="2">
        <f>HLOOKUP(C11,Table_StateRates,6,FALSE)</f>
        <v>1.9</v>
      </c>
      <c r="AW40" s="423"/>
      <c r="AX40" s="810" t="s">
        <v>1134</v>
      </c>
      <c r="AY40" s="426">
        <f>ROUND(PRODUCT(AY35:AY39),3)</f>
        <v>3.9E-2</v>
      </c>
      <c r="AZ40" s="559"/>
      <c r="BA40" s="423"/>
      <c r="BB40" s="810" t="s">
        <v>1134</v>
      </c>
      <c r="BC40" s="426">
        <f>ROUND(PRODUCT(BC35:BC39),3)</f>
        <v>3.9E-2</v>
      </c>
      <c r="BE40" s="185"/>
      <c r="BF40" s="186" t="s">
        <v>1783</v>
      </c>
      <c r="BG40" s="185">
        <f>IF(E59&gt;30000,E59-15000,0)</f>
        <v>0</v>
      </c>
      <c r="BI40" s="185"/>
      <c r="BJ40" s="477" t="s">
        <v>1689</v>
      </c>
      <c r="BK40" s="565">
        <f>(E58-1000000)/1000000</f>
        <v>-1</v>
      </c>
      <c r="BL40" s="146"/>
    </row>
    <row r="41" spans="1:64" ht="13.5" thickBot="1" x14ac:dyDescent="0.25">
      <c r="A41" s="191" t="s">
        <v>1065</v>
      </c>
      <c r="B41" s="679">
        <f>IF(ISBLANK(C39),0,IF(ISERROR(VLOOKUP(C39,List_VacantClasses,1,FALSE)),VLOOKUP(C39,Table_G1_LC,MATCH(C15&amp;"B",List_ClassLC,0)+3),0))</f>
        <v>0</v>
      </c>
      <c r="C41" s="1061"/>
      <c r="D41" s="932" t="s">
        <v>1640</v>
      </c>
      <c r="E41" s="271"/>
      <c r="F41" s="1066" t="s">
        <v>857</v>
      </c>
      <c r="H41" s="82" t="s">
        <v>1587</v>
      </c>
      <c r="I41" s="248">
        <f>IF(F57="Yes",BG48,0)</f>
        <v>0</v>
      </c>
      <c r="N41" s="185"/>
      <c r="O41" s="186" t="s">
        <v>1027</v>
      </c>
      <c r="P41" s="208">
        <f>IF(ISBLANK(C56),0,IF(C56="OT",C57+PRODUCT((B57-12)/2,VLOOKUP(C56,Table_InflationGd,MATCH(C9,List_IGyr,0)+1,FALSE)),VLOOKUP(C56,Table_InflationGd,MATCH(C9,List_IGyr,0)+1,FALSE)))</f>
        <v>0</v>
      </c>
      <c r="Q41" s="208">
        <f>IF(ISBLANK(C56),0,IF(C56="OT",C57+PRODUCT((B57-12)/2,VLOOKUP(C56,Table_InflationGd,MATCH(C9,List_IGyr,0)+1,FALSE)),VLOOKUP(C56,Table_InflationGd,MATCH(C9,List_IGyr,0)+1,FALSE)))</f>
        <v>0</v>
      </c>
      <c r="R41" s="208">
        <f>IF(ISBLANK(C56),0,IF(C56="OT",C57+PRODUCT((B57-12)/2,VLOOKUP(C56,Table_InflationGd,MATCH(C9,List_IGyr,0)+1,FALSE)),VLOOKUP(C56,Table_InflationGd,MATCH(C9,List_IGyr,0)+1,FALSE)))</f>
        <v>0</v>
      </c>
      <c r="S41" s="208">
        <f>IF(ISBLANK(C56),0,IF(C56="OT",C57+PRODUCT((B57-12)/2,VLOOKUP(C56,Table_InflationGd,MATCH(C9,List_IGyr,0)+1,FALSE)),VLOOKUP(C56,Table_InflationGd,MATCH(C9,List_IGyr,0)+1,FALSE)))</f>
        <v>0</v>
      </c>
      <c r="V41" s="301" t="s">
        <v>1563</v>
      </c>
      <c r="W41" s="248">
        <f>ROUND(PRODUCT(W39:W40),0)</f>
        <v>0</v>
      </c>
      <c r="X41" s="248">
        <f>ROUND(PRODUCT(X39:X40),0)</f>
        <v>0</v>
      </c>
      <c r="Y41" s="248">
        <f>ROUND(PRODUCT(Y39:Y40),0)</f>
        <v>0</v>
      </c>
      <c r="Z41" s="248">
        <f>ROUND(PRODUCT(Z39:Z40),0)</f>
        <v>0</v>
      </c>
      <c r="AB41" s="60" t="s">
        <v>116</v>
      </c>
      <c r="AH41" s="266"/>
      <c r="AI41" s="146"/>
      <c r="AJ41" s="301"/>
      <c r="AK41" s="146"/>
      <c r="AL41" s="575"/>
      <c r="AM41" s="575"/>
      <c r="AN41" s="575"/>
      <c r="AP41" s="2"/>
      <c r="AQ41" s="545" t="s">
        <v>972</v>
      </c>
      <c r="AR41" s="207">
        <f>IF(OR(C28="S",C28="T",C28="SC"),1,VLOOKUP(C14,Table_ProtClass,IF(C15&lt;=3,2,3),FALSE))</f>
        <v>0.96</v>
      </c>
      <c r="AS41" s="207">
        <v>1</v>
      </c>
      <c r="AT41" s="207">
        <v>1</v>
      </c>
      <c r="AU41" s="207">
        <v>1</v>
      </c>
      <c r="AW41" s="423"/>
      <c r="AX41" s="906" t="s">
        <v>1178</v>
      </c>
      <c r="AY41" s="423">
        <f>IF(OR(C28="S",C28="T",C28="SC"),1,VLOOKUP(C14,Table_ProtClass,IF(C15&lt;=3,2,3),FALSE))</f>
        <v>0.96</v>
      </c>
      <c r="AZ41" s="559"/>
      <c r="BA41" s="423"/>
      <c r="BB41" s="906" t="s">
        <v>1178</v>
      </c>
      <c r="BC41" s="423">
        <f>IF(OR(C28="S",C28="T",C28="SC"),1,VLOOKUP(C14,Table_ProtClass,IF(C15&lt;=3,2,3),FALSE))</f>
        <v>0.96</v>
      </c>
      <c r="BE41" s="2"/>
      <c r="BF41" s="301" t="s">
        <v>1774</v>
      </c>
      <c r="BG41" s="248">
        <f>ROUND(PRODUCT(BG39:BG40),0)</f>
        <v>0</v>
      </c>
      <c r="BI41" s="2"/>
      <c r="BJ41" s="301" t="s">
        <v>1774</v>
      </c>
      <c r="BK41" s="248">
        <f>ROUND(PRODUCT(BK39:BK40),0)</f>
        <v>0</v>
      </c>
      <c r="BL41" s="248"/>
    </row>
    <row r="42" spans="1:64" ht="13.5" customHeight="1" thickBot="1" x14ac:dyDescent="0.25">
      <c r="A42" s="122" t="s">
        <v>1160</v>
      </c>
      <c r="B42" s="596" t="str">
        <f>IF(AND(ISBLANK(C42),C28&lt;&gt;"SC"),"N/A", VLOOKUP(C14,Table_SpecialCR,2,FALSE))</f>
        <v>N/A</v>
      </c>
      <c r="C42" s="1062"/>
      <c r="D42" s="898" t="s">
        <v>1646</v>
      </c>
      <c r="E42" s="950"/>
      <c r="F42" s="1069"/>
      <c r="I42" s="248"/>
      <c r="O42" s="83" t="s">
        <v>1023</v>
      </c>
      <c r="P42" s="248">
        <f>ROUND(PRODUCT(P40:P41),0)</f>
        <v>0</v>
      </c>
      <c r="Q42" s="248">
        <f>ROUND(PRODUCT(Q40:Q41),0)</f>
        <v>0</v>
      </c>
      <c r="R42" s="248">
        <f>ROUND(PRODUCT(R40:R41),0)</f>
        <v>0</v>
      </c>
      <c r="S42" s="248">
        <f>ROUND(PRODUCT(S40:S41),0)</f>
        <v>0</v>
      </c>
      <c r="V42" s="301"/>
      <c r="W42" s="248"/>
      <c r="X42" s="248"/>
      <c r="Y42" s="248"/>
      <c r="Z42" s="248"/>
      <c r="AC42" s="168" t="s">
        <v>117</v>
      </c>
      <c r="AD42" s="248">
        <f>AD36</f>
        <v>0</v>
      </c>
      <c r="AE42" s="248">
        <f>AE36</f>
        <v>0</v>
      </c>
      <c r="AF42" s="248">
        <f>AF36</f>
        <v>0</v>
      </c>
      <c r="AG42" s="248">
        <f>AG36</f>
        <v>0</v>
      </c>
      <c r="AH42" s="266"/>
      <c r="AI42" s="793" t="s">
        <v>1167</v>
      </c>
      <c r="AJ42" s="700"/>
      <c r="AK42" s="385"/>
      <c r="AL42" s="559"/>
      <c r="AM42" s="562"/>
      <c r="AN42" s="562"/>
      <c r="AP42" s="2"/>
      <c r="AQ42" s="545" t="s">
        <v>1199</v>
      </c>
      <c r="AR42" s="207">
        <f>IF(OR(C28="S",C28="T",C28="SC"),1,VLOOKUP(C17,Table_TerrMult,2,FALSE))</f>
        <v>1</v>
      </c>
      <c r="AS42" s="207">
        <v>1</v>
      </c>
      <c r="AT42" s="207">
        <f>IF(C12="SP",VLOOKUP(C18,Table_TerrMult_SP,2,0),1)</f>
        <v>1</v>
      </c>
      <c r="AU42" s="207">
        <v>1</v>
      </c>
      <c r="AW42" s="423"/>
      <c r="AX42" s="906" t="s">
        <v>1018</v>
      </c>
      <c r="AY42" s="423">
        <f>IF(C46=250,DF_250Deductible,C47)</f>
        <v>1</v>
      </c>
      <c r="AZ42" s="559"/>
      <c r="BA42" s="559"/>
      <c r="BB42" s="899" t="s">
        <v>394</v>
      </c>
      <c r="BC42" s="558">
        <f>PRODUCT(VLOOKUP(80,Table_CoIns1,2,FALSE),DF_LL_CIBldg)</f>
        <v>0.25</v>
      </c>
      <c r="BI42" s="426"/>
      <c r="BJ42" s="426"/>
      <c r="BK42" s="426"/>
    </row>
    <row r="43" spans="1:64" ht="12.75" customHeight="1" x14ac:dyDescent="0.2">
      <c r="A43" s="588" t="str">
        <f>IF(OR(AND(ISBLANK(C42),C28&lt;&gt;"SC"),C28&lt;&gt;"SC"),"Special Class Rating - N/A",IF(AND(ISBLANK(C42),C28="SC"),"Please Select Special Class Item #",VLOOKUP(C42,Table_SpecialLC,2,FALSE)))</f>
        <v>Special Class Rating - N/A</v>
      </c>
      <c r="B43" s="95"/>
      <c r="C43" s="125"/>
      <c r="D43" s="933" t="str">
        <f>IF(F41="Yes",IF(ISNA(MATCH(C35,Table_VandalExcl,0)),"Non-Special Vandal Class","Special Vandal Class"),"")</f>
        <v/>
      </c>
      <c r="E43" s="608">
        <f>IF(D43="Special Vandal Class",IF(C48&lt;80,2,1),3)</f>
        <v>3</v>
      </c>
      <c r="F43" s="1069"/>
      <c r="O43" s="168"/>
      <c r="V43" s="568" t="s">
        <v>410</v>
      </c>
      <c r="W43" s="725">
        <f>IF(C12="SP",SUM(W39:Y39),IF(C12="BR",SUM(W39:X39,Z39),SUM(W39:X39)))</f>
        <v>0.128</v>
      </c>
      <c r="X43" s="248"/>
      <c r="Y43" s="248"/>
      <c r="Z43" s="248"/>
      <c r="AB43" s="185"/>
      <c r="AC43" s="186" t="s">
        <v>1027</v>
      </c>
      <c r="AD43" s="208">
        <f>IF(ISBLANK(C56),0,IF(C56="OT",C57+PRODUCT((B57-12)/2,VLOOKUP(C56,Table_InflationGd,MATCH(C9,List_IGyr,0)+1,FALSE)),VLOOKUP(C56,Table_InflationGd,MATCH(C9,List_IGyr,0)+1,FALSE)))</f>
        <v>0</v>
      </c>
      <c r="AE43" s="208">
        <f>IF(ISBLANK(C56),0,IF(C56="OT",C57+PRODUCT((B57-12)/2,VLOOKUP(C56,Table_InflationGd,MATCH(C9,List_IGyr,0)+1,FALSE)),VLOOKUP(C56,Table_InflationGd,MATCH(C9,List_IGyr,0)+1,FALSE)))</f>
        <v>0</v>
      </c>
      <c r="AF43" s="208">
        <f>IF(ISBLANK(C56),0,IF(C56="OT",C57+PRODUCT((B57-12)/2,VLOOKUP(C56,Table_InflationGd,MATCH(C9,List_IGyr,0)+1,FALSE)),VLOOKUP(C56,Table_InflationGd,MATCH(C9,List_IGyr,0)+1,FALSE)))</f>
        <v>0</v>
      </c>
      <c r="AG43" s="208">
        <f>IF(ISBLANK(C56),0,IF(C56="OT",C57+PRODUCT((B57-12)/2,VLOOKUP(C56,Table_InflationGd,MATCH(C9,List_IGyr,0)+1,FALSE)),VLOOKUP(C56,Table_InflationGd,MATCH(C9,List_IGyr,0)+1,FALSE)))</f>
        <v>0</v>
      </c>
      <c r="AH43" s="266"/>
      <c r="AI43" s="146"/>
      <c r="AJ43" s="1210"/>
      <c r="AK43" s="235" t="s">
        <v>1012</v>
      </c>
      <c r="AL43" s="235" t="s">
        <v>1013</v>
      </c>
      <c r="AM43" s="235" t="s">
        <v>838</v>
      </c>
      <c r="AN43" s="235" t="s">
        <v>837</v>
      </c>
      <c r="AP43" s="2"/>
      <c r="AQ43" s="168" t="s">
        <v>729</v>
      </c>
      <c r="AR43" s="207">
        <f>IF(ISBLANK(E28),1,VLOOKUP(E28,Table_PCR_Ded,2,FALSE))</f>
        <v>1</v>
      </c>
      <c r="AS43" s="207">
        <f>IF(ISBLANK(E28),1,VLOOKUP(E28,Table_PCR_Ded,2,FALSE))</f>
        <v>1</v>
      </c>
      <c r="AT43" s="207">
        <f>IF(ISBLANK(E28),1,VLOOKUP(E28,Table_PCR_Ded,2,FALSE))</f>
        <v>1</v>
      </c>
      <c r="AU43" s="207">
        <f>IF(ISBLANK(E28),1,VLOOKUP(E28,Table_PCR_Ded,2,FALSE))</f>
        <v>1</v>
      </c>
      <c r="AW43" s="423"/>
      <c r="AX43" s="906" t="s">
        <v>1017</v>
      </c>
      <c r="AY43" s="423">
        <f>IF(F7="Yes",1,IF(C48&gt;=80,VLOOKUP(C48,Table_CoIns1,2,FALSE),1+ IF(P5&lt;B49,VLOOKUP(B62,Table_CIUnder80,5,FALSE),0.5)))</f>
        <v>1</v>
      </c>
      <c r="AZ43" s="426"/>
      <c r="BA43" s="279"/>
      <c r="BB43" s="809" t="s">
        <v>1022</v>
      </c>
      <c r="BC43" s="279">
        <f>1+$BO$14</f>
        <v>1</v>
      </c>
      <c r="BE43" s="560"/>
      <c r="BI43" s="560" t="s">
        <v>1778</v>
      </c>
      <c r="BJ43" s="2"/>
      <c r="BK43" s="266"/>
    </row>
    <row r="44" spans="1:64" ht="13.5" thickBot="1" x14ac:dyDescent="0.25">
      <c r="A44" s="120"/>
      <c r="B44" s="95"/>
      <c r="C44" s="125"/>
      <c r="D44" s="195"/>
      <c r="E44" s="195"/>
      <c r="F44" s="1067"/>
      <c r="H44" s="566" t="s">
        <v>663</v>
      </c>
      <c r="I44" s="248">
        <f>IF(AND(C21="Yes",C24="Yes"),AY50,IF(AND(C21="Yes",C24="No"),B24,0))</f>
        <v>93</v>
      </c>
      <c r="O44" s="168"/>
      <c r="U44" s="185"/>
      <c r="V44" s="477" t="s">
        <v>411</v>
      </c>
      <c r="W44" s="238">
        <f>IF(F7="No",0,E8/100)</f>
        <v>0</v>
      </c>
      <c r="X44" s="248"/>
      <c r="Y44" s="248"/>
      <c r="Z44" s="248"/>
      <c r="AC44" s="83" t="s">
        <v>1023</v>
      </c>
      <c r="AD44" s="248">
        <f>ROUND(PRODUCT(AD42:AD43),0)</f>
        <v>0</v>
      </c>
      <c r="AE44" s="248">
        <f>ROUND(PRODUCT(AE42:AE43),0)</f>
        <v>0</v>
      </c>
      <c r="AF44" s="248">
        <f>ROUND(PRODUCT(AF42:AF43),0)</f>
        <v>0</v>
      </c>
      <c r="AG44" s="248">
        <f>ROUND(PRODUCT(AG42:AG43),0)</f>
        <v>0</v>
      </c>
      <c r="AH44" s="266"/>
      <c r="AI44" s="146"/>
      <c r="AJ44" s="1210" t="s">
        <v>2243</v>
      </c>
      <c r="AK44" s="247">
        <f>AK7</f>
        <v>0.317</v>
      </c>
      <c r="AL44" s="247">
        <f>AL7</f>
        <v>0.11</v>
      </c>
      <c r="AM44" s="247">
        <f>AM7</f>
        <v>0</v>
      </c>
      <c r="AN44" s="247">
        <f>AN7</f>
        <v>3.9E-2</v>
      </c>
      <c r="AO44" s="557"/>
      <c r="AP44" s="2"/>
      <c r="AQ44" s="168" t="s">
        <v>1019</v>
      </c>
      <c r="AR44" s="207">
        <f>HLOOKUP(C11,Table_StateRates,5,FALSE)</f>
        <v>1.38</v>
      </c>
      <c r="AS44" s="207">
        <f>HLOOKUP(C11,Table_StateRates,5,FALSE)</f>
        <v>1.38</v>
      </c>
      <c r="AT44" s="207">
        <f>HLOOKUP(C11,Table_StateRates,5,FALSE)</f>
        <v>1.38</v>
      </c>
      <c r="AU44" s="207">
        <f>HLOOKUP(C11,Table_StateRates,5,FALSE)</f>
        <v>1.38</v>
      </c>
      <c r="AW44" s="279"/>
      <c r="AX44" s="809" t="s">
        <v>1022</v>
      </c>
      <c r="AY44" s="279">
        <f>1+$BO$14</f>
        <v>1</v>
      </c>
      <c r="AZ44" s="385"/>
      <c r="BA44" s="423"/>
      <c r="BB44" s="810" t="s">
        <v>1150</v>
      </c>
      <c r="BC44" s="426">
        <f>ROUND(PRODUCT(BC40:BC43),3)</f>
        <v>8.9999999999999993E-3</v>
      </c>
      <c r="BI44" s="2"/>
      <c r="BJ44" s="168" t="s">
        <v>1713</v>
      </c>
      <c r="BK44" s="247">
        <f>IF(E59&gt;15001,VLOOKUP(E59,Table_MortgageHolder,MATCH(1001,List_MHCol,1)+1,TRUE),0)</f>
        <v>0</v>
      </c>
    </row>
    <row r="45" spans="1:64" ht="13.5" thickBot="1" x14ac:dyDescent="0.25">
      <c r="A45" s="107" t="s">
        <v>907</v>
      </c>
      <c r="B45" s="146"/>
      <c r="C45" s="943">
        <v>250000</v>
      </c>
      <c r="D45" s="934" t="s">
        <v>662</v>
      </c>
      <c r="E45" s="216"/>
      <c r="F45" s="1070" t="s">
        <v>857</v>
      </c>
      <c r="V45" s="301" t="s">
        <v>1563</v>
      </c>
      <c r="W45" s="248">
        <f>ROUND(PRODUCT(W43:W44),0)</f>
        <v>0</v>
      </c>
      <c r="X45" s="248"/>
      <c r="Y45" s="248"/>
      <c r="Z45" s="248"/>
      <c r="AH45" s="266"/>
      <c r="AI45" s="1332"/>
      <c r="AJ45" s="1333" t="s">
        <v>2193</v>
      </c>
      <c r="AK45" s="1335" t="str">
        <f>IF(ISNUMBER($E$18)=FALSE,"NA",IF(ISNA(MATCH($E$18,List_LOI_Bldg,0)),VLOOKUP($E$18,List_LOI_Bldg,1,TRUE),"NA"))</f>
        <v>NA</v>
      </c>
      <c r="AL45" s="1335" t="str">
        <f>IF(ISNUMBER($E$18)=FALSE,"NA",IF(ISNA(MATCH($E$18,List_LOI_Bldg,0)),VLOOKUP($E$18,List_LOI_Bldg,1,TRUE),"NA"))</f>
        <v>NA</v>
      </c>
      <c r="AM45" s="1335" t="str">
        <f>IF(ISNUMBER($E$18)=FALSE,"NA",IF(ISNA(MATCH($E$18,List_LOI_Bldg,0)),VLOOKUP($E$18,List_LOI_Bldg,1,TRUE),"NA"))</f>
        <v>NA</v>
      </c>
      <c r="AN45" s="1335" t="str">
        <f>IF(ISNUMBER($E$18)=FALSE,"NA",IF(ISNA(MATCH($E$18,List_LOI_Bldg,0)),VLOOKUP($E$18,List_LOI_Bldg,1,TRUE),"NA"))</f>
        <v>NA</v>
      </c>
      <c r="AP45" s="2"/>
      <c r="AQ45" s="168" t="s">
        <v>728</v>
      </c>
      <c r="AR45" s="247">
        <f>VLOOKUP("BA",Table_PolRemoval,2,FALSE)</f>
        <v>0.5</v>
      </c>
      <c r="AS45" s="247">
        <f>VLOOKUP("BA",Table_PolRemoval,2,FALSE)</f>
        <v>0.5</v>
      </c>
      <c r="AT45" s="247">
        <f>VLOOKUP("SP",Table_PolRemoval,2,FALSE)</f>
        <v>6.0000000000000001E-3</v>
      </c>
      <c r="AU45" s="247">
        <f>VLOOKUP("BR",Table_PolRemoval,2,FALSE)</f>
        <v>6.0000000000000001E-3</v>
      </c>
      <c r="AW45" s="423"/>
      <c r="AX45" s="810" t="s">
        <v>1150</v>
      </c>
      <c r="AY45" s="426">
        <f>ROUND(PRODUCT(AY40:AY44),3)</f>
        <v>3.6999999999999998E-2</v>
      </c>
      <c r="BA45" s="279"/>
      <c r="BB45" s="809" t="s">
        <v>1417</v>
      </c>
      <c r="BC45" s="487">
        <f>IF(F10="Yes",E11/100,0)</f>
        <v>0</v>
      </c>
      <c r="BE45" s="566" t="s">
        <v>1691</v>
      </c>
      <c r="BI45" s="146"/>
      <c r="BJ45" s="545" t="s">
        <v>1666</v>
      </c>
      <c r="BK45" s="2">
        <f>HLOOKUP(C11,Table_StateRates,6,FALSE)</f>
        <v>1.9</v>
      </c>
    </row>
    <row r="46" spans="1:64" x14ac:dyDescent="0.2">
      <c r="A46" s="84" t="s">
        <v>906</v>
      </c>
      <c r="B46" s="321">
        <f>IF(C46=250,"None",VLOOKUP(C45/1000,Table_DedMin,MATCH(C46,List_Deductibles,0)+1,TRUE))</f>
        <v>1</v>
      </c>
      <c r="C46" s="944">
        <v>500</v>
      </c>
      <c r="D46" s="453" t="s">
        <v>1766</v>
      </c>
      <c r="E46" s="216"/>
      <c r="F46" s="763">
        <f>IF(F45="No",0,C45)</f>
        <v>0</v>
      </c>
      <c r="N46" s="60" t="s">
        <v>554</v>
      </c>
      <c r="Q46" s="60" t="s">
        <v>557</v>
      </c>
      <c r="V46" s="545"/>
      <c r="AH46" s="266"/>
      <c r="AI46" s="1336"/>
      <c r="AJ46" s="1337" t="s">
        <v>2194</v>
      </c>
      <c r="AK46" s="1425">
        <f>IF(AK45="NA",0,INDEX(List_LOI_Bldg,MATCH(AK45,List_LOI_Bldg,0)+1,1))</f>
        <v>0</v>
      </c>
      <c r="AL46" s="1425">
        <f>IF(AL45="NA",0,INDEX(List_LOI_Bldg,MATCH(AL45,List_LOI_Bldg,0)+1,1))</f>
        <v>0</v>
      </c>
      <c r="AM46" s="1425">
        <f>IF(AM45="NA",0,INDEX(List_LOI_Bldg,MATCH(AM45,List_LOI_Bldg,0)+1,1))</f>
        <v>0</v>
      </c>
      <c r="AN46" s="1425">
        <f>IF(AN45="NA",0,INDEX(List_LOI_Bldg,MATCH(AN45,List_LOI_Bldg,0)+1,1))</f>
        <v>0</v>
      </c>
      <c r="AO46" s="558"/>
      <c r="AP46" s="2"/>
      <c r="AQ46" s="545" t="s">
        <v>1062</v>
      </c>
      <c r="AR46" s="207">
        <f>IF(F41="Yes",VLOOKUP(2,Table_VPFactors,2,FALSE),1)</f>
        <v>1</v>
      </c>
      <c r="AS46" s="207">
        <f>IF(F41="Yes",VLOOKUP(2,Table_VPFactors,2,FALSE),1)</f>
        <v>1</v>
      </c>
      <c r="AT46" s="207">
        <f>IF(F41="Yes",VLOOKUP(2,Table_VPFactors,2,FALSE),1)</f>
        <v>1</v>
      </c>
      <c r="AU46" s="207">
        <f>IF(F41="Yes",VLOOKUP(2,Table_VPFactors,2,FALSE),1)</f>
        <v>1</v>
      </c>
      <c r="AW46" s="279"/>
      <c r="AX46" s="809" t="s">
        <v>392</v>
      </c>
      <c r="AY46" s="487">
        <f>IF(C27="Yes",C45/100,0)</f>
        <v>2500</v>
      </c>
      <c r="BA46" s="426"/>
      <c r="BB46" s="811" t="s">
        <v>1418</v>
      </c>
      <c r="BC46" s="812">
        <f>ROUND(PRODUCT(BC44:BC45),0)</f>
        <v>0</v>
      </c>
      <c r="BF46" s="268" t="s">
        <v>1692</v>
      </c>
      <c r="BG46" s="485">
        <f>SUM(BG9,BG17,BG25,BG33,BG41)</f>
        <v>0</v>
      </c>
      <c r="BI46" s="453"/>
      <c r="BJ46" s="186" t="s">
        <v>1019</v>
      </c>
      <c r="BK46" s="208">
        <f>HLOOKUP(C11,Table_StateRates,5,FALSE)</f>
        <v>1.38</v>
      </c>
    </row>
    <row r="47" spans="1:64" ht="13.5" thickBot="1" x14ac:dyDescent="0.25">
      <c r="A47" s="511" t="s">
        <v>1266</v>
      </c>
      <c r="B47" s="322">
        <f>IF(C46=250,"None",VLOOKUP(C45/1000,Table_DedMax,MATCH(C46,List_Deductibles,0)+1,TRUE))</f>
        <v>1</v>
      </c>
      <c r="C47" s="945">
        <v>1</v>
      </c>
      <c r="D47" s="927" t="s">
        <v>1833</v>
      </c>
      <c r="E47" s="216"/>
      <c r="F47" s="954" t="s">
        <v>857</v>
      </c>
      <c r="H47" s="60" t="s">
        <v>2288</v>
      </c>
      <c r="I47" s="1468">
        <f>SUM(I5:L5,I31,I38,I41)</f>
        <v>1068</v>
      </c>
      <c r="N47" s="2" t="s">
        <v>555</v>
      </c>
      <c r="Q47" s="834">
        <f>IF(P13=1,0,2)</f>
        <v>0</v>
      </c>
      <c r="R47" s="2" t="s">
        <v>558</v>
      </c>
      <c r="AH47" s="266"/>
      <c r="AI47" s="146"/>
      <c r="AJ47" s="1209" t="s">
        <v>2248</v>
      </c>
      <c r="AK47" s="247">
        <f>IF(ISNUMBER($E$18)=FALSE,0,IF(AND(AK45="NA", ISNUMBER($E$18)),VLOOKUP($E$18,Table_LOI_Bldg,MATCH($C$15,List_Relatives,0)+1,FALSE),ROUND(VLOOKUP(AK45,Table_LOI_Bldg,MATCH($C$15,List_Relatives,0)+1,FALSE) - PRODUCT((VLOOKUP(AK45,Table_LOI_Bldg,MATCH($C$15,List_Relatives,0)+1,FALSE) - VLOOKUP(AK46,Table_LOI_Bldg,MATCH($C$15,List_Relatives,0)+1,FALSE)),$E$18-AK45)/(AK46-AK45),3)))</f>
        <v>0</v>
      </c>
      <c r="AL47" s="247">
        <f>IF(ISNUMBER($E$18)=FALSE,0,IF(AND(AL45="NA", ISNUMBER($E$18)),VLOOKUP($E$18,Table_LOI_Bldg,MATCH("BA2",List_Relatives,0)+1,FALSE),ROUND(VLOOKUP(AL45,Table_LOI_Bldg,MATCH("BA2",List_Relatives,0)+1,FALSE) - PRODUCT((VLOOKUP(AL45,Table_LOI_Bldg,MATCH("BA2",List_Relatives,0)+1,FALSE) - VLOOKUP(AL46,Table_LOI_Bldg,MATCH("BA2",List_Relatives,0)+1,FALSE)),$E$18-AL45)/(AL46-AL45),3)))</f>
        <v>0</v>
      </c>
      <c r="AM47" s="247">
        <f>IF(ISNUMBER($E$18)=FALSE,0,IF(AND(AM45="NA", ISNUMBER($E$18)),VLOOKUP($E$18,Table_LOI_Bldg,MATCH("SP",List_Relatives,0)+1,FALSE),ROUND(VLOOKUP(AM45,Table_LOI_Bldg,MATCH("SP",List_Relatives,0)+1,FALSE) - PRODUCT((VLOOKUP(AM45,Table_LOI_Bldg,MATCH("SP",List_Relatives,0)+1,FALSE) - VLOOKUP(AM46,Table_LOI_Bldg,MATCH("SP",List_Relatives,0)+1,FALSE)),$E$18-AM45)/(AM46-AM45),3)))</f>
        <v>0</v>
      </c>
      <c r="AN47" s="247">
        <f>IF(ISNUMBER($E$18)=FALSE,0,IF(AND(AN45="NA", ISNUMBER($E$18)),VLOOKUP($E$18,Table_LOI_Bldg,MATCH("BR",List_Relatives,0)+1,FALSE),ROUND(VLOOKUP(AN45,Table_LOI_Bldg,MATCH("BR",List_Relatives,0)+1,FALSE) - PRODUCT((VLOOKUP(AN45,Table_LOI_Bldg,MATCH("BR",List_Relatives,0)+1,FALSE) - VLOOKUP(AN46,Table_LOI_Bldg,MATCH("BR",List_Relatives,0)+1,FALSE)),$E$18-AN45)/(AN46-AN45),3)))</f>
        <v>0</v>
      </c>
      <c r="AQ47" s="268" t="s">
        <v>180</v>
      </c>
      <c r="AR47" s="423">
        <f>1+$BQ$24</f>
        <v>1</v>
      </c>
      <c r="AS47" s="423">
        <f>1+$BQ$24</f>
        <v>1</v>
      </c>
      <c r="AT47" s="423">
        <f>1+$BQ$24</f>
        <v>1</v>
      </c>
      <c r="AU47" s="423">
        <f>1+$BQ$24</f>
        <v>1</v>
      </c>
      <c r="AW47" s="426"/>
      <c r="AX47" s="811" t="s">
        <v>393</v>
      </c>
      <c r="AY47" s="812">
        <f>ROUND(PRODUCT(AY45:AY46),0)</f>
        <v>93</v>
      </c>
      <c r="BE47" s="542"/>
      <c r="BF47" s="567" t="s">
        <v>1697</v>
      </c>
      <c r="BG47" s="487">
        <f>SUM(BK11,BK21,BK31,BK41,BK51)</f>
        <v>0</v>
      </c>
      <c r="BI47" s="2"/>
      <c r="BJ47" s="301" t="s">
        <v>1773</v>
      </c>
      <c r="BK47" s="247">
        <f>ROUND(PRODUCT(BK44:BK46),3)</f>
        <v>0</v>
      </c>
    </row>
    <row r="48" spans="1:64" x14ac:dyDescent="0.2">
      <c r="A48" s="108" t="s">
        <v>1170</v>
      </c>
      <c r="B48" s="160"/>
      <c r="C48" s="1218">
        <v>80</v>
      </c>
      <c r="D48" s="935" t="s">
        <v>677</v>
      </c>
      <c r="E48" s="947"/>
      <c r="F48" s="772" t="str">
        <f>IF(F47="Yes","B","")</f>
        <v/>
      </c>
      <c r="N48" s="834">
        <f>IF(OR(C28="S",C28="T"),0,2)</f>
        <v>2</v>
      </c>
      <c r="O48" s="2" t="s">
        <v>556</v>
      </c>
      <c r="Q48" s="834">
        <f>IF(OR(C28="S",C28="T"),0,4)</f>
        <v>4</v>
      </c>
      <c r="R48" s="2" t="s">
        <v>556</v>
      </c>
      <c r="U48" s="60" t="s">
        <v>1584</v>
      </c>
      <c r="W48" s="235" t="s">
        <v>1012</v>
      </c>
      <c r="X48" s="235" t="s">
        <v>1013</v>
      </c>
      <c r="Y48" s="235" t="s">
        <v>838</v>
      </c>
      <c r="Z48" s="235" t="s">
        <v>837</v>
      </c>
      <c r="AI48" s="216"/>
      <c r="AJ48" s="1226" t="s">
        <v>2117</v>
      </c>
      <c r="AK48" s="1427">
        <f>IF(F14="Yes",E18/100,0)</f>
        <v>0</v>
      </c>
      <c r="AL48" s="1427">
        <f>IF(F14="Yes",E18/100,0)</f>
        <v>0</v>
      </c>
      <c r="AM48" s="542">
        <f>IF(F14="Yes",E18/100,0)</f>
        <v>0</v>
      </c>
      <c r="AN48" s="1211">
        <f>IF(F14="Yes",E18/100,0)</f>
        <v>0</v>
      </c>
      <c r="AP48" s="146"/>
      <c r="AQ48" s="545" t="s">
        <v>1020</v>
      </c>
      <c r="AR48" s="299">
        <f>IF(C6="PAC",VLOOKUP(B7,Table_PakMods,MATCH(C11,List_Company,0)+1,FALSE),1)</f>
        <v>1</v>
      </c>
      <c r="AS48" s="299">
        <f>IF(C6="PAC",VLOOKUP(B7,Table_PakMods,MATCH(C11,List_Company,0)+1,FALSE),1)</f>
        <v>1</v>
      </c>
      <c r="AT48" s="299">
        <f>IF(C6="PAC",VLOOKUP(B7,Table_PakMods,MATCH(C11,List_Company,0)+1,FALSE),1)</f>
        <v>1</v>
      </c>
      <c r="AU48" s="299">
        <f>IF(C6="PAC",VLOOKUP(B7,Table_PakMods,MATCH(C11,List_Company,0)+1,FALSE),1)</f>
        <v>1</v>
      </c>
      <c r="AW48" s="385"/>
      <c r="AX48" s="385"/>
      <c r="AY48" s="385"/>
      <c r="BF48" s="568" t="s">
        <v>1698</v>
      </c>
      <c r="BG48" s="569">
        <f>SUM(BG46:BG47)</f>
        <v>0</v>
      </c>
      <c r="BI48" s="185"/>
      <c r="BJ48" s="186" t="s">
        <v>1783</v>
      </c>
      <c r="BK48" s="185">
        <f>IF(E59&gt;30000,E59-15000,0)</f>
        <v>0</v>
      </c>
    </row>
    <row r="49" spans="1:63" ht="13.5" thickBot="1" x14ac:dyDescent="0.25">
      <c r="A49" s="275" t="str">
        <f>VLOOKUP(B62,Table_CIdesc,2,FALSE)</f>
        <v>Fire, Sprink Lkg and Vandalism</v>
      </c>
      <c r="B49" s="278">
        <f>VLOOKUP(B62,Table_CIUnder80,4,FALSE)</f>
        <v>0.79600000000000004</v>
      </c>
      <c r="C49" s="512"/>
      <c r="D49" s="935" t="s">
        <v>1748</v>
      </c>
      <c r="E49" s="947"/>
      <c r="F49" s="771" t="str">
        <f>IF(F47="Yes",E49&amp;"_"&amp;E48,"")</f>
        <v/>
      </c>
      <c r="H49" s="60" t="s">
        <v>2291</v>
      </c>
      <c r="I49" s="1469">
        <f>SUM(I44,I47)</f>
        <v>1161</v>
      </c>
      <c r="N49" s="917">
        <f>IF(OR(C28="S",C28="T"),0,4)</f>
        <v>4</v>
      </c>
      <c r="O49" s="185" t="s">
        <v>1161</v>
      </c>
      <c r="Q49" s="917">
        <f>IF(OR(C28="T",C28="S"),0,5)</f>
        <v>5</v>
      </c>
      <c r="R49" s="185" t="s">
        <v>1161</v>
      </c>
      <c r="V49" s="168" t="s">
        <v>1197</v>
      </c>
      <c r="W49" s="2">
        <f>IF(OR(C28="S",C28="T"),B29,IF(C28="SC",VLOOKUP(C42,Table_SpecialLC,B42,FALSE),VLOOKUP(C35,Table_G1_LC,MATCH(C15&amp;"B",List_ClassLC,0)+3,FALSE))+IF(ISBLANK(B41),0,B41))</f>
        <v>0.126</v>
      </c>
      <c r="X49" s="247">
        <f>IF(OR(C28="S",C28="T"),C29,VLOOKUP(C16,Table_G2SymLC,2,FALSE)*IF(C64&lt;&gt;"Yes",B16,1))</f>
        <v>4.2000000000000003E-2</v>
      </c>
      <c r="Y49" s="247">
        <f>IF(OR(ISBLANK(C13),C13="No"),0,VLOOKUP(C13,Table_Special_Bldg,2,FALSE))</f>
        <v>0</v>
      </c>
      <c r="Z49" s="2">
        <f>HLOOKUP(B12,Table_BroadLC,IF(C35&lt;&gt;"1150",2,4),FALSE)</f>
        <v>1.4999999999999999E-2</v>
      </c>
      <c r="AI49" s="146"/>
      <c r="AJ49" s="301" t="s">
        <v>2122</v>
      </c>
      <c r="AK49" s="1228">
        <f>ROUND(PRODUCT(AK44,AK47:AK48),0)</f>
        <v>0</v>
      </c>
      <c r="AL49" s="1228">
        <f>ROUND(PRODUCT(AL44,AL47:AL48),0)</f>
        <v>0</v>
      </c>
      <c r="AM49" s="1228">
        <f>ROUND(PRODUCT(AM44,AM47:AM48),0)</f>
        <v>0</v>
      </c>
      <c r="AN49" s="1228">
        <f>ROUND(PRODUCT(AN44,AN47:AN48),0)</f>
        <v>0</v>
      </c>
      <c r="AP49" s="542"/>
      <c r="AQ49" s="724" t="s">
        <v>1022</v>
      </c>
      <c r="AR49" s="279">
        <f>1+$BO$14</f>
        <v>1</v>
      </c>
      <c r="AS49" s="279">
        <f>1+$BO$14</f>
        <v>1</v>
      </c>
      <c r="AT49" s="279">
        <f>1+$BO$14</f>
        <v>1</v>
      </c>
      <c r="AU49" s="279">
        <f>1+$BO$14</f>
        <v>1</v>
      </c>
      <c r="BI49" s="2"/>
      <c r="BJ49" s="301" t="s">
        <v>1690</v>
      </c>
      <c r="BK49" s="248">
        <f>ROUND(PRODUCT(BK47:BK48),0)</f>
        <v>0</v>
      </c>
    </row>
    <row r="50" spans="1:63" x14ac:dyDescent="0.2">
      <c r="A50" s="925"/>
      <c r="B50" s="926"/>
      <c r="C50" s="512"/>
      <c r="D50" s="927" t="s">
        <v>1834</v>
      </c>
      <c r="E50" s="261"/>
      <c r="F50" s="954" t="s">
        <v>857</v>
      </c>
      <c r="N50" s="834">
        <f>SUM(N48:N49)</f>
        <v>6</v>
      </c>
      <c r="O50" s="53" t="str">
        <f>"Subtract from the " &amp; IF(OR(N50=6,N50=2),"Terr Mult",IF(N50=4,"Prot Class","Loss Cost"))</f>
        <v>Subtract from the Terr Mult</v>
      </c>
      <c r="Q50" s="834">
        <f>SUM(Q47:Q49)</f>
        <v>9</v>
      </c>
      <c r="R50" s="53" t="str">
        <f>"Subtract from the " &amp; IF(OR(Q50=2,Q50=6,Q50=7,Q50=11),"Sprk Lkg",IF(OR(Q50=4,Q50=9),"Terr Mult",IF(Q50=5,"Prot Class","Loss Cost")))</f>
        <v>Subtract from the Terr Mult</v>
      </c>
      <c r="U50" s="146"/>
      <c r="V50" s="545" t="s">
        <v>1666</v>
      </c>
      <c r="W50" s="2">
        <f>HLOOKUP(C11,Table_StateRates,6,FALSE)</f>
        <v>1.9</v>
      </c>
      <c r="X50" s="2">
        <f>HLOOKUP(C11,Table_StateRates,6,FALSE)</f>
        <v>1.9</v>
      </c>
      <c r="Y50" s="2">
        <f>HLOOKUP(C11,Table_StateRates,6,FALSE)</f>
        <v>1.9</v>
      </c>
      <c r="Z50" s="2">
        <f>HLOOKUP(C11,Table_StateRates,6,FALSE)</f>
        <v>1.9</v>
      </c>
      <c r="AI50" s="146"/>
      <c r="AJ50" s="301"/>
      <c r="AK50" s="146"/>
      <c r="AL50" s="575"/>
      <c r="AM50" s="559"/>
      <c r="AN50" s="559"/>
      <c r="AP50" s="2"/>
      <c r="AQ50" s="301" t="s">
        <v>722</v>
      </c>
      <c r="AR50" s="247">
        <f>ROUND(PRODUCT(AR39:AR49),3)</f>
        <v>0.159</v>
      </c>
      <c r="AS50" s="247">
        <f>ROUND(PRODUCT(AS39:AS49),3)</f>
        <v>5.5E-2</v>
      </c>
      <c r="AT50" s="247">
        <f>ROUND(PRODUCT(AT39:AT49),3)</f>
        <v>1.6E-2</v>
      </c>
      <c r="AU50" s="247">
        <f>ROUND(PRODUCT(AU39:AU49),3)</f>
        <v>1.6E-2</v>
      </c>
      <c r="AW50" s="566"/>
      <c r="AX50" s="990" t="s">
        <v>395</v>
      </c>
      <c r="AY50" s="813">
        <f>SUM(AY47,BC46)</f>
        <v>93</v>
      </c>
      <c r="BI50" s="185"/>
      <c r="BJ50" s="477" t="s">
        <v>1689</v>
      </c>
      <c r="BK50" s="565">
        <f>(E58-1000000)/1000000</f>
        <v>-1</v>
      </c>
    </row>
    <row r="51" spans="1:63" ht="13.5" thickBot="1" x14ac:dyDescent="0.25">
      <c r="A51" s="751" t="s">
        <v>1580</v>
      </c>
      <c r="B51" s="928"/>
      <c r="C51" s="1058" t="s">
        <v>857</v>
      </c>
      <c r="D51" s="927" t="s">
        <v>1835</v>
      </c>
      <c r="E51" s="261"/>
      <c r="F51" s="954" t="s">
        <v>857</v>
      </c>
      <c r="N51" s="146"/>
      <c r="U51" s="546"/>
      <c r="V51" s="545" t="s">
        <v>1019</v>
      </c>
      <c r="W51" s="207">
        <f>HLOOKUP(C11,Table_StateRates,5,FALSE)</f>
        <v>1.38</v>
      </c>
      <c r="X51" s="207">
        <f>HLOOKUP(C11,Table_StateRates,5,FALSE)</f>
        <v>1.38</v>
      </c>
      <c r="Y51" s="207">
        <f>HLOOKUP(C11,Table_StateRates,5,FALSE)</f>
        <v>1.38</v>
      </c>
      <c r="Z51" s="207">
        <f>HLOOKUP(C11,Table_StateRates,5,FALSE)</f>
        <v>1.38</v>
      </c>
      <c r="AI51" s="146"/>
      <c r="AJ51" s="301" t="s">
        <v>2136</v>
      </c>
      <c r="AK51" s="1231">
        <f>IF(C58="Yes",SUM(AK18:AL18,IF(C12="SP",AM18,IF(C12="BR",AN18,0))),SUM(AK30:AL30,IF(C12="SP",AM30,IF(C12="BR",AN30,0))))</f>
        <v>0</v>
      </c>
      <c r="AL51" s="575"/>
      <c r="AM51" s="559"/>
      <c r="AN51" s="559"/>
      <c r="AP51" s="185"/>
      <c r="AQ51" s="186" t="s">
        <v>1025</v>
      </c>
      <c r="AR51" s="238">
        <f>E27/100</f>
        <v>0</v>
      </c>
      <c r="AS51" s="238">
        <f>E27/100</f>
        <v>0</v>
      </c>
      <c r="AT51" s="238">
        <f>E27/100</f>
        <v>0</v>
      </c>
      <c r="AU51" s="238">
        <f>E27/100</f>
        <v>0</v>
      </c>
      <c r="BI51" s="2"/>
      <c r="BJ51" s="301" t="s">
        <v>1774</v>
      </c>
      <c r="BK51" s="248">
        <f>ROUND(PRODUCT(BK49:BK50),0)</f>
        <v>0</v>
      </c>
    </row>
    <row r="52" spans="1:63" ht="13.5" thickBot="1" x14ac:dyDescent="0.25">
      <c r="A52" s="143" t="s">
        <v>1589</v>
      </c>
      <c r="B52" s="947" t="s">
        <v>857</v>
      </c>
      <c r="C52" s="1039"/>
      <c r="D52" s="935" t="s">
        <v>1836</v>
      </c>
      <c r="E52" s="947"/>
      <c r="F52" s="1074"/>
      <c r="N52" s="479" t="str">
        <f>IF(OR(N50=6,N50=2),"TM",IF(N50=4,"PC","LC"))</f>
        <v>TM</v>
      </c>
      <c r="O52" s="919" t="s">
        <v>559</v>
      </c>
      <c r="Q52" s="479" t="str">
        <f>IF(AND(C61="Sprinkler",OR(Q50=2,Q50=6,Q50=7,Q50=11)),"SL",IF(AND(OR(C61="NA",ISNUMBER(C61)),OR(Q50=4,Q50=9)),"TM",IF(AND(OR(C61="NA",ISNUMBER(C61)),Q50=5),"PC","LC")))</f>
        <v>TM</v>
      </c>
      <c r="U52" s="146"/>
      <c r="V52" s="545" t="s">
        <v>1062</v>
      </c>
      <c r="W52" s="299">
        <f>VLOOKUP(1,Table_VPFactors,2,FALSE)</f>
        <v>0.13</v>
      </c>
      <c r="X52" s="299">
        <f>VLOOKUP(1,Table_VPFactors,2,FALSE)</f>
        <v>0.13</v>
      </c>
      <c r="Y52" s="299">
        <v>1</v>
      </c>
      <c r="Z52" s="299">
        <v>1</v>
      </c>
      <c r="AI52" s="146"/>
      <c r="AJ52" s="301" t="s">
        <v>2137</v>
      </c>
      <c r="AK52" s="1231">
        <f>SUM(AK40:AL40,IF(C12="SP",AM40,IF(C12="BR",AN40,0)))</f>
        <v>0</v>
      </c>
      <c r="AL52" s="575"/>
      <c r="AM52" s="559"/>
      <c r="AN52" s="559"/>
      <c r="AP52" s="2"/>
      <c r="AQ52" s="301" t="s">
        <v>723</v>
      </c>
      <c r="AR52" s="248">
        <f>ROUND(PRODUCT(AR50:AR51),0)</f>
        <v>0</v>
      </c>
      <c r="AS52" s="248">
        <f>ROUND(PRODUCT(AS50:AS51),0)</f>
        <v>0</v>
      </c>
      <c r="AT52" s="248">
        <f>ROUND(PRODUCT(AT50:AT51),0)</f>
        <v>0</v>
      </c>
      <c r="AU52" s="248">
        <f>ROUND(PRODUCT(AU50:AU51),0)</f>
        <v>0</v>
      </c>
    </row>
    <row r="53" spans="1:63" x14ac:dyDescent="0.2">
      <c r="A53" s="108" t="s">
        <v>908</v>
      </c>
      <c r="B53" s="160"/>
      <c r="C53" s="962" t="s">
        <v>857</v>
      </c>
      <c r="D53" s="700"/>
      <c r="E53" s="774"/>
      <c r="F53" s="1075"/>
      <c r="U53" s="266"/>
      <c r="V53" s="268" t="s">
        <v>180</v>
      </c>
      <c r="W53" s="423">
        <f>1+$BQ$24</f>
        <v>1</v>
      </c>
      <c r="X53" s="423">
        <f>1+$BQ$24</f>
        <v>1</v>
      </c>
      <c r="Y53" s="423">
        <f>1+$BQ$24</f>
        <v>1</v>
      </c>
      <c r="Z53" s="423">
        <f>1+$BQ$24</f>
        <v>1</v>
      </c>
      <c r="AI53" s="146"/>
      <c r="AJ53" s="301" t="s">
        <v>2138</v>
      </c>
      <c r="AK53" s="1231">
        <f>SUM(AK49:AL49,IF(C12="SP",AM49,IF(C12="BR",AN49,0)))</f>
        <v>0</v>
      </c>
      <c r="AL53" s="575"/>
      <c r="AM53" s="559"/>
      <c r="AN53" s="559"/>
      <c r="AO53" s="385"/>
      <c r="AP53" s="385"/>
      <c r="AQ53" s="385"/>
      <c r="AR53" s="385"/>
      <c r="AS53" s="385"/>
      <c r="AT53" s="385"/>
      <c r="AU53" s="385"/>
    </row>
    <row r="54" spans="1:63" x14ac:dyDescent="0.2">
      <c r="A54" s="84" t="s">
        <v>976</v>
      </c>
      <c r="B54" s="95"/>
      <c r="C54" s="1040">
        <v>99</v>
      </c>
      <c r="D54" s="927" t="s">
        <v>1234</v>
      </c>
      <c r="E54" s="261"/>
      <c r="F54" s="954" t="s">
        <v>857</v>
      </c>
      <c r="U54" s="146"/>
      <c r="V54" s="545" t="s">
        <v>1020</v>
      </c>
      <c r="W54" s="299">
        <f>IF(C6="PAC",VLOOKUP(B7,Table_PakMods,MATCH(C11,List_Company,0)+1,FALSE),1)</f>
        <v>1</v>
      </c>
      <c r="X54" s="299">
        <f>IF(C6="PAC",VLOOKUP(B7,Table_PakMods,MATCH(C11,List_Company,0)+1,FALSE),1)</f>
        <v>1</v>
      </c>
      <c r="Y54" s="299">
        <f>IF(C6="PAC",VLOOKUP(B7,Table_PakMods,MATCH(C11,List_Company,0)+1,FALSE),1)</f>
        <v>1</v>
      </c>
      <c r="Z54" s="299">
        <f>IF(C6="PAC",VLOOKUP(B7,Table_PakMods,MATCH(C11,List_Company,0)+1,FALSE),1)</f>
        <v>1</v>
      </c>
      <c r="AI54" s="146"/>
      <c r="AJ54" s="301"/>
      <c r="AK54" s="146"/>
      <c r="AL54" s="575"/>
      <c r="AM54" s="559"/>
      <c r="AN54" s="559"/>
      <c r="AP54" s="146"/>
      <c r="AQ54" s="146"/>
      <c r="AR54" s="146"/>
      <c r="AS54" s="575"/>
      <c r="AT54" s="559"/>
      <c r="AU54" s="559"/>
    </row>
    <row r="55" spans="1:63" x14ac:dyDescent="0.2">
      <c r="A55" s="108"/>
      <c r="B55" s="95"/>
      <c r="C55" s="1039"/>
      <c r="D55" s="935" t="s">
        <v>1235</v>
      </c>
      <c r="E55" s="947"/>
      <c r="F55" s="1074"/>
      <c r="U55" s="542"/>
      <c r="V55" s="724" t="s">
        <v>1022</v>
      </c>
      <c r="W55" s="279">
        <f>1+$BO$14</f>
        <v>1</v>
      </c>
      <c r="X55" s="279">
        <f>1+$BO$14</f>
        <v>1</v>
      </c>
      <c r="Y55" s="279">
        <f>1+$BO$14</f>
        <v>1</v>
      </c>
      <c r="Z55" s="279">
        <f>1+$BO$14</f>
        <v>1</v>
      </c>
      <c r="AI55" s="146"/>
      <c r="AJ55" s="146"/>
      <c r="AK55" s="146"/>
      <c r="AL55" s="575"/>
      <c r="AM55" s="559"/>
      <c r="AN55" s="559"/>
    </row>
    <row r="56" spans="1:63" ht="13.5" thickBot="1" x14ac:dyDescent="0.25">
      <c r="A56" s="108" t="s">
        <v>1103</v>
      </c>
      <c r="B56" s="160"/>
      <c r="C56" s="962"/>
      <c r="D56" s="936"/>
      <c r="E56" s="515"/>
      <c r="F56" s="1076"/>
      <c r="V56" s="301" t="s">
        <v>1061</v>
      </c>
      <c r="W56" s="247">
        <f>ROUND(PRODUCT(W49:W55),3)</f>
        <v>4.2999999999999997E-2</v>
      </c>
      <c r="X56" s="247">
        <f>ROUND(PRODUCT(X49:X55),3)</f>
        <v>1.4E-2</v>
      </c>
      <c r="Y56" s="247">
        <f>ROUND(PRODUCT(Y49:Y55),3)</f>
        <v>0</v>
      </c>
      <c r="Z56" s="247">
        <f>ROUND(PRODUCT(Z49:Z55),3)</f>
        <v>3.9E-2</v>
      </c>
      <c r="AI56" s="146"/>
      <c r="AJ56" s="146"/>
      <c r="AK56" s="146"/>
      <c r="AL56" s="146"/>
      <c r="AM56" s="146"/>
      <c r="AN56" s="146"/>
    </row>
    <row r="57" spans="1:63" x14ac:dyDescent="0.2">
      <c r="A57" s="513" t="s">
        <v>1102</v>
      </c>
      <c r="B57" s="1212"/>
      <c r="C57" s="1063" t="str">
        <f>IF(ISBLANK(C56),"",VLOOKUP(12,Table_InflationGd,MATCH(C9,List_IGyr,0)+1,FALSE))</f>
        <v/>
      </c>
      <c r="D57" s="937" t="s">
        <v>1812</v>
      </c>
      <c r="E57" s="95"/>
      <c r="F57" s="1077" t="s">
        <v>857</v>
      </c>
      <c r="V57" s="606" t="s">
        <v>854</v>
      </c>
      <c r="W57" s="607">
        <f>VLOOKUP(E43,Table_VacancyBasic,2,FALSE)</f>
        <v>2.1999999999999999E-2</v>
      </c>
      <c r="X57" s="607">
        <f>VLOOKUP(4,Table_VacancyBasic,2,FALSE)</f>
        <v>6.0000000000000001E-3</v>
      </c>
      <c r="Y57" s="607">
        <f>VLOOKUP(2,Table_VacancyOther,2,FALSE)</f>
        <v>5.2999999999999999E-2</v>
      </c>
      <c r="Z57" s="607">
        <f>VLOOKUP(1,Table_VacancyOther,2,FALSE)</f>
        <v>0.04</v>
      </c>
    </row>
    <row r="58" spans="1:63" x14ac:dyDescent="0.2">
      <c r="A58" s="108" t="s">
        <v>909</v>
      </c>
      <c r="B58" s="160"/>
      <c r="C58" s="962" t="s">
        <v>833</v>
      </c>
      <c r="D58" s="938" t="s">
        <v>1242</v>
      </c>
      <c r="E58" s="950"/>
      <c r="F58" s="561">
        <f>IF(E58&gt;1000000,1000,E58/1000)</f>
        <v>0</v>
      </c>
      <c r="V58" s="606"/>
      <c r="W58" s="607"/>
      <c r="X58" s="607"/>
      <c r="Y58" s="607"/>
      <c r="Z58" s="607"/>
    </row>
    <row r="59" spans="1:63" x14ac:dyDescent="0.2">
      <c r="A59" s="108" t="s">
        <v>1813</v>
      </c>
      <c r="B59" s="95"/>
      <c r="C59" s="1040" t="s">
        <v>857</v>
      </c>
      <c r="D59" s="938" t="s">
        <v>1811</v>
      </c>
      <c r="E59" s="950"/>
      <c r="F59" s="1078"/>
      <c r="G59" s="8"/>
      <c r="V59" s="301" t="s">
        <v>855</v>
      </c>
      <c r="W59" s="247">
        <f>MAX(W56:W57)</f>
        <v>4.2999999999999997E-2</v>
      </c>
      <c r="X59" s="247">
        <f>MAX(X56:X57)</f>
        <v>1.4E-2</v>
      </c>
      <c r="Y59" s="247">
        <f>MAX(Y56:Y57)</f>
        <v>5.2999999999999999E-2</v>
      </c>
      <c r="Z59" s="247">
        <f>MAX(Z56:Z57)</f>
        <v>0.04</v>
      </c>
    </row>
    <row r="60" spans="1:63" ht="13.5" thickBot="1" x14ac:dyDescent="0.25">
      <c r="A60" s="124" t="s">
        <v>1029</v>
      </c>
      <c r="B60" s="940" t="s">
        <v>857</v>
      </c>
      <c r="C60" s="1064"/>
      <c r="D60" s="195"/>
      <c r="E60" s="195"/>
      <c r="F60" s="101"/>
      <c r="G60" s="8"/>
      <c r="U60" s="185"/>
      <c r="V60" s="186" t="s">
        <v>1025</v>
      </c>
      <c r="W60" s="238">
        <f>E42/100</f>
        <v>0</v>
      </c>
      <c r="X60" s="238">
        <f>E42/100</f>
        <v>0</v>
      </c>
      <c r="Y60" s="238">
        <f>E42/100</f>
        <v>0</v>
      </c>
      <c r="Z60" s="238">
        <f>E42/100</f>
        <v>0</v>
      </c>
    </row>
    <row r="61" spans="1:63" x14ac:dyDescent="0.2">
      <c r="A61" s="124" t="s">
        <v>922</v>
      </c>
      <c r="B61" s="940"/>
      <c r="C61" s="913" t="str">
        <f>IF(ISBLANK(B61),"NA",IF(OR(LEFT(B61,1)="4",LEFT(B61,1)="8"),"Sprinkler",DF_SprLkg))</f>
        <v>NA</v>
      </c>
      <c r="D61" s="750"/>
      <c r="E61" s="750"/>
      <c r="F61" s="385"/>
      <c r="G61" s="8"/>
      <c r="V61" s="301" t="s">
        <v>1584</v>
      </c>
      <c r="W61" s="248">
        <f>ROUND(PRODUCT(W59:W60),0)</f>
        <v>0</v>
      </c>
      <c r="X61" s="248">
        <f>ROUND(PRODUCT(X59:X60),0)</f>
        <v>0</v>
      </c>
      <c r="Y61" s="248">
        <f>ROUND(PRODUCT(Y59:Y60),0)</f>
        <v>0</v>
      </c>
      <c r="Z61" s="248">
        <f>ROUND(PRODUCT(Z59:Z60),0)</f>
        <v>0</v>
      </c>
    </row>
    <row r="62" spans="1:63" x14ac:dyDescent="0.2">
      <c r="A62" s="108" t="s">
        <v>1814</v>
      </c>
      <c r="B62" s="970">
        <f>IF(AND(C59="Yes",C62="Yes"),1,IF(C59="Yes",2,IF(C62="Yes",3,4)))</f>
        <v>4</v>
      </c>
      <c r="C62" s="1040" t="s">
        <v>857</v>
      </c>
      <c r="D62" s="750"/>
      <c r="E62" s="750"/>
      <c r="F62" s="385"/>
      <c r="G62" s="8"/>
    </row>
    <row r="63" spans="1:63" x14ac:dyDescent="0.2">
      <c r="A63" s="276" t="str">
        <f>IF(C62="Yes","Use this Lookup Value:","")</f>
        <v/>
      </c>
      <c r="B63" s="289" t="str">
        <f>IF(C62="Yes",IF(ISERROR(VLOOKUP(C35,Table_VandalExcl,1,FALSE)),"OT",C35),"")</f>
        <v/>
      </c>
      <c r="C63" s="918"/>
      <c r="D63" s="750"/>
      <c r="E63" s="750"/>
      <c r="F63" s="385"/>
      <c r="G63" s="8"/>
    </row>
    <row r="64" spans="1:63" x14ac:dyDescent="0.2">
      <c r="A64" s="108" t="s">
        <v>1815</v>
      </c>
      <c r="B64" s="95"/>
      <c r="C64" s="1040" t="s">
        <v>857</v>
      </c>
      <c r="G64" s="8"/>
      <c r="AB64" s="168"/>
    </row>
    <row r="65" spans="1:19" x14ac:dyDescent="0.2">
      <c r="A65" s="84" t="s">
        <v>1816</v>
      </c>
      <c r="B65" s="193"/>
      <c r="C65" s="962" t="s">
        <v>857</v>
      </c>
      <c r="G65" s="139"/>
    </row>
    <row r="66" spans="1:19" x14ac:dyDescent="0.2">
      <c r="A66" s="159" t="s">
        <v>1492</v>
      </c>
      <c r="B66" s="1219"/>
      <c r="C66" s="1065"/>
      <c r="G66" s="139"/>
    </row>
    <row r="67" spans="1:19" ht="13.5" thickBot="1" x14ac:dyDescent="0.25">
      <c r="A67" s="526"/>
      <c r="B67" s="96"/>
      <c r="C67" s="516"/>
      <c r="G67" s="139"/>
    </row>
    <row r="68" spans="1:19" x14ac:dyDescent="0.2">
      <c r="G68" s="8"/>
      <c r="N68" s="146"/>
      <c r="O68" s="300"/>
      <c r="P68" s="478"/>
      <c r="Q68" s="146"/>
      <c r="R68" s="146"/>
      <c r="S68" s="146"/>
    </row>
    <row r="69" spans="1:19" x14ac:dyDescent="0.2">
      <c r="G69" s="8"/>
      <c r="N69" s="146"/>
      <c r="O69" s="301"/>
      <c r="P69" s="478"/>
      <c r="Q69" s="478"/>
      <c r="R69" s="478"/>
      <c r="S69" s="478"/>
    </row>
    <row r="70" spans="1:19" x14ac:dyDescent="0.2">
      <c r="G70" s="8"/>
    </row>
    <row r="71" spans="1:19" x14ac:dyDescent="0.2">
      <c r="G71" s="8"/>
    </row>
    <row r="72" spans="1:19" x14ac:dyDescent="0.2">
      <c r="G72" s="8"/>
      <c r="N72" s="146"/>
      <c r="O72" s="300"/>
      <c r="P72" s="299"/>
      <c r="Q72" s="146"/>
      <c r="R72" s="146"/>
      <c r="S72" s="146"/>
    </row>
    <row r="73" spans="1:19" x14ac:dyDescent="0.2">
      <c r="G73" s="8"/>
      <c r="N73" s="146"/>
      <c r="O73" s="301"/>
      <c r="P73" s="299"/>
      <c r="Q73" s="146"/>
      <c r="R73" s="146"/>
      <c r="S73" s="146"/>
    </row>
    <row r="74" spans="1:19" x14ac:dyDescent="0.2">
      <c r="G74" s="8"/>
    </row>
    <row r="75" spans="1:19" x14ac:dyDescent="0.2">
      <c r="G75" s="8"/>
    </row>
    <row r="76" spans="1:19" x14ac:dyDescent="0.2">
      <c r="G76" s="146"/>
    </row>
  </sheetData>
  <mergeCells count="4">
    <mergeCell ref="H1:L1"/>
    <mergeCell ref="AW1:BC1"/>
    <mergeCell ref="BQ24:BR24"/>
    <mergeCell ref="AW32:BC32"/>
  </mergeCells>
  <conditionalFormatting sqref="B24">
    <cfRule type="expression" dxfId="35" priority="19" stopIfTrue="1">
      <formula>IF($C$24="Yes",FALSE,TRUE)</formula>
    </cfRule>
  </conditionalFormatting>
  <conditionalFormatting sqref="E16">
    <cfRule type="expression" dxfId="34" priority="18" stopIfTrue="1">
      <formula>IF($C$58="Yes",TRUE,FALSE)</formula>
    </cfRule>
  </conditionalFormatting>
  <conditionalFormatting sqref="C18">
    <cfRule type="expression" dxfId="33" priority="16">
      <formula>IF($C$12="SP",TRUE,FALSE)</formula>
    </cfRule>
    <cfRule type="expression" dxfId="32" priority="17">
      <formula>IF($C$12="SP",TRUE,FALSE)</formula>
    </cfRule>
  </conditionalFormatting>
  <conditionalFormatting sqref="A18">
    <cfRule type="expression" dxfId="31" priority="15">
      <formula>IF($C$12="SP",TRUE,FALSE)</formula>
    </cfRule>
  </conditionalFormatting>
  <conditionalFormatting sqref="B21">
    <cfRule type="expression" dxfId="30" priority="14">
      <formula>IF($C$21="Yes",TRUE,FALSE)</formula>
    </cfRule>
  </conditionalFormatting>
  <conditionalFormatting sqref="C18">
    <cfRule type="expression" dxfId="29" priority="10">
      <formula>IF($C$12="SP",TRUE,FALSE)</formula>
    </cfRule>
    <cfRule type="expression" dxfId="28" priority="11">
      <formula>IF($C$12="SP",TRUE,FALSE)</formula>
    </cfRule>
  </conditionalFormatting>
  <conditionalFormatting sqref="C32">
    <cfRule type="expression" dxfId="27" priority="2">
      <formula>IF(AND($C$30="Yes",$C$12="BR"),TRUE,FALSE)</formula>
    </cfRule>
  </conditionalFormatting>
  <conditionalFormatting sqref="B32">
    <cfRule type="expression" dxfId="26" priority="1">
      <formula>IF(AND($C$30="Yes",$C$12="SP"),TRUE,FALSE)</formula>
    </cfRule>
  </conditionalFormatting>
  <conditionalFormatting sqref="B31:C31">
    <cfRule type="expression" dxfId="25" priority="3">
      <formula>IF($C$30="Yes",TRUE,FALSE)</formula>
    </cfRule>
  </conditionalFormatting>
  <dataValidations count="97">
    <dataValidation type="list" showInputMessage="1" showErrorMessage="1" promptTitle="Property Plus Endorsement" prompt="Apply Coverage:_x000a_{ Yes or No }_x000a__x000a_* Only applicable if &quot;SP&quot; Form is present on policy" sqref="C51">
      <formula1>IF(C12="SP",List_YN,List_No)</formula1>
    </dataValidation>
    <dataValidation type="list" showInputMessage="1" showErrorMessage="1" errorTitle="Invalid Selection" error="Inflation Guard cannot be applied when Functional Building Valuation is also present on policy." promptTitle="Inflation Guard (%)" prompt="Please select the applicable Inflation Guard percent from the Drop-Down list, if Other than listed; please select &quot;OT&quot; and supply rate below." sqref="C56">
      <formula1>IF(F7="Yes",List_No,OFFSET(Table_InflationGd,0,0,,1))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list" allowBlank="1" showInputMessage="1" showErrorMessage="1" promptTitle="PCR Optional Deductible" prompt="Please select an optional deductible:_x000a_{1,000 - 25,000}_x000a__x000a_The default minimum deductible is:  $1,000" sqref="E28">
      <formula1>IF(F26="Yes",OFFSET(Table_PCR_Ded,0,0,,1),FALSE)</formula1>
    </dataValidation>
    <dataValidation type="custom" allowBlank="1" showInputMessage="1" showErrorMessage="1" promptTitle="Ordinance or Law: Demolition" prompt="Limit supplied for Coverage B - Demolition Cost Coverage." sqref="E17">
      <formula1>IF(F14="Yes",TRUE,FALSE)</formula1>
    </dataValidation>
    <dataValidation type="custom" allowBlank="1" showInputMessage="1" showErrorMessage="1" sqref="E31 E8 E4 E42 E27 E21">
      <formula1>IF(F3="Yes",TRUE,FALSE)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7">
      <formula1>IF(B46="None",FALSE,IF(AND(C47&lt;=B46,C47&gt;=B47),TRUE,FALSE))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7">
      <formula1>IF(C56="OT",TRUE,FALSE)</formula1>
    </dataValidation>
    <dataValidation type="custom" allowBlank="1" showInputMessage="1" showErrorMessage="1" errorTitle="ENTRY NOT ALLOWED" error="Replacement Coverage of building has not been selected, please provide the Actual Cash Value of the Building below." promptTitle="Ordinance &amp; Law: Replacement Cov" prompt="If Replacement Coverage is selected on the Building, then you must supply the cost for the replacement of the building." sqref="E15">
      <formula1>IF(AND(F14="Yes",C58="Yes"),TRUE,FALSE)</formula1>
    </dataValidation>
    <dataValidation type="custom" allowBlank="1" showInputMessage="1" showErrorMessage="1" errorTitle="ENTRY NOT ALLOWED" error="Replacement Coverage has been applied to the Building; Actual Cash Value not allowed, please supply the Replacement Cost above." promptTitle="Ordinance or Law: Undamaged Bldg" prompt="Actual Cash Value applies to the Coverage A: Coverage For Loss to the Undamaged Portion of the Building._x000a__x000a_*If replacement cost has been provided please leave blank." sqref="E16">
      <formula1>IF(AND(F14="Yes",C58&lt;&gt;"Yes"),TRUE,FALSE)</formula1>
    </dataValidation>
    <dataValidation type="custom" allowBlank="1" showInputMessage="1" showErrorMessage="1" errorTitle="Invalid Entry" error="This coverage is not allowed when Agreed Value has been applied to policy.  Please select &quot;No&quot; to agreed Value and &quot;Yes&quot; to Replacement Cost." promptTitle="Ordinance or Law: Construction" prompt="Limit supplied for Coverage C - Increased Cost of Construction." sqref="E18">
      <formula1>IF(AND(F14="Yes",C58="Yes"),TRUE,FALSE)</formula1>
    </dataValidation>
    <dataValidation type="list" showInputMessage="1" showErrorMessage="1" errorTitle="Invalid Selection" error="Agreed Value is not available if Replacement Cost has been applied _x000a_OR_x000a_If Functional Building Valuation is present on policy." promptTitle="Please Select:" prompt="Yes = Apply Coverage_x000a_No  = Do Not Apply" sqref="C53">
      <formula1>IF(OR(C58="Yes",F7="Yes"),List_No,List_YN)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 C40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Outdoors TSP Coverage" prompt="This coverage cannot be applied on Building and Personal Property on the same policy._x000a__x000a_If &quot;PP&quot; is showing, this coverage has already been applied on the Personal Property coverage tab.  Otherwise it should display &quot;Available&quot;." sqref="E20">
      <formula1>FALSE</formula1>
    </dataValidation>
    <dataValidation allowBlank="1" showInputMessage="1" showErrorMessage="1" promptTitle="Special Class Pty: Grp II Symbol" prompt="Group II Symbol supplied for the Special Class Property selected." sqref="E24"/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type="custom" allowBlank="1" showInputMessage="1" showErrorMessage="1" promptTitle="Debris Removal Included Limit" prompt="Debris Removal includes $10,000 in the basic Property Coverage, this is subtracted from the requested Limit of Insurance." sqref="E5">
      <formula1>FALSE</formula1>
    </dataValidation>
    <dataValidation type="list" allowBlank="1" showInputMessage="1" showErrorMessage="1" promptTitle="Debris Removal Coverage" prompt="Please Select:_x000a_Yes or No" sqref="F3">
      <formula1>List_YN</formula1>
    </dataValidation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2">
      <formula1>List_YN</formula1>
    </dataValidation>
    <dataValidation allowBlank="1" showInputMessage="1" showErrorMessage="1" promptTitle="Legal Liability Building Limit" prompt="Please enter the limit of insurance related to the Legal Liability Coverage." sqref="E11"/>
    <dataValidation type="list" allowBlank="1" showInputMessage="1" showErrorMessage="1" errorTitle="Invalid Selection:" error="This coverage is not allowed if Commercial Condo Unit Owners or Functional Building Valuation is present on the policy." promptTitle="Please Select:" prompt="Yes = Apply Coverage_x000a_No  = Do Not Apply" sqref="F14">
      <formula1>IF(AND($F$7="No",$C$10=1),List_YN,List_No)</formula1>
    </dataValidation>
    <dataValidation type="list" allowBlank="1" showInputMessage="1" showErrorMessage="1" promptTitle="Outdoors Trees, Shrubs, Plants" prompt="Please Select:_x000a_{ Yes or No }_x000a__x000a_*This is a SPECIAL Class Rating Type coverage, please select the applicable special class property that it applies to." sqref="F20">
      <formula1>List_YN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6:F18 F11 F4:F5">
      <formula1>IF(#REF!="Yes",TRUE,FALSE)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custom" allowBlank="1" showInputMessage="1" showErrorMessage="1" prompt="EQ Sprinkler Leakage Extension Factor Lookup value." sqref="F48">
      <formula1>FALSE</formula1>
    </dataValidation>
    <dataValidation type="custom" allowBlank="1" showInputMessage="1" showErrorMessage="1" prompt="EQ Table Lookup Value" sqref="F49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49">
      <formula1>OFFSET(Table_EQ_Tiers,0,0,,1)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5">
      <formula1>IF($F$54="Yes",OFFSET(Table_Other_WaterBuyback,0,0,,1),List_No)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52">
      <formula1>IF($F$51="Yes",OFFSET(Table_Other_PierWharf,0,0,,1),List_No)</formula1>
    </dataValidation>
    <dataValidation type="list" allowBlank="1" showInputMessage="1" showErrorMessage="1" promptTitle="EQ Building Class" prompt="Please Select a class from the drop down list." sqref="E48">
      <formula1>IF($F$47="Yes",List_EQBldgClass,List_No)</formula1>
    </dataValidation>
    <dataValidation type="custom" allowBlank="1" showInputMessage="1" showErrorMessage="1" prompt="Bldg Lookup Value" sqref="F36">
      <formula1>FALSE</formula1>
    </dataValidation>
    <dataValidation type="custom" allowBlank="1" showInputMessage="1" showErrorMessage="1" promptTitle="Overhead Line Multiplier" prompt="Depending on how many coverages selected under OverHead Line Pty, it will increase or decrease the Rate Multiplier." sqref="E37">
      <formula1>FALSE</formula1>
    </dataValidation>
    <dataValidation type="custom" allowBlank="1" showInputMessage="1" showErrorMessage="1" promptTitle="Utility Svc Multiplier:" prompt="Depending on how many coverages selected under Utility Svc Pty, it will increase or decrease the Rate Multiplier." sqref="E32">
      <formula1>FALSE</formula1>
    </dataValidation>
    <dataValidation type="list" allowBlank="1" showInputMessage="1" showErrorMessage="1" promptTitle="Select Overhead Line Property:" prompt="Yes or No_x000a__x000a_*Must select &quot;Yes&quot; if you would like to apply coverage for Communications or Power Supply Property." sqref="F37">
      <formula1>IF($F$30="Yes",List_YN,List_No)</formula1>
    </dataValidation>
    <dataValidation type="list" allowBlank="1" showInputMessage="1" showErrorMessage="1" promptTitle="Please Select:" prompt="Yes or No" sqref="E38:E39">
      <formula1>IF($F$37="No",List_No,List_YN)</formula1>
    </dataValidation>
    <dataValidation type="list" allowBlank="1" showInputMessage="1" showErrorMessage="1" promptTitle="Please Select:" prompt="Yes or No" sqref="E33:E35">
      <formula1>IF($F$32="No",List_No,List_YN)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32">
      <formula1>IF($F$30="Yes",List_YN,List_No)</formula1>
    </dataValidation>
    <dataValidation type="list" allowBlank="1" showInputMessage="1" showErrorMessage="1" promptTitle="Utility Services Coverage" prompt="Please Select:_x000a_Yes or No" sqref="F30">
      <formula1>List_YN</formula1>
    </dataValidation>
    <dataValidation type="list" allowBlank="1" showInputMessage="1" showErrorMessage="1" promptTitle="Select Utility Type:" prompt="Please Select:_x000a_1 - Public Utilities_x000a_2 - Other than Public Utilities" sqref="E36">
      <formula1>IF($F$32="Yes",List_NBC,List_No)</formula1>
    </dataValidation>
    <dataValidation type="list" allowBlank="1" showInputMessage="1" showErrorMessage="1" promptTitle="Vacancy Permit Coverage" prompt="Please Select:_x000a_Yes or No" sqref="F41">
      <formula1>List_YN</formula1>
    </dataValidation>
    <dataValidation type="custom" allowBlank="1" showInputMessage="1" showErrorMessage="1" prompt="Column reference for the Mortgageholders E&amp;O table Loss Cost lookup." sqref="F58">
      <formula1>FALSE</formula1>
    </dataValidation>
    <dataValidation type="list" allowBlank="1" showInputMessage="1" showErrorMessage="1" promptTitle="Mortgageholders E&amp;O Coverage" prompt="Please Select:_x000a_Yes or No" sqref="F57">
      <formula1>List_YN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52">
      <formula1>IF($C$51="Yes",OFFSET(Table_PlusEnd,0,0,,1),List_No)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61">
      <formula1>FALSE</formula1>
    </dataValidation>
    <dataValidation allowBlank="1" showInputMessage="1" showErrorMessage="1" promptTitle="Occupancy Type Description" prompt="Displays the description of the choice made in the cell to the left.  " sqref="B33 B40"/>
    <dataValidation type="list" allowBlank="1" showInputMessage="1" showErrorMessage="1" errorTitle="Invalid Entry" error="Policy Form is not Condominium Commercial Unit Owner (CCUO) --- This credit is not available." promptTitle="Separate Heating Credit" prompt="If the building is eligible for this credit, please select:_x000a_{ Yes or No }_x000a__x000a_* Please note this is only available for CCUO Policies." sqref="B37">
      <formula1>IF(AND($C$27="Yes",$C$10=3),List_YN,List_No)</formula1>
    </dataValidation>
    <dataValidation type="list" allowBlank="1" showInputMessage="1" showErrorMessage="1" errorTitle="Invalid Entry" error="Policy Form is not Condominium Commercial Unit Owner (CCUO) --- This credit is not available." promptTitle="Multiple Res Properties Credit" prompt="If the building is eligible for this credit, please select:_x000a_{ Yes or No }_x000a__x000a_* Please note this is only available for CCUO Policies." sqref="B36">
      <formula1>IF(AND($C$27="Yes",$C$10=3),List_YN,List_No)</formula1>
    </dataValidation>
    <dataValidation type="custom" allowBlank="1" showInputMessage="1" showErrorMessage="1" promptTitle="Special Class - Loss Cost Ref." prompt="Gives the column reference for the Special Class Loss Cost lookup." sqref="B42 E22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C42 F22">
      <formula1>OFFSET(Table_SpecialLC,0,0,,1)</formula1>
    </dataValidation>
    <dataValidation type="list" allowBlank="1" showInputMessage="1" showErrorMessage="1" promptTitle="Please Select:" prompt="C   = Class_x000a_S   = Specific_x000a_T   = Tentative_x000a_SC = Special Class" sqref="C28">
      <formula1>List_RatingType</formula1>
    </dataValidation>
    <dataValidation type="list" allowBlank="1" showInputMessage="1" showErrorMessage="1" promptTitle="Basic Group I - Class Codes" prompt="Please select your building class code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B41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C39">
      <formula1>OFFSET(Table_G1_LC,0,0,,1)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9:B50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9">
      <formula1>FALSE</formula1>
    </dataValidation>
    <dataValidation type="custom" allowBlank="1" showInputMessage="1" showErrorMessage="1" promptTitle="Deductible Maximum" prompt="This represents the highest deductible credit that can be entered for the Deductible Selected." sqref="B47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6">
      <formula1>FALSE</formula1>
    </dataValidation>
    <dataValidation type="list" allowBlank="1" showInputMessage="1" showErrorMessage="1" promptTitle="Deductible Amount:" prompt="Please Select from list:_x000a_(250 - 75,000)" sqref="C46">
      <formula1>List_DedSelect</formula1>
    </dataValidation>
    <dataValidation type="list" allowBlank="1" showInputMessage="1" showErrorMessage="1" promptTitle="Please Select:" prompt="Yes = Apply Coverage_x000a_No  = Do Not Apply" sqref="C58">
      <formula1>IF($C$53="Yes",List_No,List_YN)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4">
      <formula1>IF(OR($C$28="S",$C$28="T"),OFFSET(Table_BCEG,0,0,,1),List_BCEG99)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7">
      <formula1>FALSE</formula1>
    </dataValidation>
    <dataValidation type="list" allowBlank="1" showInputMessage="1" showErrorMessage="1" promptTitle="Apply Sprinkler &lt; 50% Factor?" prompt="Please Select:_x000a_Yes or No" sqref="B60">
      <formula1>IF(OR($C$28="S",$C$28="T"),List_YN,List_No)</formula1>
    </dataValidation>
    <dataValidation type="list" allowBlank="1" showInputMessage="1" showErrorMessage="1" promptTitle="Apply Sprinkler Exclusion?" prompt="Please Select:_x000a_Yes or No" sqref="C59">
      <formula1>List_YN</formula1>
    </dataValidation>
    <dataValidation type="custom" allowBlank="1" showInputMessage="1" showErrorMessage="1" sqref="C25 F46 D23 B10 D43:E43 F33:F35 F38:F39 A38 A43">
      <formula1>FALSE</formula1>
    </dataValidation>
    <dataValidation type="custom" allowBlank="1" showInputMessage="1" showErrorMessage="1" promptTitle="Vandalism Exclusion Factor" prompt="This field is used to get the Vandalism Exclusion Factor." sqref="A63:B63">
      <formula1>FALSE</formula1>
    </dataValidation>
    <dataValidation type="list" allowBlank="1" showInputMessage="1" showErrorMessage="1" promptTitle="Windstorm or Hail Deductible %" prompt="Please Select:_x000a_{ 1%, 2%, 3% }" sqref="B66">
      <formula1>IF($C$65="Yes",List_WHDed,List_No)</formula1>
    </dataValidation>
    <dataValidation type="custom" allowBlank="1" showInputMessage="1" showErrorMessage="1" errorTitle="Do Not Touch" error="This is used to generate the Coinsurance rate." sqref="B62 E54">
      <formula1>FALSE</formula1>
    </dataValidation>
    <dataValidation type="list" allowBlank="1" showInputMessage="1" showErrorMessage="1" promptTitle="Please Select:" prompt="Yes = Apply Coverage_x000a_No  = Do Not Apply" sqref="C64:C65 C30 F26 F45 F10 C21:C22 C62 C27">
      <formula1>List_YN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1xxx,2xxx,3xxx,4xxx or 8xxx)" sqref="B61"/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errorTitle="Invalid Selection:" error="If Inflation Guard is present, or Agreed Value, or Ordinance &amp; Law Coverage is applied Functional Building Valuation is not allowed on the same policy." promptTitle="Please Select:" prompt="Yes = Apply Coverage_x000a_No  = Do Not Apply" sqref="F7">
      <formula1>IF(AND($C$53="No",ISBLANK($C$56),$F$14="No"),List_YN,List_No)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47">
      <formula1>IF(AND($F$45="Yes",$C$59&lt;&gt;"Yes"),List_YN,List_No)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54">
      <formula1>IF(OR($C$12="BR",$C$12="BA"),List_No,IF($F$45="Yes",List_YN,List_No))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1">
      <formula1>IF($C$12="SP",List_No,IF($F$45="Yes",List_YN,List_No))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0">
      <formula1>IF($C$12="SP",List_No,IF($F$45="Yes",List_YN,List_No))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</dataValidations>
  <printOptions horizontalCentered="1"/>
  <pageMargins left="0.25" right="0.25" top="0.5" bottom="0.5" header="0.25" footer="0.25"/>
  <pageSetup scale="80" fitToHeight="0" orientation="portrait" r:id="rId1"/>
  <headerFooter alignWithMargins="0">
    <oddHeader>&amp;R&amp;9&amp;F</oddHeader>
    <oddFooter>&amp;L&amp;"Arial,Bold"&amp;8Printed: &amp;"Arial,Regular"&amp;D, &amp;T&amp;C&amp;8&amp;A&amp;R&amp;8&amp;P/&amp;N</oddFooter>
  </headerFooter>
  <colBreaks count="9" manualBreakCount="9">
    <brk id="6" max="1048575" man="1"/>
    <brk id="13" max="1048575" man="1"/>
    <brk id="20" max="65" man="1"/>
    <brk id="27" max="65" man="1"/>
    <brk id="34" max="65" man="1"/>
    <brk id="41" max="65" man="1"/>
    <brk id="48" max="65" man="1"/>
    <brk id="56" max="65" man="1"/>
    <brk id="64" max="65" man="1"/>
  </colBreak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A78"/>
  <sheetViews>
    <sheetView zoomScale="90" zoomScaleNormal="90" zoomScaleSheetLayoutView="90" workbookViewId="0"/>
  </sheetViews>
  <sheetFormatPr defaultRowHeight="12.75" x14ac:dyDescent="0.2"/>
  <cols>
    <col min="1" max="1" width="28" style="2" customWidth="1"/>
    <col min="2" max="2" width="13.42578125" style="2" customWidth="1"/>
    <col min="3" max="3" width="11.7109375" style="2" customWidth="1"/>
    <col min="4" max="4" width="34.140625" style="2" customWidth="1"/>
    <col min="5" max="6" width="13.85546875" style="2" customWidth="1"/>
    <col min="7" max="7" width="5.7109375" style="2" customWidth="1"/>
    <col min="8" max="8" width="39.28515625" style="2" customWidth="1"/>
    <col min="9" max="9" width="12.85546875" style="2" customWidth="1"/>
    <col min="10" max="10" width="14.7109375" style="2" customWidth="1"/>
    <col min="11" max="11" width="16.140625" style="2" customWidth="1"/>
    <col min="12" max="12" width="14.140625" style="2" customWidth="1"/>
    <col min="13" max="13" width="6.28515625" style="2" customWidth="1"/>
    <col min="14" max="14" width="15.28515625" style="2" customWidth="1"/>
    <col min="15" max="15" width="20.42578125" style="2" customWidth="1"/>
    <col min="16" max="17" width="11.140625" style="2" customWidth="1"/>
    <col min="18" max="18" width="15.140625" style="2" customWidth="1"/>
    <col min="19" max="19" width="11.140625" style="2" customWidth="1"/>
    <col min="20" max="20" width="4.42578125" style="2" customWidth="1"/>
    <col min="21" max="21" width="16.5703125" style="2" customWidth="1"/>
    <col min="22" max="22" width="21.28515625" style="2" customWidth="1"/>
    <col min="23" max="26" width="11.85546875" style="2" customWidth="1"/>
    <col min="27" max="27" width="4.28515625" style="2" customWidth="1"/>
    <col min="28" max="28" width="16.28515625" style="2" customWidth="1"/>
    <col min="29" max="29" width="25.140625" style="2" customWidth="1"/>
    <col min="30" max="30" width="11.42578125" style="2" customWidth="1"/>
    <col min="31" max="31" width="10.28515625" style="2" customWidth="1"/>
    <col min="32" max="33" width="14.7109375" style="2" customWidth="1"/>
    <col min="34" max="34" width="10.85546875" style="2" customWidth="1"/>
    <col min="35" max="35" width="5" style="2" customWidth="1"/>
    <col min="36" max="36" width="11.140625" style="2" customWidth="1"/>
    <col min="37" max="37" width="21.140625" style="2" customWidth="1"/>
    <col min="38" max="38" width="12.5703125" style="2" customWidth="1"/>
    <col min="39" max="39" width="10.42578125" style="2" customWidth="1"/>
    <col min="40" max="40" width="17.7109375" style="2" customWidth="1"/>
    <col min="41" max="41" width="15.28515625" style="2" customWidth="1"/>
    <col min="42" max="42" width="8.5703125" style="2" customWidth="1"/>
    <col min="43" max="43" width="5.5703125" style="2" customWidth="1"/>
    <col min="44" max="44" width="15.140625" style="2" customWidth="1"/>
    <col min="45" max="45" width="26.42578125" style="2" customWidth="1"/>
    <col min="46" max="46" width="12.5703125" style="2" customWidth="1"/>
    <col min="47" max="47" width="12" style="2" customWidth="1"/>
    <col min="48" max="48" width="11.85546875" style="2" customWidth="1"/>
    <col min="49" max="49" width="15.140625" style="2" customWidth="1"/>
    <col min="50" max="50" width="4.5703125" style="2" customWidth="1"/>
    <col min="51" max="51" width="15.140625" style="2" customWidth="1"/>
    <col min="52" max="52" width="25.85546875" style="2" customWidth="1"/>
    <col min="53" max="53" width="10.140625" style="2" customWidth="1"/>
    <col min="54" max="54" width="11.42578125" style="2" customWidth="1"/>
    <col min="55" max="55" width="14.42578125" style="2" customWidth="1"/>
    <col min="56" max="56" width="17.85546875" style="2" customWidth="1"/>
    <col min="57" max="57" width="14.28515625" style="2" customWidth="1"/>
    <col min="58" max="58" width="5.140625" style="2" customWidth="1"/>
    <col min="59" max="59" width="16.28515625" style="2" customWidth="1"/>
    <col min="60" max="60" width="23.140625" style="2" customWidth="1"/>
    <col min="61" max="61" width="12.28515625" style="2" customWidth="1"/>
    <col min="62" max="62" width="12.7109375" style="2" customWidth="1"/>
    <col min="63" max="63" width="11.28515625" style="2" customWidth="1"/>
    <col min="64" max="64" width="11.85546875" style="2" customWidth="1"/>
    <col min="65" max="65" width="6.28515625" style="2" customWidth="1"/>
    <col min="66" max="66" width="13.28515625" style="2" customWidth="1"/>
    <col min="67" max="67" width="25" style="2" customWidth="1"/>
    <col min="68" max="68" width="11.42578125" style="2" customWidth="1"/>
    <col min="69" max="69" width="9" style="2" customWidth="1"/>
    <col min="70" max="70" width="15.28515625" style="2" customWidth="1"/>
    <col min="71" max="71" width="20.7109375" style="2" customWidth="1"/>
    <col min="72" max="72" width="12.28515625" style="2" customWidth="1"/>
    <col min="73" max="73" width="6.28515625" style="2" customWidth="1"/>
    <col min="74" max="74" width="34.28515625" style="2" customWidth="1"/>
    <col min="75" max="75" width="23.7109375" style="2" customWidth="1"/>
    <col min="76" max="76" width="14.28515625" style="2" customWidth="1"/>
    <col min="77" max="77" width="11.5703125" style="2" customWidth="1"/>
    <col min="78" max="78" width="9.140625" style="2"/>
    <col min="79" max="79" width="21.5703125" style="2" customWidth="1"/>
    <col min="80" max="16384" width="9.140625" style="2"/>
  </cols>
  <sheetData>
    <row r="1" spans="1:76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1755</v>
      </c>
      <c r="I1" s="1595"/>
      <c r="J1" s="1595"/>
      <c r="K1" s="1595"/>
      <c r="L1" s="1596"/>
      <c r="N1" s="60" t="s">
        <v>1149</v>
      </c>
      <c r="P1" s="235" t="s">
        <v>1012</v>
      </c>
      <c r="Q1" s="235" t="s">
        <v>1013</v>
      </c>
      <c r="R1" s="235" t="s">
        <v>838</v>
      </c>
      <c r="S1" s="235" t="s">
        <v>837</v>
      </c>
      <c r="T1" s="235"/>
      <c r="U1" s="1307" t="str">
        <f>IF(ISTEXT(A65),A65&amp;" Premium","No Additional PP Item")</f>
        <v>No Additional PP Item</v>
      </c>
      <c r="V1" s="1292"/>
      <c r="W1" s="1308" t="s">
        <v>1012</v>
      </c>
      <c r="X1" s="1308" t="s">
        <v>1013</v>
      </c>
      <c r="Y1" s="1308" t="s">
        <v>838</v>
      </c>
      <c r="Z1" s="1309" t="s">
        <v>837</v>
      </c>
      <c r="AA1" s="235"/>
      <c r="AD1" s="235" t="s">
        <v>1012</v>
      </c>
      <c r="AE1" s="235" t="s">
        <v>1013</v>
      </c>
      <c r="AF1" s="235" t="s">
        <v>838</v>
      </c>
      <c r="AG1" s="235" t="s">
        <v>837</v>
      </c>
      <c r="AI1" s="235"/>
      <c r="AL1" s="235" t="s">
        <v>1012</v>
      </c>
      <c r="AM1" s="235" t="s">
        <v>1013</v>
      </c>
      <c r="AN1" s="235" t="s">
        <v>838</v>
      </c>
      <c r="AO1" s="235" t="s">
        <v>837</v>
      </c>
      <c r="AP1" s="235" t="s">
        <v>1678</v>
      </c>
      <c r="AQ1" s="235"/>
      <c r="AR1" s="60" t="s">
        <v>1570</v>
      </c>
      <c r="AT1" s="235" t="s">
        <v>1012</v>
      </c>
      <c r="AU1" s="235" t="s">
        <v>1013</v>
      </c>
      <c r="AV1" s="235" t="s">
        <v>838</v>
      </c>
      <c r="AW1" s="235" t="s">
        <v>837</v>
      </c>
      <c r="AX1" s="235"/>
      <c r="AY1" s="60" t="s">
        <v>1148</v>
      </c>
      <c r="BA1" s="235" t="s">
        <v>1012</v>
      </c>
      <c r="BB1" s="235" t="s">
        <v>1013</v>
      </c>
      <c r="BC1" s="235" t="s">
        <v>838</v>
      </c>
      <c r="BD1" s="1277"/>
      <c r="BE1" s="1277"/>
      <c r="BG1" s="60" t="s">
        <v>1647</v>
      </c>
      <c r="BI1" s="235" t="s">
        <v>1012</v>
      </c>
      <c r="BJ1" s="235" t="s">
        <v>1013</v>
      </c>
      <c r="BK1" s="235" t="s">
        <v>838</v>
      </c>
      <c r="BL1" s="235" t="s">
        <v>837</v>
      </c>
      <c r="BN1" s="1602" t="s">
        <v>675</v>
      </c>
      <c r="BO1" s="1603"/>
      <c r="BP1" s="1603"/>
      <c r="BQ1" s="1603"/>
      <c r="BR1" s="1603"/>
      <c r="BS1" s="1603"/>
      <c r="BT1" s="1604"/>
      <c r="BU1" s="754"/>
      <c r="BV1" s="152" t="s">
        <v>949</v>
      </c>
    </row>
    <row r="2" spans="1:76" ht="12.75" customHeight="1" thickBot="1" x14ac:dyDescent="0.25">
      <c r="A2" s="529" t="s">
        <v>1832</v>
      </c>
      <c r="B2" s="530"/>
      <c r="C2" s="730"/>
      <c r="D2" s="531" t="s">
        <v>897</v>
      </c>
      <c r="E2" s="531"/>
      <c r="F2" s="532"/>
      <c r="N2" s="266"/>
      <c r="O2" s="268" t="s">
        <v>1019</v>
      </c>
      <c r="P2" s="423">
        <f>HLOOKUP(C11,Table_StateRates,5,FALSE)</f>
        <v>1.38</v>
      </c>
      <c r="Q2" s="423">
        <f>HLOOKUP(C11,Table_StateRates,5,FALSE)</f>
        <v>1.38</v>
      </c>
      <c r="R2" s="423">
        <f>HLOOKUP(C11,Table_StateRates,5,FALSE)</f>
        <v>1.38</v>
      </c>
      <c r="S2" s="423">
        <f>HLOOKUP(C11,Table_StateRates,5,FALSE)</f>
        <v>1.38</v>
      </c>
      <c r="U2" s="1290"/>
      <c r="V2" s="1294" t="s">
        <v>2165</v>
      </c>
      <c r="W2" s="1300" t="e">
        <f ca="1">$P$28</f>
        <v>#N/A</v>
      </c>
      <c r="X2" s="1300" t="e">
        <f>$Q$28</f>
        <v>#N/A</v>
      </c>
      <c r="Y2" s="1300">
        <f>$R$28</f>
        <v>0</v>
      </c>
      <c r="Z2" s="1300">
        <f>$S$28</f>
        <v>5.5E-2</v>
      </c>
      <c r="AB2" s="60" t="s">
        <v>1638</v>
      </c>
      <c r="AJ2" s="60" t="s">
        <v>1582</v>
      </c>
      <c r="AL2" s="235"/>
      <c r="AM2" s="235"/>
      <c r="AN2" s="235"/>
      <c r="AO2" s="235"/>
      <c r="AP2" s="235"/>
      <c r="AS2" s="168" t="s">
        <v>918</v>
      </c>
      <c r="AT2" s="247" t="e">
        <f ca="1">P28</f>
        <v>#N/A</v>
      </c>
      <c r="AU2" s="247" t="e">
        <f>Q28</f>
        <v>#N/A</v>
      </c>
      <c r="AV2" s="247">
        <f>IF(AND(C27="Yes",C12="SP"),VLOOKUP(C33,Table_Special_PP,3,0),0)</f>
        <v>0</v>
      </c>
      <c r="AW2" s="247">
        <f>S28</f>
        <v>5.5E-2</v>
      </c>
      <c r="AZ2" s="1117" t="s">
        <v>2154</v>
      </c>
      <c r="BA2" s="247" t="e">
        <f ca="1">P28</f>
        <v>#N/A</v>
      </c>
      <c r="BB2" s="2" t="e">
        <f>Q28</f>
        <v>#N/A</v>
      </c>
      <c r="BC2" s="558">
        <f>R28</f>
        <v>0</v>
      </c>
      <c r="BD2" s="1229"/>
      <c r="BE2" s="1229"/>
      <c r="BH2" s="168" t="s">
        <v>1378</v>
      </c>
      <c r="BI2" s="2">
        <f>IF(ISBLANK(E45),0,VLOOKUP(F45,Table_Utility_Svcs,VLOOKUP("G1",Table_UtilityCol,2,FALSE),FALSE))</f>
        <v>0</v>
      </c>
      <c r="BJ2" s="2">
        <f>IF(ISBLANK(E45),0,VLOOKUP(F45,Table_Utility_Svcs,VLOOKUP("G2",Table_UtilityCol,2,FALSE),FALSE))</f>
        <v>0</v>
      </c>
      <c r="BK2" s="247">
        <f>IF(ISBLANK(E45),0,VLOOKUP(F45,Table_Utility_Svcs,VLOOKUP("SP",Table_UtilityCol,2,FALSE),FALSE))</f>
        <v>0</v>
      </c>
      <c r="BL2" s="2">
        <f>IF(ISBLANK(E45),0,VLOOKUP(F45,Table_Utility_Svcs,VLOOKUP("BR",Table_UtilityCol,2,FALSE),FALSE))</f>
        <v>0</v>
      </c>
      <c r="BN2" s="754"/>
      <c r="BO2" s="754"/>
      <c r="BP2" s="754"/>
      <c r="BQ2" s="754"/>
      <c r="BR2" s="754"/>
      <c r="BS2" s="754"/>
      <c r="BT2" s="754"/>
      <c r="BU2" s="235"/>
    </row>
    <row r="3" spans="1:76" ht="13.5" thickBot="1" x14ac:dyDescent="0.25">
      <c r="A3" s="120" t="s">
        <v>1024</v>
      </c>
      <c r="B3" s="95"/>
      <c r="C3" s="1268" t="str">
        <f>DF_State</f>
        <v>CT</v>
      </c>
      <c r="D3" s="934" t="s">
        <v>1823</v>
      </c>
      <c r="E3" s="216"/>
      <c r="F3" s="1070" t="s">
        <v>857</v>
      </c>
      <c r="H3" s="1273">
        <f>Summary10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U3" s="1288"/>
      <c r="V3" s="1117" t="s">
        <v>2152</v>
      </c>
      <c r="W3" s="247" t="e">
        <f>P$31</f>
        <v>#N/A</v>
      </c>
      <c r="X3" s="247">
        <f t="shared" ref="X3:Z3" si="0">Q$31</f>
        <v>0.67200000000000004</v>
      </c>
      <c r="Y3" s="247">
        <f t="shared" si="0"/>
        <v>0.57899999999999996</v>
      </c>
      <c r="Z3" s="247">
        <f t="shared" si="0"/>
        <v>0.57899999999999996</v>
      </c>
      <c r="AC3" s="168" t="s">
        <v>1198</v>
      </c>
      <c r="AD3" s="247" t="e">
        <f ca="1">IF(OR(C28="S",C28="T"),B29,VLOOKUP(C35,IF(C36="Y",INDIRECT("Table_Content"&amp;B35),Table_G1_LC),MATCH(C15&amp;"C",List_ClassLC,0)+IF(C36="Y",-5,3),FALSE))  - IF(AND(P14&lt;&gt;1,AF50="LC"),P14,0)</f>
        <v>#N/A</v>
      </c>
      <c r="AE3" s="2" t="e">
        <f>IF(OR(C28="S",C28="T"),C29,VLOOKUP(C16,Table_G2SymLC,3,FALSE)*IF(C60&lt;&gt;"Yes",B16,1))</f>
        <v>#N/A</v>
      </c>
      <c r="AF3" s="247">
        <f>R5</f>
        <v>0</v>
      </c>
      <c r="AG3" s="2">
        <f>HLOOKUP(B12,Table_BroadLC,IF(C35&lt;&gt;"1150",3,4),FALSE)</f>
        <v>2.1000000000000001E-2</v>
      </c>
      <c r="AJ3" s="60"/>
      <c r="AK3" s="168" t="s">
        <v>1198</v>
      </c>
      <c r="AL3" s="780" t="e">
        <f ca="1">P28</f>
        <v>#N/A</v>
      </c>
      <c r="AM3" s="4" t="e">
        <f>Q28</f>
        <v>#N/A</v>
      </c>
      <c r="AN3" s="780">
        <f ca="1">IF(AND(C27="Yes",C12="SP"),IF(C13=1,R28,IF(C13=2,INDIRECT(VLOOKUP(C33,Table_Special_PP,6,FALSE)),"Select Type")),0)</f>
        <v>0</v>
      </c>
      <c r="AO3" s="4">
        <f>S28</f>
        <v>5.5E-2</v>
      </c>
      <c r="AP3" s="4">
        <f>IF(TC10_EQ1!C31="Yes",TC10_EQ1!O28,0)</f>
        <v>0</v>
      </c>
      <c r="AR3" s="185"/>
      <c r="AS3" s="187" t="s">
        <v>408</v>
      </c>
      <c r="AT3" s="455">
        <f>IF(C44&gt;80,VLOOKUP(C44,Table_CoIns1,2,FALSE),1)</f>
        <v>1</v>
      </c>
      <c r="AU3" s="455">
        <f>IF(C44&gt;80,VLOOKUP(C44,Table_CoIns1,2,FALSE),1)</f>
        <v>1</v>
      </c>
      <c r="AV3" s="455">
        <f>IF(C44&gt;80,VLOOKUP(C44,Table_CoIns1,2,FALSE),1)</f>
        <v>1</v>
      </c>
      <c r="AW3" s="455">
        <f>IF(C44&gt;80,VLOOKUP(C44,Table_CoIns1,2,FALSE),1)</f>
        <v>1</v>
      </c>
      <c r="AZ3" s="1333" t="s">
        <v>2193</v>
      </c>
      <c r="BA3" s="1335" t="str">
        <f>IF(ISNUMBER($E$22)=FALSE,"NA",IF(ISNA(MATCH($E$22,List_LOI_PP,0)),VLOOKUP($E$22,List_LOI_PP,1,TRUE),"NA"))</f>
        <v>NA</v>
      </c>
      <c r="BB3" s="1335" t="str">
        <f>IF(ISNUMBER($E$22)=FALSE,"NA",IF(ISNA(MATCH($E$22,List_LOI_PP,0)),VLOOKUP($E$22,List_LOI_PP,1,TRUE),"NA"))</f>
        <v>NA</v>
      </c>
      <c r="BC3" s="1335" t="str">
        <f>IF(ISNUMBER($E$22)=FALSE,"NA",IF(ISNA(MATCH($E$22,List_LOI_PP,0)),VLOOKUP($E$22,List_LOI_PP,1,TRUE),"NA"))</f>
        <v>NA</v>
      </c>
      <c r="BD3" s="1229"/>
      <c r="BE3" s="1229"/>
      <c r="BH3" s="168" t="s">
        <v>971</v>
      </c>
      <c r="BI3" s="2">
        <f>HLOOKUP(C11,Table_StateRates,6,FALSE)</f>
        <v>1.9</v>
      </c>
      <c r="BJ3" s="2">
        <f>HLOOKUP(C11,Table_StateRates,6,FALSE)</f>
        <v>1.9</v>
      </c>
      <c r="BK3" s="247">
        <f>HLOOKUP(C11,Table_StateRates,6,FALSE)</f>
        <v>1.9</v>
      </c>
      <c r="BL3" s="2">
        <f>HLOOKUP(C11,Table_StateRates,6,FALSE)</f>
        <v>1.9</v>
      </c>
      <c r="BN3" s="60" t="s">
        <v>682</v>
      </c>
      <c r="BP3" s="235"/>
      <c r="BQ3" s="235"/>
      <c r="BR3" s="60" t="s">
        <v>683</v>
      </c>
      <c r="BT3" s="235"/>
      <c r="BU3" s="426"/>
      <c r="BV3" s="154" t="s">
        <v>950</v>
      </c>
      <c r="BW3" s="86"/>
      <c r="BX3" s="156" t="s">
        <v>951</v>
      </c>
    </row>
    <row r="4" spans="1:76" x14ac:dyDescent="0.2">
      <c r="A4" s="1036" t="s">
        <v>1828</v>
      </c>
      <c r="B4" s="1041"/>
      <c r="C4" s="1042"/>
      <c r="D4" s="1260" t="s">
        <v>1327</v>
      </c>
      <c r="E4" s="874" t="str">
        <f>IF(F3="Yes",C41,"")</f>
        <v/>
      </c>
      <c r="F4" s="1065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T4" s="207"/>
      <c r="U4" s="1298"/>
      <c r="V4" s="1283" t="s">
        <v>1025</v>
      </c>
      <c r="W4" s="1299">
        <f>IF(B65="Yes",C65/100,0)</f>
        <v>0</v>
      </c>
      <c r="X4" s="1299">
        <f>IF(B65="Yes",C65/100,0)</f>
        <v>0</v>
      </c>
      <c r="Y4" s="1299">
        <f>IF(B65="Yes",C65/100,0)</f>
        <v>0</v>
      </c>
      <c r="Z4" s="1299">
        <f>IF(B65="Yes",C65/100,0)</f>
        <v>0</v>
      </c>
      <c r="AA4" s="247"/>
      <c r="AC4" s="168" t="s">
        <v>970</v>
      </c>
      <c r="AD4" s="207">
        <f>IF(B56="Yes",DF_Sprinkler50,1)</f>
        <v>1</v>
      </c>
      <c r="AE4" s="207">
        <v>1</v>
      </c>
      <c r="AF4" s="207">
        <v>1</v>
      </c>
      <c r="AG4" s="207">
        <v>1</v>
      </c>
      <c r="AI4" s="207"/>
      <c r="AJ4" s="216"/>
      <c r="AK4" s="597" t="s">
        <v>0</v>
      </c>
      <c r="AL4" s="781">
        <f>DF_BrandLabel</f>
        <v>0.1</v>
      </c>
      <c r="AM4" s="781">
        <f>DF_BrandLabel</f>
        <v>0.1</v>
      </c>
      <c r="AN4" s="781">
        <f>DF_BrandLabel</f>
        <v>0.1</v>
      </c>
      <c r="AO4" s="781">
        <f>DF_BrandLabel</f>
        <v>0.1</v>
      </c>
      <c r="AP4" s="781">
        <f>DF_BrandLabel</f>
        <v>0.1</v>
      </c>
      <c r="AS4" s="83" t="s">
        <v>919</v>
      </c>
      <c r="AT4" s="247" t="e">
        <f ca="1">ROUND(AT2/AT3,3)</f>
        <v>#N/A</v>
      </c>
      <c r="AU4" s="247" t="e">
        <f>ROUND(AU2/AU3,3)</f>
        <v>#N/A</v>
      </c>
      <c r="AV4" s="247">
        <f>ROUND(AV2/AV3,3)</f>
        <v>0</v>
      </c>
      <c r="AW4" s="247">
        <f>ROUND(AW2/AW3,3)</f>
        <v>5.5E-2</v>
      </c>
      <c r="AZ4" s="1337" t="s">
        <v>2194</v>
      </c>
      <c r="BA4" s="1425">
        <f>IF(BA3="NA",0,INDEX(List_LOI_PP,MATCH(BA3,List_LOI_PP,0)+1,1))</f>
        <v>0</v>
      </c>
      <c r="BB4" s="1425">
        <f>IF(BB3="NA",0,INDEX(List_LOI_PP,MATCH(BB3,List_LOI_PP,0)+1,1))</f>
        <v>0</v>
      </c>
      <c r="BC4" s="1425">
        <f>IF(BC3="NA",0,INDEX(List_LOI_PP,MATCH(BC3,List_LOI_PP,0)+1,1))</f>
        <v>0</v>
      </c>
      <c r="BD4" s="1229"/>
      <c r="BE4" s="1229"/>
      <c r="BG4" s="146"/>
      <c r="BH4" s="545" t="s">
        <v>1379</v>
      </c>
      <c r="BI4" s="299">
        <f>IF(F41="Yes",E41,1)</f>
        <v>1</v>
      </c>
      <c r="BJ4" s="299">
        <f>IF(F41="Yes",E41,1)</f>
        <v>1</v>
      </c>
      <c r="BK4" s="299">
        <f>IF(F41="Yes",E41,1)</f>
        <v>1</v>
      </c>
      <c r="BL4" s="299">
        <f>IF(F41="Yes",E41,1)</f>
        <v>1</v>
      </c>
      <c r="BN4" s="266"/>
      <c r="BO4" s="268" t="s">
        <v>1749</v>
      </c>
      <c r="BP4" s="426">
        <f>IF(F52="Yes",VLOOKUP(F54,Table_EQ_LC,MATCH(F56,List_PPGrade,0)+3,FALSE),0)</f>
        <v>0</v>
      </c>
      <c r="BQ4" s="266"/>
      <c r="BR4" s="266"/>
      <c r="BS4" s="268" t="s">
        <v>1752</v>
      </c>
      <c r="BT4" s="426">
        <f>IF(F59="Yes",VLOOKUP(E60,Table_Other_PierWharf,6,FALSE),0)</f>
        <v>0</v>
      </c>
      <c r="BU4" s="558"/>
      <c r="BV4" s="686" t="s">
        <v>1715</v>
      </c>
      <c r="BX4" s="155">
        <f>IF(BY22&lt;-0.05,-0.05,IF(BY22&gt;0.05,0.05,BY22))</f>
        <v>0</v>
      </c>
    </row>
    <row r="5" spans="1:76" x14ac:dyDescent="0.2">
      <c r="A5" s="121"/>
      <c r="B5" s="520"/>
      <c r="C5" s="1039"/>
      <c r="D5" s="1260" t="s">
        <v>1328</v>
      </c>
      <c r="E5" s="955"/>
      <c r="F5" s="1065"/>
      <c r="H5" s="82" t="str">
        <f>LEFT(A41,LEN(A41)-7)&amp;" Coverage"</f>
        <v>PPI - Personal Pty of Insured Coverage</v>
      </c>
      <c r="I5" s="258" t="e">
        <f ca="1">IF(C27="Yes",P35,0)</f>
        <v>#N/A</v>
      </c>
      <c r="J5" s="258" t="e">
        <f>IF(C27="Yes",Q35,0)</f>
        <v>#N/A</v>
      </c>
      <c r="K5" s="258">
        <f>IF(AND(C27="Yes",C12="SP"),R35,0)</f>
        <v>0</v>
      </c>
      <c r="L5" s="258">
        <f>IF(AND(C27="Yes",C12="BR"),S35,0)</f>
        <v>0</v>
      </c>
      <c r="O5" s="168" t="s">
        <v>1198</v>
      </c>
      <c r="P5" s="247" t="e">
        <f ca="1">IF(OR(C28="S",C28="T"),B29,VLOOKUP(C35,IF(C36="Y",INDIRECT("Table_Content"&amp;B35),Table_G1_LC),MATCH(C15&amp;"C",List_ClassLC,0) + IF(C36="Y",-5,3),FALSE)) + B39 - IF(AND(P14&lt;&gt;1,AF50="LC"),P14,0)</f>
        <v>#N/A</v>
      </c>
      <c r="Q5" s="247" t="e">
        <f>IF(OR(C28="S",C28="T"),C29,VLOOKUP(C16,Table_G2SymLC,3,FALSE)*IF(C60&lt;&gt;"Yes",B16,1))</f>
        <v>#N/A</v>
      </c>
      <c r="R5" s="247">
        <f>IF(AND(C27="Yes",C12="SP"),VLOOKUP(C33,Table_Special_PP,3,0),0)</f>
        <v>0</v>
      </c>
      <c r="S5" s="2">
        <f>HLOOKUP(B12,Table_BroadLC,IF(C35&lt;&gt;"1150",3,4),FALSE)</f>
        <v>2.1000000000000001E-2</v>
      </c>
      <c r="T5" s="146"/>
      <c r="U5" s="1293"/>
      <c r="V5" s="1303" t="s">
        <v>2157</v>
      </c>
      <c r="W5" s="1306" t="e">
        <f ca="1">ROUND(PRODUCT(W2:W4),0)</f>
        <v>#N/A</v>
      </c>
      <c r="X5" s="1306" t="e">
        <f>ROUND(PRODUCT(X2:X4),0)</f>
        <v>#N/A</v>
      </c>
      <c r="Y5" s="1306">
        <f>ROUND(PRODUCT(Y2:Y4),0)</f>
        <v>0</v>
      </c>
      <c r="Z5" s="1306">
        <f>ROUND(PRODUCT(Z2:Z4),0)</f>
        <v>0</v>
      </c>
      <c r="AA5" s="146"/>
      <c r="AB5" s="185"/>
      <c r="AC5" s="186" t="s">
        <v>971</v>
      </c>
      <c r="AD5" s="208">
        <f>HLOOKUP(C11,Table_StateRates,6,FALSE)</f>
        <v>1.9</v>
      </c>
      <c r="AE5" s="185">
        <f>HLOOKUP(C11,Table_StateRates,6,FALSE)</f>
        <v>1.9</v>
      </c>
      <c r="AF5" s="185">
        <f>HLOOKUP(C11,Table_StateRates,6,FALSE)</f>
        <v>1.9</v>
      </c>
      <c r="AG5" s="185">
        <f>HLOOKUP(C11,Table_StateRates,6,FALSE)</f>
        <v>1.9</v>
      </c>
      <c r="AI5" s="146"/>
      <c r="AJ5" s="60"/>
      <c r="AK5" s="301" t="s">
        <v>610</v>
      </c>
      <c r="AL5" s="4" t="e">
        <f ca="1">ROUND(PRODUCT(AL3:AL4),3)</f>
        <v>#N/A</v>
      </c>
      <c r="AM5" s="4" t="e">
        <f>ROUND(PRODUCT(AM3:AM4),3)</f>
        <v>#N/A</v>
      </c>
      <c r="AN5" s="780">
        <f ca="1">ROUND(PRODUCT(AN3:AN4),3)</f>
        <v>0</v>
      </c>
      <c r="AO5" s="4">
        <f>ROUND(PRODUCT(AO3:AO4),3)</f>
        <v>6.0000000000000001E-3</v>
      </c>
      <c r="AP5" s="4">
        <f>ROUND(PRODUCT(AP3:AP4),3)</f>
        <v>0</v>
      </c>
      <c r="AR5" s="146"/>
      <c r="AS5" s="545" t="s">
        <v>1561</v>
      </c>
      <c r="AT5" s="299">
        <f>DF_FPPValue</f>
        <v>1.25</v>
      </c>
      <c r="AU5" s="299">
        <f>DF_FPPValue</f>
        <v>1.25</v>
      </c>
      <c r="AV5" s="299">
        <f>DF_FPPValue</f>
        <v>1.25</v>
      </c>
      <c r="AW5" s="299">
        <f>DF_FPPValue</f>
        <v>1.25</v>
      </c>
      <c r="AY5" s="185"/>
      <c r="AZ5" s="1226" t="s">
        <v>2153</v>
      </c>
      <c r="BA5" s="455">
        <f>IF(ISNUMBER($E$22)=FALSE,0,IF(AND(BA3="NA", ISNUMBER($E$22)),VLOOKUP($E$22,Table_LOI_PP,MATCH($C$15,List_Relatives,0)+1,FALSE),ROUND(VLOOKUP(BA3,Table_LOI_PP,MATCH($C$15,List_Relatives,0)+1,FALSE) - PRODUCT((VLOOKUP(BA3,Table_LOI_PP,MATCH($C$15,List_Relatives,0)+1,FALSE) - VLOOKUP(BA4,Table_LOI_PP,MATCH($C$15,List_Relatives,0)+1,FALSE)),$E$22-BA3)/(BA4-BA3),3)))</f>
        <v>0</v>
      </c>
      <c r="BB5" s="455">
        <f>IF(ISNUMBER($E$22)=FALSE,0,IF(AND(BB3="NA", ISNUMBER($E$22)),VLOOKUP($E$22,Table_LOI_PP,MATCH("BA2",List_Relatives,0)+1,FALSE),ROUND(VLOOKUP(BB3,Table_LOI_PP,MATCH("BA2",List_Relatives,0)+1,FALSE) - PRODUCT((VLOOKUP(BB3,Table_LOI_PP,MATCH("BA2",List_Relatives,0)+1,FALSE) - VLOOKUP(BB4,Table_LOI_PP,MATCH("BA2",List_Relatives,0)+1,FALSE)),$E$22-BB3)/(BB4-BB3),3)))</f>
        <v>0</v>
      </c>
      <c r="BC5" s="455">
        <f>IF(ISNUMBER($E$22)=FALSE,0,IF(AND(BC3="NA", ISNUMBER($E$22)),VLOOKUP($E$22,Table_LOI_PP,MATCH("SP",List_Relatives,0)+1,FALSE),ROUND(VLOOKUP(BC3,Table_LOI_PP,MATCH("SP",List_Relatives,0)+1,FALSE) - PRODUCT((VLOOKUP(BC3,Table_LOI_PP,MATCH("SP",List_Relatives,0)+1,FALSE) - VLOOKUP(BC4,Table_LOI_PP,MATCH("SP",List_Relatives,0)+1,FALSE)),$E$22-BC3)/(BC4-BC3),3)))</f>
        <v>0</v>
      </c>
      <c r="BD5" s="1229"/>
      <c r="BG5" s="146"/>
      <c r="BH5" s="545" t="s">
        <v>1019</v>
      </c>
      <c r="BI5" s="299">
        <f>HLOOKUP(C11,Table_StateRates,5,FALSE)</f>
        <v>1.38</v>
      </c>
      <c r="BJ5" s="299">
        <f>HLOOKUP(C11,Table_StateRates,5,FALSE)</f>
        <v>1.38</v>
      </c>
      <c r="BK5" s="299">
        <f>HLOOKUP(C11,Table_StateRates,5,FALSE)</f>
        <v>1.38</v>
      </c>
      <c r="BL5" s="299">
        <f>HLOOKUP(C11,Table_StateRates,5,FALSE)</f>
        <v>1.38</v>
      </c>
      <c r="BN5" s="542"/>
      <c r="BO5" s="724" t="s">
        <v>1750</v>
      </c>
      <c r="BP5" s="757">
        <f>IF(F52="Yes",VLOOKUP(F53,Table_EQ_SprLkgExt,4,FALSE),0)</f>
        <v>0</v>
      </c>
      <c r="BQ5" s="558"/>
      <c r="BR5" s="558"/>
      <c r="BS5" s="755" t="s">
        <v>971</v>
      </c>
      <c r="BT5" s="559">
        <f>HLOOKUP(C11,Table_StateRates,6,FALSE)</f>
        <v>1.9</v>
      </c>
      <c r="BU5" s="423"/>
      <c r="BV5" s="151" t="s">
        <v>1714</v>
      </c>
      <c r="BX5" s="155">
        <f>IF(BY23&lt;-0.06,-0.06,IF(BY23&gt;0.06,0.06,BY23))</f>
        <v>0</v>
      </c>
    </row>
    <row r="6" spans="1:76" ht="13.5" thickBot="1" x14ac:dyDescent="0.25">
      <c r="A6" s="120" t="s">
        <v>969</v>
      </c>
      <c r="B6" s="95"/>
      <c r="C6" s="1040" t="s">
        <v>980</v>
      </c>
      <c r="D6" s="782"/>
      <c r="E6" s="782"/>
      <c r="F6" s="1111"/>
      <c r="H6" s="82"/>
      <c r="I6" s="258"/>
      <c r="J6" s="258"/>
      <c r="K6" s="258"/>
      <c r="L6" s="258"/>
      <c r="O6" s="168" t="s">
        <v>972</v>
      </c>
      <c r="P6" s="207" t="e">
        <f>IF(OR(C28="S",C28="T"),1,VLOOKUP(C14,Table_ProtClass,IF(C15&lt;=3,2,3),FALSE)) - IF(AND(AB50="PC",ISNUMBER(C57)),C57,0) - IF(AND(C58="Yes",AF50="PC"),P14,0)</f>
        <v>#N/A</v>
      </c>
      <c r="Q6" s="207">
        <v>1</v>
      </c>
      <c r="R6" s="207">
        <v>1</v>
      </c>
      <c r="S6" s="207">
        <v>1</v>
      </c>
      <c r="U6" s="1295"/>
      <c r="V6" s="1297" t="s">
        <v>1021</v>
      </c>
      <c r="W6" s="1299">
        <f>W12</f>
        <v>0</v>
      </c>
      <c r="X6" s="1299">
        <f>X12</f>
        <v>0</v>
      </c>
      <c r="Y6" s="1299">
        <f>Y12</f>
        <v>0</v>
      </c>
      <c r="Z6" s="1299">
        <f>Z12</f>
        <v>0</v>
      </c>
      <c r="AC6" s="83" t="s">
        <v>1134</v>
      </c>
      <c r="AD6" s="247" t="e">
        <f ca="1">ROUND(PRODUCT(AD3:AD5),3)</f>
        <v>#N/A</v>
      </c>
      <c r="AE6" s="247" t="e">
        <f>ROUND(PRODUCT(AE3:AE5),3)</f>
        <v>#N/A</v>
      </c>
      <c r="AF6" s="247">
        <f>ROUND(PRODUCT(AF3:AF5),3)</f>
        <v>0</v>
      </c>
      <c r="AG6" s="247">
        <f>ROUND(PRODUCT(AG3:AG5),3)</f>
        <v>0.04</v>
      </c>
      <c r="AI6" s="146"/>
      <c r="AR6" s="146"/>
      <c r="AS6" s="268" t="s">
        <v>180</v>
      </c>
      <c r="AT6" s="423">
        <f>1+$CA$24</f>
        <v>1</v>
      </c>
      <c r="AU6" s="423">
        <f>1+$CA$24</f>
        <v>1</v>
      </c>
      <c r="AV6" s="423">
        <f>1+$CA$24</f>
        <v>1</v>
      </c>
      <c r="AW6" s="423">
        <f>1+$CA$24</f>
        <v>1</v>
      </c>
      <c r="AZ6" s="83" t="s">
        <v>2255</v>
      </c>
      <c r="BA6" s="1315" t="e">
        <f ca="1">ROUND(PRODUCT(BA2,BA5),3)</f>
        <v>#N/A</v>
      </c>
      <c r="BB6" s="1315" t="e">
        <f>ROUND(PRODUCT(BB2,BB5),3)</f>
        <v>#N/A</v>
      </c>
      <c r="BC6" s="1315">
        <f>ROUND(PRODUCT(BC2,BC5),3)</f>
        <v>0</v>
      </c>
      <c r="BD6" s="1229"/>
      <c r="BE6" s="1259" t="s">
        <v>2150</v>
      </c>
      <c r="BG6" s="146"/>
      <c r="BH6" s="545" t="s">
        <v>1017</v>
      </c>
      <c r="BI6" s="299">
        <f>IF(C44&gt;=80,VLOOKUP(C44,Table_CoIns1,2,FALSE),1+ IF(P5&lt;B45,VLOOKUP(B58,Table_CIUnder80,5,FALSE),0.5))</f>
        <v>1</v>
      </c>
      <c r="BJ6" s="299">
        <f>IF(C44&gt;=80,VLOOKUP(C44,Table_CoIns1,2,FALSE),1+ IF(P5&lt;B45,VLOOKUP(B58,Table_CIUnder80,5,FALSE),0.5))</f>
        <v>1</v>
      </c>
      <c r="BK6" s="299">
        <f>IF(C44&gt;=80,VLOOKUP(C44,Table_CoIns1,2,FALSE),1+ IF(P5&lt;B45,VLOOKUP(B58,Table_CIUnder80,5,FALSE),0.5))</f>
        <v>1</v>
      </c>
      <c r="BL6" s="299">
        <f>IF(C44&gt;=80,VLOOKUP(C44,Table_CoIns1,2,FALSE),1+ IF(P5&lt;B45,VLOOKUP(B58,Table_CIUnder80,5,FALSE),0.5))</f>
        <v>1</v>
      </c>
      <c r="BN6" s="266"/>
      <c r="BO6" s="568" t="s">
        <v>1751</v>
      </c>
      <c r="BP6" s="426">
        <f>PRODUCT(BP4:BP5)</f>
        <v>0</v>
      </c>
      <c r="BQ6" s="266"/>
      <c r="BR6" s="266"/>
      <c r="BS6" s="268" t="s">
        <v>1019</v>
      </c>
      <c r="BT6" s="423">
        <f>HLOOKUP(C11,Table_StateRates,5,FALSE)</f>
        <v>1.38</v>
      </c>
      <c r="BU6" s="423"/>
      <c r="BV6" s="8" t="s">
        <v>1716</v>
      </c>
      <c r="BX6" s="155">
        <f>IF(BY24&lt;-0.06,-0.06,IF(BY24&gt;0.06,0.06,BY24))</f>
        <v>0</v>
      </c>
    </row>
    <row r="7" spans="1:76" x14ac:dyDescent="0.2">
      <c r="A7" s="143" t="s">
        <v>923</v>
      </c>
      <c r="B7" s="940" t="s">
        <v>857</v>
      </c>
      <c r="C7" s="1039"/>
      <c r="D7" s="934" t="s">
        <v>1818</v>
      </c>
      <c r="E7" s="216"/>
      <c r="F7" s="1070" t="s">
        <v>857</v>
      </c>
      <c r="H7" s="1286" t="s">
        <v>2156</v>
      </c>
      <c r="I7" s="258"/>
      <c r="J7" s="258"/>
      <c r="K7" s="258"/>
      <c r="L7" s="258"/>
      <c r="N7" s="185"/>
      <c r="O7" s="186" t="s">
        <v>970</v>
      </c>
      <c r="P7" s="208">
        <f>IF(B56="Yes",DF_Sprinkler50,1)</f>
        <v>1</v>
      </c>
      <c r="Q7" s="208">
        <v>1</v>
      </c>
      <c r="R7" s="208">
        <v>1</v>
      </c>
      <c r="S7" s="208">
        <f>IF(B56="Yes",DF_Sprinkler50,1)</f>
        <v>1</v>
      </c>
      <c r="U7" s="1288"/>
      <c r="V7" s="1291" t="s">
        <v>2158</v>
      </c>
      <c r="W7" s="1301" t="e">
        <f ca="1">SUM(W5:W6)</f>
        <v>#N/A</v>
      </c>
      <c r="X7" s="1301" t="e">
        <f>SUM(X5:X6)</f>
        <v>#N/A</v>
      </c>
      <c r="Y7" s="1301">
        <f>SUM(Y5:Y6)</f>
        <v>0</v>
      </c>
      <c r="Z7" s="1301">
        <f>SUM(Z5:Z6)</f>
        <v>0</v>
      </c>
      <c r="AB7" s="266"/>
      <c r="AC7" s="168" t="s">
        <v>1660</v>
      </c>
      <c r="AD7" s="207">
        <f>PRODUCT(VLOOKUP(80,Table_CoIns1,2,FALSE),DF_LL_CIPty)</f>
        <v>0.5</v>
      </c>
      <c r="AE7" s="207">
        <f>PRODUCT(VLOOKUP(80,Table_CoIns2,2,FALSE),DF_LL_CIPty)</f>
        <v>0.5</v>
      </c>
      <c r="AF7" s="207">
        <f>PRODUCT(VLOOKUP(80,Table_CoIns2,2,FALSE),DF_LL_CIPty)</f>
        <v>0.5</v>
      </c>
      <c r="AG7" s="207">
        <f>PRODUCT(VLOOKUP(80,Table_CoIns2,2,FALSE),DF_LL_CIPty)</f>
        <v>0.5</v>
      </c>
      <c r="AI7" s="478"/>
      <c r="AJ7" s="60"/>
      <c r="AK7" s="568" t="s">
        <v>186</v>
      </c>
      <c r="AL7" s="893" t="e">
        <f ca="1">IF(C12="SP",SUM(AL5:AN5,AP5),IF(C12="BR",SUM(AL5:AM5,AO5:AP5),SUM(AL5:AM5,AP5)))</f>
        <v>#N/A</v>
      </c>
      <c r="AM7" s="235"/>
      <c r="AR7" s="146"/>
      <c r="AS7" s="545" t="s">
        <v>1020</v>
      </c>
      <c r="AT7" s="299">
        <f>IF(C6="PAC",VLOOKUP(B7,Table_PakMods,MATCH(C11,List_Company,0)+1,FALSE),1)</f>
        <v>1</v>
      </c>
      <c r="AU7" s="299">
        <f>IF(C6="PAC",VLOOKUP(B7,Table_PakMods,MATCH(C11,List_Company,0)+1,FALSE),1)</f>
        <v>1</v>
      </c>
      <c r="AV7" s="299">
        <f>IF(C6="PAC",VLOOKUP(B7,Table_PakMods,MATCH(C11,List_Company,0)+1,FALSE),1)</f>
        <v>1</v>
      </c>
      <c r="AW7" s="299">
        <f>IF(C6="PAC",VLOOKUP(B7,Table_PakMods,MATCH(C11,List_Company,0)+1,FALSE),1)</f>
        <v>1</v>
      </c>
      <c r="AY7" s="185"/>
      <c r="AZ7" s="1226" t="s">
        <v>2146</v>
      </c>
      <c r="BA7" s="238">
        <f>IF(F21="Yes",E22/100,0)</f>
        <v>0</v>
      </c>
      <c r="BB7" s="238">
        <f>IF(F21="Yes",E22/100,0)</f>
        <v>0</v>
      </c>
      <c r="BC7" s="238">
        <f>IF(F21="Yes",E22/100,0)</f>
        <v>0</v>
      </c>
      <c r="BD7" s="1277"/>
      <c r="BE7" s="1259" t="s">
        <v>2149</v>
      </c>
      <c r="BG7" s="146"/>
      <c r="BH7" s="545" t="s">
        <v>1018</v>
      </c>
      <c r="BI7" s="299">
        <f>IF(C42=250,DF_250Deductible,C43)</f>
        <v>1</v>
      </c>
      <c r="BJ7" s="299">
        <f>IF(C42=250,DF_250Deductible,C43)</f>
        <v>1</v>
      </c>
      <c r="BK7" s="299">
        <f>IF(C42=250,DF_250Deductible,C43)</f>
        <v>1</v>
      </c>
      <c r="BL7" s="299">
        <f>IF(C42=250,DF_250Deductible,C43)</f>
        <v>1</v>
      </c>
      <c r="BN7" s="558"/>
      <c r="BO7" s="755" t="s">
        <v>971</v>
      </c>
      <c r="BP7" s="559">
        <f>HLOOKUP(C11,Table_StateRates,6,FALSE)</f>
        <v>1.9</v>
      </c>
      <c r="BQ7" s="266"/>
      <c r="BR7" s="266"/>
      <c r="BS7" s="268" t="s">
        <v>1018</v>
      </c>
      <c r="BT7" s="423">
        <f>IF(C42=250,DF_250Deductible,C43)</f>
        <v>1</v>
      </c>
      <c r="BU7" s="423"/>
      <c r="BV7" s="8" t="s">
        <v>1717</v>
      </c>
      <c r="BX7" s="155">
        <f>IF(BY25&lt;-0.1,-0.1,IF(BY25&gt;0.1,0.1,BY25))</f>
        <v>0</v>
      </c>
    </row>
    <row r="8" spans="1:76" ht="13.5" thickBot="1" x14ac:dyDescent="0.25">
      <c r="A8" s="121"/>
      <c r="B8" s="520"/>
      <c r="C8" s="1039"/>
      <c r="D8" s="782"/>
      <c r="E8" s="782"/>
      <c r="F8" s="1111"/>
      <c r="H8" s="1285" t="str">
        <f>U1</f>
        <v>No Additional PP Item</v>
      </c>
      <c r="I8" s="258">
        <f>IF($B$65="Yes",W7,0)</f>
        <v>0</v>
      </c>
      <c r="J8" s="258">
        <f>IF($B$65="Yes",X7,0)</f>
        <v>0</v>
      </c>
      <c r="K8" s="258">
        <f>IF(AND($B$65="Yes",$C$12="SP"),Y7,0)</f>
        <v>0</v>
      </c>
      <c r="L8" s="258">
        <f>IF(AND($B$65="Yes",$C$12="BR"),Z7,0)</f>
        <v>0</v>
      </c>
      <c r="O8" s="83" t="s">
        <v>917</v>
      </c>
      <c r="P8" s="1315" t="e">
        <f ca="1">ROUND(PRODUCT(P4:P7),3)</f>
        <v>#N/A</v>
      </c>
      <c r="Q8" s="1315" t="e">
        <f>ROUND(PRODUCT(Q4:Q7),3)</f>
        <v>#N/A</v>
      </c>
      <c r="R8" s="1315">
        <f>ROUND(PRODUCT(R4:R7),3)</f>
        <v>0</v>
      </c>
      <c r="S8" s="1315">
        <f>ROUND(PRODUCT(S4:S7),3)</f>
        <v>5.5E-2</v>
      </c>
      <c r="U8" s="1288"/>
      <c r="V8" s="1288"/>
      <c r="W8" s="1288"/>
      <c r="X8" s="1288"/>
      <c r="Y8" s="1288"/>
      <c r="Z8" s="1288"/>
      <c r="AB8" s="542"/>
      <c r="AC8" s="186" t="s">
        <v>1657</v>
      </c>
      <c r="AD8" s="208">
        <f>IF(E19="Yes",DF_LL_AddInsured,1)</f>
        <v>1</v>
      </c>
      <c r="AE8" s="208">
        <f>IF(E19="Yes",DF_LL_AddInsured,1)</f>
        <v>1</v>
      </c>
      <c r="AF8" s="279">
        <f>IF(E19="Yes",DF_LL_AddInsured,1)</f>
        <v>1</v>
      </c>
      <c r="AG8" s="279">
        <f>IF(E19="Yes",DF_LL_AddInsured,1)</f>
        <v>1</v>
      </c>
      <c r="AJ8" s="60"/>
      <c r="AK8" s="268"/>
      <c r="AL8" s="235"/>
      <c r="AM8" s="235"/>
      <c r="AR8" s="185"/>
      <c r="AS8" s="724" t="s">
        <v>1022</v>
      </c>
      <c r="AT8" s="279">
        <f>1+$BX$14</f>
        <v>1</v>
      </c>
      <c r="AU8" s="279">
        <f>1+$BX$14</f>
        <v>1</v>
      </c>
      <c r="AV8" s="279">
        <f>1+$BX$14</f>
        <v>1</v>
      </c>
      <c r="AW8" s="279">
        <f>1+$BX$14</f>
        <v>1</v>
      </c>
      <c r="AZ8" s="301" t="s">
        <v>2147</v>
      </c>
      <c r="BA8" s="248" t="e">
        <f ca="1">ROUND(PRODUCT(BA6:BA7),0)</f>
        <v>#N/A</v>
      </c>
      <c r="BB8" s="248" t="e">
        <f>ROUND(PRODUCT(BB6:BB7),0)</f>
        <v>#N/A</v>
      </c>
      <c r="BC8" s="248">
        <f>ROUND(PRODUCT(BC6:BC7),0)</f>
        <v>0</v>
      </c>
      <c r="BD8" s="575"/>
      <c r="BE8" s="572" t="e">
        <f ca="1">SUM(BA8:BC8)</f>
        <v>#N/A</v>
      </c>
      <c r="BG8" s="146"/>
      <c r="BH8" s="268" t="s">
        <v>180</v>
      </c>
      <c r="BI8" s="423">
        <f>1+$CA$24</f>
        <v>1</v>
      </c>
      <c r="BJ8" s="423">
        <f>1+$CA$24</f>
        <v>1</v>
      </c>
      <c r="BK8" s="423">
        <f>1+$CA$24</f>
        <v>1</v>
      </c>
      <c r="BL8" s="423">
        <f>1+$CA$24</f>
        <v>1</v>
      </c>
      <c r="BN8" s="266"/>
      <c r="BO8" s="268" t="s">
        <v>1018</v>
      </c>
      <c r="BP8" s="423">
        <f>IF(C42=250,DF_250Deductible,C43)</f>
        <v>1</v>
      </c>
      <c r="BQ8" s="266"/>
      <c r="BR8" s="266"/>
      <c r="BS8" s="268" t="s">
        <v>1017</v>
      </c>
      <c r="BT8" s="423">
        <f>IF(C44&gt;=80,VLOOKUP(C44,Table_CoIns1,2,FALSE),1+ IF(P5&lt;B45,VLOOKUP(B58,Table_CIUnder80,5,FALSE),0.5))</f>
        <v>1</v>
      </c>
      <c r="BU8" s="423"/>
      <c r="BV8" s="687" t="s">
        <v>1718</v>
      </c>
      <c r="BX8" s="155">
        <f>IF(BY26&lt;-0.06,-0.06,IF(BY26&gt;0.06,0.06,BY26))</f>
        <v>0</v>
      </c>
    </row>
    <row r="9" spans="1:76" x14ac:dyDescent="0.2">
      <c r="A9" s="120" t="s">
        <v>1829</v>
      </c>
      <c r="B9" s="95"/>
      <c r="C9" s="1038">
        <v>1</v>
      </c>
      <c r="D9" s="934" t="s">
        <v>1819</v>
      </c>
      <c r="E9" s="216"/>
      <c r="F9" s="1070" t="s">
        <v>857</v>
      </c>
      <c r="H9" s="1285"/>
      <c r="I9" s="258"/>
      <c r="J9" s="258"/>
      <c r="K9" s="258"/>
      <c r="L9" s="258"/>
      <c r="O9" s="189" t="s">
        <v>1496</v>
      </c>
      <c r="P9" s="207">
        <v>1</v>
      </c>
      <c r="Q9" s="207">
        <f>IF(C60="Yes",VLOOKUP(C15,Table_Construction,3,FALSE),1)</f>
        <v>1</v>
      </c>
      <c r="R9" s="207">
        <v>1</v>
      </c>
      <c r="S9" s="207">
        <v>1</v>
      </c>
      <c r="T9" s="423"/>
      <c r="U9" s="1290" t="s">
        <v>1064</v>
      </c>
      <c r="V9" s="1288"/>
      <c r="W9" s="1288"/>
      <c r="X9" s="1288"/>
      <c r="Y9" s="1288"/>
      <c r="Z9" s="1288"/>
      <c r="AA9" s="423"/>
      <c r="AB9" s="266"/>
      <c r="AC9" s="83" t="s">
        <v>917</v>
      </c>
      <c r="AD9" s="247" t="e">
        <f ca="1">ROUND(PRODUCT(AD6:AD8),3)</f>
        <v>#N/A</v>
      </c>
      <c r="AE9" s="247" t="e">
        <f>ROUND(PRODUCT(AE6:AE8),3)</f>
        <v>#N/A</v>
      </c>
      <c r="AF9" s="247">
        <f>ROUND(PRODUCT(AF6:AF8),3)</f>
        <v>0</v>
      </c>
      <c r="AG9" s="247">
        <f>ROUND(PRODUCT(AG6:AG8),3)</f>
        <v>0.02</v>
      </c>
      <c r="AI9" s="423"/>
      <c r="AJ9" s="60" t="s">
        <v>819</v>
      </c>
      <c r="AM9" s="146"/>
      <c r="AS9" s="301" t="s">
        <v>1588</v>
      </c>
      <c r="AT9" s="247" t="e">
        <f ca="1">ROUND(PRODUCT(AT4:AT7),3)</f>
        <v>#N/A</v>
      </c>
      <c r="AU9" s="247" t="e">
        <f>ROUND(PRODUCT(AU4:AU7),3)</f>
        <v>#N/A</v>
      </c>
      <c r="AV9" s="247">
        <f>ROUND(PRODUCT(AV4:AV7),3)</f>
        <v>0</v>
      </c>
      <c r="AW9" s="247">
        <f>ROUND(PRODUCT(AW4:AW7),3)</f>
        <v>6.9000000000000006E-2</v>
      </c>
      <c r="AY9" s="546"/>
      <c r="AZ9" s="545"/>
      <c r="BA9" s="207"/>
      <c r="BB9" s="207"/>
      <c r="BC9" s="385"/>
      <c r="BD9" s="559"/>
      <c r="BE9" s="559"/>
      <c r="BG9" s="146"/>
      <c r="BH9" s="545" t="s">
        <v>1020</v>
      </c>
      <c r="BI9" s="299">
        <f>IF(C6="PAC",VLOOKUP(B7,Table_PakMods,MATCH(C11,List_Company,0)+1,FALSE),1)</f>
        <v>1</v>
      </c>
      <c r="BJ9" s="299">
        <f>IF(C6="PAC",VLOOKUP(B7,Table_PakMods,MATCH(C11,List_Company,0)+1,FALSE),1)</f>
        <v>1</v>
      </c>
      <c r="BK9" s="299">
        <f>IF(C6="PAC",VLOOKUP(B7,Table_PakMods,MATCH(C11,List_Company,0)+1,FALSE),1)</f>
        <v>1</v>
      </c>
      <c r="BL9" s="299">
        <f>IF(C6="PAC",VLOOKUP(B7,Table_PakMods,MATCH(C11,List_Company,0)+1,FALSE),1)</f>
        <v>1</v>
      </c>
      <c r="BN9" s="266"/>
      <c r="BO9" s="268" t="s">
        <v>1017</v>
      </c>
      <c r="BP9" s="423">
        <f>IF(C44&gt;=80,VLOOKUP(C44,Table_CoIns1,2,FALSE),1+ IF(P5&lt;B45,VLOOKUP(B58,Table_CIUnder80,5,FALSE),0.5))</f>
        <v>1</v>
      </c>
      <c r="BQ9" s="266"/>
      <c r="BR9" s="266"/>
      <c r="BS9" s="268" t="s">
        <v>180</v>
      </c>
      <c r="BT9" s="423">
        <f>1+$CM$24</f>
        <v>1</v>
      </c>
      <c r="BU9" s="299"/>
      <c r="BV9" s="153" t="s">
        <v>1719</v>
      </c>
      <c r="BX9" s="155">
        <f>IF(BY27&lt;-0.025,-0.025,IF(BY27&gt;0.025,0.025,BY27))</f>
        <v>0</v>
      </c>
    </row>
    <row r="10" spans="1:76" x14ac:dyDescent="0.2">
      <c r="A10" s="751" t="s">
        <v>668</v>
      </c>
      <c r="B10" s="752" t="str">
        <f>IF(C10=1, "BG &amp; PP",IF(C10=2, "CAC",IF(C10=3,"CCUO","Pls Select")))</f>
        <v>BG &amp; PP</v>
      </c>
      <c r="C10" s="1058">
        <v>1</v>
      </c>
      <c r="D10" s="1261" t="s">
        <v>1639</v>
      </c>
      <c r="E10" s="955"/>
      <c r="F10" s="1065"/>
      <c r="H10" s="1285" t="str">
        <f>U15</f>
        <v>No Additional PP Item</v>
      </c>
      <c r="I10" s="258">
        <f>IF($B$66="Yes",W21,0)</f>
        <v>0</v>
      </c>
      <c r="J10" s="258">
        <f>IF($B$66="Yes",X21,0)</f>
        <v>0</v>
      </c>
      <c r="K10" s="258">
        <f>IF(AND($B$66="Yes",$C$12="SP"),Y21,0)</f>
        <v>0</v>
      </c>
      <c r="L10" s="258">
        <f>IF(AND($B$66="Yes",$C$12="BR"),Z21,0)</f>
        <v>0</v>
      </c>
      <c r="O10" s="189" t="s">
        <v>1497</v>
      </c>
      <c r="P10" s="207">
        <v>1</v>
      </c>
      <c r="Q10" s="207">
        <f>IF(ISBLANK(C50),"Enter Grade",VLOOKUP(C50,Table_BCEG,3,FALSE))</f>
        <v>1</v>
      </c>
      <c r="R10" s="207">
        <v>1</v>
      </c>
      <c r="S10" s="207">
        <v>1</v>
      </c>
      <c r="T10" s="266"/>
      <c r="U10" s="1288"/>
      <c r="V10" s="1294" t="s">
        <v>1200</v>
      </c>
      <c r="W10" s="1301" t="e">
        <f ca="1">W5</f>
        <v>#N/A</v>
      </c>
      <c r="X10" s="1301" t="e">
        <f>X5</f>
        <v>#N/A</v>
      </c>
      <c r="Y10" s="1301">
        <f>Y5</f>
        <v>0</v>
      </c>
      <c r="Z10" s="1301">
        <f>Z5</f>
        <v>0</v>
      </c>
      <c r="AA10" s="266"/>
      <c r="AC10" s="189" t="s">
        <v>1496</v>
      </c>
      <c r="AD10" s="207">
        <v>1</v>
      </c>
      <c r="AE10" s="207">
        <f>IF(C60="Yes",VLOOKUP(C15,Table_Construction,3,FALSE),1)</f>
        <v>1</v>
      </c>
      <c r="AF10" s="207">
        <v>1</v>
      </c>
      <c r="AG10" s="207">
        <v>1</v>
      </c>
      <c r="AI10" s="385"/>
      <c r="AJ10" s="235"/>
      <c r="AK10" s="545" t="s">
        <v>184</v>
      </c>
      <c r="AL10" s="248">
        <f>C41/100</f>
        <v>2500</v>
      </c>
      <c r="AM10" s="146"/>
      <c r="AN10" s="146"/>
      <c r="AO10" s="301"/>
      <c r="AP10" s="976"/>
      <c r="AR10" s="185"/>
      <c r="AS10" s="477" t="s">
        <v>411</v>
      </c>
      <c r="AT10" s="238">
        <f>IF(F13="Yes",E14/100,C41/100)</f>
        <v>2500</v>
      </c>
      <c r="AU10" s="238">
        <f>IF(F13="Yes",E14/100,C41/100)</f>
        <v>2500</v>
      </c>
      <c r="AV10" s="238">
        <f>IF(F13="Yes",E14/100,C41/100)</f>
        <v>2500</v>
      </c>
      <c r="AW10" s="238">
        <f>IF(F13="Yes",E14/100,C41/100)</f>
        <v>2500</v>
      </c>
      <c r="AY10" s="560" t="s">
        <v>2155</v>
      </c>
      <c r="BA10" s="235" t="s">
        <v>1012</v>
      </c>
      <c r="BB10" s="235" t="s">
        <v>1013</v>
      </c>
      <c r="BC10" s="235" t="s">
        <v>838</v>
      </c>
      <c r="BD10" s="1230"/>
      <c r="BE10" s="1230"/>
      <c r="BG10" s="185"/>
      <c r="BH10" s="724" t="s">
        <v>1022</v>
      </c>
      <c r="BI10" s="279">
        <f>1+$BX$14</f>
        <v>1</v>
      </c>
      <c r="BJ10" s="279">
        <f>1+$BX$14</f>
        <v>1</v>
      </c>
      <c r="BK10" s="279">
        <f>1+$BX$14</f>
        <v>1</v>
      </c>
      <c r="BL10" s="279">
        <f>1+$BX$14</f>
        <v>1</v>
      </c>
      <c r="BN10" s="266"/>
      <c r="BO10" s="268" t="s">
        <v>180</v>
      </c>
      <c r="BP10" s="423">
        <f>1+$CM$24</f>
        <v>1</v>
      </c>
      <c r="BQ10" s="266"/>
      <c r="BR10" s="266"/>
      <c r="BS10" s="545" t="s">
        <v>1020</v>
      </c>
      <c r="BT10" s="299">
        <f>IF(C6="PAC",VLOOKUP(B7,Table_PakMods,MATCH(C11,List_Company,0)+1,FALSE),1)</f>
        <v>1</v>
      </c>
      <c r="BU10" s="559"/>
      <c r="BV10" s="687" t="s">
        <v>1720</v>
      </c>
      <c r="BX10" s="155">
        <f>IF(BY28&lt;-0.025,-0.025,IF(BY28&gt;0.025,0.025,BY28))</f>
        <v>0</v>
      </c>
    </row>
    <row r="11" spans="1:76" x14ac:dyDescent="0.2">
      <c r="A11" s="120" t="s">
        <v>835</v>
      </c>
      <c r="B11" s="95"/>
      <c r="C11" s="1040" t="s">
        <v>1859</v>
      </c>
      <c r="D11" s="1262" t="s">
        <v>1140</v>
      </c>
      <c r="E11" s="955"/>
      <c r="F11" s="1065"/>
      <c r="H11" s="1285"/>
      <c r="I11" s="258"/>
      <c r="J11" s="258"/>
      <c r="K11" s="258"/>
      <c r="L11" s="258"/>
      <c r="N11" s="266"/>
      <c r="O11" s="486" t="s">
        <v>609</v>
      </c>
      <c r="P11" s="423">
        <f>IF(C51="Yes",DF_FireVault,1) - IF(AND(AB50="FRV",ISNUMBER(C57)),C57,0) - IF(AND(AF50="FRV",C58="Yes"),P14,0)</f>
        <v>1</v>
      </c>
      <c r="Q11" s="423">
        <v>1</v>
      </c>
      <c r="R11" s="423">
        <v>1</v>
      </c>
      <c r="S11" s="423">
        <v>1</v>
      </c>
      <c r="T11" s="266"/>
      <c r="U11" s="1295"/>
      <c r="V11" s="1296" t="s">
        <v>1026</v>
      </c>
      <c r="W11" s="1305">
        <f>$P$40</f>
        <v>0</v>
      </c>
      <c r="X11" s="1305">
        <f>$P$40</f>
        <v>0</v>
      </c>
      <c r="Y11" s="1305">
        <f>$P$40</f>
        <v>0</v>
      </c>
      <c r="Z11" s="1305">
        <f>$P$40</f>
        <v>0</v>
      </c>
      <c r="AA11" s="266"/>
      <c r="AC11" s="189" t="s">
        <v>1497</v>
      </c>
      <c r="AD11" s="207">
        <v>1</v>
      </c>
      <c r="AE11" s="207">
        <f>IF(ISBLANK(C50),"Enter Grade",VLOOKUP(C50,Table_BCEG,3,FALSE))</f>
        <v>1</v>
      </c>
      <c r="AF11" s="207">
        <v>1</v>
      </c>
      <c r="AG11" s="207">
        <v>1</v>
      </c>
      <c r="AI11" s="478"/>
      <c r="AJ11" s="971"/>
      <c r="AK11" s="186" t="s">
        <v>185</v>
      </c>
      <c r="AL11" s="455" t="e">
        <f ca="1">$AL$7</f>
        <v>#N/A</v>
      </c>
      <c r="AM11" s="146"/>
      <c r="AN11" s="146"/>
      <c r="AO11" s="301"/>
      <c r="AP11" s="976"/>
      <c r="AS11" s="301"/>
      <c r="AT11" s="248" t="e">
        <f ca="1">ROUND(PRODUCT(AT9:AT10),0)</f>
        <v>#N/A</v>
      </c>
      <c r="AU11" s="248" t="e">
        <f>ROUND(PRODUCT(AU9:AU10),0)</f>
        <v>#N/A</v>
      </c>
      <c r="AV11" s="248">
        <f>ROUND(PRODUCT(AV9:AV10),0)</f>
        <v>0</v>
      </c>
      <c r="AW11" s="248">
        <f>ROUND(PRODUCT(AW9:AW10),0)</f>
        <v>173</v>
      </c>
      <c r="AZ11" s="1117" t="s">
        <v>2154</v>
      </c>
      <c r="BA11" s="247" t="e">
        <f ca="1">P28</f>
        <v>#N/A</v>
      </c>
      <c r="BB11" s="2" t="e">
        <f>Q28</f>
        <v>#N/A</v>
      </c>
      <c r="BC11" s="558">
        <f>R28</f>
        <v>0</v>
      </c>
      <c r="BD11" s="575"/>
      <c r="BE11" s="575"/>
      <c r="BH11" s="301" t="s">
        <v>1384</v>
      </c>
      <c r="BI11" s="247">
        <f>ROUND(PRODUCT(BI2:BI10),3)</f>
        <v>0</v>
      </c>
      <c r="BJ11" s="247">
        <f>ROUND(PRODUCT(BJ2:BJ10),3)</f>
        <v>0</v>
      </c>
      <c r="BK11" s="247">
        <f>ROUND(PRODUCT(BK2:BK10),3)</f>
        <v>0</v>
      </c>
      <c r="BL11" s="247">
        <f>ROUND(PRODUCT(BL2:BL10),3)</f>
        <v>0</v>
      </c>
      <c r="BN11" s="266"/>
      <c r="BO11" s="545" t="s">
        <v>1020</v>
      </c>
      <c r="BP11" s="299">
        <f>IF(C6="PAC",VLOOKUP(B7,Table_PakMods,MATCH(C11,List_Company,0)+1,FALSE),1)</f>
        <v>1</v>
      </c>
      <c r="BQ11" s="266"/>
      <c r="BR11" s="542"/>
      <c r="BS11" s="724" t="s">
        <v>1022</v>
      </c>
      <c r="BT11" s="279">
        <f>1+$CK$14</f>
        <v>1</v>
      </c>
      <c r="BU11" s="385"/>
      <c r="BV11" s="687" t="s">
        <v>1721</v>
      </c>
      <c r="BX11" s="155">
        <f>IF(BY29&lt;-0.075,-0.075,IF(BY29&gt;0.075,0.075,BY29))</f>
        <v>0</v>
      </c>
    </row>
    <row r="12" spans="1:76" ht="13.5" thickBot="1" x14ac:dyDescent="0.25">
      <c r="A12" s="415" t="s">
        <v>910</v>
      </c>
      <c r="B12" s="493">
        <f>IF(OR(C15=5,C15=6),1,2)</f>
        <v>2</v>
      </c>
      <c r="C12" s="1120"/>
      <c r="D12" s="195"/>
      <c r="E12" s="195"/>
      <c r="F12" s="1067"/>
      <c r="H12" s="1285" t="str">
        <f>U29</f>
        <v>No Additional PP Item</v>
      </c>
      <c r="I12" s="258">
        <f>IF($B$67="Yes",W35,0)</f>
        <v>0</v>
      </c>
      <c r="J12" s="258">
        <f>IF($B$67="Yes",X35,0)</f>
        <v>0</v>
      </c>
      <c r="K12" s="258">
        <f>IF(AND($B$67="Yes",$C$12="SP"),Y35,0)</f>
        <v>0</v>
      </c>
      <c r="L12" s="258">
        <f>IF(AND($B$67="Yes",$C$12="BR"),Z35,0)</f>
        <v>0</v>
      </c>
      <c r="O12" s="168" t="s">
        <v>1199</v>
      </c>
      <c r="P12" s="977">
        <f>IF(OR(C28="S",C28="T"),1,VLOOKUP(C17,Table_TerrMult,2,FALSE)) - IF(AND(AB50="TM",ISNUMBER(C57)),C57,0) - IF(AND(C58="Yes",AF50="TM"),P14,0)</f>
        <v>1</v>
      </c>
      <c r="Q12" s="207">
        <v>1</v>
      </c>
      <c r="R12" s="207">
        <v>1</v>
      </c>
      <c r="S12" s="207">
        <v>1</v>
      </c>
      <c r="T12" s="266"/>
      <c r="U12" s="1288"/>
      <c r="V12" s="1291" t="s">
        <v>1023</v>
      </c>
      <c r="W12" s="1301">
        <v>0</v>
      </c>
      <c r="X12" s="1301">
        <v>0</v>
      </c>
      <c r="Y12" s="1301">
        <v>0</v>
      </c>
      <c r="Z12" s="1301">
        <v>0</v>
      </c>
      <c r="AA12" s="266"/>
      <c r="AB12" s="266"/>
      <c r="AC12" s="486" t="s">
        <v>609</v>
      </c>
      <c r="AD12" s="423">
        <f>IF(C51="Yes",DF_FireVault,1) - IF(AND(AB50="FRV",ISNUMBER(C57)),C57,0) - IF(AND(AF50="FRV",C58="Yes"),P14,0)</f>
        <v>1</v>
      </c>
      <c r="AE12" s="423">
        <v>1</v>
      </c>
      <c r="AF12" s="423">
        <v>1</v>
      </c>
      <c r="AG12" s="423">
        <v>1</v>
      </c>
      <c r="AI12" s="299"/>
      <c r="AJ12" s="146"/>
      <c r="AK12" s="301" t="s">
        <v>820</v>
      </c>
      <c r="AL12" s="976" t="e">
        <f ca="1">ROUND(PRODUCT(AL10:AL11),0)</f>
        <v>#N/A</v>
      </c>
      <c r="AM12" s="146"/>
      <c r="AN12" s="146"/>
      <c r="AO12" s="301"/>
      <c r="AP12" s="976"/>
      <c r="AV12" s="146"/>
      <c r="AW12" s="545"/>
      <c r="AZ12" s="1333" t="s">
        <v>2193</v>
      </c>
      <c r="BA12" s="1335" t="str">
        <f>IF(ISNUMBER($C$41)=FALSE,"NA",IF(ISNA(MATCH($C$41,List_LOI_PP,0)),VLOOKUP($C$41,List_LOI_PP,1,TRUE),"NA"))</f>
        <v>NA</v>
      </c>
      <c r="BB12" s="1335" t="str">
        <f>IF(ISNUMBER($C$41)=FALSE,"NA",IF(ISNA(MATCH($C$41,List_LOI_PP,0)),VLOOKUP($C$41,List_LOI_PP,1,TRUE),"NA"))</f>
        <v>NA</v>
      </c>
      <c r="BC12" s="1335" t="str">
        <f>IF(ISNUMBER($C$41)=FALSE,"NA",IF(ISNA(MATCH($C$41,List_LOI_PP,0)),VLOOKUP($C$41,List_LOI_PP,1,TRUE),"NA"))</f>
        <v>NA</v>
      </c>
      <c r="BD12" s="575"/>
      <c r="BE12" s="575"/>
      <c r="BG12" s="185"/>
      <c r="BH12" s="186" t="s">
        <v>1025</v>
      </c>
      <c r="BI12" s="238">
        <f>IF(ISBLANK(E40),0,E40/100)</f>
        <v>0</v>
      </c>
      <c r="BJ12" s="238">
        <f>IF(ISBLANK(E40),0,E40/100)</f>
        <v>0</v>
      </c>
      <c r="BK12" s="238">
        <f>IF(ISBLANK(E40),0,E40/100)</f>
        <v>0</v>
      </c>
      <c r="BL12" s="238">
        <f>IF(ISBLANK(E40),0,E40/100)</f>
        <v>0</v>
      </c>
      <c r="BN12" s="542"/>
      <c r="BO12" s="724" t="s">
        <v>1022</v>
      </c>
      <c r="BP12" s="279">
        <f>1+$CK$14</f>
        <v>1</v>
      </c>
      <c r="BQ12" s="385"/>
      <c r="BR12" s="385"/>
      <c r="BS12" s="685" t="s">
        <v>679</v>
      </c>
      <c r="BT12" s="385">
        <f>ROUND(PRODUCT(BT4:BT11),3)</f>
        <v>0</v>
      </c>
      <c r="BU12" s="478"/>
      <c r="BV12" s="8" t="s">
        <v>1722</v>
      </c>
      <c r="BX12" s="155">
        <f>IF(BY30&lt;-0.05,-0.05,IF(BY30&gt;0.05,0.05,BY30))</f>
        <v>0</v>
      </c>
    </row>
    <row r="13" spans="1:76" ht="13.5" thickBot="1" x14ac:dyDescent="0.25">
      <c r="A13" s="507" t="s">
        <v>1069</v>
      </c>
      <c r="B13" s="498" t="str">
        <f>IF(C13="No","NA",C13+2)</f>
        <v>NA</v>
      </c>
      <c r="C13" s="1106" t="s">
        <v>857</v>
      </c>
      <c r="D13" s="1263" t="s">
        <v>921</v>
      </c>
      <c r="E13" s="160"/>
      <c r="F13" s="1068" t="s">
        <v>857</v>
      </c>
      <c r="H13" s="1285"/>
      <c r="I13" s="258"/>
      <c r="J13" s="258"/>
      <c r="K13" s="258"/>
      <c r="L13" s="258"/>
      <c r="O13" s="1117" t="s">
        <v>2237</v>
      </c>
      <c r="P13" s="247">
        <f>IF(C55="Yes",IF(C57&lt;&gt;"Sprinkler",1,VLOOKUP(C15,Table_SprLkg,3,FALSE)),1)</f>
        <v>1</v>
      </c>
      <c r="Q13" s="247">
        <v>1</v>
      </c>
      <c r="R13" s="247">
        <v>1</v>
      </c>
      <c r="S13" s="247">
        <v>1</v>
      </c>
      <c r="T13" s="266"/>
      <c r="U13" s="1304"/>
      <c r="V13" s="1304"/>
      <c r="W13" s="1304"/>
      <c r="X13" s="1304"/>
      <c r="Y13" s="1304"/>
      <c r="Z13" s="1304"/>
      <c r="AA13" s="266"/>
      <c r="AC13" s="168" t="s">
        <v>972</v>
      </c>
      <c r="AD13" s="207" t="e">
        <f>IF(OR(C28="S",C28="T"),1,VLOOKUP(C14,Table_ProtClass,IF(C15&lt;=3,2,3),FALSE)) - IF(AND(AB50="PC",ISNUMBER(C57)),C57,0) - IF(AND(C58="Yes",AF50="PC"),P14,0)</f>
        <v>#N/A</v>
      </c>
      <c r="AE13" s="207">
        <v>1</v>
      </c>
      <c r="AF13" s="207">
        <v>1</v>
      </c>
      <c r="AG13" s="207">
        <v>1</v>
      </c>
      <c r="AI13" s="478"/>
      <c r="AJ13" s="146"/>
      <c r="AM13" s="299"/>
      <c r="AN13" s="299"/>
      <c r="AO13" s="299"/>
      <c r="AP13" s="299"/>
      <c r="AS13" s="301" t="s">
        <v>1563</v>
      </c>
      <c r="AT13" s="979" t="e">
        <f ca="1">IF(C12="SP",SUM(AT11:AV11),IF(C12="BR",SUM(AT11:AU11,AW11),AT11:AU11))</f>
        <v>#N/A</v>
      </c>
      <c r="AV13" s="146"/>
      <c r="AW13" s="545"/>
      <c r="AZ13" s="1337" t="s">
        <v>2194</v>
      </c>
      <c r="BA13" s="1425">
        <f>IF(BA12="NA",0,INDEX(List_LOI_PP,MATCH(BA12,List_LOI_PP,0)+1,1))</f>
        <v>0</v>
      </c>
      <c r="BB13" s="1425">
        <f>IF(BB12="NA",0,INDEX(List_LOI_PP,MATCH(BB12,List_LOI_PP,0)+1,1))</f>
        <v>0</v>
      </c>
      <c r="BC13" s="1425">
        <f>IF(BC12="NA",0,INDEX(List_LOI_PP,MATCH(BC12,List_LOI_PP,0)+1,1))</f>
        <v>0</v>
      </c>
      <c r="BD13" s="575"/>
      <c r="BE13" s="575"/>
      <c r="BH13" s="301" t="s">
        <v>321</v>
      </c>
      <c r="BI13" s="248">
        <f>ROUND(PRODUCT(BI11:BI12),0)</f>
        <v>0</v>
      </c>
      <c r="BJ13" s="248">
        <f>ROUND(PRODUCT(BJ11:BJ12),0)</f>
        <v>0</v>
      </c>
      <c r="BK13" s="248">
        <f>ROUND(PRODUCT(BK11:BK12),0)</f>
        <v>0</v>
      </c>
      <c r="BL13" s="248">
        <f>ROUND(PRODUCT(BL11:BL12),0)</f>
        <v>0</v>
      </c>
      <c r="BN13" s="385"/>
      <c r="BO13" s="685" t="s">
        <v>679</v>
      </c>
      <c r="BP13" s="385">
        <f>ROUND(PRODUCT(BP6:BP12),3)</f>
        <v>0</v>
      </c>
      <c r="BQ13" s="266"/>
      <c r="BR13" s="542"/>
      <c r="BS13" s="724" t="s">
        <v>928</v>
      </c>
      <c r="BT13" s="238">
        <f>IF(ISNUMBER(F51),F51/100,0)</f>
        <v>0</v>
      </c>
      <c r="BU13" s="248"/>
      <c r="BV13" s="8"/>
      <c r="BX13" s="155"/>
    </row>
    <row r="14" spans="1:76" ht="13.5" thickBot="1" x14ac:dyDescent="0.25">
      <c r="A14" s="108" t="s">
        <v>898</v>
      </c>
      <c r="B14" s="95"/>
      <c r="C14" s="1040"/>
      <c r="D14" s="898" t="s">
        <v>1646</v>
      </c>
      <c r="E14" s="950"/>
      <c r="F14" s="1069"/>
      <c r="H14" s="1284" t="str">
        <f>U43</f>
        <v>No Additional PP Item</v>
      </c>
      <c r="I14" s="258">
        <f>IF($B$68="Yes",W49,0)</f>
        <v>0</v>
      </c>
      <c r="J14" s="258">
        <f>IF($B$68="Yes",X49,0)</f>
        <v>0</v>
      </c>
      <c r="K14" s="258">
        <f>IF(AND($B$68="Yes",$C$12="SP"),Y49,0)</f>
        <v>0</v>
      </c>
      <c r="L14" s="258">
        <f>IF(AND($B$68="Yes",$C$12="BR"),Z49,0)</f>
        <v>0</v>
      </c>
      <c r="N14" s="266"/>
      <c r="O14" s="267" t="s">
        <v>1099</v>
      </c>
      <c r="P14" s="281">
        <f>IF(C58="Yes",VLOOKUP(B59,Table_VandalExcl,3,FALSE),1)</f>
        <v>1</v>
      </c>
      <c r="Q14" s="207">
        <v>1</v>
      </c>
      <c r="R14" s="423">
        <v>1</v>
      </c>
      <c r="S14" s="281">
        <v>1</v>
      </c>
      <c r="T14" s="423"/>
      <c r="U14" s="1302"/>
      <c r="V14" s="1302"/>
      <c r="W14" s="1302"/>
      <c r="X14" s="1302"/>
      <c r="Y14" s="1302"/>
      <c r="Z14" s="1302"/>
      <c r="AA14" s="423"/>
      <c r="AC14" s="168" t="s">
        <v>1199</v>
      </c>
      <c r="AD14" s="977">
        <f>IF(OR(C28="S",C28="T"),1,VLOOKUP(C17,Table_TerrMult,2,FALSE)) - IF(AND(AB50="TM",ISNUMBER(C57)),C57,0) - IF(AND(C58="Yes",AF50="TM"),P14,0)</f>
        <v>1</v>
      </c>
      <c r="AE14" s="207">
        <v>1</v>
      </c>
      <c r="AF14" s="207">
        <f>IF(C12="SP",VLOOKUP(C18,Table_TerrMult_SP,2,0),1)</f>
        <v>1</v>
      </c>
      <c r="AG14" s="207">
        <v>1</v>
      </c>
      <c r="AI14" s="423"/>
      <c r="AJ14" s="86"/>
      <c r="AK14" s="86"/>
      <c r="AL14" s="86"/>
      <c r="AM14" s="86"/>
      <c r="AN14" s="86"/>
      <c r="AO14" s="86"/>
      <c r="AP14" s="86"/>
      <c r="AR14" s="86"/>
      <c r="AS14" s="86"/>
      <c r="AT14" s="86"/>
      <c r="AU14" s="86"/>
      <c r="AV14" s="86"/>
      <c r="AW14" s="86"/>
      <c r="AY14" s="185"/>
      <c r="AZ14" s="1226" t="s">
        <v>2152</v>
      </c>
      <c r="BA14" s="455" t="e">
        <f>IF(ISNUMBER($C$41)=FALSE,0,IF(AND(BA12="NA", ISNUMBER($C$41)),VLOOKUP($C$41,Table_LOI_PP,MATCH($C$15,List_Relatives,0)+1,FALSE),ROUND(VLOOKUP(BA12,Table_LOI_PP,MATCH($C$15,List_Relatives,0)+1,FALSE) - PRODUCT((VLOOKUP(BA12,Table_LOI_PP,MATCH($C$15,List_Relatives,0)+1,FALSE) - VLOOKUP(BA13,Table_LOI_PP,MATCH($C$15,List_Relatives,0)+1,FALSE)),$C$41-BA12)/(BA13-BA12),3)))</f>
        <v>#N/A</v>
      </c>
      <c r="BB14" s="455">
        <f>IF(ISNUMBER($C$41)=FALSE,0,IF(AND(BB12="NA", ISNUMBER($C$41)),VLOOKUP($C$41,Table_LOI_PP,MATCH("BA2",List_Relatives,0)+1,FALSE),ROUND(VLOOKUP(BB12,Table_LOI_PP,MATCH("BA2",List_Relatives,0)+1,FALSE) - PRODUCT((VLOOKUP(BB12,Table_LOI_PP,MATCH("BA2",List_Relatives,0)+1,FALSE) - VLOOKUP(BB13,Table_LOI_PP,MATCH("BA2",List_Relatives,0)+1,FALSE)),$C$41-BB12)/(BB13-BB12),3)))</f>
        <v>0.67200000000000004</v>
      </c>
      <c r="BC14" s="455">
        <f>IF(ISNUMBER($C$41)=FALSE,0,IF(AND(BC12="NA", ISNUMBER($C$41)),VLOOKUP($C$41,Table_LOI_PP,MATCH("SP",List_Relatives,0)+1,FALSE),ROUND(VLOOKUP(BC12,Table_LOI_PP,MATCH("SP",List_Relatives,0)+1,FALSE) - PRODUCT((VLOOKUP(BC12,Table_LOI_PP,MATCH("SP",List_Relatives,0)+1,FALSE) - VLOOKUP(BC13,Table_LOI_PP,MATCH("SP",List_Relatives,0)+1,FALSE)),$C$41-BC12)/(BC13-BC12),3)))</f>
        <v>0.57899999999999996</v>
      </c>
      <c r="BD14" s="575"/>
      <c r="BG14" s="266"/>
      <c r="BH14" s="266"/>
      <c r="BI14" s="266"/>
      <c r="BJ14" s="266"/>
      <c r="BK14" s="266"/>
      <c r="BL14" s="266"/>
      <c r="BN14" s="542"/>
      <c r="BO14" s="724" t="s">
        <v>928</v>
      </c>
      <c r="BP14" s="238">
        <f>IF(ISNUMBER(F51),F51/100,0)</f>
        <v>0</v>
      </c>
      <c r="BQ14" s="266"/>
      <c r="BR14" s="266"/>
      <c r="BS14" s="568" t="s">
        <v>680</v>
      </c>
      <c r="BT14" s="248">
        <f>ROUND(PRODUCT(BT12:BT13),0)</f>
        <v>0</v>
      </c>
      <c r="BU14" s="266"/>
      <c r="BW14" s="60" t="s">
        <v>952</v>
      </c>
      <c r="BX14" s="157">
        <f>IF(SUM(BX4:BX13)&lt;-0.4,-0.4,IF(SUM(BX4:BX13)&gt;0.4,0.4,SUM(BX4:BX13)))</f>
        <v>0</v>
      </c>
    </row>
    <row r="15" spans="1:76" ht="13.5" thickBot="1" x14ac:dyDescent="0.25">
      <c r="A15" s="108" t="s">
        <v>1073</v>
      </c>
      <c r="B15" s="494"/>
      <c r="C15" s="962"/>
      <c r="D15" s="898" t="s">
        <v>920</v>
      </c>
      <c r="E15" s="572" t="str">
        <f>IF(F13="Yes",SUM(C41,E14,SUMIF(#REF!,"Yes",#REF!)),"N/A")</f>
        <v>N/A</v>
      </c>
      <c r="F15" s="1069"/>
      <c r="H15" s="1281"/>
      <c r="I15" s="86"/>
      <c r="J15" s="86"/>
      <c r="K15" s="86"/>
      <c r="L15" s="86"/>
      <c r="N15" s="209"/>
      <c r="O15" s="210" t="s">
        <v>1016</v>
      </c>
      <c r="P15" s="212">
        <v>1</v>
      </c>
      <c r="Q15" s="212">
        <v>1</v>
      </c>
      <c r="R15" s="212">
        <v>1</v>
      </c>
      <c r="S15" s="212">
        <v>1</v>
      </c>
      <c r="T15" s="266"/>
      <c r="U15" s="1307" t="str">
        <f>IF(ISTEXT(A$66),A$66&amp;" Premium","No Additional PP Item")</f>
        <v>No Additional PP Item</v>
      </c>
      <c r="V15" s="1292"/>
      <c r="W15" s="1308" t="s">
        <v>1012</v>
      </c>
      <c r="X15" s="1308" t="s">
        <v>1013</v>
      </c>
      <c r="Y15" s="1308" t="s">
        <v>838</v>
      </c>
      <c r="Z15" s="1309" t="s">
        <v>837</v>
      </c>
      <c r="AA15" s="266"/>
      <c r="AC15" s="168" t="s">
        <v>973</v>
      </c>
      <c r="AD15" s="207">
        <f>IF(C55="Yes",IF(C57&lt;&gt;"Sprinkler",1,VLOOKUP(C15,Table_SprLkg,3,FALSE)),1)</f>
        <v>1</v>
      </c>
      <c r="AE15" s="207">
        <v>1</v>
      </c>
      <c r="AF15" s="207">
        <v>1</v>
      </c>
      <c r="AG15" s="207">
        <v>1</v>
      </c>
      <c r="AI15" s="266"/>
      <c r="AZ15" s="83" t="s">
        <v>1150</v>
      </c>
      <c r="BA15" s="1315" t="e">
        <f ca="1">ROUND(PRODUCT(BA11,BA14),3)</f>
        <v>#N/A</v>
      </c>
      <c r="BB15" s="1315" t="e">
        <f>ROUND(PRODUCT(BB11,BB14),3)</f>
        <v>#N/A</v>
      </c>
      <c r="BC15" s="1315">
        <f>ROUND(PRODUCT(BC11,BC14),3)</f>
        <v>0</v>
      </c>
      <c r="BD15" s="575"/>
      <c r="BE15" s="1259" t="s">
        <v>2151</v>
      </c>
      <c r="BG15" s="385"/>
      <c r="BH15" s="685" t="s">
        <v>1385</v>
      </c>
      <c r="BI15" s="725">
        <f>IF(C12="SP",SUM(BI13:BK13),IF(C12="BR",SUM(BI13:BJ13,BL13),SUM(BI13:BJ13)))</f>
        <v>0</v>
      </c>
      <c r="BJ15" s="385"/>
      <c r="BK15" s="385"/>
      <c r="BL15" s="385"/>
      <c r="BN15" s="266"/>
      <c r="BO15" s="568" t="s">
        <v>680</v>
      </c>
      <c r="BP15" s="248">
        <f>ROUND(PRODUCT(BP13:BP14),0)</f>
        <v>0</v>
      </c>
      <c r="BQ15" s="266"/>
      <c r="BR15" s="266"/>
      <c r="BS15" s="266"/>
      <c r="BT15" s="266"/>
      <c r="BU15" s="557"/>
    </row>
    <row r="16" spans="1:76" ht="13.5" thickBot="1" x14ac:dyDescent="0.25">
      <c r="A16" s="84" t="s">
        <v>975</v>
      </c>
      <c r="B16" s="289">
        <f>IF(ISERROR(MATCH(C35,List_AddtlClass,0)),1,VLOOKUP(C35,Table_AddtlClass,MATCH(C15,List_ConstrNum,0)+1,FALSE))</f>
        <v>1</v>
      </c>
      <c r="C16" s="1269"/>
      <c r="D16" s="195"/>
      <c r="E16" s="195"/>
      <c r="F16" s="1067"/>
      <c r="H16" s="788" t="s">
        <v>1289</v>
      </c>
      <c r="I16" s="248" t="e">
        <f ca="1">SUM(I5:I15)</f>
        <v>#N/A</v>
      </c>
      <c r="J16" s="248" t="e">
        <f>SUM(J5:J15)</f>
        <v>#N/A</v>
      </c>
      <c r="K16" s="248">
        <f>SUM(K5:K15)</f>
        <v>0</v>
      </c>
      <c r="L16" s="248">
        <f>SUM(L5:L15)</f>
        <v>0</v>
      </c>
      <c r="N16" s="266"/>
      <c r="O16" s="268" t="s">
        <v>2105</v>
      </c>
      <c r="P16" s="207">
        <v>1</v>
      </c>
      <c r="Q16" s="423">
        <v>1</v>
      </c>
      <c r="R16" s="426">
        <f>IF(C13=2,VLOOKUP(C33,Table_Special_PP,B13,FALSE),1)</f>
        <v>1</v>
      </c>
      <c r="S16" s="423">
        <v>1</v>
      </c>
      <c r="T16" s="266"/>
      <c r="U16" s="1288"/>
      <c r="V16" s="1294" t="s">
        <v>2165</v>
      </c>
      <c r="W16" s="1300" t="e">
        <f ca="1">$P$28</f>
        <v>#N/A</v>
      </c>
      <c r="X16" s="1300" t="e">
        <f>$Q$28</f>
        <v>#N/A</v>
      </c>
      <c r="Y16" s="1300">
        <f>$R$28</f>
        <v>0</v>
      </c>
      <c r="Z16" s="1300">
        <f>$S$28</f>
        <v>5.5E-2</v>
      </c>
      <c r="AA16" s="266"/>
      <c r="AB16" s="266"/>
      <c r="AC16" s="267" t="s">
        <v>1099</v>
      </c>
      <c r="AD16" s="281">
        <f>IF(C58="Yes",VLOOKUP(B59,Table_VandalExcl,3,FALSE),1)</f>
        <v>1</v>
      </c>
      <c r="AE16" s="207">
        <v>1</v>
      </c>
      <c r="AF16" s="423">
        <v>1</v>
      </c>
      <c r="AG16" s="423">
        <v>1</v>
      </c>
      <c r="AI16" s="266"/>
      <c r="AJ16" s="60" t="s">
        <v>437</v>
      </c>
      <c r="AL16" s="235"/>
      <c r="AN16" s="1225" t="s">
        <v>2128</v>
      </c>
      <c r="AO16" s="146"/>
      <c r="AP16" s="563"/>
      <c r="AY16" s="185"/>
      <c r="AZ16" s="1226" t="s">
        <v>2146</v>
      </c>
      <c r="BA16" s="238">
        <f>IF(F21="Yes",C41/100,0)</f>
        <v>0</v>
      </c>
      <c r="BB16" s="238">
        <f>IF(F21="Yes",C41/100,0)</f>
        <v>0</v>
      </c>
      <c r="BC16" s="238">
        <f>IF(F21="Yes",C41/100,0)</f>
        <v>0</v>
      </c>
      <c r="BD16" s="575"/>
      <c r="BE16" s="1259" t="s">
        <v>2149</v>
      </c>
      <c r="BG16" s="266"/>
      <c r="BH16" s="266"/>
      <c r="BI16" s="266"/>
      <c r="BJ16" s="266"/>
      <c r="BK16" s="266"/>
      <c r="BL16" s="266"/>
      <c r="BN16" s="266"/>
      <c r="BO16" s="266"/>
      <c r="BP16" s="266"/>
      <c r="BQ16" s="557"/>
      <c r="BR16" s="557"/>
      <c r="BS16" s="557"/>
      <c r="BT16" s="557"/>
      <c r="BU16" s="235"/>
    </row>
    <row r="17" spans="1:79" ht="15" customHeight="1" x14ac:dyDescent="0.2">
      <c r="A17" s="122" t="s">
        <v>974</v>
      </c>
      <c r="B17" s="95"/>
      <c r="C17" s="1040">
        <v>1</v>
      </c>
      <c r="D17" s="474" t="s">
        <v>963</v>
      </c>
      <c r="E17" s="474"/>
      <c r="F17" s="1112" t="s">
        <v>857</v>
      </c>
      <c r="I17" s="248"/>
      <c r="J17" s="258"/>
      <c r="K17" s="258"/>
      <c r="L17" s="258"/>
      <c r="N17" s="266"/>
      <c r="O17" s="268" t="s">
        <v>1202</v>
      </c>
      <c r="P17" s="207">
        <f>IF(C49="Yes",DF_AgreedFctr,1)</f>
        <v>1</v>
      </c>
      <c r="Q17" s="207">
        <f>IF(C49="Yes",DF_AgreedFctr,1)</f>
        <v>1</v>
      </c>
      <c r="R17" s="423">
        <f>IF(C49="Yes",DF_AgreedFctr,1)</f>
        <v>1</v>
      </c>
      <c r="S17" s="423">
        <f>IF(C49="Yes",DF_AgreedFctr,1)</f>
        <v>1</v>
      </c>
      <c r="T17" s="266"/>
      <c r="U17" s="1288"/>
      <c r="V17" s="1117" t="s">
        <v>2152</v>
      </c>
      <c r="W17" s="247" t="e">
        <f>P$31</f>
        <v>#N/A</v>
      </c>
      <c r="X17" s="247">
        <f t="shared" ref="X17:Z17" si="1">Q$31</f>
        <v>0.67200000000000004</v>
      </c>
      <c r="Y17" s="247">
        <f t="shared" si="1"/>
        <v>0.57899999999999996</v>
      </c>
      <c r="Z17" s="247">
        <f t="shared" si="1"/>
        <v>0.57899999999999996</v>
      </c>
      <c r="AA17" s="266"/>
      <c r="AB17" s="209"/>
      <c r="AC17" s="210" t="s">
        <v>1016</v>
      </c>
      <c r="AD17" s="212">
        <v>1</v>
      </c>
      <c r="AE17" s="212">
        <v>1</v>
      </c>
      <c r="AF17" s="212">
        <v>1</v>
      </c>
      <c r="AG17" s="212">
        <v>1</v>
      </c>
      <c r="AI17" s="266"/>
      <c r="AJ17" s="60"/>
      <c r="AL17" s="235" t="s">
        <v>838</v>
      </c>
      <c r="AO17" s="1117" t="s">
        <v>2251</v>
      </c>
      <c r="AP17" s="247">
        <f>AL23</f>
        <v>0</v>
      </c>
      <c r="AR17" s="60" t="s">
        <v>1851</v>
      </c>
      <c r="AT17" s="235" t="s">
        <v>1012</v>
      </c>
      <c r="AU17" s="235" t="s">
        <v>1013</v>
      </c>
      <c r="AV17" s="235" t="s">
        <v>838</v>
      </c>
      <c r="AW17" s="235" t="s">
        <v>837</v>
      </c>
      <c r="AZ17" s="301" t="s">
        <v>2148</v>
      </c>
      <c r="BA17" s="248" t="e">
        <f ca="1">ROUND(PRODUCT(BA15:BA16),0)</f>
        <v>#N/A</v>
      </c>
      <c r="BB17" s="248" t="e">
        <f>ROUND(PRODUCT(BB15:BB16),0)</f>
        <v>#N/A</v>
      </c>
      <c r="BC17" s="248">
        <f>ROUND(PRODUCT(BC15:BC16),0)</f>
        <v>0</v>
      </c>
      <c r="BD17" s="575"/>
      <c r="BE17" s="572" t="e">
        <f ca="1">SUM(BA17:BC17)</f>
        <v>#N/A</v>
      </c>
      <c r="BG17" s="266"/>
      <c r="BH17" s="266"/>
      <c r="BI17" s="266"/>
      <c r="BJ17" s="266"/>
      <c r="BK17" s="266"/>
      <c r="BL17" s="266"/>
      <c r="BN17" s="557"/>
      <c r="BO17" s="557"/>
      <c r="BP17" s="557"/>
      <c r="BQ17" s="266"/>
      <c r="BR17" s="60" t="s">
        <v>684</v>
      </c>
      <c r="BT17" s="235"/>
      <c r="BU17" s="426"/>
      <c r="BV17" s="136" t="s">
        <v>947</v>
      </c>
      <c r="BW17" s="137"/>
      <c r="BX17" s="137"/>
      <c r="BY17" s="137"/>
      <c r="BZ17" s="137"/>
      <c r="CA17" s="147" t="s">
        <v>938</v>
      </c>
    </row>
    <row r="18" spans="1:79" x14ac:dyDescent="0.2">
      <c r="A18" s="1195" t="s">
        <v>2097</v>
      </c>
      <c r="B18" s="95"/>
      <c r="C18" s="1270"/>
      <c r="D18" s="1264" t="s">
        <v>1821</v>
      </c>
      <c r="E18" s="950"/>
      <c r="F18" s="1069"/>
      <c r="I18" s="248"/>
      <c r="J18" s="258"/>
      <c r="K18" s="258"/>
      <c r="L18" s="258"/>
      <c r="N18" s="266"/>
      <c r="O18" s="268" t="s">
        <v>1018</v>
      </c>
      <c r="P18" s="207">
        <f>IF(C42=250,DF_250Deductible,C43)</f>
        <v>1</v>
      </c>
      <c r="Q18" s="423">
        <f>IF(C61="Yes",1,IF(C42=250,DF_250Deductible,C43))</f>
        <v>1</v>
      </c>
      <c r="R18" s="423">
        <f>IF(C42=250,DF_250Deductible,C43)</f>
        <v>1</v>
      </c>
      <c r="S18" s="423">
        <f>IF(C42=250,DF_250Deductible,C43)</f>
        <v>1</v>
      </c>
      <c r="T18" s="266"/>
      <c r="U18" s="1298"/>
      <c r="V18" s="1283" t="s">
        <v>1025</v>
      </c>
      <c r="W18" s="1299">
        <f>IF(B66="Yes",C66/100,0)</f>
        <v>0</v>
      </c>
      <c r="X18" s="1299">
        <f>IF(B66="Yes",C66/100,0)</f>
        <v>0</v>
      </c>
      <c r="Y18" s="1299">
        <f>IF(B66="Yes",C66/100,0)</f>
        <v>0</v>
      </c>
      <c r="Z18" s="1299">
        <f>IF(B66="Yes",C66/100,0)</f>
        <v>0</v>
      </c>
      <c r="AA18" s="266"/>
      <c r="AB18" s="266"/>
      <c r="AC18" s="268" t="s">
        <v>1019</v>
      </c>
      <c r="AD18" s="423">
        <f>HLOOKUP(C11,Table_StateRates,5,FALSE)</f>
        <v>1.38</v>
      </c>
      <c r="AE18" s="423">
        <f>HLOOKUP(C11,Table_StateRates,5,FALSE)</f>
        <v>1.38</v>
      </c>
      <c r="AF18" s="423">
        <f>HLOOKUP(C11,Table_StateRates,5,FALSE)</f>
        <v>1.38</v>
      </c>
      <c r="AG18" s="423">
        <f>HLOOKUP(C11,Table_StateRates,5,FALSE)</f>
        <v>1.38</v>
      </c>
      <c r="AI18" s="266"/>
      <c r="AJ18" s="266"/>
      <c r="AK18" s="268" t="s">
        <v>1019</v>
      </c>
      <c r="AL18" s="423">
        <f>HLOOKUP(C11,Table_StateRates,5,FALSE)</f>
        <v>1.38</v>
      </c>
      <c r="AN18" s="1332"/>
      <c r="AO18" s="1333" t="s">
        <v>2193</v>
      </c>
      <c r="AP18" s="1335" t="str">
        <f>IF(ISNUMBER($E$4)=FALSE,"NA",IF(ISNA(MATCH($E$4,List_LOI_PP,0)),VLOOKUP($E$4,List_LOI_PP,1,TRUE),"NA"))</f>
        <v>NA</v>
      </c>
      <c r="AS18" s="168" t="s">
        <v>1198</v>
      </c>
      <c r="AT18" s="247">
        <f>IF(F26="Yes",VLOOKUP(F28,Table_SpecialLC,E28,FALSE),0)</f>
        <v>0</v>
      </c>
      <c r="AU18" s="247" t="e">
        <f>Q28</f>
        <v>#N/A</v>
      </c>
      <c r="AV18" s="247">
        <f>IF(AND(C27="Yes",C12="SP"),VLOOKUP(C33,Table_Special_PP,3,0),0)</f>
        <v>0</v>
      </c>
      <c r="AW18" s="2">
        <f>S28</f>
        <v>5.5E-2</v>
      </c>
      <c r="AY18" s="878"/>
      <c r="AZ18" s="146"/>
      <c r="BA18" s="299"/>
      <c r="BG18" s="60" t="s">
        <v>1386</v>
      </c>
      <c r="BI18" s="235" t="s">
        <v>1012</v>
      </c>
      <c r="BJ18" s="235" t="s">
        <v>1013</v>
      </c>
      <c r="BK18" s="235" t="s">
        <v>838</v>
      </c>
      <c r="BL18" s="235" t="s">
        <v>837</v>
      </c>
      <c r="BN18" s="60" t="s">
        <v>681</v>
      </c>
      <c r="BP18" s="235"/>
      <c r="BQ18" s="266"/>
      <c r="BR18" s="266"/>
      <c r="BS18" s="268" t="s">
        <v>1753</v>
      </c>
      <c r="BT18" s="426">
        <f>IF(F62="Yes",VLOOKUP(E63,Table_Other_WaterBuyback,6,FALSE),0)</f>
        <v>0</v>
      </c>
      <c r="BU18" s="558"/>
      <c r="BV18" s="138" t="s">
        <v>939</v>
      </c>
      <c r="BW18" s="8"/>
      <c r="BX18" s="8"/>
      <c r="BY18" s="8"/>
      <c r="BZ18" s="8"/>
      <c r="CA18" s="148" t="s">
        <v>940</v>
      </c>
    </row>
    <row r="19" spans="1:79" ht="13.5" thickBot="1" x14ac:dyDescent="0.25">
      <c r="A19" s="499"/>
      <c r="B19" s="146"/>
      <c r="C19" s="1072"/>
      <c r="D19" s="271" t="s">
        <v>1822</v>
      </c>
      <c r="E19" s="950"/>
      <c r="F19" s="1069"/>
      <c r="H19" s="82" t="s">
        <v>1661</v>
      </c>
      <c r="I19" s="248"/>
      <c r="J19" s="258"/>
      <c r="K19" s="258"/>
      <c r="L19" s="258"/>
      <c r="N19" s="542"/>
      <c r="O19" s="724" t="s">
        <v>1498</v>
      </c>
      <c r="P19" s="279">
        <v>1</v>
      </c>
      <c r="Q19" s="279">
        <f>IF(C61="Yes",VLOOKUP(C41/1000,Table_WHDed,MATCH(B62,List_WHDed,0)+1,TRUE),1)</f>
        <v>1</v>
      </c>
      <c r="R19" s="279">
        <v>1</v>
      </c>
      <c r="S19" s="279">
        <v>1</v>
      </c>
      <c r="T19" s="266"/>
      <c r="U19" s="1293"/>
      <c r="V19" s="1303" t="s">
        <v>2159</v>
      </c>
      <c r="W19" s="1306" t="e">
        <f ca="1">ROUND(PRODUCT(W16:W18),0)</f>
        <v>#N/A</v>
      </c>
      <c r="X19" s="1306" t="e">
        <f>ROUND(PRODUCT(X16:X18),0)</f>
        <v>#N/A</v>
      </c>
      <c r="Y19" s="1306">
        <f>ROUND(PRODUCT(Y16:Y18),0)</f>
        <v>0</v>
      </c>
      <c r="Z19" s="1306">
        <f>ROUND(PRODUCT(Z16:Z18),0)</f>
        <v>0</v>
      </c>
      <c r="AA19" s="247"/>
      <c r="AB19" s="266"/>
      <c r="AC19" s="268" t="s">
        <v>180</v>
      </c>
      <c r="AD19" s="423">
        <f>1+$CA$24</f>
        <v>1</v>
      </c>
      <c r="AE19" s="423">
        <f>1+$CA$24</f>
        <v>1</v>
      </c>
      <c r="AF19" s="423">
        <f>1+$CA$24</f>
        <v>1</v>
      </c>
      <c r="AG19" s="423">
        <f>1+$CA$24</f>
        <v>1</v>
      </c>
      <c r="AI19" s="266"/>
      <c r="AJ19" s="185"/>
      <c r="AK19" s="186" t="s">
        <v>971</v>
      </c>
      <c r="AL19" s="208">
        <f>HLOOKUP(C11,Table_StateRates,6,FALSE)</f>
        <v>1.9</v>
      </c>
      <c r="AN19" s="1336"/>
      <c r="AO19" s="1337" t="s">
        <v>2194</v>
      </c>
      <c r="AP19" s="1425">
        <f>IF(AP18="NA",0,INDEX(List_LOI_PP,MATCH(AP18,List_LOI_PP,0)+1,1))</f>
        <v>0</v>
      </c>
      <c r="AR19" s="185"/>
      <c r="AS19" s="186" t="s">
        <v>114</v>
      </c>
      <c r="AT19" s="895">
        <v>1</v>
      </c>
      <c r="AU19" s="895">
        <f>IF(F26="Yes",F30,1)</f>
        <v>1</v>
      </c>
      <c r="AV19" s="895">
        <v>1</v>
      </c>
      <c r="AW19" s="895">
        <v>1</v>
      </c>
      <c r="AY19" s="60" t="s">
        <v>1334</v>
      </c>
      <c r="BC19" s="60" t="s">
        <v>1148</v>
      </c>
      <c r="BH19" s="168" t="s">
        <v>1387</v>
      </c>
      <c r="BI19" s="2">
        <f>VLOOKUP(2,Table_Utility_OHLines,VLOOKUP("G1",Table_UtilityCol,2,FALSE),FALSE)</f>
        <v>8.0000000000000002E-3</v>
      </c>
      <c r="BJ19" s="2">
        <f>VLOOKUP(2,Table_Utility_OHLines,VLOOKUP("G2",Table_UtilityCol,2,FALSE),FALSE)</f>
        <v>6.0000000000000001E-3</v>
      </c>
      <c r="BK19" s="247">
        <f>VLOOKUP(2,Table_Utility_OHLines,VLOOKUP("SP",Table_UtilityCol,2,FALSE),FALSE)</f>
        <v>2.1000000000000001E-2</v>
      </c>
      <c r="BL19" s="2">
        <f>VLOOKUP(2,Table_Utility_OHLines,VLOOKUP("BR",Table_UtilityCol,2,FALSE),FALSE)</f>
        <v>6.0000000000000001E-3</v>
      </c>
      <c r="BN19" s="266"/>
      <c r="BO19" s="268" t="s">
        <v>927</v>
      </c>
      <c r="BP19" s="426" t="e">
        <f ca="1">IF(OR(C28="S",C28="T"),B29,VLOOKUP(C35,IF(C36="Y",INDIRECT("Table_Content"&amp;B35),Table_G1_LC),MATCH(C15&amp;"C",List_ClassLC,0)+IF(C36="Y",-5,2),FALSE)*IF(C60&lt;&gt;"Yes",B16,1))</f>
        <v>#N/A</v>
      </c>
      <c r="BQ19" s="266"/>
      <c r="BR19" s="558"/>
      <c r="BS19" s="755" t="s">
        <v>971</v>
      </c>
      <c r="BT19" s="559">
        <f>HLOOKUP(C11,Table_StateRates,6,FALSE)</f>
        <v>1.9</v>
      </c>
      <c r="BU19" s="423"/>
      <c r="BV19" s="138" t="s">
        <v>941</v>
      </c>
      <c r="BW19" s="8"/>
      <c r="BX19" s="8"/>
      <c r="BY19" s="8"/>
      <c r="BZ19" s="8"/>
      <c r="CA19" s="149"/>
    </row>
    <row r="20" spans="1:79" ht="13.5" thickBot="1" x14ac:dyDescent="0.25">
      <c r="A20" s="88" t="s">
        <v>954</v>
      </c>
      <c r="B20" s="89"/>
      <c r="C20" s="1095"/>
      <c r="D20" s="195"/>
      <c r="E20" s="195"/>
      <c r="F20" s="1067"/>
      <c r="H20" s="1205" t="s">
        <v>1098</v>
      </c>
      <c r="I20" s="248">
        <f>IF(F17="Yes",AD25,0)</f>
        <v>0</v>
      </c>
      <c r="J20" s="248">
        <f>IF(AND(C27="Yes",F17="Yes"),AE25,0)</f>
        <v>0</v>
      </c>
      <c r="K20" s="248">
        <f ca="1">IF(AND(C27="Yes",F17="Yes",C12="SP"),IF(C13=1,AF25,IF(C13=2,INDIRECT(VLOOKUP(C33,Table_PP_Liability,2,FALSE)),"Select Type")),0)</f>
        <v>0</v>
      </c>
      <c r="L20" s="248">
        <f>IF(AND(C27="Yes",F17="Yes",C12="BR"),AG25,0)</f>
        <v>0</v>
      </c>
      <c r="O20" s="83" t="s">
        <v>2167</v>
      </c>
      <c r="P20" s="1312" t="e">
        <f ca="1">ROUND(PRODUCT(P8:P12,IF(AND(C55="Yes",C57="Sprinkler",C58="Yes"),P13-P14,P13),P15:P19),3)</f>
        <v>#N/A</v>
      </c>
      <c r="Q20" s="1312" t="e">
        <f>ROUND(PRODUCT(Q8:Q19),3)</f>
        <v>#N/A</v>
      </c>
      <c r="R20" s="1312">
        <f>ROUND(PRODUCT(R8:R19),3)</f>
        <v>0</v>
      </c>
      <c r="S20" s="1312">
        <f>ROUND(PRODUCT(S8:S19),3)</f>
        <v>5.5E-2</v>
      </c>
      <c r="T20" s="423"/>
      <c r="U20" s="1295"/>
      <c r="V20" s="1297" t="s">
        <v>1021</v>
      </c>
      <c r="W20" s="1299">
        <f>W26</f>
        <v>0</v>
      </c>
      <c r="X20" s="1299">
        <f>X26</f>
        <v>0</v>
      </c>
      <c r="Y20" s="1299">
        <f>Y26</f>
        <v>0</v>
      </c>
      <c r="Z20" s="1299">
        <f>Z26</f>
        <v>0</v>
      </c>
      <c r="AA20" s="423"/>
      <c r="AB20" s="146"/>
      <c r="AC20" s="545" t="s">
        <v>1020</v>
      </c>
      <c r="AD20" s="559">
        <f>IF(C6="PAC",VLOOKUP(B7,Table_PakMods,MATCH(C11,List_Company,0)+1,FALSE),1)</f>
        <v>1</v>
      </c>
      <c r="AE20" s="559">
        <f>IF(C6="PAC",VLOOKUP(B7,Table_PakMods,MATCH(C11,List_Company,0)+1,FALSE),1)</f>
        <v>1</v>
      </c>
      <c r="AF20" s="559">
        <f>IF(C6="PAC",VLOOKUP(B7,Table_PakMods,MATCH(C11,List_Company,0)+1,FALSE),1)</f>
        <v>1</v>
      </c>
      <c r="AG20" s="559">
        <f>IF(C6="PAC",VLOOKUP(B7,Table_PakMods,MATCH(C11,List_Company,0)+1,FALSE),1)</f>
        <v>1</v>
      </c>
      <c r="AI20" s="423"/>
      <c r="AK20" s="83" t="s">
        <v>2166</v>
      </c>
      <c r="AL20" s="1312">
        <f>PRODUCT(AL18:AL19)</f>
        <v>2.6219999999999999</v>
      </c>
      <c r="AN20" s="793"/>
      <c r="AO20" s="1210" t="s">
        <v>2129</v>
      </c>
      <c r="AP20" s="247">
        <f>IF(ISNUMBER($E$4)=FALSE,0,IF(AND(AP18="NA", ISNUMBER($E$4)),VLOOKUP($E$4,Table_LOI_PP,MATCH("SP",List_Relatives,0)+1,FALSE),ROUND(VLOOKUP(AP18,Table_LOI_PP,MATCH("SP",List_Relatives,0)+1,FALSE) - PRODUCT((VLOOKUP(AP18,Table_LOI_PP,MATCH("SP",List_Relatives,0)+1,FALSE) - VLOOKUP(AP19,Table_LOI_PP,MATCH("SP",List_Relatives,0)+1,FALSE)),$E$4-AP18)/(AP19-AP18),3)))</f>
        <v>0</v>
      </c>
      <c r="AS20" s="83" t="s">
        <v>115</v>
      </c>
      <c r="AT20" s="247">
        <f>PRODUCT(AT18:AT19)</f>
        <v>0</v>
      </c>
      <c r="AU20" s="247" t="e">
        <f>PRODUCT(AU18:AU19)</f>
        <v>#N/A</v>
      </c>
      <c r="AV20" s="247">
        <f>PRODUCT(AV18:AV19)</f>
        <v>0</v>
      </c>
      <c r="AW20" s="247">
        <f>PRODUCT(AW18:AW19)</f>
        <v>5.5E-2</v>
      </c>
      <c r="AZ20" s="168" t="s">
        <v>1335</v>
      </c>
      <c r="BA20" s="248">
        <f>F24</f>
        <v>0</v>
      </c>
      <c r="BD20" s="168" t="s">
        <v>1337</v>
      </c>
      <c r="BE20" s="248" t="e">
        <f ca="1">BE8</f>
        <v>#N/A</v>
      </c>
      <c r="BH20" s="168" t="s">
        <v>971</v>
      </c>
      <c r="BI20" s="2">
        <f>HLOOKUP(C11,Table_StateRates,6,FALSE)</f>
        <v>1.9</v>
      </c>
      <c r="BJ20" s="2">
        <f>HLOOKUP(C11,Table_StateRates,6,FALSE)</f>
        <v>1.9</v>
      </c>
      <c r="BK20" s="247">
        <f>HLOOKUP(C11,Table_StateRates,6,FALSE)</f>
        <v>1.9</v>
      </c>
      <c r="BL20" s="2">
        <f>HLOOKUP(C11,Table_StateRates,6,FALSE)</f>
        <v>1.9</v>
      </c>
      <c r="BN20" s="757"/>
      <c r="BO20" s="758" t="s">
        <v>971</v>
      </c>
      <c r="BP20" s="279">
        <f>HLOOKUP(C11,Table_StateRates,6,FALSE)</f>
        <v>1.9</v>
      </c>
      <c r="BQ20" s="266"/>
      <c r="BR20" s="266"/>
      <c r="BS20" s="268" t="s">
        <v>1019</v>
      </c>
      <c r="BT20" s="423">
        <f>HLOOKUP(C11,Table_StateRates,5,FALSE)</f>
        <v>1.38</v>
      </c>
      <c r="BU20" s="423"/>
      <c r="BV20" s="26"/>
      <c r="BW20" s="8"/>
      <c r="BX20" s="8"/>
      <c r="BY20" s="8"/>
      <c r="BZ20" s="8"/>
      <c r="CA20" s="302" t="s">
        <v>942</v>
      </c>
    </row>
    <row r="21" spans="1:79" x14ac:dyDescent="0.2">
      <c r="A21" s="122" t="s">
        <v>956</v>
      </c>
      <c r="B21" s="1434">
        <v>1</v>
      </c>
      <c r="C21" s="1107" t="s">
        <v>833</v>
      </c>
      <c r="D21" s="1263" t="s">
        <v>1820</v>
      </c>
      <c r="E21" s="193"/>
      <c r="F21" s="1070" t="s">
        <v>857</v>
      </c>
      <c r="H21" s="1206" t="s">
        <v>1586</v>
      </c>
      <c r="I21" s="2">
        <f>IF(AND($C$27="Yes",$F$26="Yes"),AT32,0)</f>
        <v>0</v>
      </c>
      <c r="J21" s="2">
        <f>IF(AND($C$27="Yes",$F$26="Yes"),AU32,0)</f>
        <v>0</v>
      </c>
      <c r="K21" s="2">
        <f>IF(AND($C$27="Yes",$F$26="Yes",C12="SP"),AV32,0)</f>
        <v>0</v>
      </c>
      <c r="L21" s="2">
        <f>IF(AND($C$27="Yes",$F$26="Yes",C12="BR"),AW32,0)</f>
        <v>0</v>
      </c>
      <c r="N21" s="266"/>
      <c r="O21" s="268" t="s">
        <v>1017</v>
      </c>
      <c r="P21" s="207">
        <f>IF(C44&gt;=80,VLOOKUP(C44,Table_CoIns1,2,FALSE),1+ IF(P5&lt;B45,VLOOKUP(B58,Table_CIUnder80,5,FALSE),0.5))</f>
        <v>1</v>
      </c>
      <c r="Q21" s="423">
        <f>IF(C44&gt;=80,VLOOKUP(C44,Table_CoIns1,2,FALSE),1+ IF(P5&lt;B45,VLOOKUP(B58,Table_CIUnder80,5,FALSE),0.5))</f>
        <v>1</v>
      </c>
      <c r="R21" s="423">
        <f>IF(C44&gt;=80,VLOOKUP(C44,Table_CoIns1,2,FALSE),1+ IF(P5&lt;B45,VLOOKUP(B58,Table_CIUnder80,5,FALSE),0.5))</f>
        <v>1</v>
      </c>
      <c r="S21" s="423">
        <f>IF(C44&gt;=80,VLOOKUP(C44,Table_CoIns1,2,FALSE),1+ IF(P5&lt;B45,VLOOKUP(B58,Table_CIUnder80,5,FALSE),0.5))</f>
        <v>1</v>
      </c>
      <c r="T21" s="385"/>
      <c r="U21" s="1288"/>
      <c r="V21" s="1291" t="s">
        <v>2160</v>
      </c>
      <c r="W21" s="1301" t="e">
        <f ca="1">SUM(W19:W20)</f>
        <v>#N/A</v>
      </c>
      <c r="X21" s="1301" t="e">
        <f>SUM(X19:X20)</f>
        <v>#N/A</v>
      </c>
      <c r="Y21" s="1301">
        <f>SUM(Y19:Y20)</f>
        <v>0</v>
      </c>
      <c r="Z21" s="1301">
        <f>SUM(Z19:Z20)</f>
        <v>0</v>
      </c>
      <c r="AA21" s="385"/>
      <c r="AB21" s="542"/>
      <c r="AC21" s="724" t="s">
        <v>1022</v>
      </c>
      <c r="AD21" s="279">
        <f>1+$BX$14</f>
        <v>1</v>
      </c>
      <c r="AE21" s="279">
        <f>1+$BX$14</f>
        <v>1</v>
      </c>
      <c r="AF21" s="279">
        <f>1+$BX$14</f>
        <v>1</v>
      </c>
      <c r="AG21" s="279">
        <f>1+$BX$14</f>
        <v>1</v>
      </c>
      <c r="AI21" s="385"/>
      <c r="AJ21" s="60"/>
      <c r="AK21" s="1117" t="s">
        <v>2250</v>
      </c>
      <c r="AL21" s="1227">
        <f>IF(AND(C27="Yes",C12="SP"),VLOOKUP(C33,Table_Special_PP,3,0),0)</f>
        <v>0</v>
      </c>
      <c r="AN21" s="1429"/>
      <c r="AO21" s="1226" t="s">
        <v>2253</v>
      </c>
      <c r="AP21" s="238">
        <f>IF(F3="Yes",E4/100,0)</f>
        <v>0</v>
      </c>
      <c r="AR21" s="146"/>
      <c r="AS21" s="545" t="s">
        <v>1666</v>
      </c>
      <c r="AT21" s="2">
        <f>HLOOKUP(C11,Table_StateRates,6,FALSE)</f>
        <v>1.9</v>
      </c>
      <c r="AU21" s="2">
        <f>HLOOKUP(C11,Table_StateRates,6,FALSE)</f>
        <v>1.9</v>
      </c>
      <c r="AV21" s="2">
        <f>HLOOKUP(C11,Table_StateRates,6,FALSE)</f>
        <v>1.9</v>
      </c>
      <c r="AW21" s="2">
        <f>HLOOKUP(C11,Table_StateRates,6,FALSE)</f>
        <v>1.9</v>
      </c>
      <c r="AY21" s="185"/>
      <c r="AZ21" s="186" t="s">
        <v>1336</v>
      </c>
      <c r="BA21" s="185">
        <v>365</v>
      </c>
      <c r="BC21" s="185"/>
      <c r="BD21" s="187" t="s">
        <v>1338</v>
      </c>
      <c r="BE21" s="238" t="e">
        <f ca="1">BE17</f>
        <v>#N/A</v>
      </c>
      <c r="BG21" s="146"/>
      <c r="BH21" s="545" t="s">
        <v>1388</v>
      </c>
      <c r="BI21" s="299">
        <f>IF(F46="Yes",E46,1)</f>
        <v>1</v>
      </c>
      <c r="BJ21" s="299">
        <f>IF(F46="Yes",E46,1)</f>
        <v>1</v>
      </c>
      <c r="BK21" s="299">
        <f>IF(F46="Yes",E46,1)</f>
        <v>1</v>
      </c>
      <c r="BL21" s="299">
        <f>IF(F46="Yes",E46,1)</f>
        <v>1</v>
      </c>
      <c r="BN21" s="266"/>
      <c r="BO21" s="568" t="s">
        <v>685</v>
      </c>
      <c r="BP21" s="266" t="e">
        <f ca="1">ROUND(PRODUCT(BP19:BP20),3)</f>
        <v>#N/A</v>
      </c>
      <c r="BQ21" s="266"/>
      <c r="BR21" s="266"/>
      <c r="BS21" s="268" t="s">
        <v>1018</v>
      </c>
      <c r="BT21" s="423">
        <f>IF(C42=250,DF_250Deductible,C43)</f>
        <v>1</v>
      </c>
      <c r="BU21" s="423"/>
      <c r="BV21" s="445" t="s">
        <v>943</v>
      </c>
      <c r="BW21" s="8"/>
      <c r="BX21" s="8"/>
      <c r="BY21" s="142" t="s">
        <v>944</v>
      </c>
      <c r="BZ21" s="8"/>
      <c r="CA21" s="302" t="s">
        <v>945</v>
      </c>
    </row>
    <row r="22" spans="1:79" ht="13.5" thickBot="1" x14ac:dyDescent="0.25">
      <c r="A22" s="911" t="s">
        <v>958</v>
      </c>
      <c r="B22" s="90"/>
      <c r="C22" s="1059" t="s">
        <v>857</v>
      </c>
      <c r="D22" s="1265" t="s">
        <v>1242</v>
      </c>
      <c r="E22" s="950"/>
      <c r="F22" s="1069"/>
      <c r="I22" s="248"/>
      <c r="J22" s="258"/>
      <c r="K22" s="258"/>
      <c r="L22" s="258"/>
      <c r="N22" s="266"/>
      <c r="O22" s="268" t="s">
        <v>180</v>
      </c>
      <c r="P22" s="423">
        <f>1+$CA$24</f>
        <v>1</v>
      </c>
      <c r="Q22" s="423">
        <f>1+$CA$24</f>
        <v>1</v>
      </c>
      <c r="R22" s="423">
        <f>1+$CA$24</f>
        <v>1</v>
      </c>
      <c r="S22" s="423">
        <f>1+$CA$24</f>
        <v>1</v>
      </c>
      <c r="U22" s="1288"/>
      <c r="V22" s="1288"/>
      <c r="W22" s="1288"/>
      <c r="X22" s="1288"/>
      <c r="Y22" s="1288"/>
      <c r="Z22" s="1288"/>
      <c r="AC22" s="83" t="s">
        <v>1150</v>
      </c>
      <c r="AD22" s="247" t="e">
        <f ca="1">ROUND(PRODUCT(AD9:AD14,IF(AND(C55="Yes",C57="Sprinkler",C58="Yes"),AD15-AD16,AD15),AD17:AD21),3)</f>
        <v>#N/A</v>
      </c>
      <c r="AE22" s="247" t="e">
        <f>ROUND(PRODUCT(AE9:AE21),3)</f>
        <v>#N/A</v>
      </c>
      <c r="AF22" s="247">
        <f>ROUND(PRODUCT(AF9:AF21),3)</f>
        <v>0</v>
      </c>
      <c r="AG22" s="247">
        <f>ROUND(PRODUCT(AG9:AG21),3)</f>
        <v>2.8000000000000001E-2</v>
      </c>
      <c r="AJ22" s="216"/>
      <c r="AK22" s="1226" t="s">
        <v>1017</v>
      </c>
      <c r="AL22" s="1428">
        <f>IF(C44&gt;=80,VLOOKUP(C44,Table_CoIns1,2,FALSE),1+ IF(P5&lt;B45,VLOOKUP(B58,Table_CIUnder80,5,FALSE),0.5))</f>
        <v>1</v>
      </c>
      <c r="AN22" s="793"/>
      <c r="AO22" s="301" t="s">
        <v>2131</v>
      </c>
      <c r="AP22" s="1228">
        <f>ROUND(PRODUCT(AP17,AP20:AP21),0)</f>
        <v>0</v>
      </c>
      <c r="AS22" s="168" t="s">
        <v>1019</v>
      </c>
      <c r="AT22" s="207">
        <f>HLOOKUP(C11,Table_StateRates,5,FALSE)</f>
        <v>1.38</v>
      </c>
      <c r="AU22" s="207">
        <f>HLOOKUP(C11,Table_StateRates,5,FALSE)</f>
        <v>1.38</v>
      </c>
      <c r="AV22" s="207">
        <f>HLOOKUP(C11,Table_StateRates,5,FALSE)</f>
        <v>1.38</v>
      </c>
      <c r="AW22" s="207">
        <f>HLOOKUP(C11,Table_StateRates,5,FALSE)</f>
        <v>1.38</v>
      </c>
      <c r="AZ22" s="83" t="s">
        <v>1334</v>
      </c>
      <c r="BA22" s="2">
        <f>ROUND(BA20/BA21,3)</f>
        <v>0</v>
      </c>
      <c r="BD22" s="83" t="s">
        <v>1339</v>
      </c>
      <c r="BE22" s="248" t="e">
        <f ca="1">IF(BE20=0,0,BE20-BE21)</f>
        <v>#N/A</v>
      </c>
      <c r="BG22" s="146"/>
      <c r="BH22" s="545" t="s">
        <v>1019</v>
      </c>
      <c r="BI22" s="299">
        <f>HLOOKUP(C11,Table_StateRates,5,FALSE)</f>
        <v>1.38</v>
      </c>
      <c r="BJ22" s="299">
        <f>HLOOKUP(C11,Table_StateRates,5,FALSE)</f>
        <v>1.38</v>
      </c>
      <c r="BK22" s="299">
        <f>HLOOKUP(C11,Table_StateRates,5,FALSE)</f>
        <v>1.38</v>
      </c>
      <c r="BL22" s="299">
        <f>HLOOKUP(C11,Table_StateRates,5,FALSE)</f>
        <v>1.38</v>
      </c>
      <c r="BN22" s="542"/>
      <c r="BO22" s="724" t="s">
        <v>1740</v>
      </c>
      <c r="BP22" s="279">
        <f>DF_MoltenMaterial</f>
        <v>0.1</v>
      </c>
      <c r="BQ22" s="385"/>
      <c r="BR22" s="266"/>
      <c r="BS22" s="268" t="s">
        <v>1017</v>
      </c>
      <c r="BT22" s="423">
        <f>IF(C44&gt;=80,VLOOKUP(C44,Table_CoIns1,2,FALSE),1+ IF(P5&lt;B45,VLOOKUP(B58,Table_CIUnder80,5,FALSE),0.5))</f>
        <v>1</v>
      </c>
      <c r="BU22" s="423"/>
      <c r="BV22" s="140" t="s">
        <v>1715</v>
      </c>
      <c r="BW22" s="8"/>
      <c r="BX22" s="8"/>
      <c r="BY22" s="144"/>
      <c r="BZ22" s="8"/>
      <c r="CA22" s="302" t="s">
        <v>946</v>
      </c>
    </row>
    <row r="23" spans="1:79" ht="13.5" thickBot="1" x14ac:dyDescent="0.25">
      <c r="A23" s="908" t="s">
        <v>955</v>
      </c>
      <c r="B23" s="910"/>
      <c r="C23" s="1091"/>
      <c r="D23" s="1265" t="s">
        <v>1329</v>
      </c>
      <c r="E23" s="957"/>
      <c r="F23" s="856" t="s">
        <v>1331</v>
      </c>
      <c r="H23" s="83"/>
      <c r="I23" s="248"/>
      <c r="J23" s="248"/>
      <c r="K23" s="248"/>
      <c r="L23" s="248"/>
      <c r="N23" s="385"/>
      <c r="O23" s="700" t="s">
        <v>1020</v>
      </c>
      <c r="P23" s="559">
        <f>IF(C6="PAC",VLOOKUP(B7,Table_PakMods,MATCH(C11,List_Company,0)+1,FALSE),1)</f>
        <v>1</v>
      </c>
      <c r="Q23" s="559">
        <f>IF(C6="PAC",VLOOKUP(B7,Table_PakMods,MATCH(C11,List_Company,0)+1,FALSE),1)</f>
        <v>1</v>
      </c>
      <c r="R23" s="559">
        <f>IF(C6="PAC",VLOOKUP(B7,Table_PakMods,MATCH(C11,List_Company,0)+1,FALSE),1)</f>
        <v>1</v>
      </c>
      <c r="S23" s="559">
        <f>IF(C6="PAC",VLOOKUP(B7,Table_PakMods,MATCH(C11,List_Company,0)+1,FALSE),1)</f>
        <v>1</v>
      </c>
      <c r="T23" s="146"/>
      <c r="U23" s="1290" t="s">
        <v>1064</v>
      </c>
      <c r="V23" s="1288"/>
      <c r="W23" s="1288"/>
      <c r="X23" s="1288"/>
      <c r="Y23" s="1288"/>
      <c r="Z23" s="1288"/>
      <c r="AA23" s="146"/>
      <c r="AC23" s="1117" t="s">
        <v>2152</v>
      </c>
      <c r="AD23" s="247">
        <f>IF(ISNUMBER(E18),VLOOKUP(E18,Table_LOI_PP,MATCH($C$15,List_Relatives,0)+1),0)</f>
        <v>0</v>
      </c>
      <c r="AE23" s="247">
        <f>IF(ISNUMBER(E18),VLOOKUP(E18,Table_LOI_PP,MATCH($C$15,List_Relatives,0)+1),0)</f>
        <v>0</v>
      </c>
      <c r="AF23" s="247">
        <f>IF(ISNUMBER(E18),VLOOKUP(E18,Table_LOI_PP,MATCH($C$15,List_Relatives,0)+1),0)</f>
        <v>0</v>
      </c>
      <c r="AG23" s="247">
        <f>IF(ISNUMBER(E18),VLOOKUP(E18,Table_LOI_PP,MATCH($C$15,List_Relatives,0)+1),0)</f>
        <v>0</v>
      </c>
      <c r="AI23" s="146"/>
      <c r="AJ23" s="60"/>
      <c r="AK23" s="83" t="s">
        <v>2252</v>
      </c>
      <c r="AL23" s="1315">
        <f>ROUND(PRODUCT(AL20:AL22),3)</f>
        <v>0</v>
      </c>
      <c r="AN23" s="793"/>
      <c r="AO23" s="700"/>
      <c r="AP23" s="881"/>
      <c r="AS23" s="168" t="s">
        <v>1017</v>
      </c>
      <c r="AT23" s="247">
        <f>IF(C44&gt;=80,VLOOKUP(C44,Table_CoIns1,2,FALSE),1+ IF(P5&lt;B45,VLOOKUP(B58,Table_CIUnder80,5,FALSE),0.5))</f>
        <v>1</v>
      </c>
      <c r="AU23" s="247">
        <f>IF(C44&gt;=80,VLOOKUP(C44,Table_CoIns1,2,FALSE),1+ IF(P5&lt;B45,VLOOKUP(B58,Table_CIUnder80,5,FALSE),0.5))</f>
        <v>1</v>
      </c>
      <c r="AV23" s="247">
        <f>IF(C44&gt;=80,VLOOKUP(C44,Table_CoIns1,2,FALSE),1+ IF(P5&lt;B45,VLOOKUP(B58,Table_CIUnder80,5,FALSE),0.5))</f>
        <v>1</v>
      </c>
      <c r="AW23" s="247">
        <f>IF(C44&gt;=80,VLOOKUP(C44,Table_CoIns1,2,FALSE),1+ IF(P5&lt;B45,VLOOKUP(B58,Table_CIUnder80,5,FALSE),0.5))</f>
        <v>1</v>
      </c>
      <c r="AY23" s="793"/>
      <c r="AZ23" s="301"/>
      <c r="BA23" s="146"/>
      <c r="BC23" s="146"/>
      <c r="BD23" s="545" t="s">
        <v>1340</v>
      </c>
      <c r="BE23" s="146">
        <f>BA22</f>
        <v>0</v>
      </c>
      <c r="BG23" s="146"/>
      <c r="BH23" s="545" t="s">
        <v>1017</v>
      </c>
      <c r="BI23" s="299">
        <f>IF(C44&gt;=80,VLOOKUP(C44,Table_CoIns1,2,FALSE),1+ IF(P5&lt;B45,VLOOKUP(B58,Table_CIUnder80,5,FALSE),0.5))</f>
        <v>1</v>
      </c>
      <c r="BJ23" s="299">
        <f>IF(C44&gt;=80,VLOOKUP(C44,Table_CoIns1,2,FALSE),1+ IF(P5&lt;B45,VLOOKUP(B58,Table_CIUnder80,5,FALSE),0.5))</f>
        <v>1</v>
      </c>
      <c r="BK23" s="299">
        <f>IF(C44&gt;=80,VLOOKUP(C44,Table_CoIns1,2,FALSE),1+ IF(P5&lt;B45,VLOOKUP(B58,Table_CIUnder80,5,FALSE),0.5))</f>
        <v>1</v>
      </c>
      <c r="BL23" s="299">
        <f>IF(C44&gt;=80,VLOOKUP(C44,Table_CoIns1,2,FALSE),1+ IF(P5&lt;B45,VLOOKUP(B58,Table_CIUnder80,5,FALSE),0.5))</f>
        <v>1</v>
      </c>
      <c r="BN23" s="266"/>
      <c r="BO23" s="568" t="s">
        <v>917</v>
      </c>
      <c r="BP23" s="426" t="e">
        <f ca="1">ROUND(PRODUCT(BP21:BP22),3)</f>
        <v>#N/A</v>
      </c>
      <c r="BQ23" s="423"/>
      <c r="BR23" s="266"/>
      <c r="BS23" s="268" t="s">
        <v>180</v>
      </c>
      <c r="BT23" s="423">
        <f>1+$CA$24</f>
        <v>1</v>
      </c>
      <c r="BU23" s="299"/>
      <c r="BV23" s="141" t="s">
        <v>1714</v>
      </c>
      <c r="BW23" s="139"/>
      <c r="BX23" s="139"/>
      <c r="BY23" s="145"/>
      <c r="BZ23" s="139"/>
      <c r="CA23" s="148"/>
    </row>
    <row r="24" spans="1:79" ht="13.5" thickBot="1" x14ac:dyDescent="0.25">
      <c r="A24" s="415" t="s">
        <v>957</v>
      </c>
      <c r="B24" s="941"/>
      <c r="C24" s="1271" t="s">
        <v>833</v>
      </c>
      <c r="D24" s="1265" t="s">
        <v>1330</v>
      </c>
      <c r="E24" s="957"/>
      <c r="F24" s="875">
        <f>IF(OR(ISBLANK(E24),ISBLANK(E23)),0,E24-E23)</f>
        <v>0</v>
      </c>
      <c r="I24" s="248"/>
      <c r="J24" s="248"/>
      <c r="K24" s="248"/>
      <c r="L24" s="973" t="s">
        <v>1048</v>
      </c>
      <c r="N24" s="542"/>
      <c r="O24" s="724" t="s">
        <v>1022</v>
      </c>
      <c r="P24" s="279">
        <f>1+$BX$14</f>
        <v>1</v>
      </c>
      <c r="Q24" s="279">
        <f>1+$BX$14</f>
        <v>1</v>
      </c>
      <c r="R24" s="279">
        <f>1+$BX$14</f>
        <v>1</v>
      </c>
      <c r="S24" s="279">
        <f>1+$BX$14</f>
        <v>1</v>
      </c>
      <c r="T24" s="248"/>
      <c r="U24" s="1288"/>
      <c r="V24" s="1294" t="s">
        <v>1200</v>
      </c>
      <c r="W24" s="1301" t="e">
        <f ca="1">W19</f>
        <v>#N/A</v>
      </c>
      <c r="X24" s="1301" t="e">
        <f>X19</f>
        <v>#N/A</v>
      </c>
      <c r="Y24" s="1301">
        <f>Y19</f>
        <v>0</v>
      </c>
      <c r="Z24" s="1301">
        <f>Z19</f>
        <v>0</v>
      </c>
      <c r="AA24" s="248"/>
      <c r="AB24" s="185"/>
      <c r="AC24" s="186" t="s">
        <v>1025</v>
      </c>
      <c r="AD24" s="238">
        <f>IF(ISNUMBER(E18),E18/100,0)</f>
        <v>0</v>
      </c>
      <c r="AE24" s="238">
        <f>IF(ISNUMBER(E18),E18/100,0)</f>
        <v>0</v>
      </c>
      <c r="AF24" s="238">
        <f>IF(ISNUMBER(E18),E18/100,0)</f>
        <v>0</v>
      </c>
      <c r="AG24" s="238">
        <f>IF(ISNUMBER(E18),E18/100,0)</f>
        <v>0</v>
      </c>
      <c r="AI24" s="248"/>
      <c r="AJ24" s="60"/>
      <c r="AL24" s="235"/>
      <c r="AN24" s="793"/>
      <c r="AO24" s="702"/>
      <c r="AP24" s="385"/>
      <c r="AS24" s="545" t="s">
        <v>1018</v>
      </c>
      <c r="AT24" s="207">
        <f>IF(C42=250,DF_250Deductible,C43)</f>
        <v>1</v>
      </c>
      <c r="AU24" s="207">
        <f>IF(C42=250,DF_250Deductible,C43)</f>
        <v>1</v>
      </c>
      <c r="AV24" s="207">
        <f>IF(C42=250,DF_250Deductible,C43)</f>
        <v>1</v>
      </c>
      <c r="AW24" s="207">
        <f>IF(C42=250,DF_250Deductible,C43)</f>
        <v>1</v>
      </c>
      <c r="AY24" s="146"/>
      <c r="AZ24" s="882"/>
      <c r="BA24" s="563"/>
      <c r="BC24" s="787"/>
      <c r="BD24" s="879" t="s">
        <v>1341</v>
      </c>
      <c r="BE24" s="880" t="e">
        <f ca="1">ROUND(PRODUCT(BE22:BE23),0)</f>
        <v>#N/A</v>
      </c>
      <c r="BG24" s="146"/>
      <c r="BH24" s="545" t="s">
        <v>1018</v>
      </c>
      <c r="BI24" s="299">
        <f>IF(C42=250,DF_250Deductible,C43)</f>
        <v>1</v>
      </c>
      <c r="BJ24" s="299">
        <f>IF(C42=250,DF_250Deductible,C43)</f>
        <v>1</v>
      </c>
      <c r="BK24" s="299">
        <f>IF(C42=250,DF_250Deductible,C43)</f>
        <v>1</v>
      </c>
      <c r="BL24" s="299">
        <f>IF(C42=250,DF_250Deductible,C43)</f>
        <v>1</v>
      </c>
      <c r="BN24" s="266"/>
      <c r="BO24" s="268" t="s">
        <v>180</v>
      </c>
      <c r="BP24" s="423">
        <f>1+$CA$24</f>
        <v>1</v>
      </c>
      <c r="BQ24" s="559"/>
      <c r="BR24" s="266"/>
      <c r="BS24" s="545" t="s">
        <v>1020</v>
      </c>
      <c r="BT24" s="299">
        <f>IF(C6="PAC",VLOOKUP(B7,Table_PakMods,MATCH(C11,List_Company,0)+1,FALSE),1)</f>
        <v>1</v>
      </c>
      <c r="BU24" s="559"/>
      <c r="BV24" s="141" t="s">
        <v>1716</v>
      </c>
      <c r="BW24" s="139"/>
      <c r="BX24" s="139"/>
      <c r="BY24" s="145"/>
      <c r="BZ24" s="139"/>
      <c r="CA24" s="150"/>
    </row>
    <row r="25" spans="1:79" ht="13.5" thickBot="1" x14ac:dyDescent="0.25">
      <c r="A25" s="92"/>
      <c r="B25" s="93"/>
      <c r="C25" s="1108"/>
      <c r="D25" s="541"/>
      <c r="E25" s="828"/>
      <c r="F25" s="1113"/>
      <c r="H25" s="486" t="s">
        <v>1571</v>
      </c>
      <c r="I25" s="485">
        <f>IF(AND(C27="Yes",F3="Yes"),AL31,0)</f>
        <v>0</v>
      </c>
      <c r="J25" s="248"/>
      <c r="K25" s="976"/>
      <c r="L25" s="478"/>
      <c r="N25" s="385"/>
      <c r="O25" s="685" t="s">
        <v>2236</v>
      </c>
      <c r="P25" s="1314">
        <f>ROUND(PRODUCT(P21:P24),3)</f>
        <v>1</v>
      </c>
      <c r="Q25" s="1314">
        <f>ROUND(PRODUCT(Q21:Q24),3)</f>
        <v>1</v>
      </c>
      <c r="R25" s="1314">
        <f>ROUND(PRODUCT(R21:R24),3)</f>
        <v>1</v>
      </c>
      <c r="S25" s="1314">
        <f>ROUND(PRODUCT(S21:S24),3)</f>
        <v>1</v>
      </c>
      <c r="T25" s="146"/>
      <c r="U25" s="1295"/>
      <c r="V25" s="1296" t="s">
        <v>1026</v>
      </c>
      <c r="W25" s="1305">
        <f>$P$40</f>
        <v>0</v>
      </c>
      <c r="X25" s="1305">
        <f>$P$40</f>
        <v>0</v>
      </c>
      <c r="Y25" s="1305">
        <f>$P$40</f>
        <v>0</v>
      </c>
      <c r="Z25" s="1305">
        <f>$P$40</f>
        <v>0</v>
      </c>
      <c r="AA25" s="146"/>
      <c r="AC25" s="83" t="s">
        <v>1200</v>
      </c>
      <c r="AD25" s="248" t="e">
        <f ca="1">ROUND(PRODUCT(AD22:AD24),0)</f>
        <v>#N/A</v>
      </c>
      <c r="AE25" s="248" t="e">
        <f>ROUND(PRODUCT(AE22:AE24),0)</f>
        <v>#N/A</v>
      </c>
      <c r="AF25" s="248">
        <f>ROUND(PRODUCT(AF22:AF24),0)</f>
        <v>0</v>
      </c>
      <c r="AG25" s="248">
        <f>ROUND(PRODUCT(AG22:AG24),0)</f>
        <v>0</v>
      </c>
      <c r="AI25" s="146"/>
      <c r="AJ25" s="60"/>
      <c r="AL25" s="235"/>
      <c r="AN25" s="1225" t="s">
        <v>2127</v>
      </c>
      <c r="AO25" s="1213"/>
      <c r="AP25" s="1224"/>
      <c r="AR25" s="266"/>
      <c r="AS25" s="268" t="s">
        <v>180</v>
      </c>
      <c r="AT25" s="423">
        <f>1+$CA$24</f>
        <v>1</v>
      </c>
      <c r="AU25" s="423">
        <f>1+$CA$24</f>
        <v>1</v>
      </c>
      <c r="AV25" s="423">
        <f>1+$CA$24</f>
        <v>1</v>
      </c>
      <c r="AW25" s="423">
        <f>1+$CA$24</f>
        <v>1</v>
      </c>
      <c r="AY25" s="146"/>
      <c r="AZ25" s="882"/>
      <c r="BA25" s="478"/>
      <c r="BG25" s="146"/>
      <c r="BH25" s="268" t="s">
        <v>180</v>
      </c>
      <c r="BI25" s="423">
        <f>1+$CA$24</f>
        <v>1</v>
      </c>
      <c r="BJ25" s="423">
        <f>1+$CA$24</f>
        <v>1</v>
      </c>
      <c r="BK25" s="423">
        <f>1+$CA$24</f>
        <v>1</v>
      </c>
      <c r="BL25" s="423">
        <f>1+$CA$24</f>
        <v>1</v>
      </c>
      <c r="BN25" s="266"/>
      <c r="BO25" s="545" t="s">
        <v>1020</v>
      </c>
      <c r="BP25" s="299">
        <f>IF(C6="PAC",VLOOKUP(B7,Table_PakMods,MATCH(C11,List_Company,0)+1,FALSE),1)</f>
        <v>1</v>
      </c>
      <c r="BQ25" s="426"/>
      <c r="BR25" s="542"/>
      <c r="BS25" s="724" t="s">
        <v>1022</v>
      </c>
      <c r="BT25" s="279">
        <f>1+$CK$14</f>
        <v>1</v>
      </c>
      <c r="BU25" s="385"/>
      <c r="BV25" s="141" t="s">
        <v>1717</v>
      </c>
      <c r="BW25" s="139"/>
      <c r="BX25" s="139"/>
      <c r="BY25" s="145"/>
      <c r="BZ25" s="139"/>
      <c r="CA25" s="148"/>
    </row>
    <row r="26" spans="1:79" ht="13.5" thickBot="1" x14ac:dyDescent="0.25">
      <c r="A26" s="529" t="s">
        <v>1831</v>
      </c>
      <c r="B26" s="531"/>
      <c r="C26" s="532"/>
      <c r="D26" s="932" t="s">
        <v>1810</v>
      </c>
      <c r="E26" s="912" t="str">
        <f>IF(TC10_BLDG1!F20="Yes","Bldg","Available")</f>
        <v>Available</v>
      </c>
      <c r="F26" s="1070" t="s">
        <v>857</v>
      </c>
      <c r="H26" s="486" t="s">
        <v>1582</v>
      </c>
      <c r="I26" s="485">
        <f>IF(AND(C27="Yes",F7="Yes"),AL12,0)</f>
        <v>0</v>
      </c>
      <c r="J26" s="248"/>
      <c r="K26" s="1203"/>
      <c r="L26" s="478"/>
      <c r="O26" s="1117" t="s">
        <v>2330</v>
      </c>
      <c r="P26" s="247">
        <v>1</v>
      </c>
      <c r="Q26" s="247">
        <v>1</v>
      </c>
      <c r="R26" s="247">
        <f>IF($C$12="SP",VLOOKUP($C$18,Table_TerrMult_SP,2,0),1)</f>
        <v>1</v>
      </c>
      <c r="S26" s="247">
        <v>1</v>
      </c>
      <c r="T26" s="248"/>
      <c r="U26" s="1288"/>
      <c r="V26" s="1291" t="s">
        <v>1023</v>
      </c>
      <c r="W26" s="1301">
        <v>0</v>
      </c>
      <c r="X26" s="1301">
        <v>0</v>
      </c>
      <c r="Y26" s="1301">
        <v>0</v>
      </c>
      <c r="Z26" s="1301">
        <v>0</v>
      </c>
      <c r="AA26" s="248"/>
      <c r="AB26" s="146"/>
      <c r="AC26" s="146"/>
      <c r="AD26" s="146"/>
      <c r="AE26" s="146"/>
      <c r="AF26" s="146"/>
      <c r="AG26" s="146"/>
      <c r="AH26" s="146"/>
      <c r="AI26" s="248"/>
      <c r="AJ26" s="60"/>
      <c r="AL26" s="235"/>
      <c r="AO26" s="1117" t="s">
        <v>2251</v>
      </c>
      <c r="AP26" s="247">
        <f>AL23</f>
        <v>0</v>
      </c>
      <c r="AR26" s="146"/>
      <c r="AS26" s="545" t="s">
        <v>1020</v>
      </c>
      <c r="AT26" s="299">
        <f>IF(C6="PAC",VLOOKUP(B7,Table_PakMods,MATCH(C11,List_Company,0)+1,FALSE),1)</f>
        <v>1</v>
      </c>
      <c r="AU26" s="299">
        <f>IF(C6="PAC",VLOOKUP(B7,Table_PakMods,MATCH(C11,List_Company,0)+1,FALSE),1)</f>
        <v>1</v>
      </c>
      <c r="AV26" s="299">
        <f>IF(C6="PAC",VLOOKUP(B7,Table_PakMods,MATCH(C11,List_Company,0)+1,FALSE),1)</f>
        <v>1</v>
      </c>
      <c r="AW26" s="299">
        <f>IF(C6="PAC",VLOOKUP(B7,Table_PakMods,MATCH(C11,List_Company,0)+1,FALSE),1)</f>
        <v>1</v>
      </c>
      <c r="AY26" s="86"/>
      <c r="AZ26" s="1278"/>
      <c r="BA26" s="1279"/>
      <c r="BB26" s="86"/>
      <c r="BC26" s="86"/>
      <c r="BD26" s="86"/>
      <c r="BE26" s="86"/>
      <c r="BG26" s="146"/>
      <c r="BH26" s="545" t="s">
        <v>1020</v>
      </c>
      <c r="BI26" s="299">
        <f>IF(C6="PAC",VLOOKUP(B7,Table_PakMods,MATCH(C11,List_Company,0)+1,FALSE),1)</f>
        <v>1</v>
      </c>
      <c r="BJ26" s="299">
        <f>IF(C6="PAC",VLOOKUP(B7,Table_PakMods,MATCH(C11,List_Company,0)+1,FALSE),1)</f>
        <v>1</v>
      </c>
      <c r="BK26" s="299">
        <f>IF(C6="PAC",VLOOKUP(B7,Table_PakMods,MATCH(C11,List_Company,0)+1,FALSE),1)</f>
        <v>1</v>
      </c>
      <c r="BL26" s="299">
        <f>IF(C6="PAC",VLOOKUP(B7,Table_PakMods,MATCH(C11,List_Company,0)+1,FALSE),1)</f>
        <v>1</v>
      </c>
      <c r="BN26" s="542"/>
      <c r="BO26" s="724" t="s">
        <v>1022</v>
      </c>
      <c r="BP26" s="279">
        <f>1+$BX$14</f>
        <v>1</v>
      </c>
      <c r="BQ26" s="385"/>
      <c r="BR26" s="385"/>
      <c r="BS26" s="685" t="s">
        <v>686</v>
      </c>
      <c r="BT26" s="385">
        <f>ROUND(PRODUCT(BT18:BT25),3)</f>
        <v>0</v>
      </c>
      <c r="BU26" s="478"/>
      <c r="BV26" s="141" t="s">
        <v>1718</v>
      </c>
      <c r="BW26" s="8"/>
      <c r="BX26" s="8"/>
      <c r="BY26" s="145"/>
      <c r="BZ26" s="8"/>
      <c r="CA26" s="149"/>
    </row>
    <row r="27" spans="1:79" ht="13.5" thickBot="1" x14ac:dyDescent="0.25">
      <c r="A27" s="521" t="s">
        <v>1068</v>
      </c>
      <c r="B27" s="95"/>
      <c r="C27" s="1058" t="s">
        <v>833</v>
      </c>
      <c r="D27" s="1266" t="s">
        <v>1646</v>
      </c>
      <c r="E27" s="950"/>
      <c r="F27" s="1065"/>
      <c r="H27" s="486" t="s">
        <v>1147</v>
      </c>
      <c r="I27" s="248">
        <f>IF(AND(C10=3,C27="Yes",F9="Yes"),AD39,0)</f>
        <v>0</v>
      </c>
      <c r="J27" s="248"/>
      <c r="K27" s="1203"/>
      <c r="L27" s="575"/>
      <c r="N27" s="542"/>
      <c r="O27" s="1211" t="s">
        <v>2169</v>
      </c>
      <c r="P27" s="757" t="e">
        <f ca="1">P20</f>
        <v>#N/A</v>
      </c>
      <c r="Q27" s="757" t="e">
        <f>Q20</f>
        <v>#N/A</v>
      </c>
      <c r="R27" s="757">
        <f>R20</f>
        <v>0</v>
      </c>
      <c r="S27" s="757">
        <f>S20</f>
        <v>5.5E-2</v>
      </c>
      <c r="U27" s="1288"/>
      <c r="V27" s="1288"/>
      <c r="W27" s="1288"/>
      <c r="X27" s="1288"/>
      <c r="Y27" s="1288"/>
      <c r="Z27" s="1288"/>
      <c r="AJ27" s="60"/>
      <c r="AL27" s="235"/>
      <c r="AN27" s="1332"/>
      <c r="AO27" s="1333" t="s">
        <v>2193</v>
      </c>
      <c r="AP27" s="1335" t="str">
        <f>IF(ISNUMBER($E$5)=FALSE,"NA",IF(ISNA(MATCH($E$5,List_LOI_PP,0)),VLOOKUP($E$5,List_LOI_PP,1,TRUE),"NA"))</f>
        <v>NA</v>
      </c>
      <c r="AR27" s="542"/>
      <c r="AS27" s="724" t="s">
        <v>1022</v>
      </c>
      <c r="AT27" s="279">
        <f>1+$BX$14</f>
        <v>1</v>
      </c>
      <c r="AU27" s="279">
        <f>1+$BX$14</f>
        <v>1</v>
      </c>
      <c r="AV27" s="279">
        <f>1+$BX$14</f>
        <v>1</v>
      </c>
      <c r="AW27" s="279">
        <f>1+$BX$14</f>
        <v>1</v>
      </c>
      <c r="AY27" s="146"/>
      <c r="AZ27" s="146"/>
      <c r="BA27" s="146"/>
      <c r="BB27" s="146"/>
      <c r="BC27" s="146"/>
      <c r="BD27" s="146"/>
      <c r="BE27" s="146"/>
      <c r="BG27" s="185"/>
      <c r="BH27" s="724" t="s">
        <v>1022</v>
      </c>
      <c r="BI27" s="279">
        <f>1+$BX$14</f>
        <v>1</v>
      </c>
      <c r="BJ27" s="279">
        <f>1+$BX$14</f>
        <v>1</v>
      </c>
      <c r="BK27" s="279">
        <f>1+$BX$14</f>
        <v>1</v>
      </c>
      <c r="BL27" s="279">
        <f>1+$BX$14</f>
        <v>1</v>
      </c>
      <c r="BN27" s="385"/>
      <c r="BO27" s="685" t="s">
        <v>1741</v>
      </c>
      <c r="BP27" s="558" t="e">
        <f ca="1">ROUND(PRODUCT(BP23:BP26),3)</f>
        <v>#N/A</v>
      </c>
      <c r="BQ27" s="266"/>
      <c r="BR27" s="542"/>
      <c r="BS27" s="724" t="s">
        <v>928</v>
      </c>
      <c r="BT27" s="238">
        <f>IF(ISNUMBER(F51),F51/100,0)</f>
        <v>0</v>
      </c>
      <c r="BU27" s="248"/>
      <c r="BV27" s="141" t="s">
        <v>1719</v>
      </c>
      <c r="BW27" s="8"/>
      <c r="BX27" s="8"/>
      <c r="BY27" s="145"/>
      <c r="BZ27" s="8"/>
      <c r="CA27" s="149"/>
    </row>
    <row r="28" spans="1:79" ht="13.5" customHeight="1" thickBot="1" x14ac:dyDescent="0.25">
      <c r="A28" s="523" t="s">
        <v>899</v>
      </c>
      <c r="B28" s="95"/>
      <c r="C28" s="1038" t="s">
        <v>83</v>
      </c>
      <c r="D28" s="494" t="s">
        <v>1160</v>
      </c>
      <c r="E28" s="596" t="str">
        <f>IF(F26="Yes",VLOOKUP(C14,Table_SpecialCR,2,FALSE),"N/A")</f>
        <v>N/A</v>
      </c>
      <c r="F28" s="1062"/>
      <c r="H28" s="486" t="s">
        <v>1146</v>
      </c>
      <c r="I28" s="248">
        <f>IF(AND(C10=3,C27="Yes",F9="Yes"),AH39,0)</f>
        <v>0</v>
      </c>
      <c r="J28" s="248"/>
      <c r="K28" s="1203"/>
      <c r="L28" s="575"/>
      <c r="O28" s="83" t="s">
        <v>1150</v>
      </c>
      <c r="P28" s="1315" t="e">
        <f ca="1">IF($C$30="Yes",B31,ROUND(PRODUCT(P25:P27),3))</f>
        <v>#N/A</v>
      </c>
      <c r="Q28" s="1315" t="e">
        <f>IF($C$30="Yes",C31,ROUND(PRODUCT(Q25:Q27),3))</f>
        <v>#N/A</v>
      </c>
      <c r="R28" s="1484">
        <f>IF($C$30="Yes",B32,ROUND(PRODUCT(R25:R27),4))</f>
        <v>0</v>
      </c>
      <c r="S28" s="1315">
        <f>IF($C$30="Yes",C32,ROUND(PRODUCT(S25:S27),3))</f>
        <v>5.5E-2</v>
      </c>
      <c r="U28" s="1288"/>
      <c r="V28" s="1288"/>
      <c r="W28" s="1288"/>
      <c r="X28" s="1288"/>
      <c r="Y28" s="1288"/>
      <c r="Z28" s="1288"/>
      <c r="AG28" s="83"/>
      <c r="AH28" s="786"/>
      <c r="AJ28" s="3" t="s">
        <v>2134</v>
      </c>
      <c r="AK28" s="300"/>
      <c r="AL28" s="563"/>
      <c r="AN28" s="1336"/>
      <c r="AO28" s="1337" t="s">
        <v>2194</v>
      </c>
      <c r="AP28" s="1425">
        <f>IF(AP27="NA",0,INDEX(List_LOI_PP,MATCH(AP27,List_LOI_PP,0)+1,1))</f>
        <v>0</v>
      </c>
      <c r="AS28" s="301" t="s">
        <v>1059</v>
      </c>
      <c r="AT28" s="247">
        <f>ROUND(PRODUCT(AT20:AT27),3)</f>
        <v>0</v>
      </c>
      <c r="AU28" s="247" t="e">
        <f>ROUND(PRODUCT(AU20:AU27),3)</f>
        <v>#N/A</v>
      </c>
      <c r="AV28" s="247">
        <f>ROUND(PRODUCT(AV20:AV27),3)</f>
        <v>0</v>
      </c>
      <c r="AW28" s="247">
        <f>ROUND(PRODUCT(AW20:AW27),3)</f>
        <v>0.14399999999999999</v>
      </c>
      <c r="AY28" s="60" t="s">
        <v>1583</v>
      </c>
      <c r="BH28" s="301" t="s">
        <v>1389</v>
      </c>
      <c r="BI28" s="247">
        <f>ROUND(PRODUCT(BI19:BI27),3)</f>
        <v>2.1000000000000001E-2</v>
      </c>
      <c r="BJ28" s="247">
        <f>ROUND(PRODUCT(BJ19:BJ27),3)</f>
        <v>1.6E-2</v>
      </c>
      <c r="BK28" s="247">
        <f>ROUND(PRODUCT(BK19:BK27),3)</f>
        <v>5.5E-2</v>
      </c>
      <c r="BL28" s="247">
        <f>ROUND(PRODUCT(BL19:BL27),3)</f>
        <v>1.6E-2</v>
      </c>
      <c r="BN28" s="542"/>
      <c r="BO28" s="724" t="s">
        <v>928</v>
      </c>
      <c r="BP28" s="238">
        <f>IF(ISNUMBER(F51),F51/100,0)</f>
        <v>0</v>
      </c>
      <c r="BQ28" s="266"/>
      <c r="BR28" s="266"/>
      <c r="BS28" s="568" t="s">
        <v>687</v>
      </c>
      <c r="BT28" s="248">
        <f>ROUND(PRODUCT(BT26:BT27),0)</f>
        <v>0</v>
      </c>
      <c r="BU28" s="266"/>
      <c r="BV28" s="141" t="s">
        <v>1720</v>
      </c>
      <c r="BW28" s="8"/>
      <c r="BX28" s="8"/>
      <c r="BY28" s="145"/>
      <c r="BZ28" s="8"/>
      <c r="CA28" s="149"/>
    </row>
    <row r="29" spans="1:79" ht="13.5" thickBot="1" x14ac:dyDescent="0.25">
      <c r="A29" s="124" t="s">
        <v>959</v>
      </c>
      <c r="B29" s="1274"/>
      <c r="C29" s="1275"/>
      <c r="D29" s="1267" t="str">
        <f>IF(F26&lt;&gt;"Yes","Outdoor Trees, Shrubs &amp; Plants - N/A",IF(AND(ISBLANK(F28),F26="Yes"),"Please Select Special Class Item #",VLOOKUP(F28,Table_SpecialLC,2,FALSE)))</f>
        <v>Outdoor Trees, Shrubs &amp; Plants - N/A</v>
      </c>
      <c r="E29" s="95"/>
      <c r="F29" s="1039"/>
      <c r="H29" s="486" t="s">
        <v>1570</v>
      </c>
      <c r="I29" s="485">
        <f>IF(AND($C$27="Yes",$F$13="Yes"),AT13,0)</f>
        <v>0</v>
      </c>
      <c r="J29" s="248"/>
      <c r="K29" s="1203"/>
      <c r="L29" s="575"/>
      <c r="N29" s="1332"/>
      <c r="O29" s="1333" t="s">
        <v>2193</v>
      </c>
      <c r="P29" s="1335" t="str">
        <f>IF(ISNUMBER($C$69)=FALSE,"NA",IF(ISNA(MATCH($C$69,List_LOI_PP,0)),VLOOKUP($C$69,List_LOI_PP,1,TRUE),"NA"))</f>
        <v>NA</v>
      </c>
      <c r="Q29" s="1335" t="str">
        <f>IF(ISNUMBER($C$69)=FALSE,"NA",IF(ISNA(MATCH($C$69,List_LOI_PP,0)),VLOOKUP($C$69,List_LOI_PP,1,TRUE),"NA"))</f>
        <v>NA</v>
      </c>
      <c r="R29" s="1335" t="str">
        <f>IF(ISNUMBER($C$69)=FALSE,"NA",IF(ISNA(MATCH($C$69,List_LOI_PP,0)),VLOOKUP($C$69,List_LOI_PP,1,TRUE),"NA"))</f>
        <v>NA</v>
      </c>
      <c r="S29" s="1335" t="str">
        <f>IF(ISNUMBER($C$69)=FALSE,"NA",IF(ISNA(MATCH($C$69,List_LOI_PP,0)),VLOOKUP($C$69,List_LOI_PP,1,TRUE),"NA"))</f>
        <v>NA</v>
      </c>
      <c r="U29" s="1307" t="str">
        <f>IF(ISTEXT(A$67),A$67&amp;" Premium","No Additional PP Item")</f>
        <v>No Additional PP Item</v>
      </c>
      <c r="V29" s="1292"/>
      <c r="W29" s="1308" t="s">
        <v>1012</v>
      </c>
      <c r="X29" s="1308" t="s">
        <v>1013</v>
      </c>
      <c r="Y29" s="1308" t="s">
        <v>838</v>
      </c>
      <c r="Z29" s="1309" t="s">
        <v>837</v>
      </c>
      <c r="AE29" s="478"/>
      <c r="AF29" s="385"/>
      <c r="AG29" s="685"/>
      <c r="AH29" s="385"/>
      <c r="AJ29" s="1227"/>
      <c r="AK29" s="1117" t="s">
        <v>2132</v>
      </c>
      <c r="AL29" s="1276">
        <f>AP31</f>
        <v>0</v>
      </c>
      <c r="AN29" s="562"/>
      <c r="AO29" s="1210" t="s">
        <v>2130</v>
      </c>
      <c r="AP29" s="247">
        <f>IF(ISNUMBER($E$4)=FALSE,0,IF(AND(AP27="NA", ISNUMBER($E$4)),VLOOKUP($E$4,Table_LOI_PP,MATCH("SP",List_Relatives,0)+1,FALSE),ROUND(VLOOKUP(AP27,Table_LOI_PP,MATCH("SP",List_Relatives,0)+1,FALSE) - PRODUCT((VLOOKUP(AP27,Table_LOI_PP,MATCH("SP",List_Relatives,0)+1,FALSE) - VLOOKUP(AP28,Table_LOI_PP,MATCH("SP",List_Relatives,0)+1,FALSE)),$E$4-AP27)/(AP28-AP27),3)))</f>
        <v>0</v>
      </c>
      <c r="AR29" s="185"/>
      <c r="AS29" s="186" t="s">
        <v>1025</v>
      </c>
      <c r="AT29" s="238">
        <f>IF(F26="Yes",E27/100,0)</f>
        <v>0</v>
      </c>
      <c r="AU29" s="238">
        <f>IF(F26="Yes",E27/100,0)</f>
        <v>0</v>
      </c>
      <c r="AV29" s="238">
        <f>IF(F26="Yes",E27/100,0)</f>
        <v>0</v>
      </c>
      <c r="AW29" s="238">
        <f>IF(F26="Yes",E27/100,0)</f>
        <v>0</v>
      </c>
      <c r="AZ29" s="168" t="s">
        <v>787</v>
      </c>
      <c r="BA29" s="2">
        <f>IF(F32="Yes",VLOOKUP(F36,Table_SpoilLC,F37,FALSE),0)</f>
        <v>0</v>
      </c>
      <c r="BG29" s="185"/>
      <c r="BH29" s="186" t="s">
        <v>1025</v>
      </c>
      <c r="BI29" s="238">
        <f>IF(ISBLANK(E40),0,E40/100)</f>
        <v>0</v>
      </c>
      <c r="BJ29" s="238">
        <f>IF(ISBLANK(E40),0,E40/100)</f>
        <v>0</v>
      </c>
      <c r="BK29" s="238">
        <f>IF(ISBLANK(E40),0,E40/100)</f>
        <v>0</v>
      </c>
      <c r="BL29" s="238">
        <f>IF(ISBLANK(E40),0,E40/100)</f>
        <v>0</v>
      </c>
      <c r="BN29" s="266"/>
      <c r="BO29" s="568" t="s">
        <v>681</v>
      </c>
      <c r="BP29" s="248" t="e">
        <f ca="1">ROUND(PRODUCT(BP27:BP28),0)</f>
        <v>#N/A</v>
      </c>
      <c r="BQ29" s="266"/>
      <c r="BR29" s="266"/>
      <c r="BS29" s="266"/>
      <c r="BT29" s="266"/>
      <c r="BV29" s="141" t="s">
        <v>1721</v>
      </c>
      <c r="BW29" s="8"/>
      <c r="BX29" s="8"/>
      <c r="BY29" s="145"/>
      <c r="BZ29" s="8"/>
      <c r="CA29" s="149"/>
    </row>
    <row r="30" spans="1:79" ht="13.5" thickBot="1" x14ac:dyDescent="0.25">
      <c r="A30" s="108" t="s">
        <v>953</v>
      </c>
      <c r="B30" s="95"/>
      <c r="C30" s="1059" t="s">
        <v>857</v>
      </c>
      <c r="D30" s="938" t="s">
        <v>113</v>
      </c>
      <c r="E30" s="894" t="str">
        <f>IF(F26="Yes",VLOOKUP(F28,Table_SpecialLC,6,FALSE),"None")</f>
        <v>None</v>
      </c>
      <c r="F30" s="543" t="str">
        <f>IF(F26="Yes",VLOOKUP(F28,Table_SpecialLC,7,FALSE),"None")</f>
        <v>None</v>
      </c>
      <c r="H30" s="268" t="s">
        <v>1148</v>
      </c>
      <c r="I30" s="485">
        <f>IF(AND(C27="Yes",F21="Yes"),BE24,0)</f>
        <v>0</v>
      </c>
      <c r="J30" s="485"/>
      <c r="K30" s="1203"/>
      <c r="L30" s="575"/>
      <c r="N30" s="1336"/>
      <c r="O30" s="1337" t="s">
        <v>2194</v>
      </c>
      <c r="P30" s="1425">
        <f>IF(P29="NA",0,INDEX(List_LOI_PP,MATCH(P29,List_LOI_PP,0)+1,1))</f>
        <v>0</v>
      </c>
      <c r="Q30" s="1425">
        <f>IF(Q29="NA",0,INDEX(List_LOI_PP,MATCH(Q29,List_LOI_PP,0)+1,1))</f>
        <v>0</v>
      </c>
      <c r="R30" s="1425">
        <f>IF(R29="NA",0,INDEX(List_LOI_PP,MATCH(R29,List_LOI_PP,0)+1,1))</f>
        <v>0</v>
      </c>
      <c r="S30" s="1425">
        <f>IF(S29="NA",0,INDEX(List_LOI_PP,MATCH(S29,List_LOI_PP,0)+1,1))</f>
        <v>0</v>
      </c>
      <c r="T30" s="248"/>
      <c r="U30" s="1288"/>
      <c r="V30" s="1294" t="s">
        <v>2165</v>
      </c>
      <c r="W30" s="1300" t="e">
        <f ca="1">$P$28</f>
        <v>#N/A</v>
      </c>
      <c r="X30" s="1300" t="e">
        <f>$Q$28</f>
        <v>#N/A</v>
      </c>
      <c r="Y30" s="1300">
        <f>$R$28</f>
        <v>0</v>
      </c>
      <c r="Z30" s="1300">
        <f>$S$28</f>
        <v>5.5E-2</v>
      </c>
      <c r="AA30" s="248"/>
      <c r="AB30" s="793" t="s">
        <v>1147</v>
      </c>
      <c r="AC30" s="301"/>
      <c r="AD30" s="235"/>
      <c r="AE30" s="266"/>
      <c r="AF30" s="793" t="s">
        <v>1146</v>
      </c>
      <c r="AG30" s="268"/>
      <c r="AH30" s="266"/>
      <c r="AI30" s="248"/>
      <c r="AJ30" s="146"/>
      <c r="AK30" s="1431" t="s">
        <v>2135</v>
      </c>
      <c r="AL30" s="1224">
        <f>AP22</f>
        <v>0</v>
      </c>
      <c r="AN30" s="1430"/>
      <c r="AO30" s="1226" t="s">
        <v>2254</v>
      </c>
      <c r="AP30" s="238">
        <f>IF(F3="Yes",E5/100,0)</f>
        <v>0</v>
      </c>
      <c r="AS30" s="301" t="s">
        <v>1060</v>
      </c>
      <c r="AT30" s="248">
        <f>ROUND(PRODUCT(AT28:AT29),0)</f>
        <v>0</v>
      </c>
      <c r="AU30" s="248" t="e">
        <f>ROUND(PRODUCT(AU28:AU29),0)</f>
        <v>#N/A</v>
      </c>
      <c r="AV30" s="248">
        <f>ROUND(PRODUCT(AV28:AV29),0)</f>
        <v>0</v>
      </c>
      <c r="AW30" s="248">
        <f>ROUND(PRODUCT(AW28:AW29),0)</f>
        <v>0</v>
      </c>
      <c r="AZ30" s="168" t="s">
        <v>788</v>
      </c>
      <c r="BA30" s="207">
        <f>IF(E37="Yes",DF_SellPrice,1)</f>
        <v>1</v>
      </c>
      <c r="BH30" s="301" t="s">
        <v>1386</v>
      </c>
      <c r="BI30" s="248">
        <f>ROUND(PRODUCT(BI28:BI29),0)</f>
        <v>0</v>
      </c>
      <c r="BJ30" s="248">
        <f>ROUND(PRODUCT(BJ28:BJ29),0)</f>
        <v>0</v>
      </c>
      <c r="BK30" s="248">
        <f>ROUND(PRODUCT(BK28:BK29),0)</f>
        <v>0</v>
      </c>
      <c r="BL30" s="248">
        <f>ROUND(PRODUCT(BL28:BL29),0)</f>
        <v>0</v>
      </c>
      <c r="BV30" s="141" t="s">
        <v>1722</v>
      </c>
      <c r="BW30" s="8"/>
      <c r="BX30" s="8"/>
      <c r="BY30" s="145"/>
      <c r="BZ30" s="8"/>
      <c r="CA30" s="149"/>
    </row>
    <row r="31" spans="1:79" ht="13.5" thickBot="1" x14ac:dyDescent="0.25">
      <c r="A31" s="1454" t="s">
        <v>2276</v>
      </c>
      <c r="B31" s="1434">
        <v>0.21299999999999999</v>
      </c>
      <c r="C31" s="1455">
        <v>0.09</v>
      </c>
      <c r="D31" s="195"/>
      <c r="E31" s="195"/>
      <c r="F31" s="1067"/>
      <c r="H31" s="486" t="s">
        <v>1583</v>
      </c>
      <c r="I31" s="485">
        <f>IF(AND(C27="Yes",F32="Yes"),BA38,0)</f>
        <v>0</v>
      </c>
      <c r="J31" s="485"/>
      <c r="K31" s="1204"/>
      <c r="L31" s="575"/>
      <c r="O31" s="1117" t="s">
        <v>2067</v>
      </c>
      <c r="P31" s="247" t="e">
        <f>IF(ISNUMBER($C$69)=FALSE,0,IF(AND(P29="NA", ISNUMBER($C$69)),VLOOKUP($C$69,Table_LOI_PP,MATCH($C$15,List_Relatives,0)+1,FALSE),ROUND(VLOOKUP(P29,Table_LOI_PP,MATCH($C$15,List_Relatives,0)+1,FALSE) - PRODUCT((VLOOKUP(P29,Table_LOI_PP,MATCH($C$15,List_Relatives,0)+1,FALSE) - VLOOKUP(P30,Table_LOI_PP,MATCH($C$15,List_Relatives,0)+1,FALSE)),$C$69-P29)/(P30-P29),3)))</f>
        <v>#N/A</v>
      </c>
      <c r="Q31" s="247">
        <f>IF(ISNUMBER($C$69)=FALSE,0,IF(AND(Q29="NA", ISNUMBER($C$69)),VLOOKUP($C$69,Table_LOI_PP,MATCH("BA2",List_Relatives,0)+1,FALSE),ROUND(VLOOKUP(Q29,Table_LOI_PP,MATCH("BA2",List_Relatives,0)+1,FALSE) - PRODUCT((VLOOKUP(Q29,Table_LOI_PP,MATCH("BA2",List_Relatives,0)+1,FALSE) - VLOOKUP(Q30,Table_LOI_PP,MATCH("BA2",List_Relatives,0)+1,FALSE)),$C$69-Q29)/(Q30-Q29),3)))</f>
        <v>0.67200000000000004</v>
      </c>
      <c r="R31" s="247">
        <f>IF(ISNUMBER($C$69)=FALSE,0,IF(AND(R29="NA", ISNUMBER($C$69)),VLOOKUP($C$69,Table_LOI_PP,MATCH("SP",List_Relatives,0)+1,FALSE),ROUND(VLOOKUP(R29,Table_LOI_PP,MATCH("SP",List_Relatives,0)+1,FALSE) - PRODUCT((VLOOKUP(R29,Table_LOI_PP,MATCH("SP",List_Relatives,0)+1,FALSE) - VLOOKUP(R30,Table_LOI_PP,MATCH("SP",List_Relatives,0)+1,FALSE)),$C$69-R29)/(R30-R29),3)))</f>
        <v>0.57899999999999996</v>
      </c>
      <c r="S31" s="247">
        <f>IF(ISNUMBER($C$69)=FALSE,0,IF(AND(S29="NA", ISNUMBER($C$69)),VLOOKUP($C$69,Table_LOI_PP,MATCH("BR",List_Relatives,0)+1,FALSE),ROUND(VLOOKUP(S29,Table_LOI_PP,MATCH("BR",List_Relatives,0)+1,FALSE) - PRODUCT((VLOOKUP(S29,Table_LOI_PP,MATCH("BR",List_Relatives,0)+1,FALSE) - VLOOKUP(S30,Table_LOI_PP,MATCH("BR",List_Relatives,0)+1,FALSE)),$C$69-S29)/(S30-S29),3)))</f>
        <v>0.57899999999999996</v>
      </c>
      <c r="T31" s="299"/>
      <c r="U31" s="1288"/>
      <c r="V31" s="1117" t="s">
        <v>2152</v>
      </c>
      <c r="W31" s="247" t="e">
        <f>P$31</f>
        <v>#N/A</v>
      </c>
      <c r="X31" s="247">
        <f t="shared" ref="X31:Z31" si="2">Q$31</f>
        <v>0.67200000000000004</v>
      </c>
      <c r="Y31" s="247">
        <f t="shared" si="2"/>
        <v>0.57899999999999996</v>
      </c>
      <c r="Z31" s="247">
        <f t="shared" si="2"/>
        <v>0.57899999999999996</v>
      </c>
      <c r="AA31" s="299"/>
      <c r="AC31" s="168" t="s">
        <v>237</v>
      </c>
      <c r="AD31" s="247">
        <f>IF(F9="Yes",VLOOKUP(IF(E10&gt;10000,10000,E10),Table_CCUO_Loss,MATCH(C12,List_CCUO_Cause,0)+1,FALSE),0)</f>
        <v>0</v>
      </c>
      <c r="AE31" s="266"/>
      <c r="AF31" s="266"/>
      <c r="AG31" s="268" t="s">
        <v>241</v>
      </c>
      <c r="AH31" s="266">
        <f>IF(F9="Yes",DF_CCUO_MiscPty,0)</f>
        <v>0</v>
      </c>
      <c r="AI31" s="299"/>
      <c r="AJ31" s="787"/>
      <c r="AK31" s="879" t="s">
        <v>2133</v>
      </c>
      <c r="AL31" s="1432">
        <f>AL29-AL30</f>
        <v>0</v>
      </c>
      <c r="AN31" s="796"/>
      <c r="AO31" s="301" t="s">
        <v>2132</v>
      </c>
      <c r="AP31" s="1228">
        <f>ROUND(PRODUCT(AP26,AP29:AP30),0)</f>
        <v>0</v>
      </c>
      <c r="AR31" s="185"/>
      <c r="AS31" s="187" t="s">
        <v>1021</v>
      </c>
      <c r="AT31" s="238">
        <f>AT38</f>
        <v>0</v>
      </c>
      <c r="AU31" s="185" t="e">
        <f>AU38</f>
        <v>#N/A</v>
      </c>
      <c r="AV31" s="185">
        <f>AV38</f>
        <v>0</v>
      </c>
      <c r="AW31" s="185">
        <f>AW38</f>
        <v>0</v>
      </c>
      <c r="AZ31" s="168" t="s">
        <v>971</v>
      </c>
      <c r="BA31" s="2">
        <f>HLOOKUP(C11,Table_StateRates,6,FALSE)</f>
        <v>1.9</v>
      </c>
      <c r="BG31" s="266"/>
      <c r="BH31" s="266"/>
      <c r="BI31" s="266"/>
      <c r="BJ31" s="266"/>
      <c r="BK31" s="266"/>
      <c r="BL31" s="266"/>
      <c r="BV31" s="85"/>
      <c r="BW31" s="86"/>
      <c r="BX31" s="86"/>
      <c r="BY31" s="86"/>
      <c r="BZ31" s="86"/>
      <c r="CA31" s="688"/>
    </row>
    <row r="32" spans="1:79" ht="13.5" thickBot="1" x14ac:dyDescent="0.25">
      <c r="A32" s="1454" t="s">
        <v>2277</v>
      </c>
      <c r="B32" s="1456">
        <v>8.8999999999999996E-2</v>
      </c>
      <c r="C32" s="1455"/>
      <c r="D32" s="701" t="s">
        <v>1641</v>
      </c>
      <c r="E32" s="146"/>
      <c r="F32" s="1066" t="s">
        <v>857</v>
      </c>
      <c r="I32" s="485"/>
      <c r="J32" s="485"/>
      <c r="K32" s="575"/>
      <c r="L32" s="575"/>
      <c r="N32" s="185"/>
      <c r="O32" s="186" t="s">
        <v>1025</v>
      </c>
      <c r="P32" s="238">
        <f>IF(ISBLANK(C41),0,C41/100)</f>
        <v>2500</v>
      </c>
      <c r="Q32" s="238">
        <f>IF(ISBLANK(C41),0,C41/100)</f>
        <v>2500</v>
      </c>
      <c r="R32" s="238">
        <f>IF(ISBLANK(C41),0,C41/100)</f>
        <v>2500</v>
      </c>
      <c r="S32" s="238">
        <f>IF(ISBLANK(C41),0,C41/100)</f>
        <v>2500</v>
      </c>
      <c r="T32" s="248"/>
      <c r="U32" s="1298"/>
      <c r="V32" s="1283" t="s">
        <v>1025</v>
      </c>
      <c r="W32" s="1299">
        <f>IF(B67="Yes",C67/100,0)</f>
        <v>0</v>
      </c>
      <c r="X32" s="1299">
        <f>IF(B67="Yes",C67/100,0)</f>
        <v>0</v>
      </c>
      <c r="Y32" s="1299">
        <f>IF(B67="Yes",C67/100,0)</f>
        <v>0</v>
      </c>
      <c r="Z32" s="1299">
        <f>IF(B67="Yes",C67/100,0)</f>
        <v>0</v>
      </c>
      <c r="AA32" s="248"/>
      <c r="AB32" s="279"/>
      <c r="AC32" s="794" t="s">
        <v>239</v>
      </c>
      <c r="AD32" s="757">
        <f>IF(E10&gt;10000,PRODUCT((E10-10000)/5000,HLOOKUP(C12,Table_CCUO_LossPer5K,5,FALSE)),0)</f>
        <v>0</v>
      </c>
      <c r="AE32" s="423"/>
      <c r="AF32" s="266"/>
      <c r="AG32" s="268" t="s">
        <v>971</v>
      </c>
      <c r="AH32" s="266">
        <f>HLOOKUP(C11,Table_StateRates,6,FALSE)</f>
        <v>1.9</v>
      </c>
      <c r="AI32" s="248"/>
      <c r="AN32" s="881"/>
      <c r="AO32" s="301"/>
      <c r="AP32" s="546"/>
      <c r="AS32" s="83" t="s">
        <v>118</v>
      </c>
      <c r="AT32" s="248">
        <f>SUM(AT30:AT31)</f>
        <v>0</v>
      </c>
      <c r="AU32" s="248" t="e">
        <f>SUM(AU30:AU31)</f>
        <v>#N/A</v>
      </c>
      <c r="AV32" s="248">
        <f>SUM(AV30:AV31)</f>
        <v>0</v>
      </c>
      <c r="AW32" s="248">
        <f>SUM(AW30:AW31)</f>
        <v>0</v>
      </c>
      <c r="AZ32" s="168" t="s">
        <v>1019</v>
      </c>
      <c r="BA32" s="207">
        <f>HLOOKUP(C11,Table_StateRates,5,FALSE)</f>
        <v>1.38</v>
      </c>
      <c r="BG32" s="385"/>
      <c r="BH32" s="685" t="s">
        <v>1390</v>
      </c>
      <c r="BI32" s="725">
        <f>IF(C12="SP",SUM(BI30:BK30),IF(C12="BR",SUM(BI30:BJ30,BL30),SUM(BI30:BJ30)))</f>
        <v>0</v>
      </c>
      <c r="BJ32" s="385"/>
      <c r="BK32" s="385"/>
      <c r="BL32" s="385"/>
      <c r="BN32" s="1599" t="s">
        <v>388</v>
      </c>
      <c r="BO32" s="1600"/>
      <c r="BP32" s="1600"/>
      <c r="BQ32" s="1600"/>
      <c r="BR32" s="1600"/>
      <c r="BS32" s="1600"/>
      <c r="BT32" s="1601"/>
    </row>
    <row r="33" spans="1:72" ht="13.5" thickBot="1" x14ac:dyDescent="0.25">
      <c r="A33" s="122" t="s">
        <v>905</v>
      </c>
      <c r="B33" s="733" t="str">
        <f>IF(ISNUMBER(C33),VLOOKUP(C33,Table_Special_PP,2,0),"NA")</f>
        <v>NA</v>
      </c>
      <c r="C33" s="1201" t="str">
        <f>IF(ISTEXT(C35),VLOOKUP(C35,Table_G1_LC,3,0),"NA")</f>
        <v>NA</v>
      </c>
      <c r="D33" s="930" t="s">
        <v>1242</v>
      </c>
      <c r="E33" s="950"/>
      <c r="F33" s="870" t="str">
        <f>IF(AND(F32="Yes",ISNUMBER(E35)),VLOOKUP(E35,Table_SpoilCOL,2,FALSE),"")&amp;IF(OR(E35=1,E35=3),IF(E36="Yes","_Y","_N"),"")</f>
        <v/>
      </c>
      <c r="H33" s="576" t="s">
        <v>322</v>
      </c>
      <c r="J33" s="454"/>
      <c r="K33" s="575"/>
      <c r="L33" s="575"/>
      <c r="O33" s="83" t="s">
        <v>1200</v>
      </c>
      <c r="P33" s="1481" t="e">
        <f ca="1">IF($C$30="Yes",ROUND(PRODUCT(P28,P32),0),ROUND(PRODUCT(P28,P31:P32),0))</f>
        <v>#N/A</v>
      </c>
      <c r="Q33" s="1481" t="e">
        <f>IF($C$30="Yes",ROUND(PRODUCT(Q28,Q32),0),ROUND(PRODUCT(Q28,Q31:Q32),0))</f>
        <v>#N/A</v>
      </c>
      <c r="R33" s="1481">
        <f>IF($C$30="Yes",ROUND(PRODUCT(R28,R32),0),ROUND(PRODUCT(R28,R31:R32),0))</f>
        <v>0</v>
      </c>
      <c r="S33" s="1481">
        <f>IF($C$30="Yes",ROUND(PRODUCT(S28,S32),0),ROUND(PRODUCT(S28,S31:S32),0))</f>
        <v>80</v>
      </c>
      <c r="U33" s="1293"/>
      <c r="V33" s="1303" t="s">
        <v>2161</v>
      </c>
      <c r="W33" s="1306" t="e">
        <f ca="1">ROUND(PRODUCT(W30:W32),0)</f>
        <v>#N/A</v>
      </c>
      <c r="X33" s="1306" t="e">
        <f>ROUND(PRODUCT(X30:X32),0)</f>
        <v>#N/A</v>
      </c>
      <c r="Y33" s="1306">
        <f>ROUND(PRODUCT(Y30:Y32),0)</f>
        <v>0</v>
      </c>
      <c r="Z33" s="1306">
        <f>ROUND(PRODUCT(Z30:Z32),0)</f>
        <v>0</v>
      </c>
      <c r="AB33" s="266"/>
      <c r="AC33" s="568" t="s">
        <v>238</v>
      </c>
      <c r="AD33" s="266">
        <f>SUM(AD31:AD32)</f>
        <v>0</v>
      </c>
      <c r="AE33" s="266"/>
      <c r="AF33" s="266"/>
      <c r="AG33" s="268" t="s">
        <v>1019</v>
      </c>
      <c r="AH33" s="423">
        <f>HLOOKUP(C11,Table_StateRates,5,FALSE)</f>
        <v>1.38</v>
      </c>
      <c r="AZ33" s="268" t="s">
        <v>180</v>
      </c>
      <c r="BA33" s="423">
        <f>1+$CM$24</f>
        <v>1</v>
      </c>
      <c r="BN33" s="266"/>
      <c r="BO33" s="266"/>
      <c r="BP33" s="266"/>
      <c r="BQ33" s="266"/>
      <c r="BR33" s="266"/>
      <c r="BS33" s="266"/>
      <c r="BT33" s="266"/>
    </row>
    <row r="34" spans="1:72" ht="13.5" thickBot="1" x14ac:dyDescent="0.25">
      <c r="A34" s="120"/>
      <c r="B34" s="95"/>
      <c r="C34" s="125"/>
      <c r="D34" s="930" t="s">
        <v>1614</v>
      </c>
      <c r="E34" s="1607"/>
      <c r="F34" s="1608"/>
      <c r="H34" s="486" t="s">
        <v>319</v>
      </c>
      <c r="I34" s="248">
        <f>IF(AND($C$27="Yes",F39="Yes",F41="Yes"),BI15,0)</f>
        <v>0</v>
      </c>
      <c r="J34" s="485"/>
      <c r="K34" s="248"/>
      <c r="L34" s="248"/>
      <c r="N34" s="185"/>
      <c r="O34" s="187" t="s">
        <v>1021</v>
      </c>
      <c r="P34" s="185" t="e">
        <f ca="1">P41</f>
        <v>#N/A</v>
      </c>
      <c r="Q34" s="185" t="e">
        <f>Q41</f>
        <v>#N/A</v>
      </c>
      <c r="R34" s="185">
        <f>R41</f>
        <v>0</v>
      </c>
      <c r="S34" s="185">
        <f>S41</f>
        <v>0</v>
      </c>
      <c r="U34" s="1295"/>
      <c r="V34" s="1297" t="s">
        <v>1021</v>
      </c>
      <c r="W34" s="1299">
        <f>W40</f>
        <v>0</v>
      </c>
      <c r="X34" s="1299">
        <f>X40</f>
        <v>0</v>
      </c>
      <c r="Y34" s="1299">
        <f>Y40</f>
        <v>0</v>
      </c>
      <c r="Z34" s="1299">
        <f>Z40</f>
        <v>0</v>
      </c>
      <c r="AB34" s="266"/>
      <c r="AC34" s="268" t="s">
        <v>971</v>
      </c>
      <c r="AD34" s="266">
        <f>HLOOKUP(C11,Table_StateRates,6,FALSE)</f>
        <v>1.9</v>
      </c>
      <c r="AE34" s="266"/>
      <c r="AF34" s="266"/>
      <c r="AG34" s="268" t="s">
        <v>180</v>
      </c>
      <c r="AH34" s="423">
        <f>1+$CA$24</f>
        <v>1</v>
      </c>
      <c r="AZ34" s="545" t="s">
        <v>1020</v>
      </c>
      <c r="BA34" s="299">
        <f>IF(C6="PAC",VLOOKUP(B7,Table_PakMods,MATCH(C11,List_Company,0)+1,FALSE),1)</f>
        <v>1</v>
      </c>
      <c r="BN34" s="566" t="s">
        <v>1332</v>
      </c>
      <c r="BO34" s="266"/>
      <c r="BP34" s="266"/>
      <c r="BQ34" s="266"/>
      <c r="BR34" s="566" t="s">
        <v>1416</v>
      </c>
      <c r="BS34" s="266"/>
      <c r="BT34" s="266"/>
    </row>
    <row r="35" spans="1:72" x14ac:dyDescent="0.2">
      <c r="A35" s="108" t="s">
        <v>1789</v>
      </c>
      <c r="B35" s="319" t="str">
        <f>IF(ISBLANK(C35),"",IF(ISERROR(VLOOKUP(C35,Table_G1_LC,2,FALSE)),"None",VLOOKUP(C35,Table_G1_LC,2,FALSE)))</f>
        <v/>
      </c>
      <c r="C35" s="1114"/>
      <c r="D35" s="930" t="s">
        <v>910</v>
      </c>
      <c r="E35" s="958"/>
      <c r="F35" s="856" t="s">
        <v>19</v>
      </c>
      <c r="H35" s="597" t="s">
        <v>320</v>
      </c>
      <c r="I35" s="238">
        <f>IF(AND($C$27="Yes",F39="Yes",F46="Yes"),BI32,0)</f>
        <v>0</v>
      </c>
      <c r="J35" s="485"/>
      <c r="K35" s="248"/>
      <c r="L35" s="248"/>
      <c r="O35" s="83" t="s">
        <v>1201</v>
      </c>
      <c r="P35" s="248" t="e">
        <f ca="1">SUM(P33:P34)</f>
        <v>#N/A</v>
      </c>
      <c r="Q35" s="248" t="e">
        <f>SUM(Q33:Q34)</f>
        <v>#N/A</v>
      </c>
      <c r="R35" s="248">
        <f>SUM(R33:R34)</f>
        <v>0</v>
      </c>
      <c r="S35" s="248">
        <f>SUM(S33:S34)</f>
        <v>80</v>
      </c>
      <c r="T35" s="235"/>
      <c r="U35" s="1288"/>
      <c r="V35" s="1291" t="s">
        <v>2162</v>
      </c>
      <c r="W35" s="1301" t="e">
        <f ca="1">SUM(W33:W34)</f>
        <v>#N/A</v>
      </c>
      <c r="X35" s="1301" t="e">
        <f>SUM(X33:X34)</f>
        <v>#N/A</v>
      </c>
      <c r="Y35" s="1301">
        <f>SUM(Y33:Y34)</f>
        <v>0</v>
      </c>
      <c r="Z35" s="1301">
        <f>SUM(Z33:Z34)</f>
        <v>0</v>
      </c>
      <c r="AA35" s="235"/>
      <c r="AB35" s="385"/>
      <c r="AC35" s="700" t="s">
        <v>1019</v>
      </c>
      <c r="AD35" s="559">
        <f>HLOOKUP(C11,Table_StateRates,5,FALSE)</f>
        <v>1.38</v>
      </c>
      <c r="AE35" s="266"/>
      <c r="AF35" s="146"/>
      <c r="AG35" s="545" t="s">
        <v>1020</v>
      </c>
      <c r="AH35" s="559">
        <f>IF(C6="PAC",VLOOKUP(B7,Table_PakMods,MATCH(C11,List_Company,0)+1,FALSE),1)</f>
        <v>1</v>
      </c>
      <c r="AI35" s="235"/>
      <c r="AR35" s="60" t="s">
        <v>116</v>
      </c>
      <c r="AY35" s="185"/>
      <c r="AZ35" s="724" t="s">
        <v>1022</v>
      </c>
      <c r="BA35" s="279">
        <f>1+$CK$14</f>
        <v>1</v>
      </c>
      <c r="BN35" s="266"/>
      <c r="BO35" s="486" t="s">
        <v>228</v>
      </c>
      <c r="BP35" s="426">
        <f>IF(C21="Yes",HLOOKUP(B21,Table_Terrorism,3,FALSE),0)</f>
        <v>1.4999999999999999E-2</v>
      </c>
      <c r="BQ35" s="266"/>
      <c r="BR35" s="266"/>
      <c r="BS35" s="486" t="s">
        <v>228</v>
      </c>
      <c r="BT35" s="426">
        <f>IF(C21="Yes",HLOOKUP(B21,Table_Terrorism,3,FALSE),0)</f>
        <v>1.4999999999999999E-2</v>
      </c>
    </row>
    <row r="36" spans="1:72" ht="13.5" thickBot="1" x14ac:dyDescent="0.25">
      <c r="A36" s="482" t="str">
        <f>IF(C35="1190","Special Form Class Only - Choose Again",IF(C35="1180","Enter Prior/Intended Occ. Class Code Below",""))</f>
        <v/>
      </c>
      <c r="B36" s="193"/>
      <c r="C36" s="609" t="str">
        <f>IF(ISERROR(VLOOKUP(C35,Table_G1_LC,MATCH(C15&amp;"C",List_ClassLC,0)+2,FALSE)="T")=TRUE,"No",IF(VLOOKUP(C35,Table_G1_LC,MATCH(C15&amp;"C",List_ClassLC,0)+2,FALSE)="T","Y",""))</f>
        <v>No</v>
      </c>
      <c r="D36" s="930" t="s">
        <v>1615</v>
      </c>
      <c r="E36" s="958" t="s">
        <v>857</v>
      </c>
      <c r="F36" s="855" t="str">
        <f>IF(ISBLANK(E34),"",VLOOKUP(E34,Table_SpoilTypes,3,FALSE))</f>
        <v/>
      </c>
      <c r="H36" s="568" t="s">
        <v>321</v>
      </c>
      <c r="I36" s="248">
        <f>SUM(I34:I35)</f>
        <v>0</v>
      </c>
      <c r="J36" s="248"/>
      <c r="K36" s="248"/>
      <c r="L36" s="248"/>
      <c r="O36" s="168"/>
      <c r="S36" s="385"/>
      <c r="U36" s="1288"/>
      <c r="V36" s="1288"/>
      <c r="W36" s="1288"/>
      <c r="X36" s="1288"/>
      <c r="Y36" s="1288"/>
      <c r="Z36" s="1288"/>
      <c r="AB36" s="385"/>
      <c r="AC36" s="700" t="s">
        <v>180</v>
      </c>
      <c r="AD36" s="559">
        <f>1+$CA$24</f>
        <v>1</v>
      </c>
      <c r="AE36" s="266"/>
      <c r="AF36" s="542"/>
      <c r="AG36" s="724" t="s">
        <v>1022</v>
      </c>
      <c r="AH36" s="279">
        <f>1+$BX$14</f>
        <v>1</v>
      </c>
      <c r="AS36" s="168" t="s">
        <v>117</v>
      </c>
      <c r="AT36" s="248">
        <f>AT30</f>
        <v>0</v>
      </c>
      <c r="AU36" s="248" t="e">
        <f>AU30</f>
        <v>#N/A</v>
      </c>
      <c r="AV36" s="248">
        <f>AV30</f>
        <v>0</v>
      </c>
      <c r="AW36" s="248">
        <f>AW30</f>
        <v>0</v>
      </c>
      <c r="AZ36" s="83" t="s">
        <v>789</v>
      </c>
      <c r="BA36" s="2">
        <f>ROUND(PRODUCT(BA29:BA35),3)</f>
        <v>0</v>
      </c>
      <c r="BN36" s="266"/>
      <c r="BO36" s="486" t="s">
        <v>971</v>
      </c>
      <c r="BP36" s="423">
        <f>HLOOKUP(C11,Table_StateRates,6,FALSE)</f>
        <v>1.9</v>
      </c>
      <c r="BQ36" s="385"/>
      <c r="BR36" s="266"/>
      <c r="BS36" s="486" t="s">
        <v>971</v>
      </c>
      <c r="BT36" s="423">
        <f>HLOOKUP(C11,Table_StateRates,6,FALSE)</f>
        <v>1.9</v>
      </c>
    </row>
    <row r="37" spans="1:72" ht="13.5" thickBot="1" x14ac:dyDescent="0.25">
      <c r="A37" s="108" t="s">
        <v>1028</v>
      </c>
      <c r="B37" s="319" t="str">
        <f>IF(ISBLANK(C37),"",VLOOKUP(C37,Table_G1_LC,2,FALSE))</f>
        <v/>
      </c>
      <c r="C37" s="1060"/>
      <c r="D37" s="930" t="s">
        <v>1616</v>
      </c>
      <c r="E37" s="948" t="s">
        <v>857</v>
      </c>
      <c r="F37" s="871" t="str">
        <f>IF(AND(ISNUMBER(E35),F32="Yes"),VLOOKUP(F33,Table_SpoilColRef,2,FALSE),"")</f>
        <v/>
      </c>
      <c r="H37" s="568"/>
      <c r="I37" s="248"/>
      <c r="J37" s="248"/>
      <c r="K37" s="248"/>
      <c r="L37" s="248"/>
      <c r="O37" s="168"/>
      <c r="S37" s="385"/>
      <c r="T37" s="207"/>
      <c r="U37" s="1290" t="s">
        <v>1064</v>
      </c>
      <c r="V37" s="1288"/>
      <c r="W37" s="1288"/>
      <c r="X37" s="1288"/>
      <c r="Y37" s="1288"/>
      <c r="Z37" s="1288"/>
      <c r="AA37" s="207"/>
      <c r="AB37" s="146"/>
      <c r="AC37" s="545" t="s">
        <v>1020</v>
      </c>
      <c r="AD37" s="559">
        <f>IF(C6="PAC",VLOOKUP(B7,Table_PakMods,MATCH(C11,List_Company,0)+1,FALSE),1)</f>
        <v>1</v>
      </c>
      <c r="AE37" s="266"/>
      <c r="AF37" s="146"/>
      <c r="AG37" s="301" t="s">
        <v>242</v>
      </c>
      <c r="AH37" s="146">
        <f>ROUND(PRODUCT(AH31:AH36),3)</f>
        <v>0</v>
      </c>
      <c r="AI37" s="207"/>
      <c r="AP37" s="247"/>
      <c r="AR37" s="185"/>
      <c r="AS37" s="186" t="s">
        <v>1027</v>
      </c>
      <c r="AT37" s="208">
        <f>IF(ISBLANK(C52),0,IF(C52="OT",C53+PRODUCT((B53-12)/2,VLOOKUP(C52,Table_InflationGd,MATCH(C9,List_IGyr,0)+1,FALSE)),VLOOKUP(C52,Table_InflationGd,MATCH(C9,List_IGyr,0)+1,FALSE)))</f>
        <v>0</v>
      </c>
      <c r="AU37" s="208">
        <f>IF(ISBLANK(C52),0,IF(C52="OT",C53+PRODUCT((B53-12)/2,VLOOKUP(C52,Table_InflationGd,MATCH(C9,List_IGyr,0)+1,FALSE)),VLOOKUP(C52,Table_InflationGd,MATCH(C9,List_IGyr,0)+1,FALSE)))</f>
        <v>0</v>
      </c>
      <c r="AV37" s="208">
        <f>IF(ISBLANK(C52),0,IF(C52="OT",C53+PRODUCT((B53-12)/2,VLOOKUP(C52,Table_InflationGd,MATCH(C9,List_IGyr,0)+1,FALSE)),VLOOKUP(C52,Table_InflationGd,MATCH(C9,List_IGyr,0)+1,FALSE)))</f>
        <v>0</v>
      </c>
      <c r="AW37" s="208">
        <f>IF(ISBLANK(C52),0,IF(C52="OT",C53+PRODUCT((B53-12)/2,VLOOKUP(C52,Table_InflationGd,MATCH(C9,List_IGyr,0)+1,FALSE)),VLOOKUP(C52,Table_InflationGd,MATCH(C9,List_IGyr,0)+1,FALSE)))</f>
        <v>0</v>
      </c>
      <c r="AY37" s="185"/>
      <c r="AZ37" s="186" t="s">
        <v>790</v>
      </c>
      <c r="BA37" s="185">
        <f>IF(ISNUMBER(E33),E33/100,0)</f>
        <v>0</v>
      </c>
      <c r="BN37" s="209"/>
      <c r="BO37" s="280" t="s">
        <v>1176</v>
      </c>
      <c r="BP37" s="212">
        <v>1</v>
      </c>
      <c r="BQ37" s="266"/>
      <c r="BR37" s="209"/>
      <c r="BS37" s="280" t="s">
        <v>1176</v>
      </c>
      <c r="BT37" s="212">
        <v>1</v>
      </c>
    </row>
    <row r="38" spans="1:72" ht="13.5" thickBot="1" x14ac:dyDescent="0.25">
      <c r="A38" s="122" t="s">
        <v>905</v>
      </c>
      <c r="B38" s="733" t="str">
        <f>IF(ISNUMBER(C38),VLOOKUP(C38,Table_Special_PP,2,0),"NA")</f>
        <v>NA</v>
      </c>
      <c r="C38" s="1201" t="str">
        <f>IF(ISTEXT(C37),VLOOKUP(C37,Table_G1_LC,3,0),"NA")</f>
        <v>NA</v>
      </c>
      <c r="D38" s="195"/>
      <c r="E38" s="195"/>
      <c r="F38" s="1067"/>
      <c r="H38" s="568" t="s">
        <v>244</v>
      </c>
      <c r="I38" s="797">
        <f>SUM(I25:I31,I36)</f>
        <v>0</v>
      </c>
      <c r="J38" s="248"/>
      <c r="K38" s="248"/>
      <c r="L38" s="248"/>
      <c r="N38" s="60" t="s">
        <v>1064</v>
      </c>
      <c r="S38" s="385"/>
      <c r="T38" s="146"/>
      <c r="U38" s="1288"/>
      <c r="V38" s="1294" t="s">
        <v>1200</v>
      </c>
      <c r="W38" s="1301" t="e">
        <f ca="1">W33</f>
        <v>#N/A</v>
      </c>
      <c r="X38" s="1301" t="e">
        <f>X33</f>
        <v>#N/A</v>
      </c>
      <c r="Y38" s="1301">
        <f>Y33</f>
        <v>0</v>
      </c>
      <c r="Z38" s="1301">
        <f>Z33</f>
        <v>0</v>
      </c>
      <c r="AA38" s="146"/>
      <c r="AB38" s="542"/>
      <c r="AC38" s="724" t="s">
        <v>1022</v>
      </c>
      <c r="AD38" s="279">
        <f>1+$BX$14</f>
        <v>1</v>
      </c>
      <c r="AE38" s="423"/>
      <c r="AF38" s="238"/>
      <c r="AG38" s="795" t="s">
        <v>1025</v>
      </c>
      <c r="AH38" s="238">
        <f>IF(ISBLANK(E11),0,E11/100)</f>
        <v>0</v>
      </c>
      <c r="AI38" s="146"/>
      <c r="AP38" s="478"/>
      <c r="AS38" s="83" t="s">
        <v>1023</v>
      </c>
      <c r="AT38" s="248">
        <f>ROUND(PRODUCT(AT36:AT37),0)</f>
        <v>0</v>
      </c>
      <c r="AU38" s="248" t="e">
        <f>ROUND(PRODUCT(AU36:AU37),0)</f>
        <v>#N/A</v>
      </c>
      <c r="AV38" s="248">
        <f>ROUND(PRODUCT(AV36:AV37),0)</f>
        <v>0</v>
      </c>
      <c r="AW38" s="248">
        <f>ROUND(PRODUCT(AW36:AW37),0)</f>
        <v>0</v>
      </c>
      <c r="AZ38" s="83" t="s">
        <v>1583</v>
      </c>
      <c r="BA38" s="2">
        <f>ROUND(PRODUCT(BA36:BA37),0)</f>
        <v>0</v>
      </c>
      <c r="BN38" s="266"/>
      <c r="BO38" s="486" t="s">
        <v>1177</v>
      </c>
      <c r="BP38" s="423">
        <f>IF(C22="Yes",VLOOKUP(B21,Table_TerrorNBC,2,FALSE),1)</f>
        <v>1</v>
      </c>
      <c r="BQ38" s="266"/>
      <c r="BR38" s="266"/>
      <c r="BS38" s="486" t="s">
        <v>1177</v>
      </c>
      <c r="BT38" s="423">
        <f>IF(C22="Yes",VLOOKUP(B21,Table_TerrorNBC,2,FALSE),1)</f>
        <v>1</v>
      </c>
    </row>
    <row r="39" spans="1:72" x14ac:dyDescent="0.2">
      <c r="A39" s="191" t="s">
        <v>1065</v>
      </c>
      <c r="B39" s="993">
        <f ca="1">IF(ISBLANK(C37),0,IF(ISERROR(VLOOKUP(C37,List_VacantClasses,1,FALSE)),VLOOKUP(C37,IF(C39="Y",INDIRECT("Table_Content"&amp;B37),Table_G1_LC),MATCH(C15&amp;"C",List_ClassLC,0) + IF(C39="Y",-5,2),FALSE),0))</f>
        <v>0</v>
      </c>
      <c r="C39" s="1272" t="str">
        <f>IF(ISERROR(VLOOKUP(C37,Table_G1_LC,MATCH(C15&amp;"C",List_ClassLC,0)+2,FALSE)="T")=TRUE,"No",IF(VLOOKUP(C37,Table_G1_LC,MATCH(C15&amp;"C",List_ClassLC,0)+2,FALSE)="T","Y",""))</f>
        <v>No</v>
      </c>
      <c r="D39" s="929" t="s">
        <v>1669</v>
      </c>
      <c r="E39" s="510"/>
      <c r="F39" s="1066" t="s">
        <v>857</v>
      </c>
      <c r="H39" s="568"/>
      <c r="I39" s="248"/>
      <c r="J39" s="248"/>
      <c r="K39" s="248"/>
      <c r="L39" s="248"/>
      <c r="O39" s="168" t="s">
        <v>1200</v>
      </c>
      <c r="P39" s="248" t="e">
        <f ca="1">P33</f>
        <v>#N/A</v>
      </c>
      <c r="Q39" s="248" t="e">
        <f>Q33</f>
        <v>#N/A</v>
      </c>
      <c r="R39" s="248">
        <f>R33</f>
        <v>0</v>
      </c>
      <c r="S39" s="248">
        <f>S33</f>
        <v>80</v>
      </c>
      <c r="U39" s="1295"/>
      <c r="V39" s="1296" t="s">
        <v>1026</v>
      </c>
      <c r="W39" s="1305">
        <f>$P$40</f>
        <v>0</v>
      </c>
      <c r="X39" s="1305">
        <f>$P$40</f>
        <v>0</v>
      </c>
      <c r="Y39" s="1305">
        <f>$P$40</f>
        <v>0</v>
      </c>
      <c r="Z39" s="1305">
        <f>$P$40</f>
        <v>0</v>
      </c>
      <c r="AB39" s="266"/>
      <c r="AC39" s="568" t="s">
        <v>240</v>
      </c>
      <c r="AD39" s="485">
        <f>ROUND(PRODUCT(AD33:AD38),0)</f>
        <v>0</v>
      </c>
      <c r="AE39" s="385"/>
      <c r="AF39" s="146"/>
      <c r="AG39" s="301" t="s">
        <v>243</v>
      </c>
      <c r="AH39" s="478">
        <f>ROUND(PRODUCT(AH37:AH38),0)</f>
        <v>0</v>
      </c>
      <c r="AP39" s="248"/>
      <c r="AY39" s="146"/>
      <c r="AZ39" s="146"/>
      <c r="BA39" s="146"/>
      <c r="BB39" s="146"/>
      <c r="BC39" s="146"/>
      <c r="BD39" s="146"/>
      <c r="BE39" s="146"/>
      <c r="BN39" s="542"/>
      <c r="BO39" s="597" t="s">
        <v>1019</v>
      </c>
      <c r="BP39" s="279">
        <f>HLOOKUP(C11,Table_StateRates,5,FALSE)</f>
        <v>1.38</v>
      </c>
      <c r="BQ39" s="423"/>
      <c r="BR39" s="542"/>
      <c r="BS39" s="597" t="s">
        <v>1019</v>
      </c>
      <c r="BT39" s="279">
        <f>HLOOKUP(C11,Table_StateRates,5,FALSE)</f>
        <v>1.38</v>
      </c>
    </row>
    <row r="40" spans="1:72" ht="13.5" thickBot="1" x14ac:dyDescent="0.25">
      <c r="A40" s="991"/>
      <c r="B40" s="992"/>
      <c r="C40" s="277"/>
      <c r="D40" s="930" t="s">
        <v>1646</v>
      </c>
      <c r="E40" s="951"/>
      <c r="F40" s="1069"/>
      <c r="I40" s="248"/>
      <c r="J40" s="248"/>
      <c r="N40" s="185"/>
      <c r="O40" s="186" t="s">
        <v>1026</v>
      </c>
      <c r="P40" s="208">
        <f>IF(ISBLANK(C52),0,IF(C52="OT",C53+PRODUCT((B53-12)/2,VLOOKUP(C52,Table_InflationGd,MATCH(C9,List_IGyr,0)+1,FALSE)),VLOOKUP(C52,Table_InflationGd,MATCH(C9,List_IGyr,0)+1,FALSE)))</f>
        <v>0</v>
      </c>
      <c r="Q40" s="208">
        <f>IF(ISBLANK(C52),0,IF(C52="OT",C53+PRODUCT((B53-12)/2,VLOOKUP(C52,Table_InflationGd,MATCH(C9,List_IGyr,0)+1,FALSE)),VLOOKUP(C52,Table_InflationGd,MATCH(C9,List_IGyr,0)+1,FALSE)))</f>
        <v>0</v>
      </c>
      <c r="R40" s="208">
        <f>IF(ISBLANK(C52),0,IF(C52="OT",C53+PRODUCT((B53-12)/2,VLOOKUP(C52,Table_InflationGd,MATCH(C9,List_IGyr,0)+1,FALSE)),VLOOKUP(C52,Table_InflationGd,MATCH(C9,List_IGyr,0)+1,FALSE)))</f>
        <v>0</v>
      </c>
      <c r="S40" s="208">
        <f>IF(ISBLANK(C52),0,IF(C52="OT",C53+PRODUCT((B53-12)/2,VLOOKUP(C52,Table_InflationGd,MATCH(C9,List_IGyr,0)+1,FALSE)),VLOOKUP(C52,Table_InflationGd,MATCH(C9,List_IGyr,0)+1,FALSE)))</f>
        <v>0</v>
      </c>
      <c r="U40" s="1288"/>
      <c r="V40" s="1291" t="s">
        <v>1023</v>
      </c>
      <c r="W40" s="1301">
        <v>0</v>
      </c>
      <c r="X40" s="1301">
        <v>0</v>
      </c>
      <c r="Y40" s="1301">
        <v>0</v>
      </c>
      <c r="Z40" s="1301">
        <v>0</v>
      </c>
      <c r="AF40" s="423"/>
      <c r="AG40" s="423"/>
      <c r="AH40" s="423"/>
      <c r="AP40" s="266"/>
      <c r="AY40" s="86"/>
      <c r="AZ40" s="86"/>
      <c r="BA40" s="86"/>
      <c r="BB40" s="86"/>
      <c r="BC40" s="86"/>
      <c r="BD40" s="86"/>
      <c r="BE40" s="86"/>
      <c r="BN40" s="423"/>
      <c r="BO40" s="810" t="s">
        <v>1134</v>
      </c>
      <c r="BP40" s="426">
        <f>ROUND(PRODUCT(BP35:BP39),3)</f>
        <v>3.9E-2</v>
      </c>
      <c r="BQ40" s="559"/>
      <c r="BR40" s="423"/>
      <c r="BS40" s="810" t="s">
        <v>1134</v>
      </c>
      <c r="BT40" s="426">
        <f>ROUND(PRODUCT(BT35:BT39),3)</f>
        <v>3.9E-2</v>
      </c>
    </row>
    <row r="41" spans="1:72" ht="13.5" thickBot="1" x14ac:dyDescent="0.25">
      <c r="A41" s="203" t="s">
        <v>2112</v>
      </c>
      <c r="B41" s="104"/>
      <c r="C41" s="943">
        <v>250000</v>
      </c>
      <c r="D41" s="930" t="s">
        <v>314</v>
      </c>
      <c r="E41" s="678">
        <f>IF(F41="No","N/A",COUNTIF(E42:E44,"Yes"))</f>
        <v>0</v>
      </c>
      <c r="F41" s="952"/>
      <c r="H41" s="60" t="s">
        <v>662</v>
      </c>
      <c r="O41" s="83" t="s">
        <v>1023</v>
      </c>
      <c r="P41" s="248" t="e">
        <f ca="1">ROUND(PRODUCT(P39:P40),0)</f>
        <v>#N/A</v>
      </c>
      <c r="Q41" s="248" t="e">
        <f>ROUND(PRODUCT(Q39:Q40),0)</f>
        <v>#N/A</v>
      </c>
      <c r="R41" s="248">
        <f>ROUND(PRODUCT(R39:R40),0)</f>
        <v>0</v>
      </c>
      <c r="S41" s="248">
        <f>ROUND(PRODUCT(S39:S40),0)</f>
        <v>0</v>
      </c>
      <c r="U41" s="1304"/>
      <c r="V41" s="1304"/>
      <c r="W41" s="1304"/>
      <c r="X41" s="1304"/>
      <c r="Y41" s="1304"/>
      <c r="Z41" s="1304"/>
      <c r="AE41" s="146"/>
      <c r="AF41" s="385"/>
      <c r="AG41" s="385"/>
      <c r="AH41" s="385"/>
      <c r="AP41" s="385"/>
      <c r="BN41" s="423"/>
      <c r="BO41" s="906" t="s">
        <v>1178</v>
      </c>
      <c r="BP41" s="423" t="e">
        <f>IF(OR(C28="S",C28="T"),1,VLOOKUP(C14,Table_ProtClass,IF(C15&lt;=3,2,3),FALSE))</f>
        <v>#N/A</v>
      </c>
      <c r="BQ41" s="426"/>
      <c r="BR41" s="423"/>
      <c r="BS41" s="906" t="s">
        <v>1178</v>
      </c>
      <c r="BT41" s="423" t="e">
        <f>IF(OR(C28="S",C28="T"),1,VLOOKUP(C14,Table_ProtClass,IF(C15&lt;=3,2,3),FALSE))</f>
        <v>#N/A</v>
      </c>
    </row>
    <row r="42" spans="1:72" ht="13.5" thickBot="1" x14ac:dyDescent="0.25">
      <c r="A42" s="84" t="s">
        <v>906</v>
      </c>
      <c r="B42" s="321">
        <f>IF(C42=250,"None",VLOOKUP(C41/1000,Table_DedMin,MATCH(C42,List_Deductibles,0)+1,TRUE))</f>
        <v>1</v>
      </c>
      <c r="C42" s="944">
        <v>500</v>
      </c>
      <c r="D42" s="931" t="s">
        <v>315</v>
      </c>
      <c r="E42" s="953"/>
      <c r="F42" s="574"/>
      <c r="H42" s="168" t="s">
        <v>680</v>
      </c>
      <c r="I42" s="248">
        <f>IF(AND(C27="Yes",F52="Yes"),BP15,0)</f>
        <v>0</v>
      </c>
      <c r="R42" s="248"/>
      <c r="S42" s="248"/>
      <c r="T42" s="423"/>
      <c r="U42" s="1302"/>
      <c r="V42" s="1302"/>
      <c r="W42" s="1302"/>
      <c r="X42" s="1302"/>
      <c r="Y42" s="1302"/>
      <c r="Z42" s="1302"/>
      <c r="AA42" s="423"/>
      <c r="AE42" s="248"/>
      <c r="AI42" s="423"/>
      <c r="BN42" s="423"/>
      <c r="BO42" s="906" t="s">
        <v>1018</v>
      </c>
      <c r="BP42" s="423">
        <f>IF(C42=250,DF_250Deductible,C43)</f>
        <v>1</v>
      </c>
      <c r="BQ42" s="385"/>
      <c r="BR42" s="279"/>
      <c r="BS42" s="809" t="s">
        <v>394</v>
      </c>
      <c r="BT42" s="279">
        <f>PRODUCT(VLOOKUP(80,Table_CoIns2,2,FALSE),DF_LL_CIPty)</f>
        <v>0.5</v>
      </c>
    </row>
    <row r="43" spans="1:72" ht="12.75" customHeight="1" thickBot="1" x14ac:dyDescent="0.25">
      <c r="A43" s="511" t="s">
        <v>1266</v>
      </c>
      <c r="B43" s="322">
        <f>IF(C42=250,"None",VLOOKUP(C41/1000,Table_DedMax,MATCH(C42,List_Deductibles,0)+1,TRUE))</f>
        <v>1</v>
      </c>
      <c r="C43" s="945">
        <v>1</v>
      </c>
      <c r="D43" s="931" t="s">
        <v>316</v>
      </c>
      <c r="E43" s="948"/>
      <c r="F43" s="574"/>
      <c r="H43" s="168" t="s">
        <v>681</v>
      </c>
      <c r="I43" s="248">
        <f>IF(AND(C27="Yes",F58="Yes"),BP29,0)</f>
        <v>0</v>
      </c>
      <c r="T43" s="266"/>
      <c r="U43" s="1307" t="str">
        <f>IF(ISTEXT(A$68),A$68&amp;" Premium","No Additional PP Item")</f>
        <v>No Additional PP Item</v>
      </c>
      <c r="V43" s="1292"/>
      <c r="W43" s="1308" t="s">
        <v>1012</v>
      </c>
      <c r="X43" s="1308" t="s">
        <v>1013</v>
      </c>
      <c r="Y43" s="1308" t="s">
        <v>838</v>
      </c>
      <c r="Z43" s="1309" t="s">
        <v>837</v>
      </c>
      <c r="AA43" s="266"/>
      <c r="AB43" s="60" t="s">
        <v>554</v>
      </c>
      <c r="AF43" s="60" t="s">
        <v>557</v>
      </c>
      <c r="AI43" s="266"/>
      <c r="BN43" s="423"/>
      <c r="BO43" s="906" t="s">
        <v>1017</v>
      </c>
      <c r="BP43" s="423">
        <f>IF(F13="Yes",1,IF(C44&gt;=80,VLOOKUP(C44,Table_CoIns1,2,FALSE),1+ IF(P5&lt;B45,VLOOKUP(B58,Table_CIUnder80,5,FALSE),0.5)))</f>
        <v>1</v>
      </c>
      <c r="BQ43" s="266"/>
      <c r="BR43" s="423"/>
      <c r="BS43" s="810" t="s">
        <v>1150</v>
      </c>
      <c r="BT43" s="426" t="e">
        <f>ROUND(PRODUCT(BT40:BT42),3)</f>
        <v>#N/A</v>
      </c>
    </row>
    <row r="44" spans="1:72" x14ac:dyDescent="0.2">
      <c r="A44" s="108" t="s">
        <v>1170</v>
      </c>
      <c r="B44" s="160"/>
      <c r="C44" s="1218">
        <v>80</v>
      </c>
      <c r="D44" s="931" t="s">
        <v>317</v>
      </c>
      <c r="E44" s="948"/>
      <c r="F44" s="574"/>
      <c r="H44" s="168" t="s">
        <v>689</v>
      </c>
      <c r="I44" s="248">
        <f>IF(AND(C27="Yes",F59="Yes"),BT14,0)</f>
        <v>0</v>
      </c>
      <c r="T44" s="266"/>
      <c r="U44" s="1288"/>
      <c r="V44" s="1294" t="s">
        <v>2165</v>
      </c>
      <c r="W44" s="1300" t="e">
        <f ca="1">$P$28</f>
        <v>#N/A</v>
      </c>
      <c r="X44" s="1300" t="e">
        <f>$Q$28</f>
        <v>#N/A</v>
      </c>
      <c r="Y44" s="1300">
        <f>$R$28</f>
        <v>0</v>
      </c>
      <c r="Z44" s="1300">
        <f>$S$28</f>
        <v>5.5E-2</v>
      </c>
      <c r="AA44" s="266"/>
      <c r="AB44" s="2" t="s">
        <v>555</v>
      </c>
      <c r="AF44" s="834">
        <f>IF(AND(C55="Yes",C57="Sprinkler"),2,0)</f>
        <v>0</v>
      </c>
      <c r="AG44" s="2" t="s">
        <v>558</v>
      </c>
      <c r="AI44" s="266"/>
      <c r="BN44" s="279"/>
      <c r="BO44" s="809" t="s">
        <v>1022</v>
      </c>
      <c r="BP44" s="279">
        <f>1+$CK$14</f>
        <v>1</v>
      </c>
      <c r="BQ44" s="266"/>
      <c r="BR44" s="279"/>
      <c r="BS44" s="809" t="s">
        <v>1417</v>
      </c>
      <c r="BT44" s="487">
        <f>IF(F17="Yes",E18/100,0)</f>
        <v>0</v>
      </c>
    </row>
    <row r="45" spans="1:72" ht="13.5" thickBot="1" x14ac:dyDescent="0.25">
      <c r="A45" s="275" t="str">
        <f>VLOOKUP(B58,Table_CIdesc,2,FALSE)</f>
        <v>Fire, Sprink Lkg and Vandalism</v>
      </c>
      <c r="B45" s="278">
        <f>VLOOKUP(B58,Table_CIUnder80,4,FALSE)</f>
        <v>0.79600000000000004</v>
      </c>
      <c r="C45" s="1109"/>
      <c r="D45" s="898" t="s">
        <v>1710</v>
      </c>
      <c r="E45" s="948"/>
      <c r="F45" s="574" t="str">
        <f>IF(ISBLANK(E45),"",IF(E45=1,2,IF(E45=2,4,"N/A")))</f>
        <v/>
      </c>
      <c r="H45" s="186" t="s">
        <v>687</v>
      </c>
      <c r="I45" s="238">
        <f>IF(AND(C27="Yes",F62="Yes"),BT28,0)</f>
        <v>0</v>
      </c>
      <c r="T45" s="266"/>
      <c r="U45" s="1288"/>
      <c r="V45" s="1117" t="s">
        <v>2152</v>
      </c>
      <c r="W45" s="247" t="e">
        <f>P$31</f>
        <v>#N/A</v>
      </c>
      <c r="X45" s="247">
        <f t="shared" ref="X45:Z45" si="3">Q$31</f>
        <v>0.67200000000000004</v>
      </c>
      <c r="Y45" s="247">
        <f t="shared" si="3"/>
        <v>0.57899999999999996</v>
      </c>
      <c r="Z45" s="247">
        <f t="shared" si="3"/>
        <v>0.57899999999999996</v>
      </c>
      <c r="AA45" s="266"/>
      <c r="AB45" s="834">
        <f>IF(OR(C28="S",C28="T"),0,2)</f>
        <v>2</v>
      </c>
      <c r="AC45" s="2" t="s">
        <v>556</v>
      </c>
      <c r="AF45" s="834">
        <f>IF(OR(C28="S",C28="T"),0,4)</f>
        <v>4</v>
      </c>
      <c r="AG45" s="2" t="s">
        <v>556</v>
      </c>
      <c r="AI45" s="266"/>
      <c r="BO45" s="83" t="s">
        <v>1150</v>
      </c>
      <c r="BP45" s="2" t="e">
        <f>ROUND(PRODUCT(BP40:BP44),3)</f>
        <v>#N/A</v>
      </c>
      <c r="BQ45" s="266"/>
      <c r="BR45" s="426"/>
      <c r="BS45" s="811" t="s">
        <v>1418</v>
      </c>
      <c r="BT45" s="812" t="e">
        <f>ROUND(PRODUCT(BT43:BT44),0)</f>
        <v>#N/A</v>
      </c>
    </row>
    <row r="46" spans="1:72" ht="13.5" thickBot="1" x14ac:dyDescent="0.25">
      <c r="A46" s="191"/>
      <c r="B46" s="282"/>
      <c r="C46" s="277"/>
      <c r="D46" s="930" t="s">
        <v>318</v>
      </c>
      <c r="E46" s="678" t="str">
        <f>IF(F46="No","N/A",COUNTIF(E47:E48,"Yes"))</f>
        <v>N/A</v>
      </c>
      <c r="F46" s="952" t="s">
        <v>857</v>
      </c>
      <c r="H46" s="83" t="s">
        <v>690</v>
      </c>
      <c r="I46" s="260">
        <f>SUM(I42:I45)</f>
        <v>0</v>
      </c>
      <c r="T46" s="266"/>
      <c r="U46" s="1298"/>
      <c r="V46" s="1283" t="s">
        <v>1025</v>
      </c>
      <c r="W46" s="1299">
        <f>IF(B68="Yes",C68/100,0)</f>
        <v>0</v>
      </c>
      <c r="X46" s="1299">
        <f>IF(B68="Yes",C68/100,0)</f>
        <v>0</v>
      </c>
      <c r="Y46" s="1299">
        <f>IF(B68="Yes",C68/100,0)</f>
        <v>0</v>
      </c>
      <c r="Z46" s="1299">
        <f>IF(B68="Yes",C68/100,0)</f>
        <v>0</v>
      </c>
      <c r="AA46" s="266"/>
      <c r="AB46" s="984">
        <f>IF(OR(C28="S",C28="T"),0,4)</f>
        <v>4</v>
      </c>
      <c r="AC46" s="146" t="s">
        <v>1161</v>
      </c>
      <c r="AF46" s="984">
        <f>IF(OR(C28="S",C28="T"),0,5)</f>
        <v>5</v>
      </c>
      <c r="AG46" s="146" t="s">
        <v>1161</v>
      </c>
      <c r="AH46" s="146"/>
      <c r="AI46" s="266"/>
      <c r="BN46" s="279"/>
      <c r="BO46" s="809" t="s">
        <v>791</v>
      </c>
      <c r="BP46" s="487">
        <f>IF(C27="Yes",C41/100,0)</f>
        <v>2500</v>
      </c>
      <c r="BQ46" s="266"/>
      <c r="BR46" s="266"/>
      <c r="BS46" s="266"/>
      <c r="BT46" s="266"/>
    </row>
    <row r="47" spans="1:72" x14ac:dyDescent="0.2">
      <c r="A47" s="751" t="s">
        <v>1580</v>
      </c>
      <c r="B47" s="928"/>
      <c r="C47" s="1070" t="s">
        <v>857</v>
      </c>
      <c r="D47" s="931" t="s">
        <v>316</v>
      </c>
      <c r="E47" s="953"/>
      <c r="F47" s="574"/>
      <c r="I47" s="60"/>
      <c r="T47" s="423"/>
      <c r="U47" s="1293"/>
      <c r="V47" s="1303" t="s">
        <v>2163</v>
      </c>
      <c r="W47" s="1306" t="e">
        <f ca="1">ROUND(PRODUCT(W44:W46),0)</f>
        <v>#N/A</v>
      </c>
      <c r="X47" s="1306" t="e">
        <f>ROUND(PRODUCT(X44:X46),0)</f>
        <v>#N/A</v>
      </c>
      <c r="Y47" s="1306">
        <f>ROUND(PRODUCT(Y44:Y46),0)</f>
        <v>0</v>
      </c>
      <c r="Z47" s="1306">
        <f>ROUND(PRODUCT(Z44:Z46),0)</f>
        <v>0</v>
      </c>
      <c r="AA47" s="423"/>
      <c r="AB47" s="917">
        <f>IF(C51&lt;&gt;"Yes",0,5)</f>
        <v>0</v>
      </c>
      <c r="AC47" s="185" t="s">
        <v>759</v>
      </c>
      <c r="AF47" s="917">
        <f>IF(C51&lt;&gt;"Yes",0,8)</f>
        <v>0</v>
      </c>
      <c r="AG47" s="185" t="s">
        <v>759</v>
      </c>
      <c r="AH47" s="185"/>
      <c r="AI47" s="423"/>
      <c r="BN47" s="426"/>
      <c r="BO47" s="811" t="s">
        <v>1333</v>
      </c>
      <c r="BP47" s="812" t="e">
        <f>ROUND(PRODUCT(BP45:BP46),0)</f>
        <v>#N/A</v>
      </c>
    </row>
    <row r="48" spans="1:72" x14ac:dyDescent="0.2">
      <c r="A48" s="143" t="s">
        <v>1589</v>
      </c>
      <c r="B48" s="947" t="s">
        <v>857</v>
      </c>
      <c r="C48" s="1039"/>
      <c r="D48" s="931" t="s">
        <v>317</v>
      </c>
      <c r="E48" s="948"/>
      <c r="F48" s="574"/>
      <c r="T48" s="266"/>
      <c r="U48" s="1295"/>
      <c r="V48" s="1297" t="s">
        <v>1021</v>
      </c>
      <c r="W48" s="1299">
        <f>W54</f>
        <v>0</v>
      </c>
      <c r="X48" s="1299">
        <f>X54</f>
        <v>0</v>
      </c>
      <c r="Y48" s="1299">
        <f>Y54</f>
        <v>0</v>
      </c>
      <c r="Z48" s="1299">
        <f>Z54</f>
        <v>0</v>
      </c>
      <c r="AA48" s="266"/>
      <c r="AB48" s="834">
        <f>SUM(AB45:AB47)</f>
        <v>6</v>
      </c>
      <c r="AC48" s="53" t="str">
        <f>"Subtract from the " &amp; IF(OR(AB48=6,AB48=2),"Terr Mult",IF(OR(AB48=4,AB48=9),"Prot Class",IF(AB48=5,"Fire Vault Credit","Loss Cost")))</f>
        <v>Subtract from the Terr Mult</v>
      </c>
      <c r="AF48" s="834">
        <f>SUM(AF44:AF47)</f>
        <v>9</v>
      </c>
      <c r="AG48" s="53" t="str">
        <f>"Subtract from the " &amp; IF(OR(AF48=2,AF48=6,AF48=7,AF48=10,AF48=11,AF48=19),"Sprk Lkg",IF(OR(AF48=4,AF48=9,AF48=12,AF48=17),"Terr Mult",IF(OR(AF48=5,AF48=13),"Prot Class",IF(AF48=8,"Fire Vault Credit","Loss Cost"))))</f>
        <v>Subtract from the Terr Mult</v>
      </c>
      <c r="AI48" s="266"/>
      <c r="AJ48" s="1225"/>
    </row>
    <row r="49" spans="1:68" ht="13.5" thickBot="1" x14ac:dyDescent="0.25">
      <c r="A49" s="108" t="s">
        <v>908</v>
      </c>
      <c r="B49" s="160"/>
      <c r="C49" s="962" t="s">
        <v>857</v>
      </c>
      <c r="D49" s="195"/>
      <c r="E49" s="195"/>
      <c r="F49" s="1067"/>
      <c r="H49" s="566" t="s">
        <v>663</v>
      </c>
      <c r="I49" s="248" t="e">
        <f>IF(AND(C21="Yes",C24="Yes"),BP49,IF(AND(C21="Yes",C24="No"),B24,0))</f>
        <v>#N/A</v>
      </c>
      <c r="T49" s="266"/>
      <c r="U49" s="1288"/>
      <c r="V49" s="1291" t="s">
        <v>2164</v>
      </c>
      <c r="W49" s="1301" t="e">
        <f ca="1">SUM(W47:W48)</f>
        <v>#N/A</v>
      </c>
      <c r="X49" s="1301" t="e">
        <f>SUM(X47:X48)</f>
        <v>#N/A</v>
      </c>
      <c r="Y49" s="1301">
        <f>SUM(Y47:Y48)</f>
        <v>0</v>
      </c>
      <c r="Z49" s="1301">
        <f>SUM(Z47:Z48)</f>
        <v>0</v>
      </c>
      <c r="AA49" s="266"/>
      <c r="AB49" s="146"/>
      <c r="AI49" s="266"/>
      <c r="BN49" s="566"/>
      <c r="BO49" s="990" t="s">
        <v>395</v>
      </c>
      <c r="BP49" s="813" t="e">
        <f>SUM(BP47,BT45)</f>
        <v>#N/A</v>
      </c>
    </row>
    <row r="50" spans="1:68" ht="13.5" thickBot="1" x14ac:dyDescent="0.25">
      <c r="A50" s="84" t="s">
        <v>976</v>
      </c>
      <c r="B50" s="95"/>
      <c r="C50" s="1040">
        <v>99</v>
      </c>
      <c r="D50" s="934" t="s">
        <v>662</v>
      </c>
      <c r="E50" s="216"/>
      <c r="F50" s="1070" t="s">
        <v>857</v>
      </c>
      <c r="T50" s="266"/>
      <c r="U50" s="1288"/>
      <c r="V50" s="1288"/>
      <c r="W50" s="1288"/>
      <c r="X50" s="1288"/>
      <c r="Y50" s="1288"/>
      <c r="Z50" s="1288"/>
      <c r="AA50" s="266"/>
      <c r="AB50" s="479" t="str">
        <f>IF(OR(AB48=6,AB48=2),"TM",IF(OR(AB48=4,AB48=9),"PC",IF(AB48=5,"FRV","LC")))</f>
        <v>TM</v>
      </c>
      <c r="AC50" s="919" t="s">
        <v>559</v>
      </c>
      <c r="AF50" s="479" t="str">
        <f>IF(AND(C57="Sprinkler",OR(AF48=2,AF48=6,AF48=7,AF48=10,AF48=11,AF48=19)),"SL",IF(AND(OR(C57="NA",ISNUMBER(C57)),OR(AF48=4,AF48=9,AF48=12,AF48=17)),"TM",IF(AND(OR(C57="NA",ISNUMBER(C57)),OR(AF48=5,AF48=13)),"PC",IF(AF48=8,"FRV","LC"))))</f>
        <v>TM</v>
      </c>
      <c r="AI50" s="266"/>
    </row>
    <row r="51" spans="1:68" x14ac:dyDescent="0.2">
      <c r="A51" s="108" t="s">
        <v>397</v>
      </c>
      <c r="B51" s="95"/>
      <c r="C51" s="1040" t="s">
        <v>857</v>
      </c>
      <c r="D51" s="271" t="s">
        <v>688</v>
      </c>
      <c r="E51" s="261"/>
      <c r="F51" s="756" t="str">
        <f>IF(F50="Yes",C41,"")</f>
        <v/>
      </c>
      <c r="T51" s="266"/>
      <c r="U51" s="1290" t="s">
        <v>1064</v>
      </c>
      <c r="V51" s="1288"/>
      <c r="W51" s="1288"/>
      <c r="X51" s="1288"/>
      <c r="Y51" s="1288"/>
      <c r="Z51" s="1288"/>
      <c r="AA51" s="266"/>
      <c r="AI51" s="266"/>
    </row>
    <row r="52" spans="1:68" x14ac:dyDescent="0.2">
      <c r="A52" s="108" t="s">
        <v>1103</v>
      </c>
      <c r="B52" s="160"/>
      <c r="C52" s="962"/>
      <c r="D52" s="927" t="s">
        <v>1833</v>
      </c>
      <c r="E52" s="216"/>
      <c r="F52" s="954"/>
      <c r="H52" s="60" t="s">
        <v>1581</v>
      </c>
      <c r="I52" s="2">
        <f>IF(C47="Yes",VLOOKUP(B48,Table_PlusEnd,2,FALSE),0)</f>
        <v>0</v>
      </c>
      <c r="T52" s="266"/>
      <c r="U52" s="1288"/>
      <c r="V52" s="1294" t="s">
        <v>1200</v>
      </c>
      <c r="W52" s="1301" t="e">
        <f ca="1">W47</f>
        <v>#N/A</v>
      </c>
      <c r="X52" s="1301" t="e">
        <f>X47</f>
        <v>#N/A</v>
      </c>
      <c r="Y52" s="1301">
        <f>Y47</f>
        <v>0</v>
      </c>
      <c r="Z52" s="1301">
        <f>Z47</f>
        <v>0</v>
      </c>
      <c r="AA52" s="266"/>
      <c r="AI52" s="266"/>
    </row>
    <row r="53" spans="1:68" x14ac:dyDescent="0.2">
      <c r="A53" s="513" t="s">
        <v>1102</v>
      </c>
      <c r="B53" s="1212"/>
      <c r="C53" s="1063" t="str">
        <f>IF(ISBLANK(C52),"",VLOOKUP(12,Table_InflationGd,MATCH(C9,List_IGyr,0)+1,FALSE))</f>
        <v/>
      </c>
      <c r="D53" s="935" t="s">
        <v>677</v>
      </c>
      <c r="E53" s="947"/>
      <c r="F53" s="772" t="str">
        <f>IF(F52="Yes","B","")</f>
        <v/>
      </c>
      <c r="T53" s="423"/>
      <c r="U53" s="1295"/>
      <c r="V53" s="1296" t="s">
        <v>1026</v>
      </c>
      <c r="W53" s="1305">
        <f>$P$40</f>
        <v>0</v>
      </c>
      <c r="X53" s="1305">
        <f>$P$40</f>
        <v>0</v>
      </c>
      <c r="Y53" s="1305">
        <f>$P$40</f>
        <v>0</v>
      </c>
      <c r="Z53" s="1305">
        <f>$P$40</f>
        <v>0</v>
      </c>
      <c r="AA53" s="423"/>
      <c r="AI53" s="423"/>
    </row>
    <row r="54" spans="1:68" ht="15" thickBot="1" x14ac:dyDescent="0.25">
      <c r="A54" s="108" t="s">
        <v>909</v>
      </c>
      <c r="B54" s="160"/>
      <c r="C54" s="962" t="s">
        <v>833</v>
      </c>
      <c r="D54" s="935" t="s">
        <v>1748</v>
      </c>
      <c r="E54" s="947"/>
      <c r="F54" s="771" t="str">
        <f>IF(F52="Yes",E54&amp;"_"&amp;E53,"")</f>
        <v/>
      </c>
      <c r="H54" s="60" t="s">
        <v>2269</v>
      </c>
      <c r="I54" s="1439" t="e">
        <f ca="1">SUM(I16:L16,I38,I46,I52)</f>
        <v>#N/A</v>
      </c>
      <c r="T54" s="385"/>
      <c r="U54" s="1288"/>
      <c r="V54" s="1291" t="s">
        <v>1023</v>
      </c>
      <c r="W54" s="1301">
        <v>0</v>
      </c>
      <c r="X54" s="1301">
        <v>0</v>
      </c>
      <c r="Y54" s="1301">
        <v>0</v>
      </c>
      <c r="Z54" s="1301">
        <v>0</v>
      </c>
      <c r="AA54" s="385"/>
      <c r="AI54" s="385"/>
    </row>
    <row r="55" spans="1:68" ht="14.25" thickTop="1" thickBot="1" x14ac:dyDescent="0.25">
      <c r="A55" s="108" t="s">
        <v>1813</v>
      </c>
      <c r="B55" s="95"/>
      <c r="C55" s="1040" t="s">
        <v>857</v>
      </c>
      <c r="D55" s="935" t="s">
        <v>1135</v>
      </c>
      <c r="E55" s="947"/>
      <c r="F55" s="771"/>
      <c r="U55" s="1293"/>
      <c r="V55" s="1293"/>
      <c r="W55" s="1293"/>
      <c r="X55" s="1293"/>
      <c r="Y55" s="1293"/>
      <c r="Z55" s="1293"/>
    </row>
    <row r="56" spans="1:68" ht="15.75" thickBot="1" x14ac:dyDescent="0.25">
      <c r="A56" s="124" t="s">
        <v>1029</v>
      </c>
      <c r="B56" s="940" t="s">
        <v>857</v>
      </c>
      <c r="C56" s="1064"/>
      <c r="D56" s="927" t="s">
        <v>305</v>
      </c>
      <c r="E56" s="273"/>
      <c r="F56" s="703" t="str">
        <f>IF(F52="Yes",VLOOKUP(D57,Table_EQ_PPGrade,2,FALSE),"N/A")</f>
        <v>N/A</v>
      </c>
      <c r="H56" s="60" t="s">
        <v>2270</v>
      </c>
      <c r="I56" s="1280" t="e">
        <f ca="1">SUM(I54,I49)</f>
        <v>#N/A</v>
      </c>
      <c r="T56" s="146"/>
      <c r="U56" s="1301"/>
      <c r="V56" s="1301"/>
      <c r="W56" s="1301"/>
      <c r="X56" s="1301"/>
      <c r="Y56" s="1301"/>
      <c r="Z56" s="1301"/>
      <c r="AA56" s="146"/>
      <c r="AI56" s="146"/>
    </row>
    <row r="57" spans="1:68" x14ac:dyDescent="0.2">
      <c r="A57" s="124" t="s">
        <v>922</v>
      </c>
      <c r="B57" s="940"/>
      <c r="C57" s="913" t="str">
        <f>IF(ISBLANK(B57),"NA",IF(OR(LEFT(B57,1)="4",LEFT(B57,1)="8"),"Sprinkler",DF_SprLkg))</f>
        <v>NA</v>
      </c>
      <c r="D57" s="1605"/>
      <c r="E57" s="1605"/>
      <c r="F57" s="1606"/>
      <c r="T57" s="248"/>
      <c r="U57" s="1310"/>
      <c r="V57" s="1289"/>
      <c r="W57" s="1289"/>
      <c r="X57" s="1310"/>
      <c r="Y57" s="1289"/>
      <c r="Z57" s="1289"/>
      <c r="AA57" s="248"/>
      <c r="AI57" s="248"/>
    </row>
    <row r="58" spans="1:68" x14ac:dyDescent="0.2">
      <c r="A58" s="108" t="s">
        <v>1814</v>
      </c>
      <c r="B58" s="261">
        <f>IF(AND(C55="Yes",C58="Yes"),1,IF(C55="Yes",2,IF(C58="Yes",3,4)))</f>
        <v>4</v>
      </c>
      <c r="C58" s="1040" t="s">
        <v>857</v>
      </c>
      <c r="D58" s="927" t="s">
        <v>1834</v>
      </c>
      <c r="E58" s="261"/>
      <c r="F58" s="954" t="s">
        <v>857</v>
      </c>
      <c r="T58" s="146"/>
      <c r="U58" s="1293"/>
      <c r="V58" s="1289"/>
      <c r="W58" s="1289"/>
      <c r="X58" s="1311"/>
      <c r="Y58" s="1293"/>
      <c r="Z58" s="1289"/>
      <c r="AA58" s="146"/>
      <c r="AI58" s="146"/>
    </row>
    <row r="59" spans="1:68" x14ac:dyDescent="0.2">
      <c r="A59" s="276" t="str">
        <f>IF(C58="Yes","Use this Lookup Value:","")</f>
        <v/>
      </c>
      <c r="B59" s="289" t="str">
        <f>IF(C58="Yes",IF(ISERROR(VLOOKUP(C35,Table_VandalExcl,1,FALSE)),"OT",C35),"")</f>
        <v/>
      </c>
      <c r="C59" s="1110"/>
      <c r="D59" s="927" t="s">
        <v>1835</v>
      </c>
      <c r="E59" s="261"/>
      <c r="F59" s="954" t="s">
        <v>857</v>
      </c>
      <c r="G59" s="8"/>
      <c r="T59" s="248"/>
      <c r="U59" s="1311"/>
      <c r="V59" s="1293"/>
      <c r="W59" s="1289"/>
      <c r="X59" s="1311"/>
      <c r="Y59" s="1293"/>
      <c r="Z59" s="1289"/>
      <c r="AA59" s="478"/>
      <c r="AI59" s="248"/>
    </row>
    <row r="60" spans="1:68" x14ac:dyDescent="0.2">
      <c r="A60" s="108" t="s">
        <v>1817</v>
      </c>
      <c r="B60" s="95"/>
      <c r="C60" s="962" t="s">
        <v>857</v>
      </c>
      <c r="D60" s="935" t="s">
        <v>1836</v>
      </c>
      <c r="E60" s="947"/>
      <c r="F60" s="293"/>
      <c r="G60" s="8"/>
      <c r="U60" s="1311"/>
      <c r="V60" s="1293"/>
      <c r="W60" s="1289"/>
      <c r="X60" s="1311"/>
      <c r="Y60" s="1293"/>
      <c r="Z60" s="1293"/>
      <c r="AA60" s="146"/>
    </row>
    <row r="61" spans="1:68" x14ac:dyDescent="0.2">
      <c r="A61" s="84" t="s">
        <v>915</v>
      </c>
      <c r="B61" s="193"/>
      <c r="C61" s="962" t="s">
        <v>857</v>
      </c>
      <c r="D61" s="700"/>
      <c r="E61" s="774"/>
      <c r="F61" s="773"/>
      <c r="G61" s="8"/>
      <c r="U61" s="1311"/>
      <c r="V61" s="1293"/>
      <c r="W61" s="1289"/>
      <c r="X61" s="1311"/>
      <c r="Y61" s="1293"/>
      <c r="Z61" s="1293"/>
      <c r="AA61" s="146"/>
    </row>
    <row r="62" spans="1:68" x14ac:dyDescent="0.2">
      <c r="A62" s="159" t="s">
        <v>1492</v>
      </c>
      <c r="B62" s="1219"/>
      <c r="C62" s="356"/>
      <c r="D62" s="927" t="s">
        <v>1234</v>
      </c>
      <c r="E62" s="261"/>
      <c r="F62" s="954" t="s">
        <v>857</v>
      </c>
      <c r="G62" s="8"/>
      <c r="U62" s="1311"/>
      <c r="V62" s="1287"/>
      <c r="W62" s="1289"/>
      <c r="X62" s="1311"/>
      <c r="Y62" s="1287"/>
      <c r="Z62" s="1289"/>
      <c r="AA62" s="146"/>
    </row>
    <row r="63" spans="1:68" ht="13.5" thickBot="1" x14ac:dyDescent="0.25">
      <c r="A63" s="91"/>
      <c r="B63" s="195"/>
      <c r="C63" s="101"/>
      <c r="D63" s="935" t="s">
        <v>1235</v>
      </c>
      <c r="E63" s="947"/>
      <c r="F63" s="293"/>
      <c r="G63" s="8"/>
      <c r="U63" s="1293"/>
      <c r="V63" s="1289"/>
      <c r="W63" s="1289"/>
      <c r="X63" s="1289"/>
      <c r="Y63" s="1289"/>
      <c r="Z63" s="1289"/>
      <c r="AA63" s="146"/>
    </row>
    <row r="64" spans="1:68" ht="13.5" thickBot="1" x14ac:dyDescent="0.25">
      <c r="A64" s="529" t="s">
        <v>1141</v>
      </c>
      <c r="B64" s="531"/>
      <c r="C64" s="532"/>
      <c r="D64" s="936"/>
      <c r="E64" s="515"/>
      <c r="F64" s="516"/>
      <c r="G64" s="8"/>
      <c r="U64" s="1311"/>
      <c r="V64" s="1282"/>
      <c r="W64" s="1289"/>
      <c r="X64" s="1311"/>
      <c r="Y64" s="1289"/>
      <c r="Z64" s="1289"/>
      <c r="AA64" s="146"/>
    </row>
    <row r="65" spans="1:54" x14ac:dyDescent="0.2">
      <c r="A65" s="1436"/>
      <c r="B65" s="940" t="s">
        <v>857</v>
      </c>
      <c r="C65" s="1101"/>
      <c r="G65" s="139"/>
      <c r="U65" s="1289"/>
      <c r="V65" s="1289"/>
      <c r="W65" s="1289"/>
      <c r="X65" s="1289"/>
      <c r="Y65" s="1289"/>
      <c r="Z65" s="1289"/>
      <c r="AA65" s="146"/>
    </row>
    <row r="66" spans="1:54" x14ac:dyDescent="0.2">
      <c r="A66" s="1436"/>
      <c r="B66" s="940" t="s">
        <v>857</v>
      </c>
      <c r="C66" s="1101"/>
      <c r="G66" s="139"/>
      <c r="U66" s="1289"/>
      <c r="V66" s="1289"/>
      <c r="W66" s="1289"/>
      <c r="X66" s="1289"/>
      <c r="Y66" s="1289"/>
      <c r="Z66" s="1289"/>
      <c r="AA66" s="146"/>
    </row>
    <row r="67" spans="1:54" x14ac:dyDescent="0.2">
      <c r="A67" s="1436"/>
      <c r="B67" s="940" t="s">
        <v>857</v>
      </c>
      <c r="C67" s="1101"/>
      <c r="G67" s="139"/>
      <c r="U67" s="1289"/>
      <c r="V67" s="1289"/>
      <c r="W67" s="1289"/>
      <c r="X67" s="1289"/>
      <c r="Y67" s="1289"/>
      <c r="Z67" s="1289"/>
      <c r="AA67" s="146"/>
    </row>
    <row r="68" spans="1:54" x14ac:dyDescent="0.2">
      <c r="A68" s="1436"/>
      <c r="B68" s="940" t="s">
        <v>857</v>
      </c>
      <c r="C68" s="962"/>
      <c r="G68" s="8"/>
      <c r="U68" s="1289"/>
      <c r="V68" s="1289"/>
      <c r="W68" s="1289"/>
      <c r="X68" s="1289"/>
      <c r="Y68" s="1289"/>
      <c r="Z68" s="1289"/>
      <c r="AA68" s="146"/>
    </row>
    <row r="69" spans="1:54" x14ac:dyDescent="0.2">
      <c r="A69" s="84"/>
      <c r="B69" s="1437" t="s">
        <v>2266</v>
      </c>
      <c r="C69" s="1438">
        <f>SUM(C41,C65:C68)</f>
        <v>250000</v>
      </c>
      <c r="G69" s="8"/>
      <c r="U69" s="1288"/>
      <c r="V69" s="1288"/>
      <c r="W69" s="1288"/>
      <c r="X69" s="1288"/>
      <c r="Y69" s="1288"/>
      <c r="Z69" s="1288"/>
      <c r="AA69" s="146"/>
    </row>
    <row r="70" spans="1:54" ht="13.5" thickBot="1" x14ac:dyDescent="0.25">
      <c r="A70" s="85"/>
      <c r="B70" s="86"/>
      <c r="C70" s="196"/>
      <c r="G70" s="8"/>
      <c r="U70" s="1288"/>
      <c r="V70" s="1288"/>
      <c r="W70" s="1288"/>
      <c r="X70" s="1288"/>
      <c r="Y70" s="1288"/>
      <c r="Z70" s="1288"/>
    </row>
    <row r="71" spans="1:54" x14ac:dyDescent="0.2">
      <c r="G71" s="8"/>
      <c r="U71" s="1288"/>
      <c r="V71" s="1288"/>
      <c r="W71" s="1288"/>
      <c r="X71" s="1288"/>
      <c r="Y71" s="1288"/>
      <c r="Z71" s="1288"/>
    </row>
    <row r="72" spans="1:54" x14ac:dyDescent="0.2">
      <c r="G72" s="8"/>
      <c r="U72" s="1288"/>
      <c r="V72" s="1288"/>
      <c r="W72" s="1288"/>
      <c r="X72" s="1288"/>
      <c r="Y72" s="1288"/>
      <c r="Z72" s="1288"/>
    </row>
    <row r="73" spans="1:54" x14ac:dyDescent="0.2">
      <c r="G73" s="8"/>
      <c r="U73" s="1288"/>
      <c r="V73" s="1288"/>
      <c r="W73" s="1288"/>
      <c r="X73" s="1288"/>
      <c r="Y73" s="1288"/>
      <c r="Z73" s="1288"/>
    </row>
    <row r="74" spans="1:54" x14ac:dyDescent="0.2">
      <c r="G74" s="8"/>
      <c r="U74" s="1288"/>
      <c r="V74" s="1288"/>
      <c r="W74" s="1288"/>
      <c r="X74" s="1288"/>
      <c r="Y74" s="1288"/>
      <c r="Z74" s="1288"/>
    </row>
    <row r="75" spans="1:54" x14ac:dyDescent="0.2">
      <c r="G75" s="8"/>
      <c r="U75" s="1288"/>
      <c r="V75" s="1288"/>
      <c r="W75" s="1288"/>
      <c r="X75" s="1288"/>
      <c r="Y75" s="1288"/>
      <c r="Z75" s="1288"/>
    </row>
    <row r="76" spans="1:54" x14ac:dyDescent="0.2">
      <c r="G76" s="146"/>
      <c r="U76" s="1288"/>
      <c r="V76" s="1288"/>
      <c r="W76" s="1288"/>
      <c r="X76" s="1288"/>
      <c r="Y76" s="1288"/>
      <c r="Z76" s="1288"/>
    </row>
    <row r="78" spans="1:54" x14ac:dyDescent="0.2">
      <c r="AY78" s="385"/>
      <c r="AZ78" s="685"/>
      <c r="BA78" s="385"/>
      <c r="BB78" s="385"/>
    </row>
  </sheetData>
  <mergeCells count="5">
    <mergeCell ref="H1:L1"/>
    <mergeCell ref="BN1:BT1"/>
    <mergeCell ref="BN32:BT32"/>
    <mergeCell ref="E34:F34"/>
    <mergeCell ref="D57:F57"/>
  </mergeCells>
  <conditionalFormatting sqref="B24">
    <cfRule type="expression" dxfId="24" priority="13" stopIfTrue="1">
      <formula>IF($C$24="Yes",FALSE,TRUE)</formula>
    </cfRule>
  </conditionalFormatting>
  <conditionalFormatting sqref="C18">
    <cfRule type="expression" dxfId="23" priority="11">
      <formula>IF($C$12="SP",TRUE,FALSE)</formula>
    </cfRule>
    <cfRule type="expression" dxfId="22" priority="12">
      <formula>IF($C$12="SP",TRUE,FALSE)</formula>
    </cfRule>
  </conditionalFormatting>
  <conditionalFormatting sqref="A18">
    <cfRule type="expression" dxfId="21" priority="10">
      <formula>IF($C$12="SP",TRUE,FALSE)</formula>
    </cfRule>
  </conditionalFormatting>
  <conditionalFormatting sqref="B21">
    <cfRule type="expression" dxfId="20" priority="9">
      <formula>IF($C$21="Yes",TRUE,FALSE)</formula>
    </cfRule>
  </conditionalFormatting>
  <conditionalFormatting sqref="C32">
    <cfRule type="expression" dxfId="19" priority="2">
      <formula>IF(AND($C$30="Yes",$C$12="BR"),TRUE,FALSE)</formula>
    </cfRule>
  </conditionalFormatting>
  <conditionalFormatting sqref="B32">
    <cfRule type="expression" dxfId="18" priority="1">
      <formula>IF(AND($C$30="Yes",$C$12="SP"),TRUE,FALSE)</formula>
    </cfRule>
  </conditionalFormatting>
  <conditionalFormatting sqref="B31:C31">
    <cfRule type="expression" dxfId="17" priority="3">
      <formula>IF($C$30="Yes",TRUE,FALSE)</formula>
    </cfRule>
  </conditionalFormatting>
  <dataValidations count="111"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65:C68">
      <formula1>IF(B65="Yes",TRUE,FALSE)</formula1>
    </dataValidation>
    <dataValidation type="list" allowBlank="1" showInputMessage="1" showErrorMessage="1" promptTitle="Property Plus Endorsement" prompt="Apply Coverage:_x000a_{ Yes or No }_x000a__x000a_* Only applies if &quot;SP&quot; has been added to policy" sqref="C47">
      <formula1>IF(C12="SP",List_YN,List_No)</formula1>
    </dataValidation>
    <dataValidation type="list" showInputMessage="1" showErrorMessage="1" promptTitle="Outdoors Trees, Shrubs, Plants" prompt="Please Select:_x000a_{ Yes or No }_x000a__x000a_*This is a SPECIAL Class Rating Type coverage, please select the applicable special class property that it applies to." sqref="F26">
      <formula1>IF(E26="Bldg",List_No,List_YN)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2">
      <formula1>IF(AND($F$50="Yes",C55&lt;&gt;"Yes"),List_YN,List_No)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list" allowBlank="1" showInputMessage="1" showErrorMessage="1" promptTitle="Automatic Terrorism Rating:" prompt="Please Select:_x000a_{ Yes or No }_x000a__x000a_*If &quot;No&quot; is selected please supply the Terrorism premium for this section of the policy in the shaded box on the left." sqref="C24">
      <formula1>IF(C21="Yes",List_YN,List_No)</formula1>
    </dataValidation>
    <dataValidation type="custom" allowBlank="1" showInputMessage="1" showErrorMessage="1" promptTitle="Limit of Insurance - Theft Only" prompt="Please enter the limit of insurance that applies to the Including Theft only portion of Special." sqref="E5">
      <formula1>IF(F3="Yes",TRUE, FALSE)</formula1>
    </dataValidation>
    <dataValidation type="custom" allowBlank="1" showInputMessage="1" showErrorMessage="1" promptTitle="Misc. Real Property" prompt="Please enter the Limit of Insurance." sqref="E11">
      <formula1>IF(F9="Yes",TRUE,FALSE)</formula1>
    </dataValidation>
    <dataValidation type="custom" allowBlank="1" showInputMessage="1" showErrorMessage="1" promptTitle="Loss Assessment" prompt="Please enter the Limit of Insurance." sqref="E10">
      <formula1>IF(F9="Yes",TRUE,FALSE)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49">
      <formula1>IF(C54="Yes",List_No,List_YN)</formula1>
    </dataValidation>
    <dataValidation type="list" allowBlank="1" showInputMessage="1" showErrorMessage="1" promptTitle="Select Utility Service Property:" prompt="Yes or No_x000a__x000a_*Must select &quot;Yes&quot; if you would like to apply coverage for Water, Communications or Power Supply Property." sqref="F41">
      <formula1>IF(F39="Yes",List_YN,List_No)</formula1>
    </dataValidation>
    <dataValidation type="list" showInputMessage="1" showErrorMessage="1" promptTitle="Select Overhead Line Property:" prompt="Yes or No_x000a__x000a_*Must select &quot;Yes&quot; if you would like to apply coverage for Communications or Power Supply Property." sqref="F46">
      <formula1>IF(F39="Yes",List_YN,List_No)</formula1>
    </dataValidation>
    <dataValidation type="custom" allowBlank="1" showInputMessage="1" showErrorMessage="1" errorTitle="Rating Type Incompatible" error="You have not selected Specific or Tentative Rating Type for this policy." promptTitle="Grp II - Specific/Tentative Rate" prompt="If you have selected Specific or Tentative Rate type you will need to supply the Loss Cost._x000a__x000a_Enter GROUP II - LOSS COST" sqref="C29">
      <formula1>IF(OR(C28="S",C28="T"),TRUE,FALSE)</formula1>
    </dataValidation>
    <dataValidation type="custom" allowBlank="1" showInputMessage="1" showErrorMessage="1" sqref="E40 E27 E14">
      <formula1>IF(F13="Yes",TRUE,FALSE)</formula1>
    </dataValidation>
    <dataValidation type="custom" allowBlank="1" showInputMessage="1" showErrorMessage="1" errorTitle="INVALID ENTRY" error="Please Check Entry, if:_x000a_(1) Deductible amount selected is $250; the deductible credit factor will be automatically generated._x000a__x000a_OR_x000a__x000a_(2) Amount entered was not within the Min/Max values specified." sqref="C43">
      <formula1>IF(B42="None",FALSE,IF(AND(C43&lt;=B42,C43&gt;=B43),TRUE,FALSE))</formula1>
    </dataValidation>
    <dataValidation type="custom" allowBlank="1" showInputMessage="1" showErrorMessage="1" errorTitle="Invalid Entry" error="You must select &quot;OT&quot; next to Inflation Guard if you wish to enter an alternative value." promptTitle="Enter Inflation Guard %" prompt="Make sure you select &quot;OT&quot; for the above Inflation Guard %._x000a__x000a_Value entered must be greater than 12." sqref="B53">
      <formula1>IF(C52="OT",TRUE,FALSE)</formula1>
    </dataValidation>
    <dataValidation type="custom" allowBlank="1" showInputMessage="1" showErrorMessage="1" errorTitle="Rating Type Incompatible" error="You have not selected Specific or Tentative Rating Type for this policy." promptTitle="Grp I - Specific/Tentative Rate:" prompt="If you have selected Specific or Tentative Rate type you will need to supply the Loss Cost._x000a__x000a_Enter GROUP I - LOSS COST" sqref="B29">
      <formula1>IF(OR(C28="S",C28="T"),TRUE,FALSE)</formula1>
    </dataValidation>
    <dataValidation type="custom" allowBlank="1" showInputMessage="1" showErrorMessage="1" promptTitle="Group I - Blanket Rate" prompt="Please enter the calculated Group I - Blanket rate" sqref="B31">
      <formula1>IF(C30="Yes",TRUE,FALSE)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65">
      <formula1>IF($C$27="No",List_No,List_YN)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66">
      <formula1>IF($C$27="No",List_No,List_YN)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67">
      <formula1>IF($C$27="No",List_No,List_YN)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68">
      <formula1>IF($C$27="No",List_No,List_YN)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custom"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3">
      <formula1>FALSE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6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custom" allowBlank="1" showInputMessage="1" showErrorMessage="1" promptTitle="Group II Symbol Multiplier" prompt="This is needed in regards to the Additional Classes in Table 70.E.2.a(4)(b).  Also for Special Class Pty (0833,1185,1190,1200)" sqref="B16">
      <formula1>FALSE</formula1>
    </dataValidation>
    <dataValidation type="list" allowBlank="1" showInputMessage="1" showErrorMessage="1" promptTitle="Select Policy Form Type:" prompt="1 - Building &amp; Personal Property (BG &amp; PP)_x000a_2 - Condominium Association Coverage (CAC)_x000a_3 - Condominium Commercial Unit Owners (CCUO)" sqref="C10">
      <formula1>List_PolicyFormTypes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Select Company:" prompt="GAAL, GAAS, GAIC, GANY" sqref="C11">
      <formula1>List_Company</formula1>
    </dataValidation>
    <dataValidation allowBlank="1" showInputMessage="1" showErrorMessage="1" promptTitle="SPECIAL Form - Column Ref." prompt="This factor is used to determine the which column to use in the SPECIAL Form -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Special - Cause of Loss" prompt="Please select:_x000a_1 - Including Theft_x000a_2 - Excluding Theft" sqref="C13">
      <formula1>IF($C$12="SP",List_SPTheft,List_No)</formula1>
    </dataValidation>
    <dataValidation type="list" allowBlank="1" showInputMessage="1" showErrorMessage="1" promptTitle="Protection Class:" prompt="Please select a number (1 - 10)" sqref="C14">
      <formula1>OFFSET(Table_ProtClass,0,0,,1)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5">
      <formula1>List_ConstrNum</formula1>
    </dataValidation>
    <dataValidation allowBlank="1" showInputMessage="1" showErrorMessage="1" promptTitle="Policy Term" prompt="Please Select:_x000a_1 - 1-Yr Annual Policy_x000a_3 - 3-Yr Policy" sqref="C9"/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Please Select:" prompt="C   = Class_x000a_S   = Specific_x000a_T   = Tentative" sqref="C28">
      <formula1>OFFSET(List_RatingType,0,0,3,1)</formula1>
    </dataValidation>
    <dataValidation type="list" allowBlank="1" showInputMessage="1" showErrorMessage="1" promptTitle="Personal Property Class:" prompt="Please select the appropriate Personal Property Class." sqref="C35">
      <formula1>OFFSET(Table_G1_LC,0,0,,1)</formula1>
    </dataValidation>
    <dataValidation type="custom" allowBlank="1" showInputMessage="1" showErrorMessage="1" promptTitle="Class Rating Group" prompt="Displays Rating Group for Class Code selected." sqref="B35">
      <formula1>FALSE</formula1>
    </dataValidation>
    <dataValidation type="custom" allowBlank="1" showInputMessage="1" showErrorMessage="1" promptTitle="Total Funct. PP Val. Limit:" prompt="Automatically tallies the total Functional Personal Property Valuation Limit comprised of all the Personal Property Limits + the User supplied FPPV Limit." sqref="E15">
      <formula1>FALSE</formula1>
    </dataValidation>
    <dataValidation type="list" allowBlank="1" showInputMessage="1" showErrorMessage="1" promptTitle="Please Select:" prompt="Yes = Apply Coverage_x000a_No  = Do Not Apply_x000a__x000a_*This coverage applies to Special Form coverage only." sqref="F3">
      <formula1>List_YN</formula1>
    </dataValidation>
    <dataValidation type="custom" allowBlank="1" showInputMessage="1" showErrorMessage="1" errorTitle="No Entry Allowed" error="This is an automated field --- User entry is NOT allowed." promptTitle="All Perils Excluding Theft" prompt="This limit of insurance is the same as that supplied for Personal Property.  _x000a__x000a_*It will automatically generate based upon the limit supplied for personal property." sqref="E4">
      <formula1>FALSE</formula1>
    </dataValidation>
    <dataValidation type="list" allowBlank="1" showInputMessage="1" showErrorMessage="1" errorTitle="Invalid Entry:" error="This optional coverage is not allowed if Policy Form is not CCUO." promptTitle="Please Select:" prompt="Yes = Apply Coverage_x000a_No  = Do Not Apply" sqref="F9">
      <formula1>IF($C$10=3,List_YN,List_No)</formula1>
    </dataValidation>
    <dataValidation type="custom" allowBlank="1" showInputMessage="1" showErrorMessage="1" errorTitle="Coverage Not Selected" error="Please set the Brands &amp; Labels Coverage to &quot;Yes&quot; before trying to key in an Insurance Limit." sqref="F10:F11">
      <formula1>IF(#REF!="Yes",TRUE,FALSE)</formula1>
    </dataValidation>
    <dataValidation type="custom" allowBlank="1" showInputMessage="1" showErrorMessage="1" promptTitle="Outdoors TSP Coverage" prompt="This coverage cannot be applied on Building and Personal Property on the same policy._x000a__x000a_If &quot;Bldg&quot; is showing, this coverage has already been applied on the Building coverage tab.  Otherwise it should display &quot;Available&quot;." sqref="E26">
      <formula1>FALSE</formula1>
    </dataValidation>
    <dataValidation type="list" allowBlank="1" showInputMessage="1" showErrorMessage="1" promptTitle="Special Class Pty - Item No." prompt="Please select Class Item # (according to Rule 85.L.3)_x000a__x000a_Note: Description of Item # is displayed below" sqref="F28">
      <formula1>OFFSET(Table_SpecialLC,0,0,,1)</formula1>
    </dataValidation>
    <dataValidation type="custom" allowBlank="1" showInputMessage="1" showErrorMessage="1" promptTitle="Special Class - Loss Cost Ref." prompt="Gives the column reference for the Special Class Loss Cost lookup." sqref="E28">
      <formula1>FALSE</formula1>
    </dataValidation>
    <dataValidation allowBlank="1" showInputMessage="1" showErrorMessage="1" promptTitle="Special Class Pty: Grp II Symbol" prompt="Group II Symbol supplied for the Special Class Property selected." sqref="E30"/>
    <dataValidation type="custom" allowBlank="1" showInputMessage="1" showErrorMessage="1" promptTitle="Peak Season # of Days" prompt="This is an automated field generated based upon your start and end dates entered." sqref="F24">
      <formula1>FALSE</formula1>
    </dataValidation>
    <dataValidation type="list" allowBlank="1" showInputMessage="1" showErrorMessage="1" promptTitle="Please Select:" prompt="Yes = Apply Coverage_x000a_No  = Do Not Apply_x000a__x000a_* This coverage is only available to Special Form Personal Property Coverages." sqref="F21">
      <formula1>IF($C$12="SP",List_YN,List_No)</formula1>
    </dataValidation>
    <dataValidation allowBlank="1" showInputMessage="1" showErrorMessage="1" promptTitle="Legal Liab.  Personal Property" prompt="Please enter the limit of insurance related to the Legal Liability Coverage." sqref="E18"/>
    <dataValidation type="list" allowBlank="1" showInputMessage="1" showErrorMessage="1" promptTitle="Additional Insurable Interests" prompt="Please select:  Yes or No_x000a__x000a_Please select this coverage if you would like to include additional insureds (i.e. General lessees, mgrs, ops, &amp; employees other than executive officers related to premises)" sqref="E19">
      <formula1>List_YN</formula1>
    </dataValidation>
    <dataValidation type="custom" allowBlank="1" showInputMessage="1" showErrorMessage="1" prompt="Spoilage Loss Cost Column Reference" sqref="F37">
      <formula1>FALSE</formula1>
    </dataValidation>
    <dataValidation type="custom" allowBlank="1" showInputMessage="1" showErrorMessage="1" prompt="Lookup Value for Spoil Coverage Loss Cost Table" sqref="F33">
      <formula1>FALSE</formula1>
    </dataValidation>
    <dataValidation type="list" allowBlank="1" showInputMessage="1" showErrorMessage="1" promptTitle="Spoilage Pty or Occupancy Types" prompt="Please select one of the properties or occupancy types from the list the Classification will automatically be assigned." sqref="E34">
      <formula1>OFFSET(Table_SpoilTypes,0,0,,1)</formula1>
    </dataValidation>
    <dataValidation type="list" allowBlank="1" showInputMessage="1" showErrorMessage="1" promptTitle="Spoilage - Cause of Loss        " prompt="1 - Breakdown or Contamination (B/C)_x000a_2 - Power Outage (PO)_x000a_3 - Both B/C and PO" sqref="E35">
      <formula1>List_SpoilClass</formula1>
    </dataValidation>
    <dataValidation type="list" allowBlank="1" showInputMessage="1" showErrorMessage="1" promptTitle="Apply Selling Price" prompt="Please Select:_x000a_Yes or No" sqref="E37">
      <formula1>List_YN</formula1>
    </dataValidation>
    <dataValidation type="list" allowBlank="1" showInputMessage="1" showErrorMessage="1" promptTitle="Refrigeration Maint. Agmnt:" prompt="Please Select:_x000a_Yes or No_x000a__x000a_* This question is not applicable if Cause of Loss is &quot;Power Outage&quot; only." sqref="E36">
      <formula1>IF(OR($E$35=1,$E$35=3),List_YN,List_No)</formula1>
    </dataValidation>
    <dataValidation type="list" allowBlank="1" showInputMessage="1" showErrorMessage="1" promptTitle="Spoilage Coverage" prompt="Please Select:_x000a_{ Yes or No }" sqref="F32">
      <formula1>List_YN</formula1>
    </dataValidation>
    <dataValidation operator="lessThanOrEqual" allowBlank="1" showInputMessage="1" showErrorMessage="1" errorTitle="Invalid Entry" error="You have exceeded the Maximum Limitation for this coverage.  _x000a__x000a_Please enter a limit less than or equal to $50,000." promptTitle="Spoilage Limit of Insurance" prompt="Please enter a limit of insurance for Spoilage Coverage." sqref="E33"/>
    <dataValidation type="list" allowBlank="1" showInputMessage="1" showErrorMessage="1" promptTitle="Personal Property Description" prompt="Please Select the appropriate Personal Property to be covered, in order to determine the Grade of the Property." sqref="D57:F57">
      <formula1>IF($F$52="Yes",OFFSET(Table_EQ_PPGrade,0,0,,1),List_No)</formula1>
    </dataValidation>
    <dataValidation type="custom" allowBlank="1" showInputMessage="1" showErrorMessage="1" promptTitle="Personal Pty Grade:" prompt="Displays the Grade of the Personal Property type you select below." sqref="F56">
      <formula1>FALSE</formula1>
    </dataValidation>
    <dataValidation type="list" allowBlank="1" showInputMessage="1" showErrorMessage="1" promptTitle="Please Select:" prompt="Yes or No" sqref="E47:E48">
      <formula1>IF($F$46="No",List_No,List_YN)</formula1>
    </dataValidation>
    <dataValidation type="list" allowBlank="1" showInputMessage="1" showErrorMessage="1" promptTitle="Please Select:" prompt="Yes or No" sqref="E42:E44">
      <formula1>IF($F$41="No",List_No,List_YN)</formula1>
    </dataValidation>
    <dataValidation type="list" allowBlank="1" showInputMessage="1" showErrorMessage="1" promptTitle="Please Select Grade:" prompt="Select the appropriate Susceptibility Grading:_x000a_S  :  Slight_x000a_M :  Moderate_x000a_H :  Hight" sqref="E55">
      <formula1>IF($F$52="Yes",List_PPSeverity,List_No)</formula1>
    </dataValidation>
    <dataValidation type="list" allowBlank="1" showInputMessage="1" showErrorMessage="1" promptTitle="EQ Building Class" prompt="Please Select a class from the drop down list." sqref="E53">
      <formula1>IF($F$52="Yes",List_EQBldgClass,List_No)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0">
      <formula1>IF($F$59="Yes",OFFSET(Table_Other_PierWharf,0,0,,1),List_No)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3">
      <formula1>IF($F$62="Yes",OFFSET(Table_Other_WaterBuyback,0,0,,1),List_No)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25 }" sqref="E54">
      <formula1>IF($F$52="Yes",OFFSET(Table_EQ_Tiers,0,0,,1),List_No)</formula1>
    </dataValidation>
    <dataValidation type="custom" allowBlank="1" showInputMessage="1" showErrorMessage="1" prompt="EQ Table Lookup Value" sqref="F54:F55">
      <formula1>FALSE</formula1>
    </dataValidation>
    <dataValidation type="custom" allowBlank="1" showInputMessage="1" showErrorMessage="1" prompt="EQ Sprinkler Leakage Extension Factor Lookup value." sqref="F53">
      <formula1>FALSE</formula1>
    </dataValidation>
    <dataValidation type="custom" allowBlank="1" showInputMessage="1" showErrorMessage="1" prompt="Personal Property Lookup Value" sqref="F45">
      <formula1>FALSE</formula1>
    </dataValidation>
    <dataValidation type="list" allowBlank="1" showInputMessage="1" showErrorMessage="1" promptTitle="Select Utility Type:" prompt="Please Select:_x000a_1 - Public Utilities_x000a_2 - Other than Public Utilities" sqref="E45">
      <formula1>IF($F$41="Yes",List_NBC,List_No)</formula1>
    </dataValidation>
    <dataValidation type="list" allowBlank="1" showInputMessage="1" showErrorMessage="1" promptTitle="Utility Services Coverage" prompt="Please Select:_x000a_Yes or No" sqref="F39">
      <formula1>List_YN</formula1>
    </dataValidation>
    <dataValidation type="custom" allowBlank="1" showInputMessage="1" showErrorMessage="1" sqref="F47:F48 C25 B10 D29 F36 F42:F44 F51">
      <formula1>FALSE</formula1>
    </dataValidation>
    <dataValidation type="list" allowBlank="1" showInputMessage="1" showErrorMessage="1" promptTitle="Personal Property Type:" prompt="Please select from list:_x000a_•  PPI_x000a_•  PPO_x000a_•  HPP_x000a_•  STK_x000a_•  OTH" sqref="A41">
      <formula1>List_PP_Types</formula1>
    </dataValidation>
    <dataValidation allowBlank="1" showInputMessage="1" showErrorMessage="1" promptTitle="Select Occupancy Type:" prompt="1 - Apts &amp; Condos   11 - Svc-High_x000a_2 - Offices                12 - Svc-Low_x000a_3 - Merc - High        13 - Contractors_x000a_4 - Merc - Med_x000a_5 - Merc - Low_x000a_6 - Motels/Hotels_x000a_7 - Institution - High_x000a_8 - Institution - Low_x000a_9 - Ind &amp; Proc - High_x000a_10 - Ind &amp; Proc - Low" sqref="C38"/>
    <dataValidation allowBlank="1" showInputMessage="1" showErrorMessage="1" promptTitle="Occupancy Type Description" prompt="Displays the description of the choice made in the cell to the left.  " sqref="B38 B33"/>
    <dataValidation type="custom" allowBlank="1" showInputMessage="1" showErrorMessage="1" promptTitle="Prior/Intended Occupancy CSP" prompt="This additional lost cost value will be added to the Property Loss Cost amount; if Vacant (1180) property has been selected." sqref="B39">
      <formula1>FALSE</formula1>
    </dataValidation>
    <dataValidation type="list" allowBlank="1" showInputMessage="1" showErrorMessage="1" promptTitle="Plus Endorsement Type:" prompt="S    = Standard Plus_x000a_CH = Church Plus_x000a_PR = Printers Plus_x000a__x000a_* This will add a flat charge to the policy premium after all modifications have been applied." sqref="B48">
      <formula1>IF($C$47="Yes",OFFSET(Table_PlusEnd,0,0,,1),List_No)</formula1>
    </dataValidation>
    <dataValidation type="custom" allowBlank="1" showInputMessage="1" showErrorMessage="1" promptTitle="Sprinklered vs Non-Sprinklered" prompt="If the RCP code indicates this a Sprinklered Pty (i.e. 4xxx or 8xxx), then this box will display (&quot;Sprinkler&quot;)._x000a__x000a_If the RCP code indicates a Non-Sprinklered property (i.e. 1xxx, 2xxx, 3xxx) then the default factor for Non-Sprinkler will be shown." sqref="C57">
      <formula1>FALSE</formula1>
    </dataValidation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50">
      <formula1>IF(OR($C$28="S",$C$28="T"),OFFSET(Table_BCEG,0,0,,1),List_BCEG99)</formula1>
    </dataValidation>
    <dataValidation type="custom" allowBlank="1" showInputMessage="1" showErrorMessage="1" promptTitle="Special Content Table Trigger" prompt="If this field reports &quot;Y&quot; then a Special Content Table based upon the rating group will need to be used for the Property Class Code Specified." sqref="C36 C39">
      <formula1>FALSE</formula1>
    </dataValidation>
    <dataValidation type="list" allowBlank="1" showInputMessage="1" showErrorMessage="1" promptTitle="Prior/Intended PP Class:" prompt="Please select your previous or Intended Personal Property Class code for the building type classified." sqref="C37">
      <formula1>OFFSET(Table_G1_LC,0,0,,1)</formula1>
    </dataValidation>
    <dataValidation type="custom" allowBlank="1" showInputMessage="1" showErrorMessage="1" promptTitle="Deductible Maximum" prompt="This represents the highest deductible credit that can be entered for the Deductible Selected." sqref="B43">
      <formula1>FALSE</formula1>
    </dataValidation>
    <dataValidation type="custom" allowBlank="1" showInputMessage="1" showErrorMessage="1" promptTitle="Deductible Minimum" prompt="This represents the lowest deductible credit that can be entered for the Deductible Selected." sqref="B42">
      <formula1>FALSE</formula1>
    </dataValidation>
    <dataValidation type="list" allowBlank="1" showInputMessage="1" showErrorMessage="1" promptTitle="Deductible Amount:" prompt="Please Select from list:_x000a_(250 - 75,000)" sqref="C42">
      <formula1>List_DedSelect</formula1>
    </dataValidation>
    <dataValidation type="custom" allowBlank="1" showInputMessage="1" showErrorMessage="1" promptTitle="Less Than 80% Coinsurance" prompt="This factor is used to evaluate the Coinsurance rate when rate supplied is less than 80% on a basic policy." sqref="B45">
      <formula1>FALSE</formula1>
    </dataValidation>
    <dataValidation type="custom" allowBlank="1" showInputMessage="1" showErrorMessage="1" promptTitle="Basic Grp I - Policy Inclusions" prompt="Displays the included coverages within the policy (i.e. what has been or not been excluded) for Basic Group I." sqref="A45">
      <formula1>FALSE</formula1>
    </dataValidation>
    <dataValidation type="list" allowBlank="1" showInputMessage="1" showErrorMessage="1" promptTitle="Please Select:" prompt="Yes = Apply Coverage_x000a_No  = Do Not Apply" sqref="C54">
      <formula1>IF($C$49="Yes",List_No,List_YN)</formula1>
    </dataValidation>
    <dataValidation type="list" allowBlank="1" showInputMessage="1" showErrorMessage="1" promptTitle="Apply Sprinkler &lt; 50% Factor?" prompt="Please Select:_x000a_Yes or No" sqref="B56">
      <formula1>IF(OR($C$28="S",$C$28="T"),List_YN,List_No)</formula1>
    </dataValidation>
    <dataValidation type="list" allowBlank="1" showInputMessage="1" showErrorMessage="1" promptTitle="Apply Sprinkler Exclusion?" prompt="Please Select:_x000a_Yes or No" sqref="C55">
      <formula1>List_YN</formula1>
    </dataValidation>
    <dataValidation type="custom" allowBlank="1" showInputMessage="1" showErrorMessage="1" promptTitle="Vandalism Exclusion Factor" prompt="This field is used to get the Vandalism Exclusion Factor." sqref="A59:B59">
      <formula1>FALSE</formula1>
    </dataValidation>
    <dataValidation type="list" allowBlank="1" showInputMessage="1" showErrorMessage="1" promptTitle="Windstorm or Hail Deductible %" prompt="Please Select:_x000a_{ 1%, 2%, 3% }" sqref="B62">
      <formula1>IF($C$61="Yes",List_WHDed,List_No)</formula1>
    </dataValidation>
    <dataValidation type="custom" allowBlank="1" showInputMessage="1" showErrorMessage="1" promptTitle="Inflation Guard Base Rate" prompt="This rate will be added to the rate generated by the &quot;Other&quot; Inflation Guard % supplied by the user." sqref="C53">
      <formula1>FALSE</formula1>
    </dataValidation>
    <dataValidation type="list" allowBlank="1" showInputMessage="1" showErrorMessage="1" promptTitle="Inflation Guard (%)" prompt="Please select the applicable Inflation Guard percent from the Drop-Down list, if Other than listed; please select &quot;OT&quot; and supply rate below." sqref="C52">
      <formula1>OFFSET(Table_InflationGd,0,0,,1)</formula1>
    </dataValidation>
    <dataValidation allowBlank="1" showInputMessage="1" showErrorMessage="1" errorTitle="Sprinkler Has been Excluded" error="Make sure the Rating Type is set to &quot;Specific&quot; or &quot;Tentative&quot; and the Sprinkler Exclusion is set to &quot;No&quot; if you would like to apply the RCP." promptTitle="Rate Class Protection (RCP):" prompt="Please enter your RCP Code, if Sprinkler applies._x000a_(i.e. 4xxx or 8xxx)" sqref="B57"/>
    <dataValidation type="custom" allowBlank="1" showInputMessage="1" showErrorMessage="1" errorTitle="Do Not Touch" error="This is used to generate the Coinsurance rate." sqref="B58 E62">
      <formula1>FALSE</formula1>
    </dataValidation>
    <dataValidation type="list" allowBlank="1" showInputMessage="1" showErrorMessage="1" promptTitle="Please Select:" prompt="Yes = Apply Coverage_x000a_No  = Do Not Apply" sqref="C60:C61 C30 C58 C51 C27 C21:C22 F13 F7 F17 F50">
      <formula1>List_YN</formula1>
    </dataValidation>
    <dataValidation type="list" allowBlank="1" showInputMessage="1" showErrorMessage="1" errorTitle="NO ENTRY ALLOWED" error="This is a calculated field that is based upon the Grp I Territory selected above." promptTitle="Terrorism Territory" prompt="Please Select:_x000a_1 - Hennepin, Dakota &amp; Ramsey_x000a_2 - Remainder of State" sqref="B21">
      <formula1>OFFSET(Table_TerrorNBC,0,0,,1)</formula1>
    </dataValidation>
    <dataValidation type="list" allowBlank="1" showInputMessage="1" showErrorMessage="1" promptTitle="Personal Property Type:" prompt="Please select from list:_x000a_•  PPI_x000a_•  PPO_x000a_•  HPP_x000a_•  STK_x000a_•  OTH" sqref="A65:A68">
      <formula1>List_PP_Types2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8">
      <formula1>IF($C$12="SP",List_No,IF($F$50="Yes",List_YN,List_No))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59">
      <formula1>IF($C$12="SP",List_No,IF($F$50="Yes",List_YN,List_No))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2">
      <formula1>IF(OR($C$12="BR",$C$12="BA"),List_No,IF($F$50="Yes",List_YN,List_No))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7">
      <formula1>OFFSET(Table_TerrMult,0,0,,1)</formula1>
    </dataValidation>
    <dataValidation type="custom" allowBlank="1" showInputMessage="1" showErrorMessage="1" promptTitle="Special - Blanket Rate" prompt="Please enter the calculated Special - Blanket rate  _x000a_(if applicable)" sqref="B32">
      <formula1>IF(AND($C$30="Yes",$C$12="SP"),TRUE,FALSE)</formula1>
    </dataValidation>
    <dataValidation type="custom" allowBlank="1" showInputMessage="1" showErrorMessage="1" promptTitle="Group II - Blanket Rate" prompt="Please enter the calculated Group II - Blanket rate" sqref="C31">
      <formula1>IF($C$30="Yes",TRUE,FALSE)</formula1>
    </dataValidation>
    <dataValidation type="custom" allowBlank="1" showInputMessage="1" showErrorMessage="1" promptTitle="Broad - Blanket Rate" prompt="Please enter the calculated Broad - Blanket rate  _x000a_(if applicable)" sqref="C32">
      <formula1>IF(AND($C$30="Yes",$C$12="BR"),TRUE,FALSE)</formula1>
    </dataValidation>
  </dataValidations>
  <printOptions horizontalCentered="1"/>
  <pageMargins left="0.25" right="0.25" top="0.4" bottom="0.4" header="0.2" footer="0.2"/>
  <pageSetup scale="7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10" manualBreakCount="10">
    <brk id="6" max="1048575" man="1"/>
    <brk id="13" max="1048575" man="1"/>
    <brk id="20" max="1048575" man="1"/>
    <brk id="27" max="1048575" man="1"/>
    <brk id="35" max="1048575" man="1"/>
    <brk id="43" max="1048575" man="1"/>
    <brk id="50" max="1048575" man="1"/>
    <brk id="58" max="1048575" man="1"/>
    <brk id="65" max="1048575" man="1"/>
    <brk id="73" max="1048575" man="1"/>
  </colBreak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V67"/>
  <sheetViews>
    <sheetView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4.140625" style="2" customWidth="1"/>
    <col min="3" max="3" width="13.5703125" style="2" customWidth="1"/>
    <col min="4" max="4" width="27.42578125" style="2" customWidth="1"/>
    <col min="5" max="5" width="11.85546875" style="2" customWidth="1"/>
    <col min="6" max="6" width="12.5703125" style="2" customWidth="1"/>
    <col min="7" max="7" width="9.140625" style="2"/>
    <col min="8" max="8" width="38.7109375" style="2" customWidth="1"/>
    <col min="9" max="12" width="12.85546875" style="2" customWidth="1"/>
    <col min="13" max="13" width="8.140625" style="2" customWidth="1"/>
    <col min="14" max="14" width="18.140625" style="2" customWidth="1"/>
    <col min="15" max="15" width="23" style="2" customWidth="1"/>
    <col min="16" max="19" width="11.42578125" style="2" customWidth="1"/>
    <col min="20" max="20" width="9.140625" style="2"/>
    <col min="21" max="21" width="18.140625" style="2" customWidth="1"/>
    <col min="22" max="22" width="23" style="2" customWidth="1"/>
    <col min="23" max="26" width="11.42578125" style="2" customWidth="1"/>
    <col min="27" max="27" width="9.140625" style="2"/>
    <col min="28" max="28" width="18.140625" style="2" customWidth="1"/>
    <col min="29" max="29" width="23" style="2" customWidth="1"/>
    <col min="30" max="30" width="11.42578125" style="2" customWidth="1"/>
    <col min="31" max="31" width="8.28515625" style="2" customWidth="1"/>
    <col min="32" max="32" width="17.42578125" style="2" customWidth="1"/>
    <col min="33" max="33" width="20.7109375" style="2" customWidth="1"/>
    <col min="34" max="34" width="12.140625" style="2" customWidth="1"/>
    <col min="35" max="35" width="4.7109375" style="2" customWidth="1"/>
    <col min="36" max="36" width="19.42578125" style="2" customWidth="1"/>
    <col min="37" max="37" width="26" style="2" customWidth="1"/>
    <col min="38" max="41" width="13.140625" style="2" customWidth="1"/>
    <col min="42" max="42" width="9.140625" style="2"/>
    <col min="43" max="43" width="34.28515625" style="2" customWidth="1"/>
    <col min="44" max="44" width="23.7109375" style="2" customWidth="1"/>
    <col min="45" max="45" width="14.28515625" style="2" customWidth="1"/>
    <col min="46" max="46" width="5.7109375" style="2" customWidth="1"/>
    <col min="47" max="16384" width="9.140625" style="2"/>
  </cols>
  <sheetData>
    <row r="1" spans="1:46" ht="19.5" customHeight="1" thickBot="1" x14ac:dyDescent="0.25">
      <c r="A1" s="99" t="s">
        <v>834</v>
      </c>
      <c r="B1" s="94"/>
      <c r="C1" s="94"/>
      <c r="D1" s="525"/>
      <c r="E1" s="525"/>
      <c r="F1" s="106" t="s">
        <v>840</v>
      </c>
      <c r="H1" s="1594" t="s">
        <v>1756</v>
      </c>
      <c r="I1" s="1595"/>
      <c r="J1" s="1595"/>
      <c r="K1" s="1595"/>
      <c r="L1" s="1596"/>
      <c r="N1" s="60" t="s">
        <v>977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B1" s="1602" t="s">
        <v>675</v>
      </c>
      <c r="AC1" s="1603"/>
      <c r="AD1" s="1603"/>
      <c r="AE1" s="1603"/>
      <c r="AF1" s="1603"/>
      <c r="AG1" s="1603"/>
      <c r="AH1" s="1604"/>
      <c r="AI1" s="814"/>
      <c r="AJ1" s="60"/>
      <c r="AL1" s="235" t="s">
        <v>1012</v>
      </c>
      <c r="AM1" s="235" t="s">
        <v>1013</v>
      </c>
      <c r="AN1" s="235" t="s">
        <v>838</v>
      </c>
      <c r="AO1" s="235" t="s">
        <v>837</v>
      </c>
      <c r="AQ1" s="1617" t="s">
        <v>949</v>
      </c>
      <c r="AR1" s="1617"/>
      <c r="AS1" s="1617"/>
      <c r="AT1" s="385"/>
    </row>
    <row r="2" spans="1:46" ht="12.75" customHeight="1" thickBot="1" x14ac:dyDescent="0.25">
      <c r="A2" s="529" t="s">
        <v>1832</v>
      </c>
      <c r="B2" s="530"/>
      <c r="C2" s="5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1611</v>
      </c>
      <c r="AB2" s="814"/>
      <c r="AC2" s="814"/>
      <c r="AD2" s="814"/>
      <c r="AE2" s="814"/>
      <c r="AF2" s="814"/>
      <c r="AG2" s="814"/>
      <c r="AH2" s="814"/>
      <c r="AI2" s="814"/>
      <c r="AJ2" s="60" t="s">
        <v>550</v>
      </c>
      <c r="AL2" s="235"/>
      <c r="AM2" s="235"/>
      <c r="AN2" s="235"/>
      <c r="AO2" s="235"/>
      <c r="AT2" s="385"/>
    </row>
    <row r="3" spans="1:46" ht="13.5" thickBot="1" x14ac:dyDescent="0.25">
      <c r="A3" s="744" t="s">
        <v>195</v>
      </c>
      <c r="B3" s="745" t="str">
        <f>IF(C3="Building","B",IF(C3="Pers Pty","PP","None"))</f>
        <v>B</v>
      </c>
      <c r="C3" s="978" t="str">
        <f>IF(AND(TC10_BLDG1!C27="Yes",TC10_PP1!C27="Yes"),"Building",IF(AND(TC10_BLDG1!C27="No",TC10_PP1!C27="Yes"),"Pers Pty",IF(AND(TC10_BLDG1!C27="Yes",TC10_PP1!C27="No"),"Building","Neither")))</f>
        <v>Building</v>
      </c>
      <c r="D3" s="203" t="s">
        <v>1</v>
      </c>
      <c r="E3" s="820" t="str">
        <f>IF(TC10_EE1!F3="Yes","EE","Available")</f>
        <v>Available</v>
      </c>
      <c r="F3" s="1070" t="s">
        <v>857</v>
      </c>
      <c r="H3" s="1273">
        <f>Summary10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1546</v>
      </c>
      <c r="W3" s="247">
        <f>B29</f>
        <v>0.126</v>
      </c>
      <c r="X3" s="2">
        <f>C29</f>
        <v>4.2000000000000003E-2</v>
      </c>
      <c r="Y3" s="2">
        <f>IF(C12="SP",VLOOKUP(B13,Table_Time_Special,E4,FALSE),0)</f>
        <v>4.3999999999999997E-2</v>
      </c>
      <c r="Z3" s="2">
        <f>HLOOKUP(B12,Table_BroadTime,IF(F5="Yes",3,2),FALSE)</f>
        <v>1.0999999999999999E-2</v>
      </c>
      <c r="AB3" s="60" t="s">
        <v>682</v>
      </c>
      <c r="AD3" s="235"/>
      <c r="AE3" s="235"/>
      <c r="AF3" s="60" t="s">
        <v>683</v>
      </c>
      <c r="AH3" s="235"/>
      <c r="AI3" s="235"/>
      <c r="AJ3" s="146"/>
      <c r="AK3" s="545" t="s">
        <v>1049</v>
      </c>
      <c r="AL3" s="146">
        <f>VLOOKUP(1,Table_Time_Utility,2,FALSE)</f>
        <v>2.1999999999999999E-2</v>
      </c>
      <c r="AM3" s="146">
        <f>VLOOKUP(1,Table_Time_Utility,3,FALSE)</f>
        <v>1.0999999999999999E-2</v>
      </c>
      <c r="AN3" s="146">
        <f>VLOOKUP(1,Table_Time_Utility,5,FALSE)</f>
        <v>1.9E-2</v>
      </c>
      <c r="AO3" s="563">
        <f>VLOOKUP(1,Table_Time_Utility,4,FALSE)</f>
        <v>6.0000000000000001E-3</v>
      </c>
      <c r="AQ3" s="154" t="s">
        <v>950</v>
      </c>
      <c r="AR3" s="86"/>
      <c r="AS3" s="156" t="s">
        <v>951</v>
      </c>
      <c r="AT3" s="385"/>
    </row>
    <row r="4" spans="1:46" x14ac:dyDescent="0.2">
      <c r="A4" s="120" t="s">
        <v>1024</v>
      </c>
      <c r="B4" s="95"/>
      <c r="C4" s="818" t="str">
        <f>IF(B3="B",TC10_BLDG1!C3,IF(B3="PP",TC10_PP1!C3,""))</f>
        <v>CT</v>
      </c>
      <c r="D4" s="107" t="s">
        <v>961</v>
      </c>
      <c r="E4" s="887">
        <f>IF(C12&lt;&gt;"SP","N/A",IF(F5="Yes",3,2))</f>
        <v>2</v>
      </c>
      <c r="F4" s="962">
        <v>500000</v>
      </c>
      <c r="H4" s="82"/>
      <c r="I4" s="189"/>
      <c r="J4" s="4"/>
      <c r="K4" s="4"/>
      <c r="L4" s="4"/>
      <c r="N4" s="146"/>
      <c r="O4" s="83" t="s">
        <v>2166</v>
      </c>
      <c r="P4" s="1418">
        <f>PRODUCT(P2:P3)</f>
        <v>2.6219999999999999</v>
      </c>
      <c r="Q4" s="1418">
        <f>PRODUCT(Q2:Q3)</f>
        <v>2.6219999999999999</v>
      </c>
      <c r="R4" s="1418">
        <f>PRODUCT(R2:R3)</f>
        <v>2.6219999999999999</v>
      </c>
      <c r="S4" s="1418">
        <f>PRODUCT(S2:S3)</f>
        <v>2.6219999999999999</v>
      </c>
      <c r="V4" s="168" t="s">
        <v>970</v>
      </c>
      <c r="W4" s="207">
        <f>IF(B32="Yes",DF_Sprinkler50,1)</f>
        <v>1</v>
      </c>
      <c r="X4" s="207">
        <v>1</v>
      </c>
      <c r="Y4" s="207">
        <v>1</v>
      </c>
      <c r="Z4" s="207">
        <v>1</v>
      </c>
      <c r="AB4" s="266"/>
      <c r="AC4" s="268" t="s">
        <v>1749</v>
      </c>
      <c r="AD4" s="426" t="e">
        <f>IF(F56="Yes",VLOOKUP(F58,Table_EQ_LC,3,FALSE),0)</f>
        <v>#N/A</v>
      </c>
      <c r="AE4" s="266"/>
      <c r="AF4" s="266"/>
      <c r="AG4" s="268" t="s">
        <v>1752</v>
      </c>
      <c r="AH4" s="426">
        <f>IF(F60="Yes",VLOOKUP(E61,Table_Other_PierWharf,6,FALSE),0)</f>
        <v>0</v>
      </c>
      <c r="AI4" s="426"/>
      <c r="AJ4" s="185"/>
      <c r="AK4" s="186" t="s">
        <v>1050</v>
      </c>
      <c r="AL4" s="238">
        <f>F48</f>
        <v>0</v>
      </c>
      <c r="AM4" s="238">
        <f>F48</f>
        <v>0</v>
      </c>
      <c r="AN4" s="238">
        <f>F48</f>
        <v>0</v>
      </c>
      <c r="AO4" s="785">
        <f>F48</f>
        <v>0</v>
      </c>
      <c r="AQ4" s="686" t="s">
        <v>1715</v>
      </c>
      <c r="AS4" s="155">
        <f>IF(AS23&lt;-0.05,-0.05,IF(AS23&gt;0.05,0.05,AS23))</f>
        <v>0</v>
      </c>
      <c r="AT4" s="385"/>
    </row>
    <row r="5" spans="1:46" x14ac:dyDescent="0.2">
      <c r="A5" s="120" t="s">
        <v>1828</v>
      </c>
      <c r="B5" s="729">
        <f>IF(B3="B",TC10_BLDG1!B4,IF(B3="PP",TC10_PP1!B4,""))</f>
        <v>0</v>
      </c>
      <c r="C5" s="818">
        <f>IF(B3="B",TC10_BLDG1!C4,IF(B3="PP",TC10_PP1!C4,""))</f>
        <v>0</v>
      </c>
      <c r="D5" s="124" t="s">
        <v>1218</v>
      </c>
      <c r="E5" s="888">
        <f>IF(F5="Yes",2,3)</f>
        <v>3</v>
      </c>
      <c r="F5" s="962" t="s">
        <v>857</v>
      </c>
      <c r="H5" s="483" t="s">
        <v>977</v>
      </c>
      <c r="I5" s="484">
        <f>IF(F3="Yes",P38,0)</f>
        <v>0</v>
      </c>
      <c r="J5" s="484">
        <f>IF(F3="Yes",Q38,0)</f>
        <v>0</v>
      </c>
      <c r="K5" s="484">
        <f>IF(AND(C12="SP",F3="Yes"),R38,0)</f>
        <v>0</v>
      </c>
      <c r="L5" s="484">
        <f>IF(AND(C12="BR",F3="Yes"),S38,0)</f>
        <v>0</v>
      </c>
      <c r="O5" s="168" t="str">
        <f>C3&amp;" - Loss Cost"</f>
        <v>Building - Loss Cost</v>
      </c>
      <c r="P5" s="247">
        <f>B29</f>
        <v>0.126</v>
      </c>
      <c r="Q5" s="2">
        <f>C29</f>
        <v>4.2000000000000003E-2</v>
      </c>
      <c r="R5" s="247">
        <f>IF(C12="SP",VLOOKUP(B13,Table_Time_Special,E4,FALSE),0)</f>
        <v>4.3999999999999997E-2</v>
      </c>
      <c r="S5" s="2">
        <f>HLOOKUP(B12,Table_BroadTime,IF(F5="Yes",3,2),FALSE)</f>
        <v>1.0999999999999999E-2</v>
      </c>
      <c r="U5" s="185"/>
      <c r="V5" s="186" t="s">
        <v>971</v>
      </c>
      <c r="W5" s="208">
        <f>HLOOKUP(C11,Table_StateRates,6,FALSE)</f>
        <v>1.9</v>
      </c>
      <c r="X5" s="208">
        <f>HLOOKUP(C11,Table_StateRates,6,FALSE)</f>
        <v>1.9</v>
      </c>
      <c r="Y5" s="208">
        <f>HLOOKUP(C11,Table_StateRates,6,FALSE)</f>
        <v>1.9</v>
      </c>
      <c r="Z5" s="208">
        <f>HLOOKUP(C11,Table_StateRates,6,FALSE)</f>
        <v>1.9</v>
      </c>
      <c r="AB5" s="542"/>
      <c r="AC5" s="724" t="s">
        <v>1750</v>
      </c>
      <c r="AD5" s="757">
        <f>IF(F56="Yes",VLOOKUP(F57,Table_EQ_SprLkgExt,4,FALSE),0)</f>
        <v>0.21</v>
      </c>
      <c r="AE5" s="558"/>
      <c r="AF5" s="558"/>
      <c r="AG5" s="755" t="s">
        <v>971</v>
      </c>
      <c r="AH5" s="558">
        <f>HLOOKUP(C11,Table_StateRates,6,FALSE)</f>
        <v>1.9</v>
      </c>
      <c r="AI5" s="558"/>
      <c r="AJ5" s="146"/>
      <c r="AK5" s="301" t="s">
        <v>1051</v>
      </c>
      <c r="AL5" s="146">
        <f>ROUND(PRODUCT(AL3:AL4),3)</f>
        <v>0</v>
      </c>
      <c r="AM5" s="146">
        <f>ROUND(PRODUCT(AM3:AM4),3)</f>
        <v>0</v>
      </c>
      <c r="AN5" s="146">
        <f>ROUND(PRODUCT(AN3:AN4),3)</f>
        <v>0</v>
      </c>
      <c r="AO5" s="146">
        <f>ROUND(PRODUCT(AO3:AO4),3)</f>
        <v>0</v>
      </c>
      <c r="AQ5" s="151" t="s">
        <v>1714</v>
      </c>
      <c r="AS5" s="155">
        <f>IF(AS24&lt;-0.06,-0.06,IF(AS24&gt;0.06,0.06,AS24))</f>
        <v>0</v>
      </c>
      <c r="AT5" s="385"/>
    </row>
    <row r="6" spans="1:46" x14ac:dyDescent="0.2">
      <c r="A6" s="120"/>
      <c r="B6" s="95"/>
      <c r="C6" s="1047"/>
      <c r="D6" s="84" t="s">
        <v>1227</v>
      </c>
      <c r="E6" s="193"/>
      <c r="F6" s="962" t="s">
        <v>857</v>
      </c>
      <c r="H6" s="83"/>
      <c r="I6" s="248"/>
      <c r="J6" s="260"/>
      <c r="K6" s="260"/>
      <c r="L6" s="260"/>
      <c r="O6" s="168" t="s">
        <v>972</v>
      </c>
      <c r="P6" s="207">
        <f>IF(OR(C27="S",C27="T"),1,VLOOKUP(C14,Table_ProtClass,IF(C15&lt;=3,2,3),FALSE)) - IF(AND(C33=1,ISNUMBER(B31),P11=1),B31,0)</f>
        <v>0.96</v>
      </c>
      <c r="Q6" s="207">
        <v>1</v>
      </c>
      <c r="R6" s="207">
        <v>1</v>
      </c>
      <c r="S6" s="207">
        <v>1</v>
      </c>
      <c r="V6" s="83" t="s">
        <v>1134</v>
      </c>
      <c r="W6" s="247">
        <f>ROUND(PRODUCT(W3:W5),3)</f>
        <v>0.23899999999999999</v>
      </c>
      <c r="X6" s="247">
        <f>ROUND(PRODUCT(X3:X5),3)</f>
        <v>0.08</v>
      </c>
      <c r="Y6" s="247">
        <f>ROUND(PRODUCT(Y3:Y5),3)</f>
        <v>8.4000000000000005E-2</v>
      </c>
      <c r="Z6" s="247">
        <f>ROUND(PRODUCT(Z3:Z5),3)</f>
        <v>2.1000000000000001E-2</v>
      </c>
      <c r="AB6" s="266"/>
      <c r="AC6" s="568" t="s">
        <v>1751</v>
      </c>
      <c r="AD6" s="426" t="e">
        <f>PRODUCT(AD4:AD5)</f>
        <v>#N/A</v>
      </c>
      <c r="AE6" s="266"/>
      <c r="AF6" s="266"/>
      <c r="AG6" s="268" t="s">
        <v>1019</v>
      </c>
      <c r="AH6" s="423">
        <f>HLOOKUP(C11,Table_StateRates,5,FALSE)</f>
        <v>1.38</v>
      </c>
      <c r="AI6" s="423"/>
      <c r="AK6" s="168" t="s">
        <v>971</v>
      </c>
      <c r="AL6" s="207">
        <f>HLOOKUP(C11,Table_StateRates,6,FALSE)</f>
        <v>1.9</v>
      </c>
      <c r="AM6" s="207">
        <f>HLOOKUP(C11,Table_StateRates,6,FALSE)</f>
        <v>1.9</v>
      </c>
      <c r="AN6" s="207">
        <f>HLOOKUP(C11,Table_StateRates,6,FALSE)</f>
        <v>1.9</v>
      </c>
      <c r="AO6" s="207">
        <f>HLOOKUP(C11,Table_StateRates,6,FALSE)</f>
        <v>1.9</v>
      </c>
      <c r="AQ6" s="8" t="s">
        <v>1716</v>
      </c>
      <c r="AS6" s="155">
        <f>IF(AS25&lt;-0.06,-0.06,IF(AS25&gt;0.06,0.06,AS25))</f>
        <v>0</v>
      </c>
      <c r="AT6" s="385"/>
    </row>
    <row r="7" spans="1:46" ht="13.5" thickBot="1" x14ac:dyDescent="0.25">
      <c r="A7" s="120" t="s">
        <v>969</v>
      </c>
      <c r="B7" s="95"/>
      <c r="C7" s="1079" t="str">
        <f>IF(B3="B",TC10_BLDG1!C6,IF(B3="PP",TC10_PP1!C6,""))</f>
        <v>CPP</v>
      </c>
      <c r="D7" s="84" t="s">
        <v>1222</v>
      </c>
      <c r="E7" s="103"/>
      <c r="F7" s="962">
        <v>100</v>
      </c>
      <c r="H7" s="83"/>
      <c r="I7" s="248"/>
      <c r="J7" s="260"/>
      <c r="K7" s="260"/>
      <c r="L7" s="260"/>
      <c r="N7" s="185"/>
      <c r="O7" s="186" t="s">
        <v>970</v>
      </c>
      <c r="P7" s="208">
        <f>IF(C32="Yes",DF_Sprinkler50,1)</f>
        <v>1</v>
      </c>
      <c r="Q7" s="208">
        <v>1</v>
      </c>
      <c r="R7" s="208">
        <f>IF(C32="Yes",DF_Sprinkler50,1)</f>
        <v>1</v>
      </c>
      <c r="S7" s="208">
        <v>1</v>
      </c>
      <c r="U7" s="185"/>
      <c r="V7" s="186" t="s">
        <v>1253</v>
      </c>
      <c r="W7" s="455">
        <f>IF(OR(ISBLANK(F7),F7="None"),1,IF(E8="Yes",F14,VLOOKUP(F7,IF(F5="Yes",Table_BI_CoIns_EE,Table_BI_CoIns),F8+1,FALSE)+P18))</f>
        <v>0.54</v>
      </c>
      <c r="X7" s="455">
        <f>IF(OR(ISBLANK(F7),F7="None"),1,IF(E8="Yes",F14,VLOOKUP(F7,IF(F5="Yes",Table_BI_CoIns_EE,Table_BI_CoIns),F8+1,FALSE)+X18))</f>
        <v>0.54</v>
      </c>
      <c r="Y7" s="208">
        <v>1</v>
      </c>
      <c r="Z7" s="208">
        <v>1</v>
      </c>
      <c r="AB7" s="558"/>
      <c r="AC7" s="755" t="s">
        <v>971</v>
      </c>
      <c r="AD7" s="558">
        <f>HLOOKUP(C11,Table_StateRates,6,FALSE)</f>
        <v>1.9</v>
      </c>
      <c r="AE7" s="266"/>
      <c r="AF7" s="266"/>
      <c r="AG7" s="268"/>
      <c r="AH7" s="423"/>
      <c r="AI7" s="423"/>
      <c r="AK7" s="168" t="s">
        <v>1019</v>
      </c>
      <c r="AL7" s="207">
        <f>HLOOKUP(C11,Table_StateRates,5,FALSE)</f>
        <v>1.38</v>
      </c>
      <c r="AM7" s="207">
        <f>HLOOKUP(C11,Table_StateRates,5,FALSE)</f>
        <v>1.38</v>
      </c>
      <c r="AN7" s="207">
        <f>HLOOKUP(C11,Table_StateRates,5,FALSE)</f>
        <v>1.38</v>
      </c>
      <c r="AO7" s="207">
        <f>HLOOKUP(C11,Table_StateRates,5,FALSE)</f>
        <v>1.38</v>
      </c>
      <c r="AQ7" s="8" t="s">
        <v>1717</v>
      </c>
      <c r="AS7" s="155">
        <f>IF(AS26&lt;-0.1,-0.1,IF(AS26&gt;0.1,0.1,AS26))</f>
        <v>0</v>
      </c>
      <c r="AT7" s="385"/>
    </row>
    <row r="8" spans="1:46" ht="13.5" thickBot="1" x14ac:dyDescent="0.25">
      <c r="A8" s="143" t="s">
        <v>923</v>
      </c>
      <c r="B8" s="1236" t="str">
        <f>IF(B3="B",TC10_BLDG1!B7,IF(B3="PP",TC10_PP1!B7,""))</f>
        <v>No</v>
      </c>
      <c r="C8" s="1047"/>
      <c r="D8" s="84" t="s">
        <v>1205</v>
      </c>
      <c r="E8" s="479" t="s">
        <v>857</v>
      </c>
      <c r="F8" s="1237">
        <v>1</v>
      </c>
      <c r="H8" s="82" t="s">
        <v>1661</v>
      </c>
      <c r="I8" s="248"/>
      <c r="J8" s="260"/>
      <c r="K8" s="260"/>
      <c r="L8" s="260"/>
      <c r="O8" s="83" t="str">
        <f>C3&amp; " Base Rate"</f>
        <v>Building Base Rate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0.115</v>
      </c>
      <c r="S8" s="1315">
        <f>ROUND(PRODUCT(S4:S7),3)</f>
        <v>2.9000000000000001E-2</v>
      </c>
      <c r="V8" s="83" t="s">
        <v>16</v>
      </c>
      <c r="W8" s="247">
        <f>ROUND(PRODUCT(W6:W7),3)</f>
        <v>0.129</v>
      </c>
      <c r="X8" s="247">
        <f>ROUND(PRODUCT(X6:X7),3)</f>
        <v>4.2999999999999997E-2</v>
      </c>
      <c r="Y8" s="247">
        <f>ROUND(PRODUCT(Y6:Y7),3)</f>
        <v>8.4000000000000005E-2</v>
      </c>
      <c r="Z8" s="247">
        <f>ROUND(PRODUCT(Z6:Z7),3)</f>
        <v>2.1000000000000001E-2</v>
      </c>
      <c r="AB8" s="266"/>
      <c r="AC8" s="268" t="s">
        <v>1253</v>
      </c>
      <c r="AD8" s="423">
        <f>IF(F17="Yes", P17, IF(F18="Yes",P19,P16))</f>
        <v>0.54</v>
      </c>
      <c r="AE8" s="266"/>
      <c r="AF8" s="266"/>
      <c r="AG8" s="268"/>
      <c r="AH8" s="423"/>
      <c r="AI8" s="423"/>
      <c r="AK8" s="168" t="s">
        <v>180</v>
      </c>
      <c r="AL8" s="207">
        <v>1</v>
      </c>
      <c r="AM8" s="207">
        <v>1</v>
      </c>
      <c r="AN8" s="207">
        <v>1</v>
      </c>
      <c r="AO8" s="207">
        <v>1</v>
      </c>
      <c r="AQ8" s="687" t="s">
        <v>1718</v>
      </c>
      <c r="AS8" s="155">
        <f>IF(AS27&lt;-0.06,-0.06,IF(AS27&gt;0.06,0.06,AS27))</f>
        <v>0</v>
      </c>
      <c r="AT8" s="385"/>
    </row>
    <row r="9" spans="1:46" x14ac:dyDescent="0.2">
      <c r="A9" s="120"/>
      <c r="B9" s="95"/>
      <c r="C9" s="1047"/>
      <c r="D9" s="488" t="str">
        <f>IF(F3="No","",IF(E8="Yes","Please Select the 2 Occ. Types below","Select 1 Occ. Type in Cell F8"))</f>
        <v/>
      </c>
      <c r="E9" s="487"/>
      <c r="F9" s="533"/>
      <c r="H9" s="189" t="s">
        <v>1826</v>
      </c>
      <c r="I9" s="258">
        <f>IF($F37="Yes",W34,0)</f>
        <v>0</v>
      </c>
      <c r="J9" s="258">
        <f>IF($F37="Yes",X34,0)</f>
        <v>0</v>
      </c>
      <c r="K9" s="258">
        <f>IF($F37="Yes",Y34,0)</f>
        <v>0</v>
      </c>
      <c r="L9" s="258">
        <f>IF(AND(F37="Yes",C12="BR"),Z34,0)</f>
        <v>0</v>
      </c>
      <c r="O9" s="168" t="s">
        <v>1100</v>
      </c>
      <c r="P9" s="207">
        <f>IF(C31="Yes",IF(B31&lt;&gt;"Sprinkler",1,VLOOKUP(C15,Table_SprLkg,IF(B3="B",2,3),FALSE)),1)</f>
        <v>1</v>
      </c>
      <c r="Q9" s="207">
        <v>1</v>
      </c>
      <c r="R9" s="207">
        <v>1</v>
      </c>
      <c r="S9" s="207">
        <v>1</v>
      </c>
      <c r="V9" s="189" t="s">
        <v>1496</v>
      </c>
      <c r="W9" s="207">
        <v>1</v>
      </c>
      <c r="X9" s="247">
        <f>IF(C34="Yes",VLOOKUP(C15,Table_Construction,3,FALSE),1)</f>
        <v>1</v>
      </c>
      <c r="Y9" s="207">
        <v>1</v>
      </c>
      <c r="Z9" s="207">
        <v>1</v>
      </c>
      <c r="AB9" s="266"/>
      <c r="AC9" s="268" t="s">
        <v>1573</v>
      </c>
      <c r="AD9" s="423">
        <f>IF(F28="Yes",VLOOKUP(E29,Table_CivilAuth,2,FALSE),1)</f>
        <v>1</v>
      </c>
      <c r="AE9" s="266"/>
      <c r="AF9" s="266"/>
      <c r="AG9" s="268" t="s">
        <v>180</v>
      </c>
      <c r="AH9" s="423">
        <f>1+$AU$25</f>
        <v>1</v>
      </c>
      <c r="AI9" s="423"/>
      <c r="AJ9" s="146"/>
      <c r="AK9" s="545" t="s">
        <v>1020</v>
      </c>
      <c r="AL9" s="299">
        <f>IF(C7="PAC",VLOOKUP(B8,Table_PakMods,MATCH(C11,List_Company,0)+1,FALSE),1)</f>
        <v>1</v>
      </c>
      <c r="AM9" s="299">
        <f>IF(C7="PAC",VLOOKUP(B8,Table_PakMods,MATCH(C11,List_Company,0)+1,FALSE),1)</f>
        <v>1</v>
      </c>
      <c r="AN9" s="299">
        <f>IF(C7="PAC",VLOOKUP(B8,Table_PakMods,MATCH(C11,List_Company,0)+1,FALSE),1)</f>
        <v>1</v>
      </c>
      <c r="AO9" s="299">
        <f>IF(C7="PAC",VLOOKUP(B8,Table_PakMods,MATCH(C11,List_Company,0)+1,FALSE),1)</f>
        <v>1</v>
      </c>
      <c r="AQ9" s="153" t="s">
        <v>1719</v>
      </c>
      <c r="AS9" s="155">
        <f>IF(AS28&lt;-0.025,-0.025,IF(AS28&gt;0.025,0.025,AS28))</f>
        <v>0</v>
      </c>
      <c r="AT9" s="385"/>
    </row>
    <row r="10" spans="1:46" x14ac:dyDescent="0.2">
      <c r="A10" s="120" t="s">
        <v>1829</v>
      </c>
      <c r="B10" s="95"/>
      <c r="C10" s="818">
        <f>IF(B3="B",TC10_BLDG1!C9,IF(B3="PP",TC10_PP1!C9,""))</f>
        <v>1</v>
      </c>
      <c r="D10" s="159" t="s">
        <v>1662</v>
      </c>
      <c r="E10" s="961" t="s">
        <v>857</v>
      </c>
      <c r="F10" s="962" t="s">
        <v>857</v>
      </c>
      <c r="H10" s="82"/>
      <c r="I10" s="248"/>
      <c r="J10" s="248"/>
      <c r="K10" s="248"/>
      <c r="L10" s="248"/>
      <c r="O10" s="236" t="s">
        <v>1099</v>
      </c>
      <c r="P10" s="281">
        <f>C33</f>
        <v>0</v>
      </c>
      <c r="Q10" s="211">
        <v>1</v>
      </c>
      <c r="R10" s="211">
        <v>1</v>
      </c>
      <c r="S10" s="211">
        <v>1</v>
      </c>
      <c r="V10" s="168" t="s">
        <v>972</v>
      </c>
      <c r="W10" s="207">
        <f>IF(OR(C27="S",C27="T"),1,VLOOKUP(C14,Table_ProtClass,IF(C15&lt;=3,2,3),FALSE)) - IF(AND(C33=1,ISNUMBER(B31),W11=1),B31,0)</f>
        <v>0.96</v>
      </c>
      <c r="X10" s="207">
        <v>1</v>
      </c>
      <c r="Y10" s="207">
        <v>1</v>
      </c>
      <c r="Z10" s="207">
        <v>1</v>
      </c>
      <c r="AB10" s="266"/>
      <c r="AC10" s="268" t="s">
        <v>180</v>
      </c>
      <c r="AD10" s="423">
        <f>1+$AU$25</f>
        <v>1</v>
      </c>
      <c r="AE10" s="266"/>
      <c r="AF10" s="266"/>
      <c r="AG10" s="545" t="s">
        <v>1020</v>
      </c>
      <c r="AH10" s="299">
        <f>IF(C7="PAC",VLOOKUP(B8,Table_PakMods,MATCH(C11,List_Company,0)+1,FALSE),1)</f>
        <v>1</v>
      </c>
      <c r="AI10" s="299"/>
      <c r="AJ10" s="542"/>
      <c r="AK10" s="724" t="s">
        <v>1022</v>
      </c>
      <c r="AL10" s="279">
        <v>1</v>
      </c>
      <c r="AM10" s="279">
        <v>1</v>
      </c>
      <c r="AN10" s="279">
        <v>1</v>
      </c>
      <c r="AO10" s="279">
        <v>1</v>
      </c>
      <c r="AQ10" s="687" t="s">
        <v>1720</v>
      </c>
      <c r="AS10" s="155">
        <f>IF(AS29&lt;-0.025,-0.025,IF(AS29&gt;0.025,0.025,AS29))</f>
        <v>0</v>
      </c>
      <c r="AT10" s="385"/>
    </row>
    <row r="11" spans="1:46" x14ac:dyDescent="0.2">
      <c r="A11" s="120" t="s">
        <v>835</v>
      </c>
      <c r="B11" s="95"/>
      <c r="C11" s="1079" t="str">
        <f>IF(B3="B",TC10_BLDG1!C11,IF(B3="PP",TC10_PP1!C11,""))</f>
        <v>GAIC</v>
      </c>
      <c r="D11" s="159" t="s">
        <v>1663</v>
      </c>
      <c r="E11" s="950"/>
      <c r="F11" s="962"/>
      <c r="L11" s="890" t="s">
        <v>1048</v>
      </c>
      <c r="O11" s="168" t="s">
        <v>1199</v>
      </c>
      <c r="P11" s="977">
        <f>IF(OR(C27="S",C27="T"),1,IF(C12="SP",VLOOKUP(C18,Table_TerrMult_SP,2,FALSE),VLOOKUP(C17,Table_TerrMult,2,FALSE))) - IF(AND((C31)="Yes",ISNUMBER(B31)),B31,0) -IF(AND(ISNUMBER(C33),Q48="TM"),C33,0)</f>
        <v>1.1499999999999999</v>
      </c>
      <c r="Q11" s="207">
        <v>1</v>
      </c>
      <c r="R11" s="207">
        <v>1</v>
      </c>
      <c r="S11" s="207">
        <v>1</v>
      </c>
      <c r="V11" s="168" t="s">
        <v>1199</v>
      </c>
      <c r="W11" s="977">
        <f>IF(OR(C27="S",C27="T"),1,VLOOKUP(C17,Table_TerrMult,2,FALSE)) - IF(AND((C31)="Yes",ISNUMBER(B31)),B31,0) -IF(AND(ISNUMBER(C33),Q48="TM"),C33,0)</f>
        <v>1</v>
      </c>
      <c r="X11" s="207">
        <v>1</v>
      </c>
      <c r="Y11" s="207">
        <v>1</v>
      </c>
      <c r="Z11" s="207">
        <v>1</v>
      </c>
      <c r="AB11" s="266"/>
      <c r="AC11" s="545" t="s">
        <v>1020</v>
      </c>
      <c r="AD11" s="299">
        <f>IF(C7="PAC",VLOOKUP(B8,Table_PakMods,MATCH(C11,List_Company,0)+1,FALSE),1)</f>
        <v>1</v>
      </c>
      <c r="AE11" s="266"/>
      <c r="AF11" s="542"/>
      <c r="AG11" s="724" t="s">
        <v>1022</v>
      </c>
      <c r="AH11" s="279">
        <f>1+$AS$14</f>
        <v>1</v>
      </c>
      <c r="AI11" s="559"/>
      <c r="AK11" s="83" t="s">
        <v>1150</v>
      </c>
      <c r="AL11" s="2">
        <f>ROUND(PRODUCT(AL5:AL10),3)</f>
        <v>0</v>
      </c>
      <c r="AM11" s="2">
        <f>ROUND(PRODUCT(AM5:AM10),3)</f>
        <v>0</v>
      </c>
      <c r="AN11" s="2">
        <f>ROUND(PRODUCT(AN5:AN10),3)</f>
        <v>0</v>
      </c>
      <c r="AO11" s="2">
        <f>ROUND(PRODUCT(AO5:AO10),3)</f>
        <v>0</v>
      </c>
      <c r="AQ11" s="687" t="s">
        <v>1721</v>
      </c>
      <c r="AS11" s="155">
        <f>IF(AS30&lt;-0.075,-0.075,IF(AS30&gt;0.075,0.075,AS30))</f>
        <v>0</v>
      </c>
      <c r="AT11" s="385"/>
    </row>
    <row r="12" spans="1:46" ht="13.5" thickBot="1" x14ac:dyDescent="0.25">
      <c r="A12" s="415" t="s">
        <v>910</v>
      </c>
      <c r="B12" s="493">
        <f>IF(OR(C15=5,C15=6),1,2)</f>
        <v>2</v>
      </c>
      <c r="C12" s="1051" t="s">
        <v>894</v>
      </c>
      <c r="D12" s="159" t="s">
        <v>1223</v>
      </c>
      <c r="E12" s="950"/>
      <c r="F12" s="962"/>
      <c r="H12" s="168" t="s">
        <v>1046</v>
      </c>
      <c r="I12" s="248">
        <f>IF(AND(F3="Yes",F44="Yes"),W60,0)</f>
        <v>0</v>
      </c>
      <c r="J12" s="248"/>
      <c r="K12" s="248"/>
      <c r="L12" s="248"/>
      <c r="O12" s="1117" t="s">
        <v>2140</v>
      </c>
      <c r="P12" s="247">
        <f>DF_BI_BRF1</f>
        <v>0.8</v>
      </c>
      <c r="Q12" s="247">
        <f>DF_BI_BRF2</f>
        <v>0.65</v>
      </c>
      <c r="R12" s="247">
        <v>1</v>
      </c>
      <c r="S12" s="247">
        <v>1</v>
      </c>
      <c r="V12" s="168" t="s">
        <v>1100</v>
      </c>
      <c r="W12" s="207">
        <f>IF(C31="Yes",IF(B31&lt;&gt;"Sprinkler",1,VLOOKUP(C15,Table_SprLkg,IF(B3="B",2,3),FALSE)),1)</f>
        <v>1</v>
      </c>
      <c r="X12" s="207">
        <v>1</v>
      </c>
      <c r="Y12" s="207">
        <v>1</v>
      </c>
      <c r="Z12" s="207">
        <v>1</v>
      </c>
      <c r="AB12" s="542"/>
      <c r="AC12" s="724" t="s">
        <v>1022</v>
      </c>
      <c r="AD12" s="279">
        <f>1+$AS$14</f>
        <v>1</v>
      </c>
      <c r="AE12" s="385"/>
      <c r="AF12" s="385"/>
      <c r="AG12" s="685" t="s">
        <v>396</v>
      </c>
      <c r="AH12" s="385">
        <f>ROUND(PRODUCT(AH4:AH11),3)</f>
        <v>0</v>
      </c>
      <c r="AI12" s="385"/>
      <c r="AJ12" s="185"/>
      <c r="AK12" s="186" t="s">
        <v>1025</v>
      </c>
      <c r="AL12" s="238">
        <f>IF(ISNUMBER(E47),E47/100,0)</f>
        <v>0</v>
      </c>
      <c r="AM12" s="238">
        <f>IF(ISNUMBER(E47),E47/100,0)</f>
        <v>0</v>
      </c>
      <c r="AN12" s="238">
        <f>IF(ISNUMBER(E47),E47/100,0)</f>
        <v>0</v>
      </c>
      <c r="AO12" s="238">
        <f>IF(ISNUMBER(E47),E47/100,0)</f>
        <v>0</v>
      </c>
      <c r="AQ12" s="8" t="s">
        <v>1722</v>
      </c>
      <c r="AS12" s="155">
        <f>IF(AS31&lt;-0.05,-0.05,IF(AS31&gt;0.05,0.05,AS31))</f>
        <v>0</v>
      </c>
      <c r="AT12" s="385"/>
    </row>
    <row r="13" spans="1:46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52">
        <v>2</v>
      </c>
      <c r="D13" s="480"/>
      <c r="E13" s="815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168" t="s">
        <v>1047</v>
      </c>
      <c r="I13" s="248">
        <f>IF(AND(F3="Yes",F46="Yes"),AL48,0)</f>
        <v>0</v>
      </c>
      <c r="J13" s="248"/>
      <c r="K13" s="248"/>
      <c r="L13" s="248"/>
      <c r="O13" s="189" t="s">
        <v>1496</v>
      </c>
      <c r="P13" s="207">
        <v>1</v>
      </c>
      <c r="Q13" s="207">
        <f>IF(C34="Yes",VLOOKUP(C15,Table_Construction,3,FALSE),1)</f>
        <v>1</v>
      </c>
      <c r="R13" s="207">
        <v>1</v>
      </c>
      <c r="S13" s="207">
        <v>1</v>
      </c>
      <c r="V13" s="236" t="s">
        <v>1099</v>
      </c>
      <c r="W13" s="281">
        <f>B33</f>
        <v>0</v>
      </c>
      <c r="X13" s="211">
        <v>1</v>
      </c>
      <c r="Y13" s="211">
        <v>1</v>
      </c>
      <c r="Z13" s="211">
        <v>1</v>
      </c>
      <c r="AB13" s="385"/>
      <c r="AC13" s="685" t="s">
        <v>679</v>
      </c>
      <c r="AD13" s="558" t="e">
        <f>ROUND(PRODUCT(AD6:AD12),3)</f>
        <v>#N/A</v>
      </c>
      <c r="AE13" s="266"/>
      <c r="AF13" s="542"/>
      <c r="AG13" s="724" t="s">
        <v>1572</v>
      </c>
      <c r="AH13" s="238">
        <f>IF(ISNUMBER(F4),F4/100,0)</f>
        <v>5000</v>
      </c>
      <c r="AI13" s="478"/>
      <c r="AK13" s="83" t="s">
        <v>1647</v>
      </c>
      <c r="AL13" s="248">
        <f>ROUND(PRODUCT(AL11:AL12),0)</f>
        <v>0</v>
      </c>
      <c r="AM13" s="248">
        <f>ROUND(PRODUCT(AM11:AM12),0)</f>
        <v>0</v>
      </c>
      <c r="AN13" s="248">
        <f>ROUND(PRODUCT(AN11:AN12),0)</f>
        <v>0</v>
      </c>
      <c r="AO13" s="248">
        <f>ROUND(PRODUCT(AO11:AO12),0)</f>
        <v>0</v>
      </c>
      <c r="AQ13" s="8"/>
      <c r="AS13" s="155"/>
      <c r="AT13" s="385"/>
    </row>
    <row r="14" spans="1:46" ht="13.5" thickBot="1" x14ac:dyDescent="0.25">
      <c r="A14" s="108" t="s">
        <v>898</v>
      </c>
      <c r="B14" s="95"/>
      <c r="C14" s="1079">
        <f>IF(B3="B",TC10_BLDG1!C14,IF(B3="PP",TC10_PP1!C14,""))</f>
        <v>3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491" t="str">
        <f>IF(AND(E8="Yes",E14="Area"),ROUND(SUM(E13:F13)/SUM(E11:F11),3),IF(AND(E8="Yes",E14="Value"),ROUND(SUM(E12:F12)/SUM(E13:F13),3),""))</f>
        <v/>
      </c>
      <c r="I14" s="248"/>
      <c r="J14" s="248"/>
      <c r="K14" s="248"/>
      <c r="L14" s="248"/>
      <c r="N14" s="209"/>
      <c r="O14" s="210" t="s">
        <v>1016</v>
      </c>
      <c r="P14" s="212">
        <v>1</v>
      </c>
      <c r="Q14" s="212">
        <v>1</v>
      </c>
      <c r="R14" s="212">
        <v>1</v>
      </c>
      <c r="S14" s="212">
        <v>1</v>
      </c>
      <c r="U14" s="209"/>
      <c r="V14" s="210" t="s">
        <v>1016</v>
      </c>
      <c r="W14" s="212">
        <v>1</v>
      </c>
      <c r="X14" s="212">
        <v>1</v>
      </c>
      <c r="Y14" s="212">
        <v>1</v>
      </c>
      <c r="Z14" s="212">
        <v>1</v>
      </c>
      <c r="AB14" s="542"/>
      <c r="AC14" s="724" t="s">
        <v>1572</v>
      </c>
      <c r="AD14" s="238">
        <f>IF(ISNUMBER(F4),F4/100,0)</f>
        <v>5000</v>
      </c>
      <c r="AE14" s="266"/>
      <c r="AF14" s="266"/>
      <c r="AG14" s="568" t="s">
        <v>680</v>
      </c>
      <c r="AH14" s="248">
        <f>ROUND(PRODUCT(AH12:AH13),0)</f>
        <v>0</v>
      </c>
      <c r="AI14" s="248"/>
      <c r="AR14" s="60" t="s">
        <v>952</v>
      </c>
      <c r="AS14" s="157">
        <f>IF(SUM(AS4:AS13)&lt;-0.4,-0.4,IF(SUM(AS4:AS13)&gt;0.4,0.4,SUM(AS4:AS13)))</f>
        <v>0</v>
      </c>
      <c r="AT14" s="385"/>
    </row>
    <row r="15" spans="1:46" ht="13.5" customHeight="1" x14ac:dyDescent="0.2">
      <c r="A15" s="108" t="s">
        <v>1073</v>
      </c>
      <c r="B15" s="319" t="str">
        <f>IF(C15&lt;=4,"B","A")</f>
        <v>B</v>
      </c>
      <c r="C15" s="1080">
        <f>IF(B3="B",TC10_BLDG1!C15,IF(B3="PP",TC10_PP1!C15,""))</f>
        <v>1</v>
      </c>
      <c r="D15" s="84" t="s">
        <v>1224</v>
      </c>
      <c r="E15" s="193"/>
      <c r="F15" s="964" t="s">
        <v>857</v>
      </c>
      <c r="H15" s="568" t="s">
        <v>244</v>
      </c>
      <c r="I15" s="797">
        <f>SUM(I12:I13,I9:L9)</f>
        <v>0</v>
      </c>
      <c r="O15" s="168" t="s">
        <v>1250</v>
      </c>
      <c r="P15" s="207">
        <f>IF(F6="Yes",DF_BI_AV,1)</f>
        <v>1</v>
      </c>
      <c r="Q15" s="207">
        <f>IF(F6="Yes",DF_BI_AV,1)</f>
        <v>1</v>
      </c>
      <c r="R15" s="207">
        <f>IF(F6="Yes",DF_BI_AV,1)</f>
        <v>1</v>
      </c>
      <c r="S15" s="207">
        <f>IF(F6="Yes",DF_BI_AV,1)</f>
        <v>1</v>
      </c>
      <c r="V15" s="168" t="s">
        <v>1250</v>
      </c>
      <c r="W15" s="207">
        <f>IF(F6="Yes",DF_BI_AV,1)</f>
        <v>1</v>
      </c>
      <c r="X15" s="207">
        <f>IF(F6="Yes",DF_BI_AV,1)</f>
        <v>1</v>
      </c>
      <c r="Y15" s="207">
        <v>1</v>
      </c>
      <c r="Z15" s="207">
        <v>1</v>
      </c>
      <c r="AB15" s="266"/>
      <c r="AC15" s="568" t="s">
        <v>680</v>
      </c>
      <c r="AD15" s="248" t="e">
        <f>ROUND(PRODUCT(AD13:AD14),0)</f>
        <v>#N/A</v>
      </c>
      <c r="AE15" s="266"/>
      <c r="AF15" s="266"/>
      <c r="AG15" s="266"/>
      <c r="AH15" s="266"/>
      <c r="AI15" s="266"/>
      <c r="AK15" s="685" t="s">
        <v>549</v>
      </c>
      <c r="AL15" s="907">
        <f>IF(E48="Yes",IF(C12="SP",SUM(AL13:AN13),IF(C12="BR",SUM(AL13:AM13,AO13),SUM(AL13:AM13))),0)</f>
        <v>0</v>
      </c>
      <c r="AQ15" s="686"/>
      <c r="AR15" s="385"/>
      <c r="AS15" s="738"/>
      <c r="AT15" s="385"/>
    </row>
    <row r="16" spans="1:46" x14ac:dyDescent="0.2">
      <c r="A16" s="84" t="s">
        <v>975</v>
      </c>
      <c r="B16" s="160"/>
      <c r="C16" s="1080" t="str">
        <f>IF(B3="B",TC10_BLDG1!C16,IF(B3="PP",TC10_PP1!C16,""))</f>
        <v>A</v>
      </c>
      <c r="D16" s="159" t="s">
        <v>1244</v>
      </c>
      <c r="E16" s="963"/>
      <c r="F16" s="277"/>
      <c r="N16" s="146"/>
      <c r="O16" s="545" t="s">
        <v>1253</v>
      </c>
      <c r="P16" s="563">
        <f>IF(OR(ISBLANK(F7),F7="None"),1,IF(E8="Yes",F14+P18,VLOOKUP(F7,IF(F5="Yes",Table_BI_CoIns_EE,Table_BI_CoIns),F8+1,FALSE)+P18))</f>
        <v>0.54</v>
      </c>
      <c r="Q16" s="563">
        <f>IF(OR(ISBLANK(F7),F7="None"),1,IF(E8="Yes",F14,VLOOKUP(F7,IF(F5="Yes",Table_BI_CoIns_EE,Table_BI_CoIns),F8+1,FALSE)+Q18))</f>
        <v>0.54</v>
      </c>
      <c r="R16" s="299">
        <v>1</v>
      </c>
      <c r="S16" s="299">
        <v>1</v>
      </c>
      <c r="V16" s="83" t="s">
        <v>1251</v>
      </c>
      <c r="W16" s="207">
        <f>IF(F17="Yes",VLOOKUP(F8,Table_BI_MaxInd,E5,FALSE)+W18,1)</f>
        <v>1</v>
      </c>
      <c r="X16" s="207">
        <f>IF(F17="Yes",VLOOKUP(F8,Table_BI_MaxInd,E5,FALSE)+X18,1)</f>
        <v>1</v>
      </c>
      <c r="Y16" s="207">
        <v>1</v>
      </c>
      <c r="Z16" s="207">
        <v>1</v>
      </c>
      <c r="AB16" s="266"/>
      <c r="AC16" s="266"/>
      <c r="AD16" s="266"/>
      <c r="AE16" s="557"/>
      <c r="AF16" s="557"/>
      <c r="AG16" s="557"/>
      <c r="AH16" s="557"/>
      <c r="AI16" s="557"/>
      <c r="AK16" s="685"/>
      <c r="AL16" s="701"/>
      <c r="AQ16" s="385"/>
      <c r="AR16" s="385"/>
      <c r="AS16" s="738"/>
      <c r="AT16" s="385"/>
    </row>
    <row r="17" spans="1:48" ht="15" customHeight="1" thickBot="1" x14ac:dyDescent="0.25">
      <c r="A17" s="122" t="s">
        <v>974</v>
      </c>
      <c r="B17" s="95"/>
      <c r="C17" s="1079">
        <f>IF(B3="B",TC10_BLDG1!C17,IF(B3="PP",TC10_PP1!C17,""))</f>
        <v>1</v>
      </c>
      <c r="D17" s="84" t="s">
        <v>1204</v>
      </c>
      <c r="E17" s="193"/>
      <c r="F17" s="960" t="s">
        <v>857</v>
      </c>
      <c r="O17" s="83" t="s">
        <v>2241</v>
      </c>
      <c r="P17" s="207">
        <f>IF(F17="Yes",VLOOKUP(F8,Table_BI_MaxInd,E5,FALSE)+P18,1)</f>
        <v>1</v>
      </c>
      <c r="Q17" s="207">
        <f>IF(F17="Yes",VLOOKUP(F8,Table_BI_MaxInd,E5,FALSE)+Q18,1)</f>
        <v>1</v>
      </c>
      <c r="R17" s="207">
        <v>1</v>
      </c>
      <c r="S17" s="207">
        <v>1</v>
      </c>
      <c r="V17" s="83" t="s">
        <v>1252</v>
      </c>
      <c r="W17" s="207">
        <f ca="1">IF(F18="Yes",VLOOKUP(E19,INDIRECT("Table_BI_Mos"&amp;F8),E5,FALSE)+W18,1)</f>
        <v>1</v>
      </c>
      <c r="X17" s="207">
        <f ca="1">IF(F18="Yes",VLOOKUP(E19,INDIRECT("Table_BI_Mos"&amp;F8),E5,FALSE)+X18,1)</f>
        <v>1</v>
      </c>
      <c r="Y17" s="207">
        <v>1</v>
      </c>
      <c r="Z17" s="207">
        <v>1</v>
      </c>
      <c r="AB17" s="557"/>
      <c r="AC17" s="557"/>
      <c r="AD17" s="557"/>
      <c r="AE17" s="266"/>
      <c r="AF17" s="60" t="s">
        <v>684</v>
      </c>
      <c r="AH17" s="235"/>
      <c r="AI17" s="235"/>
      <c r="AQ17" s="385"/>
      <c r="AR17" s="701"/>
      <c r="AS17" s="738"/>
      <c r="AT17" s="385"/>
    </row>
    <row r="18" spans="1:48" x14ac:dyDescent="0.2">
      <c r="A18" s="1195" t="s">
        <v>2097</v>
      </c>
      <c r="B18" s="95"/>
      <c r="C18" s="1238">
        <v>2</v>
      </c>
      <c r="D18" s="84" t="s">
        <v>1203</v>
      </c>
      <c r="E18" s="193"/>
      <c r="F18" s="960" t="s">
        <v>857</v>
      </c>
      <c r="H18" s="483" t="s">
        <v>662</v>
      </c>
      <c r="I18" s="485"/>
      <c r="N18" s="266"/>
      <c r="O18" s="1420" t="s">
        <v>2240</v>
      </c>
      <c r="P18" s="426">
        <f>IF(F30="Yes",VLOOKUP(E31,Table_BI_Mining,2,FALSE),0)</f>
        <v>0</v>
      </c>
      <c r="Q18" s="426">
        <f>IF(F30="Yes",VLOOKUP(E31,Table_BI_Mining,3,FALSE),0)</f>
        <v>0</v>
      </c>
      <c r="R18" s="423">
        <v>1</v>
      </c>
      <c r="S18" s="423">
        <v>1</v>
      </c>
      <c r="U18" s="266"/>
      <c r="V18" s="267" t="s">
        <v>1592</v>
      </c>
      <c r="W18" s="426">
        <f>IF(F30="Yes",VLOOKUP(E31,Table_BI_Mining,2,FALSE),0)</f>
        <v>0</v>
      </c>
      <c r="X18" s="426">
        <f>IF(F30="Yes",VLOOKUP(E31,Table_BI_Mining,3,FALSE),0)</f>
        <v>0</v>
      </c>
      <c r="Y18" s="423">
        <v>1</v>
      </c>
      <c r="Z18" s="423">
        <v>1</v>
      </c>
      <c r="AB18" s="60" t="s">
        <v>681</v>
      </c>
      <c r="AD18" s="235"/>
      <c r="AE18" s="266"/>
      <c r="AF18" s="266"/>
      <c r="AG18" s="268" t="s">
        <v>1753</v>
      </c>
      <c r="AH18" s="426">
        <f>IF(F63="Yes",VLOOKUP(E64,Table_Other_WaterBuyback,6,FALSE),0)</f>
        <v>0</v>
      </c>
      <c r="AI18" s="426"/>
      <c r="AJ18" s="60" t="s">
        <v>551</v>
      </c>
      <c r="AL18" s="235" t="s">
        <v>1012</v>
      </c>
      <c r="AM18" s="235" t="s">
        <v>1013</v>
      </c>
      <c r="AN18" s="235" t="s">
        <v>838</v>
      </c>
      <c r="AO18" s="235" t="s">
        <v>837</v>
      </c>
      <c r="AQ18" s="136" t="s">
        <v>947</v>
      </c>
      <c r="AR18" s="137"/>
      <c r="AS18" s="137"/>
      <c r="AT18" s="137"/>
      <c r="AU18" s="136" t="s">
        <v>938</v>
      </c>
      <c r="AV18" s="517"/>
    </row>
    <row r="19" spans="1:48" ht="13.5" thickBot="1" x14ac:dyDescent="0.25">
      <c r="A19" s="126"/>
      <c r="B19" s="96"/>
      <c r="C19" s="1081"/>
      <c r="D19" s="159" t="s">
        <v>1225</v>
      </c>
      <c r="E19" s="965" t="s">
        <v>857</v>
      </c>
      <c r="F19" s="169"/>
      <c r="H19" s="486" t="s">
        <v>682</v>
      </c>
      <c r="I19" s="485">
        <f>IF(AND(F54="Yes",F56="Yes"),AD15,0)</f>
        <v>0</v>
      </c>
      <c r="O19" s="83" t="s">
        <v>1252</v>
      </c>
      <c r="P19" s="207">
        <f ca="1">IF(F18="Yes",VLOOKUP(E19,INDIRECT("Table_BI_Mos"&amp;F8),E5,FALSE)+P18,1)</f>
        <v>1</v>
      </c>
      <c r="Q19" s="207">
        <f ca="1">IF(F18="Yes",VLOOKUP(E19,INDIRECT("Table_BI_Mos"&amp;F8),E5,FALSE)+Q18,1)</f>
        <v>1</v>
      </c>
      <c r="R19" s="207">
        <v>1</v>
      </c>
      <c r="S19" s="207">
        <v>1</v>
      </c>
      <c r="V19" s="189" t="s">
        <v>1547</v>
      </c>
      <c r="W19" s="207">
        <f>IF(AND(F20="Yes",OR(E21=1,E21=3)),VLOOKUP(F7,Table_BI_Educ,E5,FALSE),1)</f>
        <v>1</v>
      </c>
      <c r="X19" s="207">
        <f>IF(AND(F20="Yes",OR(E21=1,E21=3)),VLOOKUP(F7,Table_BI_Educ,E5,FALSE),1)</f>
        <v>1</v>
      </c>
      <c r="Y19" s="207">
        <v>1</v>
      </c>
      <c r="Z19" s="207">
        <v>1</v>
      </c>
      <c r="AB19" s="266"/>
      <c r="AC19" s="268" t="s">
        <v>1724</v>
      </c>
      <c r="AD19" s="426">
        <f>IF(F29="Yes",B29,0)</f>
        <v>0</v>
      </c>
      <c r="AE19" s="266"/>
      <c r="AF19" s="558"/>
      <c r="AG19" s="755" t="s">
        <v>971</v>
      </c>
      <c r="AH19" s="558">
        <f>HLOOKUP(C11,Table_StateRates,6,FALSE)</f>
        <v>1.9</v>
      </c>
      <c r="AI19" s="558"/>
      <c r="AJ19" s="146"/>
      <c r="AK19" s="545" t="s">
        <v>1049</v>
      </c>
      <c r="AL19" s="146">
        <f>VLOOKUP(2,Table_Time_Utility,2,FALSE)</f>
        <v>4.3999999999999997E-2</v>
      </c>
      <c r="AM19" s="146">
        <f>VLOOKUP(2,Table_Time_Utility,3,FALSE)</f>
        <v>4.3999999999999997E-2</v>
      </c>
      <c r="AN19" s="146">
        <f>VLOOKUP(2,Table_Time_Utility,5,FALSE)</f>
        <v>2.9000000000000001E-2</v>
      </c>
      <c r="AO19" s="563">
        <f>VLOOKUP(2,Table_Time_Utility,4,FALSE)</f>
        <v>0.01</v>
      </c>
      <c r="AQ19" s="138" t="s">
        <v>939</v>
      </c>
      <c r="AR19" s="8"/>
      <c r="AS19" s="8"/>
      <c r="AT19" s="8"/>
      <c r="AU19" s="445" t="s">
        <v>940</v>
      </c>
      <c r="AV19" s="481"/>
    </row>
    <row r="20" spans="1:48" x14ac:dyDescent="0.2">
      <c r="A20" s="88" t="s">
        <v>954</v>
      </c>
      <c r="B20" s="89"/>
      <c r="C20" s="1053"/>
      <c r="D20" s="534" t="s">
        <v>1233</v>
      </c>
      <c r="E20" s="273"/>
      <c r="F20" s="960" t="s">
        <v>857</v>
      </c>
      <c r="H20" s="486" t="s">
        <v>681</v>
      </c>
      <c r="I20" s="485">
        <f>IF(AND(F54="Yes",F59="Yes"),AD29,0)</f>
        <v>0</v>
      </c>
      <c r="N20" s="185"/>
      <c r="O20" s="477" t="s">
        <v>1547</v>
      </c>
      <c r="P20" s="208">
        <f>IF(AND(F20="Yes",OR(E21=1,E21=3)),VLOOKUP(F7,Table_BI_Educ,E5,FALSE),1)</f>
        <v>1</v>
      </c>
      <c r="Q20" s="208">
        <f>IF(AND(F20="Yes",OR(E21=1,E21=3)),VLOOKUP(F7,Table_BI_Educ,E5,FALSE),1)</f>
        <v>1</v>
      </c>
      <c r="R20" s="208">
        <v>1</v>
      </c>
      <c r="S20" s="208">
        <v>1</v>
      </c>
      <c r="V20" s="83" t="s">
        <v>1549</v>
      </c>
      <c r="W20" s="207">
        <f>IF(AND(F20="Yes",E21=2),VLOOKUP(F7,Table_BI_Educ,E5,FALSE)+IF(F21&gt;4,SUM(4*0.02,(F21-4)*0.04),F21*0.02),1)</f>
        <v>1</v>
      </c>
      <c r="X20" s="207">
        <f>IF(AND(F20="Yes",E21=2),VLOOKUP(F7,Table_BI_Educ,E5,FALSE)+IF(F21&gt;4,SUM(4*0.02,(F21-4)*0.04),F21*0.02),1)</f>
        <v>1</v>
      </c>
      <c r="Y20" s="207">
        <v>1</v>
      </c>
      <c r="Z20" s="207">
        <v>1</v>
      </c>
      <c r="AB20" s="757"/>
      <c r="AC20" s="758" t="s">
        <v>971</v>
      </c>
      <c r="AD20" s="279">
        <f>HLOOKUP(C11,Table_StateRates,6,FALSE)</f>
        <v>1.9</v>
      </c>
      <c r="AE20" s="266"/>
      <c r="AF20" s="266"/>
      <c r="AG20" s="268" t="s">
        <v>1019</v>
      </c>
      <c r="AH20" s="423">
        <f>HLOOKUP(C11,Table_StateRates,5,FALSE)</f>
        <v>1.38</v>
      </c>
      <c r="AI20" s="423"/>
      <c r="AK20" s="168" t="s">
        <v>971</v>
      </c>
      <c r="AL20" s="207">
        <f>HLOOKUP(C11,Table_StateRates,6,FALSE)</f>
        <v>1.9</v>
      </c>
      <c r="AM20" s="207">
        <f>HLOOKUP(C11,Table_StateRates,6,FALSE)</f>
        <v>1.9</v>
      </c>
      <c r="AN20" s="207">
        <f>HLOOKUP(C11,Table_StateRates,6,FALSE)</f>
        <v>1.9</v>
      </c>
      <c r="AO20" s="207">
        <f>HLOOKUP(C11,Table_StateRates,6,FALSE)</f>
        <v>1.9</v>
      </c>
      <c r="AQ20" s="138" t="s">
        <v>941</v>
      </c>
      <c r="AR20" s="8"/>
      <c r="AS20" s="8"/>
      <c r="AT20" s="8"/>
      <c r="AU20" s="26"/>
      <c r="AV20" s="481"/>
    </row>
    <row r="21" spans="1:48" x14ac:dyDescent="0.2">
      <c r="A21" s="122" t="s">
        <v>956</v>
      </c>
      <c r="B21" s="319">
        <f>IF(C17=1,1,2)</f>
        <v>1</v>
      </c>
      <c r="C21" s="1082" t="str">
        <f>IF(B3="B",TC10_BLDG1!C21,IF(B3="PP",TC10_PP1!C21,""))</f>
        <v>Yes</v>
      </c>
      <c r="D21" s="535" t="s">
        <v>1550</v>
      </c>
      <c r="E21" s="948"/>
      <c r="F21" s="966"/>
      <c r="H21" s="486" t="s">
        <v>1742</v>
      </c>
      <c r="I21" s="485">
        <f>IF(AND(F54="Yes",F60="Yes"),AH14,0)</f>
        <v>0</v>
      </c>
      <c r="O21" s="83" t="s">
        <v>1420</v>
      </c>
      <c r="P21" s="1315">
        <f ca="1">ROUND(PRODUCT(P8,IF(AND(C31="Yes",B31="Sprinkler",C33&lt;&gt;1),P9-P10,P9),P11:P17,P19:P20),3)</f>
        <v>0.157</v>
      </c>
      <c r="Q21" s="1315">
        <f ca="1">ROUND(PRODUCT(Q8:Q17,Q19:Q20),3)</f>
        <v>3.9E-2</v>
      </c>
      <c r="R21" s="1315">
        <f>ROUND(PRODUCT(R8:R20),3)</f>
        <v>0.115</v>
      </c>
      <c r="S21" s="1315">
        <f>ROUND(PRODUCT(S8:S20),3)</f>
        <v>2.9000000000000001E-2</v>
      </c>
      <c r="V21" s="189" t="s">
        <v>1254</v>
      </c>
      <c r="W21" s="207">
        <f>IF(F27="Yes",VLOOKUP(E5,Table_BI_Seasonal,2,FALSE),1)</f>
        <v>1</v>
      </c>
      <c r="X21" s="207">
        <v>1</v>
      </c>
      <c r="Y21" s="207">
        <v>1</v>
      </c>
      <c r="Z21" s="207">
        <v>1</v>
      </c>
      <c r="AB21" s="266"/>
      <c r="AC21" s="568" t="s">
        <v>685</v>
      </c>
      <c r="AD21" s="266">
        <f>ROUND(PRODUCT(AD19:AD20),3)</f>
        <v>0</v>
      </c>
      <c r="AE21" s="266"/>
      <c r="AF21" s="266"/>
      <c r="AG21" s="268"/>
      <c r="AH21" s="423"/>
      <c r="AI21" s="423"/>
      <c r="AK21" s="168" t="s">
        <v>1019</v>
      </c>
      <c r="AL21" s="207">
        <f>HLOOKUP(C11,Table_StateRates,5,FALSE)</f>
        <v>1.38</v>
      </c>
      <c r="AM21" s="207">
        <f>HLOOKUP(C11,Table_StateRates,5,FALSE)</f>
        <v>1.38</v>
      </c>
      <c r="AN21" s="207">
        <f>HLOOKUP(C11,Table_StateRates,5,FALSE)</f>
        <v>1.38</v>
      </c>
      <c r="AO21" s="207">
        <f>HLOOKUP(C11,Table_StateRates,5,FALSE)</f>
        <v>1.38</v>
      </c>
      <c r="AQ21" s="26"/>
      <c r="AR21" s="8"/>
      <c r="AS21" s="8"/>
      <c r="AT21" s="8"/>
      <c r="AU21" s="727" t="s">
        <v>942</v>
      </c>
      <c r="AV21" s="481"/>
    </row>
    <row r="22" spans="1:48" x14ac:dyDescent="0.2">
      <c r="A22" s="911" t="s">
        <v>958</v>
      </c>
      <c r="B22" s="90"/>
      <c r="C22" s="570" t="str">
        <f>IF(B3="B",TC10_BLDG1!C22,IF(B3="PP",TC10_PP1!C22,""))</f>
        <v>No</v>
      </c>
      <c r="D22" s="536" t="s">
        <v>1228</v>
      </c>
      <c r="E22" s="294"/>
      <c r="F22" s="295"/>
      <c r="H22" s="597" t="s">
        <v>1743</v>
      </c>
      <c r="I22" s="487">
        <f>IF(AND(F54="Yes",F63="Yes"),AH28,0)</f>
        <v>0</v>
      </c>
      <c r="O22" s="83" t="s">
        <v>1549</v>
      </c>
      <c r="P22" s="207">
        <f>IF(AND(F20="Yes",E21=2),VLOOKUP(F7,Table_BI_Educ,E5,FALSE)+IF(F21&gt;4,SUM(4*0.02,(F21-4)*0.04),F21*0.02),1)</f>
        <v>1</v>
      </c>
      <c r="Q22" s="207">
        <f>IF(AND(F20="Yes",E21=2),VLOOKUP(F7,Table_BI_Educ,E5,FALSE)+IF(F21&gt;4,SUM(4*0.02,(F21-4)*0.04),F21*0.02),1)</f>
        <v>1</v>
      </c>
      <c r="R22" s="207">
        <v>1</v>
      </c>
      <c r="S22" s="207">
        <v>1</v>
      </c>
      <c r="V22" s="189" t="s">
        <v>1255</v>
      </c>
      <c r="W22" s="207">
        <f>IF(F15="Yes",VLOOKUP(E16,Table_BI_IndDays,2,FALSE),1)</f>
        <v>1</v>
      </c>
      <c r="X22" s="207">
        <f>IF(F15="Yes",VLOOKUP(E16,Table_BI_IndDays,2,FALSE),1)</f>
        <v>1</v>
      </c>
      <c r="Y22" s="207">
        <v>1</v>
      </c>
      <c r="Z22" s="207">
        <v>1</v>
      </c>
      <c r="AB22" s="542"/>
      <c r="AC22" s="724" t="s">
        <v>1740</v>
      </c>
      <c r="AD22" s="279">
        <f>DF_MoltenMaterial</f>
        <v>0.1</v>
      </c>
      <c r="AE22" s="385"/>
      <c r="AF22" s="266"/>
      <c r="AG22" s="268"/>
      <c r="AH22" s="423"/>
      <c r="AI22" s="423"/>
      <c r="AK22" s="168" t="s">
        <v>180</v>
      </c>
      <c r="AL22" s="207">
        <v>1</v>
      </c>
      <c r="AM22" s="207">
        <v>1</v>
      </c>
      <c r="AN22" s="207">
        <v>1</v>
      </c>
      <c r="AO22" s="207">
        <v>1</v>
      </c>
      <c r="AQ22" s="445" t="s">
        <v>943</v>
      </c>
      <c r="AR22" s="8"/>
      <c r="AS22" s="142" t="s">
        <v>944</v>
      </c>
      <c r="AT22" s="8"/>
      <c r="AU22" s="727" t="s">
        <v>945</v>
      </c>
      <c r="AV22" s="481"/>
    </row>
    <row r="23" spans="1:48" ht="13.5" thickBot="1" x14ac:dyDescent="0.25">
      <c r="A23" s="908" t="s">
        <v>955</v>
      </c>
      <c r="B23" s="910"/>
      <c r="C23" s="1055"/>
      <c r="D23" s="537" t="s">
        <v>1239</v>
      </c>
      <c r="E23" s="296"/>
      <c r="F23" s="295"/>
      <c r="H23" s="568" t="s">
        <v>1744</v>
      </c>
      <c r="I23" s="569">
        <f>SUM(I19:I22)</f>
        <v>0</v>
      </c>
      <c r="O23" s="189" t="s">
        <v>1254</v>
      </c>
      <c r="P23" s="207">
        <f>IF(F27="Yes",VLOOKUP(E5,Table_BI_Seasonal,2,FALSE),1)</f>
        <v>1</v>
      </c>
      <c r="Q23" s="207">
        <v>1</v>
      </c>
      <c r="R23" s="207">
        <v>1</v>
      </c>
      <c r="S23" s="207">
        <v>1</v>
      </c>
      <c r="V23" s="168" t="s">
        <v>1256</v>
      </c>
      <c r="W23" s="207">
        <f>IF(F24="Yes",VLOOKUP(E25,Table_BI_OrdPR,2,FALSE),1)</f>
        <v>1</v>
      </c>
      <c r="X23" s="207">
        <v>1</v>
      </c>
      <c r="Y23" s="207">
        <v>1</v>
      </c>
      <c r="Z23" s="207">
        <v>1</v>
      </c>
      <c r="AB23" s="266"/>
      <c r="AC23" s="568" t="s">
        <v>917</v>
      </c>
      <c r="AD23" s="426">
        <f>ROUND(PRODUCT(AD21:AD22),3)</f>
        <v>0</v>
      </c>
      <c r="AE23" s="423"/>
      <c r="AF23" s="266"/>
      <c r="AG23" s="268" t="s">
        <v>180</v>
      </c>
      <c r="AH23" s="423">
        <f>1+$AU$25</f>
        <v>1</v>
      </c>
      <c r="AI23" s="423"/>
      <c r="AJ23" s="146"/>
      <c r="AK23" s="545" t="s">
        <v>1020</v>
      </c>
      <c r="AL23" s="299">
        <f>IF(C7="PAC",VLOOKUP(B8,Table_PakMods,MATCH(C11,List_Company,0)+1,FALSE),1)</f>
        <v>1</v>
      </c>
      <c r="AM23" s="299">
        <f>IF(C7="PAC",VLOOKUP(B8,Table_PakMods,MATCH(C11,List_Company,0)+1,FALSE),1)</f>
        <v>1</v>
      </c>
      <c r="AN23" s="299">
        <f>IF(C7="PAC",VLOOKUP(B8,Table_PakMods,MATCH(C11,List_Company,0)+1,FALSE),1)</f>
        <v>1</v>
      </c>
      <c r="AO23" s="299">
        <f>IF(C7="PAC",VLOOKUP(B8,Table_PakMods,MATCH(C11,List_Company,0)+1,FALSE),1)</f>
        <v>1</v>
      </c>
      <c r="AQ23" s="140" t="s">
        <v>1715</v>
      </c>
      <c r="AR23" s="8"/>
      <c r="AS23" s="144"/>
      <c r="AT23" s="8"/>
      <c r="AU23" s="727" t="s">
        <v>946</v>
      </c>
      <c r="AV23" s="481"/>
    </row>
    <row r="24" spans="1:48" ht="13.5" thickBot="1" x14ac:dyDescent="0.25">
      <c r="A24" s="108" t="s">
        <v>957</v>
      </c>
      <c r="B24" s="896">
        <f>IF(B3="B",TC10_BLDG1!B24,IF(B3="PP",TC10_PP1!B24,""))</f>
        <v>0</v>
      </c>
      <c r="C24" s="885" t="str">
        <f>IF(B3="B",TC10_BLDG1!C24,IF(B3="PP",TC10_PP1!C24,""))</f>
        <v>Yes</v>
      </c>
      <c r="D24" s="444" t="s">
        <v>1229</v>
      </c>
      <c r="E24" s="103"/>
      <c r="F24" s="967" t="s">
        <v>857</v>
      </c>
      <c r="O24" s="189" t="s">
        <v>1255</v>
      </c>
      <c r="P24" s="207">
        <f>IF(F15="Yes",VLOOKUP(E16,Table_BI_IndDays,2,FALSE),1)</f>
        <v>1</v>
      </c>
      <c r="Q24" s="207">
        <f>IF(F15="Yes",VLOOKUP(E16,Table_BI_IndDays,2,FALSE),1)</f>
        <v>1</v>
      </c>
      <c r="R24" s="207">
        <v>1</v>
      </c>
      <c r="S24" s="207">
        <v>1</v>
      </c>
      <c r="V24" s="168" t="s">
        <v>1257</v>
      </c>
      <c r="W24" s="207">
        <f>IF(F26="Yes",DF_BI_Power,1)</f>
        <v>1</v>
      </c>
      <c r="X24" s="207">
        <v>1</v>
      </c>
      <c r="Y24" s="207">
        <v>1</v>
      </c>
      <c r="Z24" s="207">
        <v>1</v>
      </c>
      <c r="AB24" s="266"/>
      <c r="AC24" s="268" t="s">
        <v>180</v>
      </c>
      <c r="AD24" s="423">
        <f>1+$AU$25</f>
        <v>1</v>
      </c>
      <c r="AE24" s="559"/>
      <c r="AF24" s="266"/>
      <c r="AG24" s="545" t="s">
        <v>1020</v>
      </c>
      <c r="AH24" s="299">
        <f>IF(C7="PAC",VLOOKUP(B8,Table_PakMods,MATCH(C11,List_Company,0)+1,FALSE),1)</f>
        <v>1</v>
      </c>
      <c r="AI24" s="299"/>
      <c r="AJ24" s="542"/>
      <c r="AK24" s="724" t="s">
        <v>1022</v>
      </c>
      <c r="AL24" s="279">
        <v>1</v>
      </c>
      <c r="AM24" s="279">
        <v>1</v>
      </c>
      <c r="AN24" s="279">
        <v>1</v>
      </c>
      <c r="AO24" s="279">
        <v>1</v>
      </c>
      <c r="AQ24" s="141" t="s">
        <v>1714</v>
      </c>
      <c r="AR24" s="139"/>
      <c r="AS24" s="145"/>
      <c r="AT24" s="139"/>
      <c r="AU24" s="445"/>
      <c r="AV24" s="481"/>
    </row>
    <row r="25" spans="1:48" ht="13.5" thickBot="1" x14ac:dyDescent="0.25">
      <c r="A25" s="92"/>
      <c r="B25" s="93"/>
      <c r="C25" s="903"/>
      <c r="D25" s="819" t="s">
        <v>1243</v>
      </c>
      <c r="E25" s="965" t="s">
        <v>857</v>
      </c>
      <c r="F25" s="292"/>
      <c r="O25" s="168" t="s">
        <v>1256</v>
      </c>
      <c r="P25" s="207">
        <f>IF(F24="Yes",VLOOKUP(E25,Table_BI_OrdPR,2,FALSE),1)</f>
        <v>1</v>
      </c>
      <c r="Q25" s="207">
        <v>1</v>
      </c>
      <c r="R25" s="207">
        <f>IF(F24="Yes",VLOOKUP(E25,Table_BI_OrdPR,2,FALSE),1)</f>
        <v>1</v>
      </c>
      <c r="S25" s="207">
        <v>1</v>
      </c>
      <c r="U25" s="266"/>
      <c r="V25" s="268" t="s">
        <v>1259</v>
      </c>
      <c r="W25" s="423">
        <f>IF(F33="Yes",1,IF(F28="Yes",VLOOKUP(E29,Table_CivilAuth,2,FALSE),1))</f>
        <v>1</v>
      </c>
      <c r="X25" s="423">
        <f>IF(F33="Yes",1,IF(F28="Yes",VLOOKUP(E29,Table_CivilAuth,2,FALSE),1))</f>
        <v>1</v>
      </c>
      <c r="Y25" s="423">
        <v>1</v>
      </c>
      <c r="Z25" s="423">
        <v>1</v>
      </c>
      <c r="AB25" s="266"/>
      <c r="AC25" s="545" t="s">
        <v>1020</v>
      </c>
      <c r="AD25" s="299">
        <f>IF(C7="PAC",VLOOKUP(B8,Table_PakMods,MATCH(C11,List_Company,0)+1,FALSE),1)</f>
        <v>1</v>
      </c>
      <c r="AE25" s="426"/>
      <c r="AF25" s="542"/>
      <c r="AG25" s="724" t="s">
        <v>1022</v>
      </c>
      <c r="AH25" s="279">
        <f>1+$AS$14</f>
        <v>1</v>
      </c>
      <c r="AI25" s="559"/>
      <c r="AK25" s="83" t="s">
        <v>1150</v>
      </c>
      <c r="AL25" s="2">
        <f>ROUND(PRODUCT(AL19:AL24),3)</f>
        <v>0.115</v>
      </c>
      <c r="AM25" s="2">
        <f>ROUND(PRODUCT(AM19:AM24),3)</f>
        <v>0.115</v>
      </c>
      <c r="AN25" s="2">
        <f>ROUND(PRODUCT(AN19:AN24),3)</f>
        <v>7.5999999999999998E-2</v>
      </c>
      <c r="AO25" s="2">
        <f>ROUND(PRODUCT(AO19:AO24),3)</f>
        <v>2.5999999999999999E-2</v>
      </c>
      <c r="AQ25" s="141" t="s">
        <v>1716</v>
      </c>
      <c r="AR25" s="139"/>
      <c r="AS25" s="145"/>
      <c r="AT25" s="139"/>
      <c r="AU25" s="1597"/>
      <c r="AV25" s="1598"/>
    </row>
    <row r="26" spans="1:48" ht="13.5" thickBot="1" x14ac:dyDescent="0.25">
      <c r="A26" s="529" t="s">
        <v>1827</v>
      </c>
      <c r="B26" s="531"/>
      <c r="C26" s="904"/>
      <c r="D26" s="444" t="s">
        <v>1230</v>
      </c>
      <c r="E26" s="103"/>
      <c r="F26" s="967" t="s">
        <v>857</v>
      </c>
      <c r="H26" s="60" t="s">
        <v>663</v>
      </c>
      <c r="I26" s="2">
        <f>IF(F3="Yes",IF(AND(C21="Yes",C24="Yes"),AD47,IF(AND(C21="Yes",C24="No"),B24,0)),0)</f>
        <v>0</v>
      </c>
      <c r="O26" s="168" t="s">
        <v>1257</v>
      </c>
      <c r="P26" s="207">
        <f>IF(F26="Yes",DF_BI_Power,1)</f>
        <v>1</v>
      </c>
      <c r="Q26" s="207">
        <v>1</v>
      </c>
      <c r="R26" s="207">
        <v>1</v>
      </c>
      <c r="S26" s="207">
        <v>1</v>
      </c>
      <c r="U26" s="266"/>
      <c r="V26" s="268" t="s">
        <v>821</v>
      </c>
      <c r="W26" s="423">
        <f>IF(AND(F33="Yes",E34="24-HR"),VLOOKUP(E34,Table_BI_Wait,3,FALSE),1)</f>
        <v>1</v>
      </c>
      <c r="X26" s="423">
        <f>IF(AND(F33="Yes",E34="24-HR"),VLOOKUP(E34,Table_BI_Wait,3,FALSE),1)</f>
        <v>1</v>
      </c>
      <c r="Y26" s="423">
        <f>IF(AND(F33="Yes",E34="24-HR"),VLOOKUP(E34,Table_BI_Wait,3,FALSE),1)</f>
        <v>1</v>
      </c>
      <c r="Z26" s="423">
        <f>IF(AND(F33="Yes",E34="24-HR"),VLOOKUP(E34,Table_BI_Wait,3,FALSE),1)</f>
        <v>1</v>
      </c>
      <c r="AB26" s="542"/>
      <c r="AC26" s="724" t="s">
        <v>1022</v>
      </c>
      <c r="AD26" s="279">
        <f>1+$AS$14</f>
        <v>1</v>
      </c>
      <c r="AE26" s="385"/>
      <c r="AF26" s="385"/>
      <c r="AG26" s="685" t="s">
        <v>686</v>
      </c>
      <c r="AH26" s="385">
        <f>ROUND(PRODUCT(AH18:AH25),3)</f>
        <v>0</v>
      </c>
      <c r="AI26" s="385"/>
      <c r="AJ26" s="185"/>
      <c r="AK26" s="186" t="s">
        <v>1025</v>
      </c>
      <c r="AL26" s="238">
        <f>IF(ISNUMBER(E47),E47/100,0)</f>
        <v>0</v>
      </c>
      <c r="AM26" s="238">
        <f>IF(ISNUMBER(E47),E47/100,0)</f>
        <v>0</v>
      </c>
      <c r="AN26" s="238">
        <f>IF(ISNUMBER(E47),E47/100,0)</f>
        <v>0</v>
      </c>
      <c r="AO26" s="238">
        <f>IF(ISNUMBER(E47),E47/100,0)</f>
        <v>0</v>
      </c>
      <c r="AQ26" s="141" t="s">
        <v>1717</v>
      </c>
      <c r="AR26" s="139"/>
      <c r="AS26" s="145"/>
      <c r="AT26" s="139"/>
      <c r="AU26" s="445"/>
      <c r="AV26" s="481"/>
    </row>
    <row r="27" spans="1:48" x14ac:dyDescent="0.2">
      <c r="A27" s="521" t="s">
        <v>899</v>
      </c>
      <c r="B27" s="817" t="str">
        <f>IF(C27="C","Class",IF(C27="S","Specific",IF(C27="T","Tentative","")))</f>
        <v>Class</v>
      </c>
      <c r="C27" s="818" t="str">
        <f>IF(B3="B",IF(TC10_BLDG1!C28&lt;&gt;"SC",TC10_BLDG1!C28,"C"),IF(B3="PP",TC10_PP1!C28,""))</f>
        <v>C</v>
      </c>
      <c r="D27" s="444" t="s">
        <v>1232</v>
      </c>
      <c r="E27" s="103"/>
      <c r="F27" s="967" t="s">
        <v>857</v>
      </c>
      <c r="N27" s="266"/>
      <c r="O27" s="268" t="s">
        <v>1259</v>
      </c>
      <c r="P27" s="423">
        <f>IF(F28="Yes",VLOOKUP(E29,Table_CivilAuth,2,FALSE),1)</f>
        <v>1</v>
      </c>
      <c r="Q27" s="423">
        <f>IF(F28="Yes",VLOOKUP(E29,Table_CivilAuth,2,FALSE),1)</f>
        <v>1</v>
      </c>
      <c r="R27" s="423">
        <f>IF(F28="Yes",VLOOKUP(E29,Table_CivilAuth,2,FALSE),1)</f>
        <v>1</v>
      </c>
      <c r="S27" s="423">
        <f>IF(F28="Yes",VLOOKUP(E29,Table_CivilAuth,2,FALSE),1)</f>
        <v>1</v>
      </c>
      <c r="U27" s="266"/>
      <c r="V27" s="568" t="s">
        <v>822</v>
      </c>
      <c r="W27" s="423">
        <f>IF(AND(F33="Yes",E34="None"),VLOOKUP(E34,Table_BI_Wait,3,FALSE),1)</f>
        <v>1</v>
      </c>
      <c r="X27" s="423">
        <f>IF(AND(F33="Yes",E34="None"),VLOOKUP(E34,Table_BI_Wait,3,FALSE),1)</f>
        <v>1</v>
      </c>
      <c r="Y27" s="423">
        <f>IF(AND(F33="Yes",E34="None"),VLOOKUP(E34,Table_BI_Wait,3,FALSE),1)</f>
        <v>1</v>
      </c>
      <c r="Z27" s="423">
        <f>IF(AND(F33="Yes",E34="None"),VLOOKUP(E34,Table_BI_Wait,3,FALSE),1)</f>
        <v>1</v>
      </c>
      <c r="AB27" s="385"/>
      <c r="AC27" s="685" t="s">
        <v>1741</v>
      </c>
      <c r="AD27" s="558">
        <f>ROUND(PRODUCT(AD23:AD26),3)</f>
        <v>0</v>
      </c>
      <c r="AE27" s="266"/>
      <c r="AF27" s="542"/>
      <c r="AG27" s="724" t="s">
        <v>1572</v>
      </c>
      <c r="AH27" s="238">
        <f>IF(ISNUMBER(F4),F4/100,0)</f>
        <v>5000</v>
      </c>
      <c r="AI27" s="478"/>
      <c r="AK27" s="83" t="s">
        <v>1647</v>
      </c>
      <c r="AL27" s="248">
        <f>ROUND(PRODUCT(AL25:AL26),0)</f>
        <v>0</v>
      </c>
      <c r="AM27" s="248">
        <f>ROUND(PRODUCT(AM25:AM26),0)</f>
        <v>0</v>
      </c>
      <c r="AN27" s="248">
        <f>ROUND(PRODUCT(AN25:AN26),0)</f>
        <v>0</v>
      </c>
      <c r="AO27" s="248">
        <f>ROUND(PRODUCT(AO25:AO26),0)</f>
        <v>0</v>
      </c>
      <c r="AQ27" s="141" t="s">
        <v>1718</v>
      </c>
      <c r="AR27" s="8"/>
      <c r="AS27" s="145"/>
      <c r="AT27" s="8"/>
      <c r="AU27" s="26"/>
      <c r="AV27" s="481"/>
    </row>
    <row r="28" spans="1:48" x14ac:dyDescent="0.2">
      <c r="A28" s="108" t="s">
        <v>953</v>
      </c>
      <c r="B28" s="95"/>
      <c r="C28" s="570" t="str">
        <f>IF(B3="B",TC10_BLDG1!C30,IF(B3="PP",TC10_PP1!C30,0))</f>
        <v>No</v>
      </c>
      <c r="D28" s="538" t="s">
        <v>1545</v>
      </c>
      <c r="E28" s="103"/>
      <c r="F28" s="967" t="s">
        <v>857</v>
      </c>
      <c r="N28" s="266"/>
      <c r="O28" s="268" t="s">
        <v>821</v>
      </c>
      <c r="P28" s="423">
        <f>IF(AND(F33="Yes",E34="24-HR"),VLOOKUP(E34,Table_BI_Wait,3,FALSE),1)</f>
        <v>1</v>
      </c>
      <c r="Q28" s="423">
        <f>IF(AND(F33="Yes",E34="24-HR"),VLOOKUP(E34,Table_BI_Wait,3,FALSE),1)</f>
        <v>1</v>
      </c>
      <c r="R28" s="423">
        <f>IF(AND(F33="Yes",E34="24-HR"),VLOOKUP(E34,Table_BI_Wait,3,FALSE),1)</f>
        <v>1</v>
      </c>
      <c r="S28" s="423">
        <f>IF(AND(F33="Yes",E34="24-HR"),VLOOKUP(E34,Table_BI_Wait,3,FALSE),1)</f>
        <v>1</v>
      </c>
      <c r="V28" s="168" t="s">
        <v>1019</v>
      </c>
      <c r="W28" s="207">
        <f>HLOOKUP(C11,Table_StateRates,5,FALSE)</f>
        <v>1.38</v>
      </c>
      <c r="X28" s="207">
        <f>HLOOKUP(C11,Table_StateRates,5,FALSE)</f>
        <v>1.38</v>
      </c>
      <c r="Y28" s="207">
        <f>HLOOKUP(C11,Table_StateRates,5,FALSE)</f>
        <v>1.38</v>
      </c>
      <c r="Z28" s="207">
        <f>HLOOKUP(C11,Table_StateRates,5,FALSE)</f>
        <v>1.38</v>
      </c>
      <c r="AB28" s="542"/>
      <c r="AC28" s="724" t="s">
        <v>1572</v>
      </c>
      <c r="AD28" s="238">
        <f>IF(ISNUMBER(F4),F4/100,0)</f>
        <v>5000</v>
      </c>
      <c r="AE28" s="266"/>
      <c r="AF28" s="266"/>
      <c r="AG28" s="568" t="s">
        <v>687</v>
      </c>
      <c r="AH28" s="248">
        <f>ROUND(PRODUCT(AH26:AH27),0)</f>
        <v>0</v>
      </c>
      <c r="AI28" s="248"/>
      <c r="AQ28" s="141" t="s">
        <v>181</v>
      </c>
      <c r="AR28" s="8"/>
      <c r="AS28" s="145"/>
      <c r="AT28" s="8"/>
      <c r="AU28" s="26"/>
      <c r="AV28" s="481"/>
    </row>
    <row r="29" spans="1:48" ht="13.5" thickBot="1" x14ac:dyDescent="0.25">
      <c r="A29" s="743" t="str">
        <f>IF(B3="B","80% Bldg LC - Grp I / II",IF(B3="PP","80% Pers. Pty LC - Grp I / II","No Rating Available"))</f>
        <v>80% Bldg LC - Grp I / II</v>
      </c>
      <c r="B29" s="1421">
        <f>IF(B3="B",TC10_BLDG1!P5,IF(B3="PP",TC10_PP1!P5,0))</f>
        <v>0.126</v>
      </c>
      <c r="C29" s="749">
        <f>IF(B3="B",TC10_BLDG1!Q5,IF(B3="PP",TC10_PP1!Q5,0))</f>
        <v>4.2000000000000003E-2</v>
      </c>
      <c r="D29" s="518" t="s">
        <v>1555</v>
      </c>
      <c r="E29" s="948">
        <v>90</v>
      </c>
      <c r="F29" s="169"/>
      <c r="H29" s="60" t="s">
        <v>2288</v>
      </c>
      <c r="I29" s="1468">
        <f>SUM(I5:L5,I15,I23)</f>
        <v>0</v>
      </c>
      <c r="N29" s="542"/>
      <c r="O29" s="1419" t="s">
        <v>822</v>
      </c>
      <c r="P29" s="279">
        <f>IF(AND(F33="Yes",E34="None"),VLOOKUP(E34,Table_BI_Wait,3,FALSE),1)</f>
        <v>1</v>
      </c>
      <c r="Q29" s="279">
        <f>IF(AND(F33="Yes",E34="None"),VLOOKUP(E34,Table_BI_Wait,3,FALSE),1)</f>
        <v>1</v>
      </c>
      <c r="R29" s="279">
        <f>IF(AND(F33="Yes",E34="None"),VLOOKUP(E34,Table_BI_Wait,3,FALSE),1)</f>
        <v>1</v>
      </c>
      <c r="S29" s="279">
        <f>IF(AND(F33="Yes",E34="None"),VLOOKUP(E34,Table_BI_Wait,3,FALSE),1)</f>
        <v>1</v>
      </c>
      <c r="U29" s="266"/>
      <c r="V29" s="268" t="s">
        <v>180</v>
      </c>
      <c r="W29" s="423">
        <f>1+$AU$25</f>
        <v>1</v>
      </c>
      <c r="X29" s="423">
        <f>1+$AU$25</f>
        <v>1</v>
      </c>
      <c r="Y29" s="423">
        <f>1+$AU$25</f>
        <v>1</v>
      </c>
      <c r="Z29" s="423">
        <f>1+$AU$25</f>
        <v>1</v>
      </c>
      <c r="AB29" s="266"/>
      <c r="AC29" s="568" t="s">
        <v>681</v>
      </c>
      <c r="AD29" s="248">
        <f>ROUND(PRODUCT(AD27:AD28),0)</f>
        <v>0</v>
      </c>
      <c r="AE29" s="266"/>
      <c r="AF29" s="266"/>
      <c r="AG29" s="266"/>
      <c r="AH29" s="266"/>
      <c r="AI29" s="266"/>
      <c r="AK29" s="685" t="s">
        <v>549</v>
      </c>
      <c r="AL29" s="907">
        <f>IF(E50="Yes",IF(C12="SP",SUM(AL27:AN27),IF(C12="BR",SUM(AL27:AM27,AO27),SUM(AL27:AM27))),0)</f>
        <v>0</v>
      </c>
      <c r="AQ29" s="141" t="s">
        <v>1720</v>
      </c>
      <c r="AR29" s="8"/>
      <c r="AS29" s="145"/>
      <c r="AT29" s="8"/>
      <c r="AU29" s="26"/>
      <c r="AV29" s="481"/>
    </row>
    <row r="30" spans="1:48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IF(B3="B",TC10_BLDG1!C33,IF(B3="PP",TC10_PP1!C33,""))</f>
        <v>6</v>
      </c>
      <c r="D30" s="538" t="s">
        <v>1246</v>
      </c>
      <c r="E30" s="103"/>
      <c r="F30" s="967" t="s">
        <v>857</v>
      </c>
      <c r="O30" s="83" t="s">
        <v>2239</v>
      </c>
      <c r="P30" s="1315">
        <f ca="1">ROUND(PRODUCT(P21:P29),3)</f>
        <v>0.157</v>
      </c>
      <c r="Q30" s="1315">
        <f ca="1">ROUND(PRODUCT(Q21:Q29),3)</f>
        <v>3.9E-2</v>
      </c>
      <c r="R30" s="1315">
        <f>ROUND(PRODUCT(R21:R29),3)</f>
        <v>0.115</v>
      </c>
      <c r="S30" s="1315">
        <f>ROUND(PRODUCT(S21:S29),3)</f>
        <v>2.9000000000000001E-2</v>
      </c>
      <c r="U30" s="146"/>
      <c r="V30" s="545" t="s">
        <v>1020</v>
      </c>
      <c r="W30" s="299">
        <f>IF(C7="PAC",VLOOKUP(B8,Table_PakMods,MATCH(C11,List_Company,0)+1,FALSE),1)</f>
        <v>1</v>
      </c>
      <c r="X30" s="299">
        <f>IF(C7="PAC",VLOOKUP(B8,Table_PakMods,MATCH(C11,List_Company,0)+1,FALSE),1)</f>
        <v>1</v>
      </c>
      <c r="Y30" s="299">
        <f>IF(C7="PAC",VLOOKUP(B8,Table_PakMods,MATCH(C11,List_Company,0)+1,FALSE),1)</f>
        <v>1</v>
      </c>
      <c r="Z30" s="299">
        <f>IF(C7="PAC",VLOOKUP(B8,Table_PakMods,MATCH(C11,List_Company,0)+1,FALSE),1)</f>
        <v>1</v>
      </c>
      <c r="AC30" s="83"/>
      <c r="AD30" s="248"/>
      <c r="AQ30" s="141" t="s">
        <v>182</v>
      </c>
      <c r="AR30" s="8"/>
      <c r="AS30" s="145"/>
      <c r="AT30" s="8"/>
      <c r="AU30" s="26"/>
      <c r="AV30" s="481"/>
    </row>
    <row r="31" spans="1:48" ht="13.5" thickBot="1" x14ac:dyDescent="0.25">
      <c r="A31" s="108" t="s">
        <v>1813</v>
      </c>
      <c r="B31" s="939" t="str">
        <f>IF(B3="B",TC10_BLDG1!C61,IF(B3="PP",TC10_PP1!C57,0))</f>
        <v>NA</v>
      </c>
      <c r="C31" s="570" t="str">
        <f>IF(B3="B",TC10_BLDG1!C59,IF(B3="PP",TC10_PP1!C55,0))</f>
        <v>No</v>
      </c>
      <c r="D31" s="507" t="s">
        <v>1589</v>
      </c>
      <c r="E31" s="948" t="s">
        <v>857</v>
      </c>
      <c r="F31" s="169"/>
      <c r="H31" s="60" t="s">
        <v>2291</v>
      </c>
      <c r="I31" s="1470">
        <f>SUM(I26,I29)</f>
        <v>0</v>
      </c>
      <c r="N31" s="266"/>
      <c r="O31" s="268" t="s">
        <v>180</v>
      </c>
      <c r="P31" s="423">
        <f>1+$AU$25</f>
        <v>1</v>
      </c>
      <c r="Q31" s="423">
        <f>1+$AU$25</f>
        <v>1</v>
      </c>
      <c r="R31" s="423">
        <f>1+$AU$25</f>
        <v>1</v>
      </c>
      <c r="S31" s="423">
        <f>1+$AU$25</f>
        <v>1</v>
      </c>
      <c r="U31" s="542"/>
      <c r="V31" s="724" t="s">
        <v>1022</v>
      </c>
      <c r="W31" s="279">
        <f>1+$AS$14</f>
        <v>1</v>
      </c>
      <c r="X31" s="279">
        <f>1+$AS$14</f>
        <v>1</v>
      </c>
      <c r="Y31" s="279">
        <f>1+$AS$14</f>
        <v>1</v>
      </c>
      <c r="Z31" s="279">
        <f>1+$AS$14</f>
        <v>1</v>
      </c>
      <c r="AJ31" s="266"/>
      <c r="AK31" s="266"/>
      <c r="AL31" s="266"/>
      <c r="AM31" s="558"/>
      <c r="AN31" s="558"/>
      <c r="AO31" s="558"/>
      <c r="AQ31" s="141" t="s">
        <v>1722</v>
      </c>
      <c r="AR31" s="8"/>
      <c r="AS31" s="145"/>
      <c r="AT31" s="8"/>
      <c r="AU31" s="26"/>
      <c r="AV31" s="481"/>
    </row>
    <row r="32" spans="1:48" ht="13.5" thickBot="1" x14ac:dyDescent="0.25">
      <c r="A32" s="108" t="s">
        <v>1825</v>
      </c>
      <c r="B32" s="747"/>
      <c r="C32" s="570" t="str">
        <f>IF(B3="B",TC10_BLDG1!B60,IF(B3="PP",TC10_PP1!B56,0))</f>
        <v>No</v>
      </c>
      <c r="D32" s="499"/>
      <c r="E32" s="146"/>
      <c r="F32" s="481"/>
      <c r="N32" s="146"/>
      <c r="O32" s="545" t="s">
        <v>1020</v>
      </c>
      <c r="P32" s="299">
        <f>IF(C7="PAC",VLOOKUP(B8,Table_PakMods,MATCH(C11,List_Company,0)+1,FALSE),1)</f>
        <v>1</v>
      </c>
      <c r="Q32" s="299">
        <f>IF(C7="PAC",VLOOKUP(B8,Table_PakMods,MATCH(C11,List_Company,0)+1,FALSE),1)</f>
        <v>1</v>
      </c>
      <c r="R32" s="299">
        <f>IF(C7="PAC",VLOOKUP(B8,Table_PakMods,MATCH(C11,List_Company,0)+1,FALSE),1)</f>
        <v>1</v>
      </c>
      <c r="S32" s="299">
        <f>IF(C7="PAC",VLOOKUP(B8,Table_PakMods,MATCH(C11,List_Company,0)+1,FALSE),1)</f>
        <v>1</v>
      </c>
      <c r="V32" s="83" t="s">
        <v>1150</v>
      </c>
      <c r="W32" s="247">
        <f ca="1">ROUND(PRODUCT(W8:W11,IF(AND(C31="Yes",B31="Sprinkler",C33&lt;&gt;1),W12-W13,W12),W14:W17,W19:W31),3)</f>
        <v>0.17100000000000001</v>
      </c>
      <c r="X32" s="247">
        <f ca="1">ROUND(PRODUCT(X8:X12,X14:X17,X19:X31),3)</f>
        <v>5.8999999999999997E-2</v>
      </c>
      <c r="Y32" s="247">
        <f>ROUND(PRODUCT(Y8:Y31),3)</f>
        <v>0.11600000000000001</v>
      </c>
      <c r="Z32" s="247">
        <f>ROUND(PRODUCT(Z8:Z31),3)</f>
        <v>2.9000000000000001E-2</v>
      </c>
      <c r="AJ32" s="60" t="s">
        <v>552</v>
      </c>
      <c r="AL32" s="235" t="s">
        <v>1012</v>
      </c>
      <c r="AM32" s="235" t="s">
        <v>1013</v>
      </c>
      <c r="AN32" s="235" t="s">
        <v>838</v>
      </c>
      <c r="AO32" s="235" t="s">
        <v>837</v>
      </c>
      <c r="AQ32" s="85"/>
      <c r="AR32" s="86"/>
      <c r="AS32" s="86"/>
      <c r="AT32" s="86"/>
      <c r="AU32" s="85"/>
      <c r="AV32" s="196"/>
    </row>
    <row r="33" spans="1:46" ht="13.5" thickBot="1" x14ac:dyDescent="0.25">
      <c r="A33" s="108" t="s">
        <v>1824</v>
      </c>
      <c r="B33" s="748"/>
      <c r="C33" s="570">
        <f>IF(AND(B3="B",TC10_BLDG1!C62="Yes"),TC10_BLDG1!P14,IF(AND(B3="PP",TC10_PP1!C58="Yes"),TC10_PP1!P14,0))</f>
        <v>0</v>
      </c>
      <c r="D33" s="527" t="s">
        <v>1608</v>
      </c>
      <c r="E33" s="422"/>
      <c r="F33" s="967" t="s">
        <v>857</v>
      </c>
      <c r="N33" s="542"/>
      <c r="O33" s="724" t="s">
        <v>1022</v>
      </c>
      <c r="P33" s="279">
        <f>1+$AS$14</f>
        <v>1</v>
      </c>
      <c r="Q33" s="279">
        <f>1+$AS$14</f>
        <v>1</v>
      </c>
      <c r="R33" s="279">
        <f>1+$AS$14</f>
        <v>1</v>
      </c>
      <c r="S33" s="279">
        <f>1+$AS$14</f>
        <v>1</v>
      </c>
      <c r="U33" s="185"/>
      <c r="V33" s="186" t="s">
        <v>1025</v>
      </c>
      <c r="W33" s="238">
        <f>IF(ISNUMBER(F38),F38/100,0)</f>
        <v>0</v>
      </c>
      <c r="X33" s="238">
        <f>IF(ISNUMBER(F38),F38/100,0)</f>
        <v>0</v>
      </c>
      <c r="Y33" s="238">
        <f>IF(ISNUMBER(F38),F38/100,0)</f>
        <v>0</v>
      </c>
      <c r="Z33" s="238">
        <f>IF(ISNUMBER(F38),F38/100,0)</f>
        <v>0</v>
      </c>
      <c r="AJ33" s="146"/>
      <c r="AK33" s="545" t="s">
        <v>1049</v>
      </c>
      <c r="AL33" s="146">
        <f>VLOOKUP(3,Table_Time_Utility,2,FALSE)</f>
        <v>1.0999999999999999E-2</v>
      </c>
      <c r="AM33" s="146">
        <f>VLOOKUP(3,Table_Time_Utility,3,FALSE)</f>
        <v>2.7E-2</v>
      </c>
      <c r="AN33" s="146">
        <f>VLOOKUP(3,Table_Time_Utility,5,FALSE)</f>
        <v>5.2999999999999999E-2</v>
      </c>
      <c r="AO33" s="563">
        <f>VLOOKUP(3,Table_Time_Utility,4,FALSE)</f>
        <v>0.01</v>
      </c>
      <c r="AQ33" s="742"/>
      <c r="AR33" s="686"/>
      <c r="AS33" s="737"/>
      <c r="AT33" s="737"/>
    </row>
    <row r="34" spans="1:46" ht="13.5" thickBot="1" x14ac:dyDescent="0.25">
      <c r="A34" s="122" t="s">
        <v>1469</v>
      </c>
      <c r="B34" s="747"/>
      <c r="C34" s="571" t="str">
        <f>IF(B3="B",TC10_BLDG1!C64,IF(B3="PP",TC10_PP1!C60,0))</f>
        <v>No</v>
      </c>
      <c r="D34" s="539" t="s">
        <v>1609</v>
      </c>
      <c r="E34" s="968" t="s">
        <v>857</v>
      </c>
      <c r="F34" s="169"/>
      <c r="N34" s="385"/>
      <c r="O34" s="685" t="s">
        <v>2236</v>
      </c>
      <c r="P34" s="1314">
        <f>ROUND(PRODUCT(P31:P33),3)</f>
        <v>1</v>
      </c>
      <c r="Q34" s="1314">
        <f>ROUND(PRODUCT(Q31:Q33),3)</f>
        <v>1</v>
      </c>
      <c r="R34" s="1314">
        <f>ROUND(PRODUCT(R31:R33),3)</f>
        <v>1</v>
      </c>
      <c r="S34" s="1314">
        <f>ROUND(PRODUCT(S31:S33),3)</f>
        <v>1</v>
      </c>
      <c r="V34" s="83" t="s">
        <v>977</v>
      </c>
      <c r="W34" s="248">
        <f ca="1">ROUND(PRODUCT(W32:W33),0)</f>
        <v>0</v>
      </c>
      <c r="X34" s="248">
        <f ca="1">ROUND(PRODUCT(X32:X33),0)</f>
        <v>0</v>
      </c>
      <c r="Y34" s="248">
        <f>ROUND(PRODUCT(Y32:Y33),0)</f>
        <v>0</v>
      </c>
      <c r="Z34" s="248">
        <f>ROUND(PRODUCT(Z32:Z33),0)</f>
        <v>0</v>
      </c>
      <c r="AB34" s="1602" t="s">
        <v>388</v>
      </c>
      <c r="AC34" s="1603"/>
      <c r="AD34" s="1603"/>
      <c r="AE34" s="1603"/>
      <c r="AF34" s="1603"/>
      <c r="AG34" s="1603"/>
      <c r="AH34" s="1604"/>
      <c r="AJ34" s="185"/>
      <c r="AK34" s="186" t="s">
        <v>1050</v>
      </c>
      <c r="AL34" s="238">
        <f>F51</f>
        <v>0</v>
      </c>
      <c r="AM34" s="238">
        <f>F51</f>
        <v>0</v>
      </c>
      <c r="AN34" s="238">
        <f>F51</f>
        <v>0</v>
      </c>
      <c r="AO34" s="785">
        <f>F51</f>
        <v>0</v>
      </c>
      <c r="AQ34" s="742"/>
      <c r="AR34" s="686"/>
      <c r="AS34" s="737"/>
      <c r="AT34" s="737"/>
    </row>
    <row r="35" spans="1:46" ht="13.5" thickBot="1" x14ac:dyDescent="0.25">
      <c r="A35" s="526"/>
      <c r="B35" s="96"/>
      <c r="C35" s="516"/>
      <c r="D35" s="91"/>
      <c r="E35" s="195"/>
      <c r="F35" s="101"/>
      <c r="N35" s="542"/>
      <c r="O35" s="1211" t="s">
        <v>2239</v>
      </c>
      <c r="P35" s="757">
        <f ca="1">P30</f>
        <v>0.157</v>
      </c>
      <c r="Q35" s="757">
        <f ca="1">Q30</f>
        <v>3.9E-2</v>
      </c>
      <c r="R35" s="757">
        <f>R30</f>
        <v>0.115</v>
      </c>
      <c r="S35" s="757">
        <f>S30</f>
        <v>2.9000000000000001E-2</v>
      </c>
      <c r="V35" s="83"/>
      <c r="W35" s="248"/>
      <c r="X35" s="248"/>
      <c r="Y35" s="248"/>
      <c r="Z35" s="248"/>
      <c r="AB35" s="266"/>
      <c r="AC35" s="266"/>
      <c r="AD35" s="266"/>
      <c r="AE35" s="266"/>
      <c r="AF35" s="266"/>
      <c r="AG35" s="266"/>
      <c r="AJ35" s="146"/>
      <c r="AK35" s="301" t="s">
        <v>1051</v>
      </c>
      <c r="AL35" s="146">
        <f>ROUND(PRODUCT(AL33:AL34),3)</f>
        <v>0</v>
      </c>
      <c r="AM35" s="146">
        <f>ROUND(PRODUCT(AM33:AM34),3)</f>
        <v>0</v>
      </c>
      <c r="AN35" s="146">
        <f>ROUND(PRODUCT(AN33:AN34),3)</f>
        <v>0</v>
      </c>
      <c r="AO35" s="146">
        <f>ROUND(PRODUCT(AO33:AO34),3)</f>
        <v>0</v>
      </c>
      <c r="AQ35" s="742"/>
      <c r="AR35" s="686"/>
      <c r="AS35" s="737"/>
      <c r="AT35" s="737"/>
    </row>
    <row r="36" spans="1:46" ht="13.5" thickBot="1" x14ac:dyDescent="0.25">
      <c r="D36" s="529" t="s">
        <v>897</v>
      </c>
      <c r="E36" s="217"/>
      <c r="F36" s="218"/>
      <c r="O36" s="83" t="s">
        <v>1421</v>
      </c>
      <c r="P36" s="1315">
        <f ca="1">ROUND(PRODUCT(P34:P35),3)</f>
        <v>0.157</v>
      </c>
      <c r="Q36" s="1315">
        <f ca="1">ROUND(PRODUCT(Q34:Q35),3)</f>
        <v>3.9E-2</v>
      </c>
      <c r="R36" s="1315">
        <f>ROUND(PRODUCT(R34:R35),3)</f>
        <v>0.115</v>
      </c>
      <c r="S36" s="1315">
        <f>ROUND(PRODUCT(S34:S35),3)</f>
        <v>2.9000000000000001E-2</v>
      </c>
      <c r="V36" s="83"/>
      <c r="W36" s="248"/>
      <c r="X36" s="248"/>
      <c r="Y36" s="248"/>
      <c r="Z36" s="248"/>
      <c r="AA36" s="793"/>
      <c r="AB36" s="566" t="s">
        <v>1172</v>
      </c>
      <c r="AC36" s="266"/>
      <c r="AD36" s="266"/>
      <c r="AE36" s="266"/>
      <c r="AF36" s="566"/>
      <c r="AG36" s="266"/>
      <c r="AK36" s="168" t="s">
        <v>971</v>
      </c>
      <c r="AL36" s="207">
        <f>HLOOKUP(C11,Table_StateRates,6,FALSE)</f>
        <v>1.9</v>
      </c>
      <c r="AM36" s="207">
        <f>HLOOKUP(C11,Table_StateRates,6,FALSE)</f>
        <v>1.9</v>
      </c>
      <c r="AN36" s="207">
        <f>HLOOKUP(C11,Table_StateRates,6,FALSE)</f>
        <v>1.9</v>
      </c>
      <c r="AO36" s="207">
        <f>HLOOKUP(C11,Table_StateRates,6,FALSE)</f>
        <v>1.9</v>
      </c>
      <c r="AQ36" s="742"/>
      <c r="AR36" s="686"/>
      <c r="AS36" s="737"/>
      <c r="AT36" s="737"/>
    </row>
    <row r="37" spans="1:46" x14ac:dyDescent="0.2">
      <c r="D37" s="123" t="s">
        <v>964</v>
      </c>
      <c r="E37" s="474"/>
      <c r="F37" s="956" t="s">
        <v>857</v>
      </c>
      <c r="N37" s="185"/>
      <c r="O37" s="186" t="s">
        <v>1025</v>
      </c>
      <c r="P37" s="238">
        <f>IF(ISNUMBER(F4),F4/100,0)</f>
        <v>5000</v>
      </c>
      <c r="Q37" s="238">
        <f>IF(ISNUMBER(F4),F4/100,0)</f>
        <v>5000</v>
      </c>
      <c r="R37" s="238">
        <f>IF(ISNUMBER(F4),F4/100,0)</f>
        <v>5000</v>
      </c>
      <c r="S37" s="238">
        <f>IF(ISNUMBER(F4),F4/100,0)</f>
        <v>5000</v>
      </c>
      <c r="AA37" s="266"/>
      <c r="AB37" s="266"/>
      <c r="AC37" s="486" t="s">
        <v>228</v>
      </c>
      <c r="AD37" s="426">
        <f>IF(C21="Yes",HLOOKUP(B21,Table_Terrorism,3,FALSE),0)</f>
        <v>1.4999999999999999E-2</v>
      </c>
      <c r="AE37" s="266"/>
      <c r="AF37" s="385"/>
      <c r="AG37" s="702"/>
      <c r="AK37" s="168" t="s">
        <v>1019</v>
      </c>
      <c r="AL37" s="207">
        <f>HLOOKUP(C11,Table_StateRates,5,FALSE)</f>
        <v>1.38</v>
      </c>
      <c r="AM37" s="207">
        <f>HLOOKUP(C11,Table_StateRates,5,FALSE)</f>
        <v>1.38</v>
      </c>
      <c r="AN37" s="207">
        <f>HLOOKUP(C11,Table_StateRates,5,FALSE)</f>
        <v>1.38</v>
      </c>
      <c r="AO37" s="207">
        <f>HLOOKUP(C11,Table_StateRates,5,FALSE)</f>
        <v>1.38</v>
      </c>
      <c r="AP37" s="814"/>
      <c r="AQ37" s="742"/>
      <c r="AR37" s="686"/>
      <c r="AS37" s="737"/>
      <c r="AT37" s="737"/>
    </row>
    <row r="38" spans="1:46" x14ac:dyDescent="0.2">
      <c r="D38" s="107" t="s">
        <v>1242</v>
      </c>
      <c r="E38" s="272"/>
      <c r="F38" s="959"/>
      <c r="O38" s="83" t="s">
        <v>977</v>
      </c>
      <c r="P38" s="248">
        <f ca="1">ROUND(PRODUCT(P36:P37),0)</f>
        <v>785</v>
      </c>
      <c r="Q38" s="248">
        <f ca="1">ROUND(PRODUCT(Q36:Q37),0)</f>
        <v>195</v>
      </c>
      <c r="R38" s="248">
        <f>ROUND(PRODUCT(R36:R37),0)</f>
        <v>575</v>
      </c>
      <c r="S38" s="248">
        <f>ROUND(PRODUCT(S36:S37),0)</f>
        <v>145</v>
      </c>
      <c r="W38" s="235" t="s">
        <v>1012</v>
      </c>
      <c r="X38" s="235" t="s">
        <v>1013</v>
      </c>
      <c r="Y38" s="235" t="s">
        <v>838</v>
      </c>
      <c r="Z38" s="235" t="s">
        <v>837</v>
      </c>
      <c r="AA38" s="266"/>
      <c r="AB38" s="209"/>
      <c r="AC38" s="280" t="s">
        <v>1176</v>
      </c>
      <c r="AD38" s="212">
        <v>1</v>
      </c>
      <c r="AE38" s="385"/>
      <c r="AF38" s="385"/>
      <c r="AG38" s="702"/>
      <c r="AK38" s="168" t="s">
        <v>180</v>
      </c>
      <c r="AL38" s="207">
        <v>1</v>
      </c>
      <c r="AM38" s="207">
        <v>1</v>
      </c>
      <c r="AN38" s="207">
        <v>1</v>
      </c>
      <c r="AO38" s="207">
        <v>1</v>
      </c>
      <c r="AP38" s="266"/>
    </row>
    <row r="39" spans="1:46" x14ac:dyDescent="0.2">
      <c r="D39" s="108" t="s">
        <v>904</v>
      </c>
      <c r="E39" s="319" t="str">
        <f>IF(ISBLANK(F39),"",VLOOKUP(F39,Table_G1_LC,2,FALSE))</f>
        <v/>
      </c>
      <c r="F39" s="942"/>
      <c r="U39" s="60" t="s">
        <v>1053</v>
      </c>
      <c r="AA39" s="558"/>
      <c r="AB39" s="266"/>
      <c r="AC39" s="486" t="s">
        <v>1177</v>
      </c>
      <c r="AD39" s="423">
        <f>IF(C22="Yes",VLOOKUP(B21,Table_TerrorNBC,2,FALSE),1)</f>
        <v>1</v>
      </c>
      <c r="AE39" s="423"/>
      <c r="AF39" s="385"/>
      <c r="AG39" s="702"/>
      <c r="AJ39" s="146"/>
      <c r="AK39" s="545" t="s">
        <v>1020</v>
      </c>
      <c r="AL39" s="299">
        <f>IF(C7="PAC",VLOOKUP(B8,Table_PakMods,MATCH(C11,List_Company,0)+1,FALSE),1)</f>
        <v>1</v>
      </c>
      <c r="AM39" s="299">
        <f>IF(C7="PAC",VLOOKUP(B8,Table_PakMods,MATCH(C11,List_Company,0)+1,FALSE),1)</f>
        <v>1</v>
      </c>
      <c r="AN39" s="299">
        <f>IF(C7="PAC",VLOOKUP(B8,Table_PakMods,MATCH(C11,List_Company,0)+1,FALSE),1)</f>
        <v>1</v>
      </c>
      <c r="AO39" s="299">
        <f>IF(C7="PAC",VLOOKUP(B8,Table_PakMods,MATCH(C11,List_Company,0)+1,FALSE),1)</f>
        <v>1</v>
      </c>
      <c r="AP39" s="266"/>
    </row>
    <row r="40" spans="1:46" x14ac:dyDescent="0.2">
      <c r="D40" s="482" t="str">
        <f>IF(F39="1190","Special Form Class Only - Choose Again",IF(F39="1180","Enter Prior/Intended Occ. Class Code Below",""))</f>
        <v/>
      </c>
      <c r="E40" s="273"/>
      <c r="F40" s="274"/>
      <c r="V40" s="168" t="s">
        <v>1175</v>
      </c>
      <c r="W40" s="247">
        <f ca="1">P36</f>
        <v>0.157</v>
      </c>
      <c r="X40" s="247">
        <f ca="1">Q36</f>
        <v>3.9E-2</v>
      </c>
      <c r="Y40" s="247">
        <f>R36</f>
        <v>0.115</v>
      </c>
      <c r="Z40" s="247">
        <f>S36</f>
        <v>2.9000000000000001E-2</v>
      </c>
      <c r="AA40" s="559"/>
      <c r="AB40" s="266"/>
      <c r="AC40" s="486" t="s">
        <v>971</v>
      </c>
      <c r="AD40" s="423">
        <f>HLOOKUP(C11,Table_StateRates,6,FALSE)</f>
        <v>1.9</v>
      </c>
      <c r="AE40" s="559"/>
      <c r="AF40" s="559"/>
      <c r="AG40" s="877"/>
      <c r="AJ40" s="542"/>
      <c r="AK40" s="724" t="s">
        <v>1022</v>
      </c>
      <c r="AL40" s="279">
        <v>1</v>
      </c>
      <c r="AM40" s="279">
        <v>1</v>
      </c>
      <c r="AN40" s="279">
        <v>1</v>
      </c>
      <c r="AO40" s="279">
        <v>1</v>
      </c>
      <c r="AP40" s="558"/>
    </row>
    <row r="41" spans="1:46" x14ac:dyDescent="0.2">
      <c r="D41" s="108" t="s">
        <v>960</v>
      </c>
      <c r="E41" s="160"/>
      <c r="F41" s="942"/>
      <c r="U41" s="185"/>
      <c r="V41" s="186" t="s">
        <v>108</v>
      </c>
      <c r="W41" s="208">
        <f>DF_Time_Law</f>
        <v>1.2</v>
      </c>
      <c r="X41" s="208">
        <f>DF_Time_Law</f>
        <v>1.2</v>
      </c>
      <c r="Y41" s="208">
        <f>DF_Time_Law</f>
        <v>1.2</v>
      </c>
      <c r="Z41" s="208">
        <f>DF_Time_Law</f>
        <v>1.2</v>
      </c>
      <c r="AA41" s="559"/>
      <c r="AB41" s="542"/>
      <c r="AC41" s="597" t="s">
        <v>1019</v>
      </c>
      <c r="AD41" s="279">
        <f>HLOOKUP(C11,Table_StateRates,5,FALSE)</f>
        <v>1.38</v>
      </c>
      <c r="AE41" s="426"/>
      <c r="AF41" s="559"/>
      <c r="AG41" s="899"/>
      <c r="AK41" s="83" t="s">
        <v>1150</v>
      </c>
      <c r="AL41" s="2">
        <f>ROUND(PRODUCT(AL35:AL40),3)</f>
        <v>0</v>
      </c>
      <c r="AM41" s="2">
        <f>ROUND(PRODUCT(AM35:AM40),3)</f>
        <v>0</v>
      </c>
      <c r="AN41" s="2">
        <f>ROUND(PRODUCT(AN35:AN40),3)</f>
        <v>0</v>
      </c>
      <c r="AO41" s="2">
        <f>ROUND(PRODUCT(AO35:AO40),3)</f>
        <v>0</v>
      </c>
      <c r="AP41" s="559"/>
    </row>
    <row r="42" spans="1:46" ht="13.5" customHeight="1" x14ac:dyDescent="0.2">
      <c r="D42" s="191" t="s">
        <v>1065</v>
      </c>
      <c r="E42" s="456">
        <f>IF(ISBLANK(F41),0,IF(ISERROR(VLOOKUP(F41,List_VacantClasses,1,FALSE)),VLOOKUP(F41,Table_G1_LC,MATCH(C15&amp;"B",List_ClassLC,0)+2),0))</f>
        <v>0</v>
      </c>
      <c r="F42" s="213"/>
      <c r="N42" s="60" t="s">
        <v>554</v>
      </c>
      <c r="Q42" s="60" t="s">
        <v>557</v>
      </c>
      <c r="V42" s="83" t="s">
        <v>109</v>
      </c>
      <c r="W42" s="247">
        <f ca="1">ROUND(PRODUCT(W40:W41),3)</f>
        <v>0.188</v>
      </c>
      <c r="X42" s="247">
        <f ca="1">ROUND(PRODUCT(X40:X41),3)</f>
        <v>4.7E-2</v>
      </c>
      <c r="Y42" s="247">
        <f>ROUND(PRODUCT(Y40:Y41),3)</f>
        <v>0.13800000000000001</v>
      </c>
      <c r="Z42" s="247">
        <f>ROUND(PRODUCT(Z40:Z41),3)</f>
        <v>3.5000000000000003E-2</v>
      </c>
      <c r="AA42" s="558"/>
      <c r="AB42" s="385"/>
      <c r="AC42" s="685" t="s">
        <v>1134</v>
      </c>
      <c r="AD42" s="558">
        <f>ROUND(PRODUCT(AD37:AD41),3)</f>
        <v>3.9E-2</v>
      </c>
      <c r="AE42" s="385"/>
      <c r="AF42" s="559"/>
      <c r="AG42" s="877"/>
      <c r="AJ42" s="185"/>
      <c r="AK42" s="186" t="s">
        <v>1025</v>
      </c>
      <c r="AL42" s="238">
        <f>IF(ISNUMBER(E47),E47/100,0)</f>
        <v>0</v>
      </c>
      <c r="AM42" s="238">
        <f>IF(ISNUMBER(E47),E47/100,0)</f>
        <v>0</v>
      </c>
      <c r="AN42" s="238">
        <f>IF(ISNUMBER(E47),E47/100,0)</f>
        <v>0</v>
      </c>
      <c r="AO42" s="238">
        <f>IF(ISNUMBER(E47),E47/100,0)</f>
        <v>0</v>
      </c>
      <c r="AP42" s="559"/>
    </row>
    <row r="43" spans="1:46" ht="12.75" customHeight="1" thickBot="1" x14ac:dyDescent="0.25">
      <c r="D43" s="91"/>
      <c r="E43" s="195"/>
      <c r="F43" s="101"/>
      <c r="N43" s="2" t="s">
        <v>555</v>
      </c>
      <c r="Q43" s="834">
        <f>IF(OR(C31&lt;&gt;"Yes",AND(C31="Yes",B31&lt;&gt;"Sprinkler")),0,2)</f>
        <v>0</v>
      </c>
      <c r="R43" s="2" t="s">
        <v>558</v>
      </c>
      <c r="AA43" s="558"/>
      <c r="AB43" s="385"/>
      <c r="AC43" s="702" t="s">
        <v>1178</v>
      </c>
      <c r="AD43" s="559">
        <f>IF(OR(C27="S",C27="T"),1,VLOOKUP(C14,Table_ProtClass,IF(C15&lt;=3,2,3),FALSE))</f>
        <v>0.96</v>
      </c>
      <c r="AE43" s="266"/>
      <c r="AF43" s="266"/>
      <c r="AG43" s="266"/>
      <c r="AK43" s="83" t="s">
        <v>1647</v>
      </c>
      <c r="AL43" s="248">
        <f>ROUND(PRODUCT(AL41:AL42),0)</f>
        <v>0</v>
      </c>
      <c r="AM43" s="248">
        <f>ROUND(PRODUCT(AM41:AM42),0)</f>
        <v>0</v>
      </c>
      <c r="AN43" s="248">
        <f>ROUND(PRODUCT(AN41:AN42),0)</f>
        <v>0</v>
      </c>
      <c r="AO43" s="248">
        <f>ROUND(PRODUCT(AO41:AO42),0)</f>
        <v>0</v>
      </c>
      <c r="AP43" s="558"/>
    </row>
    <row r="44" spans="1:46" x14ac:dyDescent="0.2">
      <c r="D44" s="905" t="s">
        <v>1607</v>
      </c>
      <c r="E44" s="902"/>
      <c r="F44" s="969" t="s">
        <v>857</v>
      </c>
      <c r="N44" s="834">
        <f>IF(OR(C27="S",C27="T"),0,2)</f>
        <v>2</v>
      </c>
      <c r="O44" s="2" t="s">
        <v>556</v>
      </c>
      <c r="Q44" s="834">
        <f>IF(OR(C27="S",C27="T"),0,4)</f>
        <v>4</v>
      </c>
      <c r="R44" s="2" t="s">
        <v>556</v>
      </c>
      <c r="V44" s="568" t="s">
        <v>110</v>
      </c>
      <c r="W44" s="893">
        <f ca="1">IF(J12="SP",SUM(W42:Y42),IF(J12="BR",SUM(W42:X42,Z42),SUM(W42:X42)))</f>
        <v>0.23499999999999999</v>
      </c>
      <c r="AA44" s="558"/>
      <c r="AB44" s="542"/>
      <c r="AC44" s="597" t="s">
        <v>229</v>
      </c>
      <c r="AD44" s="279">
        <f>IF(OR(ISBLANK(F7),F7="None"),1,IF(E8="Yes",F14,VLOOKUP(F7,IF(F5="Yes",Table_BI_CoIns_EE,Table_BI_CoIns),F8+1,FALSE)+P18))</f>
        <v>0.54</v>
      </c>
      <c r="AE44" s="558"/>
      <c r="AF44" s="558"/>
      <c r="AG44" s="558"/>
      <c r="AP44" s="558"/>
    </row>
    <row r="45" spans="1:46" ht="13.5" thickBot="1" x14ac:dyDescent="0.25">
      <c r="D45" s="528"/>
      <c r="E45" s="750"/>
      <c r="F45" s="901"/>
      <c r="N45" s="917">
        <f>IF(OR(C27="S",C27="T"),0,4)</f>
        <v>4</v>
      </c>
      <c r="O45" s="185" t="s">
        <v>1161</v>
      </c>
      <c r="Q45" s="917">
        <f>IF(OR(C27="S",C27="T"),0,5)</f>
        <v>5</v>
      </c>
      <c r="R45" s="185" t="s">
        <v>1161</v>
      </c>
      <c r="AA45" s="575"/>
      <c r="AB45" s="423"/>
      <c r="AC45" s="810" t="s">
        <v>1150</v>
      </c>
      <c r="AD45" s="426">
        <f>ROUND(PRODUCT(AD42:AD44),3)</f>
        <v>0.02</v>
      </c>
      <c r="AE45" s="559"/>
      <c r="AF45" s="559"/>
      <c r="AG45" s="559"/>
      <c r="AK45" s="685" t="s">
        <v>549</v>
      </c>
      <c r="AL45" s="907">
        <f>IF(E52="Yes",IF(C12="SP",SUM(AL43:AN43),IF(C12="BR",SUM(AL43:AM43,AO43),SUM(AL43:AM43))),0)</f>
        <v>0</v>
      </c>
      <c r="AP45" s="558"/>
    </row>
    <row r="46" spans="1:46" x14ac:dyDescent="0.2">
      <c r="D46" s="123" t="s">
        <v>1470</v>
      </c>
      <c r="E46" s="474"/>
      <c r="F46" s="956" t="s">
        <v>857</v>
      </c>
      <c r="N46" s="834">
        <f>SUM(N44:N45)</f>
        <v>6</v>
      </c>
      <c r="O46" s="53" t="str">
        <f>"Subtract from the " &amp; IF(OR(N46=6,N46=2),"Terr Mult",IF(N46=4,"Prot Class","Loss Cost"))</f>
        <v>Subtract from the Terr Mult</v>
      </c>
      <c r="Q46" s="834">
        <f>SUM(Q43:Q45)</f>
        <v>9</v>
      </c>
      <c r="R46" s="53" t="str">
        <f>"Subtract from the " &amp; IF(OR(Q46=2,Q46=6,Q46=7,Q46=11),"Sprk Lkg",IF(OR(Q46=4,Q46=9),"Terr Mult",IF(Q46=5,"Prot Class","Loss Cost")))</f>
        <v>Subtract from the Terr Mult</v>
      </c>
      <c r="V46" s="545" t="s">
        <v>184</v>
      </c>
      <c r="W46" s="248">
        <f>F4/100</f>
        <v>5000</v>
      </c>
      <c r="AA46" s="575"/>
      <c r="AB46" s="279"/>
      <c r="AC46" s="809" t="s">
        <v>1174</v>
      </c>
      <c r="AD46" s="487">
        <f>IF(F3="Yes",F4/100,0)</f>
        <v>0</v>
      </c>
      <c r="AE46" s="559"/>
      <c r="AF46" s="559"/>
      <c r="AG46" s="559"/>
      <c r="AP46" s="575"/>
    </row>
    <row r="47" spans="1:46" ht="13.5" thickBot="1" x14ac:dyDescent="0.25">
      <c r="D47" s="677" t="s">
        <v>1646</v>
      </c>
      <c r="E47" s="950"/>
      <c r="F47" s="446"/>
      <c r="N47" s="146"/>
      <c r="U47" s="185"/>
      <c r="V47" s="186" t="s">
        <v>111</v>
      </c>
      <c r="W47" s="455">
        <f>IF(F44="Yes",W44,0)</f>
        <v>0</v>
      </c>
      <c r="AA47" s="266"/>
      <c r="AB47" s="426"/>
      <c r="AC47" s="811" t="s">
        <v>1173</v>
      </c>
      <c r="AD47" s="812">
        <f>ROUND(PRODUCT(AD45:AD46),0)</f>
        <v>0</v>
      </c>
      <c r="AE47" s="558"/>
      <c r="AF47" s="558"/>
      <c r="AG47" s="558"/>
      <c r="AP47" s="575"/>
    </row>
    <row r="48" spans="1:46" ht="13.5" thickBot="1" x14ac:dyDescent="0.25">
      <c r="D48" s="518" t="s">
        <v>317</v>
      </c>
      <c r="E48" s="948" t="s">
        <v>857</v>
      </c>
      <c r="F48" s="891">
        <f>COUNTIF(E48:E49,"Yes")</f>
        <v>0</v>
      </c>
      <c r="N48" s="479" t="str">
        <f>IF(OR(N46=6,N46=2),"TM",IF(N46=4,"PC","LC"))</f>
        <v>TM</v>
      </c>
      <c r="O48" s="919" t="s">
        <v>559</v>
      </c>
      <c r="Q48" s="479" t="str">
        <f>IF(AND(B31="Sprinkler",OR(Q46=2,Q46=6,Q46=7,Q46=11)),"SL",IF(AND(OR(B31="NA",ISNUMBER(B31)),OR(Q46=4,Q46=9)),"TM",IF(AND(OR(B31="NA",ISNUMBER(B31)),Q46=5),"PC","LC")))</f>
        <v>TM</v>
      </c>
      <c r="V48" s="83" t="s">
        <v>1514</v>
      </c>
      <c r="W48" s="248">
        <f>ROUND(PRODUCT(W46:W47),0)</f>
        <v>0</v>
      </c>
      <c r="AA48" s="266"/>
      <c r="AJ48" s="916" t="s">
        <v>553</v>
      </c>
      <c r="AL48" s="734">
        <f>SUM(AL15,AL29,AL45)</f>
        <v>0</v>
      </c>
      <c r="AP48" s="266"/>
    </row>
    <row r="49" spans="4:42" x14ac:dyDescent="0.2">
      <c r="D49" s="518" t="s">
        <v>315</v>
      </c>
      <c r="E49" s="948" t="s">
        <v>857</v>
      </c>
      <c r="F49" s="891"/>
      <c r="V49" s="83"/>
      <c r="W49" s="248"/>
      <c r="AP49" s="266"/>
    </row>
    <row r="50" spans="4:42" x14ac:dyDescent="0.2">
      <c r="D50" s="518" t="s">
        <v>316</v>
      </c>
      <c r="E50" s="948" t="s">
        <v>857</v>
      </c>
      <c r="F50" s="891"/>
      <c r="U50" s="60" t="s">
        <v>1518</v>
      </c>
      <c r="V50" s="83"/>
      <c r="W50" s="248"/>
    </row>
    <row r="51" spans="4:42" x14ac:dyDescent="0.2">
      <c r="D51" s="518" t="s">
        <v>1574</v>
      </c>
      <c r="E51" s="948" t="s">
        <v>857</v>
      </c>
      <c r="F51" s="891">
        <f>COUNTIF(E51:E52,"Yes")</f>
        <v>0</v>
      </c>
      <c r="G51" s="8"/>
      <c r="V51" s="189" t="s">
        <v>1519</v>
      </c>
      <c r="W51" s="248">
        <f ca="1">P38</f>
        <v>785</v>
      </c>
    </row>
    <row r="52" spans="4:42" x14ac:dyDescent="0.2">
      <c r="D52" s="518" t="s">
        <v>1575</v>
      </c>
      <c r="E52" s="948" t="s">
        <v>857</v>
      </c>
      <c r="F52" s="891"/>
      <c r="G52" s="146"/>
      <c r="V52" s="189" t="s">
        <v>1520</v>
      </c>
      <c r="W52" s="248">
        <f ca="1">Q38</f>
        <v>195</v>
      </c>
    </row>
    <row r="53" spans="4:42" ht="13.5" thickBot="1" x14ac:dyDescent="0.25">
      <c r="D53" s="91"/>
      <c r="E53" s="195"/>
      <c r="F53" s="101"/>
      <c r="V53" s="189" t="s">
        <v>1521</v>
      </c>
      <c r="W53" s="248">
        <f>IF(C12="SP",R38,0)</f>
        <v>575</v>
      </c>
    </row>
    <row r="54" spans="4:42" x14ac:dyDescent="0.2">
      <c r="D54" s="980" t="s">
        <v>662</v>
      </c>
      <c r="E54" s="474"/>
      <c r="F54" s="956" t="s">
        <v>857</v>
      </c>
      <c r="U54" s="185"/>
      <c r="V54" s="477" t="s">
        <v>1522</v>
      </c>
      <c r="W54" s="238">
        <f>IF(C12="BR",S38,0)</f>
        <v>0</v>
      </c>
    </row>
    <row r="55" spans="4:42" x14ac:dyDescent="0.2">
      <c r="D55" s="473" t="s">
        <v>1766</v>
      </c>
      <c r="E55" s="216"/>
      <c r="F55" s="763">
        <f>IF(F54="No",0,F4)</f>
        <v>0</v>
      </c>
      <c r="V55" s="83" t="s">
        <v>1523</v>
      </c>
      <c r="W55" s="248">
        <f ca="1">SUM(W51:W54)</f>
        <v>1555</v>
      </c>
      <c r="AB55" s="793"/>
      <c r="AC55" s="793"/>
      <c r="AD55" s="793"/>
      <c r="AE55" s="793"/>
      <c r="AF55" s="793"/>
      <c r="AG55" s="793"/>
      <c r="AH55" s="793"/>
      <c r="AI55" s="793"/>
    </row>
    <row r="56" spans="4:42" x14ac:dyDescent="0.2">
      <c r="D56" s="669" t="s">
        <v>1833</v>
      </c>
      <c r="E56" s="216"/>
      <c r="F56" s="954" t="s">
        <v>833</v>
      </c>
      <c r="V56" s="83"/>
      <c r="W56" s="248"/>
      <c r="AB56" s="266"/>
      <c r="AC56" s="266"/>
      <c r="AD56" s="266"/>
      <c r="AE56" s="266"/>
      <c r="AF56" s="266"/>
      <c r="AG56" s="266"/>
      <c r="AH56" s="266"/>
      <c r="AI56" s="266"/>
    </row>
    <row r="57" spans="4:42" x14ac:dyDescent="0.2">
      <c r="D57" s="507" t="s">
        <v>677</v>
      </c>
      <c r="E57" s="947" t="s">
        <v>459</v>
      </c>
      <c r="F57" s="772" t="str">
        <f>IF(F56="Yes","B","")</f>
        <v>B</v>
      </c>
      <c r="U57" s="82" t="s">
        <v>1515</v>
      </c>
      <c r="V57" s="60"/>
      <c r="W57" s="83"/>
      <c r="AB57" s="266"/>
      <c r="AC57" s="266"/>
      <c r="AD57" s="266"/>
      <c r="AE57" s="266"/>
      <c r="AF57" s="266"/>
      <c r="AG57" s="266"/>
      <c r="AH57" s="266"/>
      <c r="AI57" s="266"/>
    </row>
    <row r="58" spans="4:42" x14ac:dyDescent="0.2">
      <c r="D58" s="507" t="s">
        <v>1748</v>
      </c>
      <c r="E58" s="947">
        <v>25</v>
      </c>
      <c r="F58" s="771" t="str">
        <f>IF(F56="Yes",E58&amp;"_"&amp;E57,"")</f>
        <v>25_5A</v>
      </c>
      <c r="V58" s="168" t="s">
        <v>1165</v>
      </c>
      <c r="W58" s="248">
        <f>W48</f>
        <v>0</v>
      </c>
      <c r="AB58" s="558"/>
      <c r="AC58" s="558"/>
      <c r="AD58" s="558"/>
      <c r="AE58" s="558"/>
      <c r="AF58" s="558"/>
      <c r="AG58" s="558"/>
      <c r="AH58" s="558"/>
      <c r="AI58" s="558"/>
    </row>
    <row r="59" spans="4:42" x14ac:dyDescent="0.2">
      <c r="D59" s="669" t="s">
        <v>1834</v>
      </c>
      <c r="E59" s="261"/>
      <c r="F59" s="954" t="s">
        <v>857</v>
      </c>
      <c r="U59" s="185"/>
      <c r="V59" s="187" t="s">
        <v>1524</v>
      </c>
      <c r="W59" s="238">
        <f ca="1">W55</f>
        <v>1555</v>
      </c>
      <c r="AB59" s="559"/>
      <c r="AC59" s="559"/>
      <c r="AD59" s="559"/>
      <c r="AE59" s="559"/>
      <c r="AF59" s="559"/>
      <c r="AG59" s="559"/>
      <c r="AH59" s="559"/>
      <c r="AI59" s="559"/>
    </row>
    <row r="60" spans="4:42" x14ac:dyDescent="0.2">
      <c r="D60" s="669" t="s">
        <v>1835</v>
      </c>
      <c r="E60" s="261"/>
      <c r="F60" s="954" t="s">
        <v>857</v>
      </c>
      <c r="V60" s="83" t="s">
        <v>1517</v>
      </c>
      <c r="W60" s="260">
        <f ca="1">W58-W59</f>
        <v>-1555</v>
      </c>
      <c r="AB60" s="559"/>
      <c r="AC60" s="559"/>
      <c r="AD60" s="559"/>
      <c r="AE60" s="559"/>
      <c r="AF60" s="559"/>
      <c r="AG60" s="559"/>
      <c r="AH60" s="559"/>
      <c r="AI60" s="559"/>
    </row>
    <row r="61" spans="4:42" x14ac:dyDescent="0.2">
      <c r="D61" s="507" t="s">
        <v>1836</v>
      </c>
      <c r="E61" s="947"/>
      <c r="F61" s="293"/>
      <c r="AB61" s="558"/>
      <c r="AC61" s="558"/>
      <c r="AD61" s="558"/>
      <c r="AE61" s="558"/>
      <c r="AF61" s="558"/>
      <c r="AG61" s="558"/>
      <c r="AH61" s="558"/>
      <c r="AI61" s="558"/>
    </row>
    <row r="62" spans="4:42" x14ac:dyDescent="0.2">
      <c r="D62" s="762"/>
      <c r="E62" s="774"/>
      <c r="F62" s="773"/>
      <c r="AB62" s="558"/>
      <c r="AC62" s="558"/>
      <c r="AD62" s="558"/>
      <c r="AE62" s="558"/>
      <c r="AF62" s="558"/>
      <c r="AG62" s="558"/>
      <c r="AH62" s="558"/>
      <c r="AI62" s="558"/>
    </row>
    <row r="63" spans="4:42" x14ac:dyDescent="0.2">
      <c r="D63" s="669" t="s">
        <v>1234</v>
      </c>
      <c r="E63" s="261"/>
      <c r="F63" s="954" t="s">
        <v>857</v>
      </c>
      <c r="AB63" s="558"/>
      <c r="AC63" s="558"/>
      <c r="AD63" s="558"/>
      <c r="AE63" s="558"/>
      <c r="AF63" s="558"/>
      <c r="AG63" s="558"/>
      <c r="AH63" s="558"/>
      <c r="AI63" s="558"/>
    </row>
    <row r="64" spans="4:42" x14ac:dyDescent="0.2">
      <c r="D64" s="507" t="s">
        <v>1235</v>
      </c>
      <c r="E64" s="947"/>
      <c r="F64" s="293"/>
      <c r="AB64" s="575"/>
      <c r="AC64" s="575"/>
      <c r="AD64" s="575"/>
      <c r="AE64" s="575"/>
      <c r="AF64" s="575"/>
      <c r="AG64" s="575"/>
      <c r="AH64" s="575"/>
      <c r="AI64" s="575"/>
    </row>
    <row r="65" spans="4:35" ht="13.5" thickBot="1" x14ac:dyDescent="0.25">
      <c r="D65" s="514"/>
      <c r="E65" s="515"/>
      <c r="F65" s="516"/>
      <c r="AB65" s="575"/>
      <c r="AC65" s="575"/>
      <c r="AD65" s="575"/>
      <c r="AE65" s="575"/>
      <c r="AF65" s="575"/>
      <c r="AG65" s="575"/>
      <c r="AH65" s="575"/>
      <c r="AI65" s="575"/>
    </row>
    <row r="66" spans="4:35" x14ac:dyDescent="0.2">
      <c r="AB66" s="266"/>
      <c r="AC66" s="266"/>
      <c r="AD66" s="266"/>
      <c r="AE66" s="266"/>
      <c r="AF66" s="266"/>
      <c r="AG66" s="266"/>
      <c r="AH66" s="266"/>
      <c r="AI66" s="266"/>
    </row>
    <row r="67" spans="4:35" x14ac:dyDescent="0.2">
      <c r="AB67" s="266"/>
      <c r="AC67" s="266"/>
      <c r="AD67" s="266"/>
      <c r="AE67" s="266"/>
      <c r="AF67" s="266"/>
      <c r="AG67" s="266"/>
      <c r="AH67" s="266"/>
      <c r="AI67" s="266"/>
    </row>
  </sheetData>
  <mergeCells count="5">
    <mergeCell ref="H1:L1"/>
    <mergeCell ref="AB1:AH1"/>
    <mergeCell ref="AQ1:AS1"/>
    <mergeCell ref="AU25:AV25"/>
    <mergeCell ref="AB34:AH34"/>
  </mergeCells>
  <conditionalFormatting sqref="B24">
    <cfRule type="expression" dxfId="16" priority="2" stopIfTrue="1">
      <formula>IF($C$24="Yes",FALSE,TRUE)</formula>
    </cfRule>
  </conditionalFormatting>
  <conditionalFormatting sqref="A18">
    <cfRule type="expression" dxfId="15" priority="1">
      <formula>IF($C$12="SP",TRUE,FALSE)</formula>
    </cfRule>
  </conditionalFormatting>
  <dataValidations count="77"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E58">
      <formula1>OFFSET(Table_EQ_Tiers,0,0,,1)</formula1>
    </dataValidation>
    <dataValidation type="custom" allowBlank="1" showInputMessage="1" showErrorMessage="1" prompt="EQ Table Lookup Value" sqref="F58">
      <formula1>FALSE</formula1>
    </dataValidation>
    <dataValidation type="custom" allowBlank="1" showInputMessage="1" showErrorMessage="1" prompt="EQ Sprinkler Leakage Extension Factor Lookup value." sqref="F57">
      <formula1>FALSE</formula1>
    </dataValidation>
    <dataValidation type="custom" allowBlank="1" showInputMessage="1" showErrorMessage="1" promptTitle="OH Lines Utility Svc Multiplier" prompt="Displays the multiplier for the Overhead Power Trans &amp; Comm Lines premium calculations." sqref="F51">
      <formula1>FALSE</formula1>
    </dataValidation>
    <dataValidation type="custom" allowBlank="1" showInputMessage="1" showErrorMessage="1" promptTitle="P&amp;W Utility Svc Multiplier" prompt="Displays the multiplier for Power &amp; Water Supply premium calculations." sqref="F48">
      <formula1>FALSE</formula1>
    </dataValidation>
    <dataValidation type="list" allowBlank="1" showInputMessage="1" showErrorMessage="1" promptTitle="OH Power Transmission Lines" prompt="Please Select:_x000a_{ Yes or No }" sqref="E51">
      <formula1>IF($F$46="Yes",List_YN, List_No)</formula1>
    </dataValidation>
    <dataValidation type="list" allowBlank="1" showInputMessage="1" showErrorMessage="1" promptTitle="Ovhd Communication Lines" prompt="Please Select:_x000a_{ Yes or No }" sqref="E52">
      <formula1>IF($F$46="Yes",List_YN, List_No)</formula1>
    </dataValidation>
    <dataValidation type="list" allowBlank="1" showInputMessage="1" showErrorMessage="1" promptTitle="Communications Supply" prompt="Please Select:_x000a_{ Yes or No }" sqref="E50">
      <formula1>IF($F$46="Yes",List_YN, List_No)</formula1>
    </dataValidation>
    <dataValidation type="list" allowBlank="1" showInputMessage="1" showErrorMessage="1" promptTitle="Power &amp; Water Supply" prompt="Please Select:_x000a_{ Yes or No }" sqref="E48:E49">
      <formula1>IF($F$46="Yes",List_YN, List_No)</formula1>
    </dataValidation>
    <dataValidation type="list" allowBlank="1" showInputMessage="1" showErrorMessage="1" errorTitle="Coverage Not Available" error="Extra Expense coverage has already been applied to this policy." promptTitle="Please Select:" prompt="Yes = Apply Coverage_x000a_No  = Do Not Apply_x000a__x000a_* Note: If you have EE has an optional coverage already applied to policy, you cannot include EE on BI." sqref="F3">
      <formula1>List_YN</formula1>
    </dataValidation>
    <dataValidation type="custom" allowBlank="1" showInputMessage="1" showErrorMessage="1" promptTitle="BI Availability Indicator:" prompt="EE - indicates that Extra Expense Coverage has already been applied to policy._x000a__x000a_Available - indicates that BI is still available to be added to the policy." sqref="E3">
      <formula1>FALSE</formula1>
    </dataValidation>
    <dataValidation type="custom" allowBlank="1" showInputMessage="1" showErrorMessage="1" promptTitle="BI &quot;Special&quot; Col. Reference" prompt="Checks to see if Extra Expense is included within the rating for Business Income.  If so it will give the column reference for &quot;All Other&quot;." sqref="E4">
      <formula1>FALSE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custom" allowBlank="1" showInputMessage="1" showErrorMessage="1" prompt="Relates to Special Form Reference" sqref="B15">
      <formula1>FALSE</formula1>
    </dataValidation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custom" allowBlank="1" showInputMessage="1" showErrorMessage="1" promptTitle="Exclusion Options" prompt="KY does not have exclusion options." sqref="B23">
      <formula1>FALSE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IF($E$8="No",List_No,List_BI_OccType)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IF($E$8="Yes",List_No,List_BI_OccType)</formula1>
    </dataValidation>
    <dataValidation type="list" allowBlank="1" showInputMessage="1" showErrorMessage="1" promptTitle="Include Extra Expense Coverage" prompt="Please Select:_x000a_Yes or No" sqref="F5">
      <formula1>IF($E$3="Available",List_YN,List_No)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IF(OR($F$17="Yes"),List_No,List_YN)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IF($F$15="Yes",OFFSET(Table_BI_IndDays,0,0,,1),List_No)</formula1>
    </dataValidation>
    <dataValidation type="list" allowBlank="1" showInputMessage="1" showErrorMessage="1" promptTitle="Apply Monthly Limitation?" prompt="Please Select:_x000a_Yes or No" sqref="F18">
      <formula1>IF(ISNUMBER($F$7),List_No,List_YN)</formula1>
    </dataValidation>
    <dataValidation type="list" allowBlank="1" showInputMessage="1" showErrorMessage="1" promptTitle="Monthly Limitation Period:" prompt="Please Select:_x000a_3rd - 1/3_x000a_4th - 1/4_x000a_6th - 1/6" sqref="E19">
      <formula1>IF($F$18&lt;&gt;"Yes",List_No,List_MosLimit)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4">
      <formula1>IF($F$33="Yes", OFFSET(Table_BI_Wait,0,0,,1),List_No)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3">
      <formula1>List_YN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31">
      <formula1>IF($F$30="Yes",List_BI_Mining,List_No)</formula1>
    </dataValidation>
    <dataValidation type="list" allowBlank="1" showInputMessage="1" showErrorMessage="1" promptTitle="Extension Period" prompt="Please Select:_x000a_1 - 180 Days_x000a_2 - No Limit" sqref="E23">
      <formula1>IF($F$22="Yes",OFFSET(Table_BI_EMR,0,0,,1),List_No)</formula1>
    </dataValidation>
    <dataValidation type="list" allowBlank="1" showInputMessage="1" showErrorMessage="1" promptTitle="Apply Electronic Media &amp; Recs?" prompt="Please Select:_x000a_Yes or No" sqref="F22">
      <formula1>List_YN</formula1>
    </dataValidation>
    <dataValidation type="list" allowBlank="1" showInputMessage="1" showErrorMessage="1" promptTitle="Seasonal Leases:" prompt="Please Select:_x000a_Yes or No_x000a__x000a_* This coverage relates to rental property only." sqref="F27">
      <formula1>IF($F$8&lt;&gt;3,List_No,List_YN)</formula1>
    </dataValidation>
    <dataValidation type="list" allowBlank="1" showInputMessage="1" showErrorMessage="1" promptTitle="Apply Mining Property Coverage?" prompt="Please Select:_x000a_Yes or No" sqref="F30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5">
      <formula1>IF($F$24="Yes",OFFSET(Table_BI_OrdPR,0,0,,1),List_No)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6">
      <formula1>IF(ISNUMBER($F$7),List_YN,List_No)</formula1>
    </dataValidation>
    <dataValidation type="list" allowBlank="1" showInputMessage="1" showErrorMessage="1" promptTitle="Ordinary Payroll Exclusion" prompt="Please Select:_x000a_Yes or No" sqref="F24">
      <formula1>List_YN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Apply Educational Inst Coverage?" prompt="Please Select:_x000a_Yes or No" sqref="F20">
      <formula1>IF($F$7&gt;=50,List_No,List_YN)</formula1>
    </dataValidation>
    <dataValidation type="list" allowBlank="1" showInputMessage="1" showErrorMessage="1" promptTitle="Increased Coverage Period" prompt="Please Select # of Days:_x000a_{ 60, 90, 180 }" sqref="E29">
      <formula1>IF($F$28="Yes",OFFSET(Table_CivilAuth,0,0,,1),List_No)</formula1>
    </dataValidation>
    <dataValidation type="list" allowBlank="1" showInputMessage="1" showErrorMessage="1" promptTitle="Civil Authority Inc. Coverage" prompt="Please Select:_x000a_Yes or No" sqref="F28">
      <formula1>List_YN</formula1>
    </dataValidation>
    <dataValidation type="list" allowBlank="1" showInputMessage="1" showErrorMessage="1" promptTitle="Basic Group I - Class Codes" prompt="Please select your building class code" sqref="F39">
      <formula1>OFFSET(Table_G1_LC,0,0,,1)</formula1>
    </dataValidation>
    <dataValidation type="custom" allowBlank="1" showInputMessage="1" showErrorMessage="1" promptTitle="Class Rating Group" prompt="Displays Rating Group for Class Code selected." sqref="E39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42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F41">
      <formula1>OFFSET(Table_G1_LC,0,0,,1)</formula1>
    </dataValidation>
    <dataValidation type="list" allowBlank="1" showInputMessage="1" showErrorMessage="1" promptTitle="Please Select:" prompt="Yes = Apply Coverage_x000a_No  = Do Not Apply" sqref="F37 F46 F54">
      <formula1>List_YN</formula1>
    </dataValidation>
    <dataValidation type="list" allowBlank="1" showInputMessage="1" showErrorMessage="1" promptTitle="Increased Period of Restoration" prompt="Please Select:_x000a_Yes or No" sqref="F44">
      <formula1>List_YN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B5:C5 C7 B8 C4 C24 C10:C11 C14:C15 C21:C22 C17">
      <formula1>FALSE</formula1>
    </dataValidation>
    <dataValidation type="custom" allowBlank="1" showInputMessage="1" showErrorMessage="1" errorTitle="Do Not Touch" error="This is used to generate the Coinsurance rate." sqref="B34 E63">
      <formula1>FALSE</formula1>
    </dataValidation>
    <dataValidation type="custom" allowBlank="1" showInputMessage="1" showErrorMessage="1" sqref="O8 A29 E13:F13 F55 D14 B30:B31 C25 O5">
      <formula1>FALSE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59">
      <formula1>IF(C12="SP",List_No,IF(F54="Yes",List_YN,List_No))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60">
      <formula1>IF(C12="SP",List_No,IF(F54="Yes",List_YN,List_No))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63">
      <formula1>IF(OR(C12="BR",C12="BA"),List_No,IF(F54="Yes",List_YN,List_No))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56">
      <formula1>IF(AND(F54="Yes",C31&lt;&gt;"Yes"),List_YN,List_No)</formula1>
    </dataValidation>
    <dataValidation type="list" allowBlank="1" showInputMessage="1" showErrorMessage="1" promptTitle="EQ Building Class" prompt="Please Select a class from the drop down list." sqref="E57">
      <formula1>IF(F56="Yes",List_EQBldgClass,List_No)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1">
      <formula1>IF($F60="Yes",OFFSET(Table_Other_PierWharf,0,0,,1),List_No)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64">
      <formula1>IF(F63="Yes",OFFSET(Table_Other_WaterBuyback,0,0,,1),List_No)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sqref="E47">
      <formula1>IF(F46="Yes",TRUE,FALSE)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6" manualBreakCount="6">
    <brk id="6" max="1048575" man="1"/>
    <brk id="13" max="64" man="1"/>
    <brk id="20" max="64" man="1"/>
    <brk id="27" max="64" man="1"/>
    <brk id="35" max="64" man="1"/>
    <brk id="42" max="64" man="1"/>
  </colBreak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N76"/>
  <sheetViews>
    <sheetView zoomScale="90" zoomScaleNormal="90" workbookViewId="0">
      <selection activeCell="H4" sqref="H4"/>
    </sheetView>
  </sheetViews>
  <sheetFormatPr defaultRowHeight="12.75" x14ac:dyDescent="0.2"/>
  <cols>
    <col min="1" max="1" width="27.7109375" style="2" customWidth="1"/>
    <col min="2" max="2" width="13.42578125" style="2" customWidth="1"/>
    <col min="3" max="3" width="13.85546875" style="2" customWidth="1"/>
    <col min="4" max="4" width="32.140625" style="2" customWidth="1"/>
    <col min="5" max="5" width="13.140625" style="2" customWidth="1"/>
    <col min="6" max="6" width="12.42578125" style="2" customWidth="1"/>
    <col min="7" max="7" width="9.140625" style="2"/>
    <col min="8" max="8" width="39.140625" style="2" customWidth="1"/>
    <col min="9" max="12" width="12.85546875" style="2" customWidth="1"/>
    <col min="13" max="13" width="8.140625" style="2" customWidth="1"/>
    <col min="14" max="14" width="15.140625" style="2" customWidth="1"/>
    <col min="15" max="15" width="27" style="2" customWidth="1"/>
    <col min="16" max="16" width="12.28515625" style="2" customWidth="1"/>
    <col min="17" max="18" width="12.42578125" style="2" customWidth="1"/>
    <col min="19" max="19" width="11.85546875" style="2" customWidth="1"/>
    <col min="20" max="20" width="5.42578125" style="2" customWidth="1"/>
    <col min="21" max="21" width="19.85546875" style="2" customWidth="1"/>
    <col min="22" max="22" width="25.85546875" style="2" customWidth="1"/>
    <col min="23" max="23" width="12.7109375" style="2" customWidth="1"/>
    <col min="24" max="24" width="15.140625" style="2" customWidth="1"/>
    <col min="25" max="25" width="15.42578125" style="2" customWidth="1"/>
    <col min="26" max="26" width="13" style="2" customWidth="1"/>
    <col min="27" max="27" width="5.42578125" style="2" customWidth="1"/>
    <col min="28" max="28" width="25.85546875" style="2" customWidth="1"/>
    <col min="29" max="29" width="13.7109375" style="2" customWidth="1"/>
    <col min="30" max="30" width="11.7109375" style="2" customWidth="1"/>
    <col min="31" max="32" width="13.140625" style="2" customWidth="1"/>
    <col min="33" max="33" width="11.28515625" style="2" customWidth="1"/>
    <col min="34" max="34" width="9.140625" style="2"/>
    <col min="35" max="35" width="34.28515625" style="2" customWidth="1"/>
    <col min="36" max="36" width="23.7109375" style="2" customWidth="1"/>
    <col min="37" max="37" width="14.28515625" style="2" customWidth="1"/>
    <col min="38" max="16384" width="9.140625" style="2"/>
  </cols>
  <sheetData>
    <row r="1" spans="1:37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1757</v>
      </c>
      <c r="I1" s="1595"/>
      <c r="J1" s="1595"/>
      <c r="K1" s="1595"/>
      <c r="L1" s="1596"/>
      <c r="N1" s="60" t="s">
        <v>978</v>
      </c>
      <c r="P1" s="235" t="s">
        <v>1012</v>
      </c>
      <c r="Q1" s="235" t="s">
        <v>1013</v>
      </c>
      <c r="R1" s="235" t="s">
        <v>838</v>
      </c>
      <c r="S1" s="235" t="s">
        <v>837</v>
      </c>
      <c r="W1" s="235" t="s">
        <v>1012</v>
      </c>
      <c r="X1" s="235" t="s">
        <v>1013</v>
      </c>
      <c r="Y1" s="235" t="s">
        <v>838</v>
      </c>
      <c r="Z1" s="235" t="s">
        <v>837</v>
      </c>
      <c r="AD1" s="235" t="s">
        <v>1012</v>
      </c>
      <c r="AE1" s="235" t="s">
        <v>1013</v>
      </c>
      <c r="AF1" s="235" t="s">
        <v>838</v>
      </c>
      <c r="AG1" s="235" t="s">
        <v>837</v>
      </c>
      <c r="AH1" s="235"/>
      <c r="AI1" s="152" t="s">
        <v>949</v>
      </c>
    </row>
    <row r="2" spans="1:37" ht="12.75" customHeight="1" thickBot="1" x14ac:dyDescent="0.25">
      <c r="A2" s="529" t="s">
        <v>832</v>
      </c>
      <c r="B2" s="530"/>
      <c r="C2" s="730"/>
      <c r="D2" s="529" t="s">
        <v>1831</v>
      </c>
      <c r="E2" s="531"/>
      <c r="F2" s="532"/>
      <c r="O2" s="168" t="s">
        <v>1019</v>
      </c>
      <c r="P2" s="207">
        <f>HLOOKUP(C11,Table_StateRates,5,FALSE)</f>
        <v>1.38</v>
      </c>
      <c r="Q2" s="207">
        <f>HLOOKUP(C11,Table_StateRates,5,FALSE)</f>
        <v>1.38</v>
      </c>
      <c r="R2" s="207">
        <f>HLOOKUP(C11,Table_StateRates,5,FALSE)</f>
        <v>1.38</v>
      </c>
      <c r="S2" s="207">
        <f>HLOOKUP(C11,Table_StateRates,5,FALSE)</f>
        <v>1.38</v>
      </c>
      <c r="U2" s="60" t="s">
        <v>1053</v>
      </c>
      <c r="AB2" s="60" t="s">
        <v>550</v>
      </c>
      <c r="AD2" s="235"/>
      <c r="AE2" s="235"/>
      <c r="AF2" s="235"/>
      <c r="AG2" s="235"/>
    </row>
    <row r="3" spans="1:37" ht="13.5" thickBot="1" x14ac:dyDescent="0.25">
      <c r="A3" s="744" t="s">
        <v>195</v>
      </c>
      <c r="B3" s="745" t="str">
        <f>IF(C3="Building","B",IF(C3="Pers Pty","PP","None"))</f>
        <v>B</v>
      </c>
      <c r="C3" s="746" t="str">
        <f>IF(AND(TC10_BLDG1!C27="Yes",TC10_PP1!C27="Yes"),"Building",IF(AND(TC10_BLDG1!C27="No",TC10_PP1!C27="Yes"),"Pers Pty",IF(AND(TC10_BLDG1!C27="Yes",TC10_PP1!C27="No"),"Building","Neither")))</f>
        <v>Building</v>
      </c>
      <c r="D3" s="521" t="s">
        <v>1419</v>
      </c>
      <c r="E3" s="820" t="str">
        <f>IF(TC10_BI1!F5="Yes","BI","Available")</f>
        <v>Available</v>
      </c>
      <c r="F3" s="1100" t="s">
        <v>857</v>
      </c>
      <c r="H3" s="1273">
        <f>Summary10</f>
        <v>0</v>
      </c>
      <c r="I3" s="235" t="s">
        <v>1012</v>
      </c>
      <c r="J3" s="235" t="s">
        <v>1013</v>
      </c>
      <c r="K3" s="557" t="s">
        <v>838</v>
      </c>
      <c r="L3" s="557" t="s">
        <v>837</v>
      </c>
      <c r="N3" s="185"/>
      <c r="O3" s="186" t="s">
        <v>971</v>
      </c>
      <c r="P3" s="208">
        <f>HLOOKUP(C11,Table_StateRates,6,FALSE)</f>
        <v>1.9</v>
      </c>
      <c r="Q3" s="208">
        <f>HLOOKUP(C11,Table_StateRates,6,FALSE)</f>
        <v>1.9</v>
      </c>
      <c r="R3" s="208">
        <f>HLOOKUP(C11,Table_StateRates,6,FALSE)</f>
        <v>1.9</v>
      </c>
      <c r="S3" s="208">
        <f>HLOOKUP(C11,Table_StateRates,6,FALSE)</f>
        <v>1.9</v>
      </c>
      <c r="V3" s="168" t="s">
        <v>107</v>
      </c>
      <c r="W3" s="247" t="e">
        <f>P24</f>
        <v>#N/A</v>
      </c>
      <c r="X3" s="247" t="e">
        <f>Q24</f>
        <v>#N/A</v>
      </c>
      <c r="Y3" s="247">
        <f>R24</f>
        <v>0.16300000000000001</v>
      </c>
      <c r="Z3" s="247">
        <f>S24</f>
        <v>0.06</v>
      </c>
      <c r="AB3" s="146"/>
      <c r="AC3" s="545" t="s">
        <v>1049</v>
      </c>
      <c r="AD3" s="146">
        <f>VLOOKUP(1,Table_Time_Utility,2,FALSE)</f>
        <v>2.1999999999999999E-2</v>
      </c>
      <c r="AE3" s="146">
        <f>VLOOKUP(1,Table_Time_Utility,3,FALSE)</f>
        <v>1.0999999999999999E-2</v>
      </c>
      <c r="AF3" s="146">
        <f>VLOOKUP(1,Table_Time_Utility,5,FALSE)</f>
        <v>1.9E-2</v>
      </c>
      <c r="AG3" s="563">
        <f>VLOOKUP(1,Table_Time_Utility,4,FALSE)</f>
        <v>6.0000000000000001E-3</v>
      </c>
      <c r="AI3" s="154" t="s">
        <v>950</v>
      </c>
      <c r="AJ3" s="86"/>
      <c r="AK3" s="156" t="s">
        <v>951</v>
      </c>
    </row>
    <row r="4" spans="1:37" x14ac:dyDescent="0.2">
      <c r="A4" s="120" t="s">
        <v>1024</v>
      </c>
      <c r="B4" s="95"/>
      <c r="C4" s="1086" t="str">
        <f>IF(B3="B",TC10_BLDG1!C3,IF(B3="PP",TC10_PP1!C3,""))</f>
        <v>CT</v>
      </c>
      <c r="D4" s="107" t="s">
        <v>1241</v>
      </c>
      <c r="E4" s="272"/>
      <c r="F4" s="704"/>
      <c r="H4" s="82"/>
      <c r="I4" s="189"/>
      <c r="J4" s="4"/>
      <c r="K4" s="4"/>
      <c r="L4" s="4"/>
      <c r="O4" s="83" t="s">
        <v>2166</v>
      </c>
      <c r="P4" s="1312">
        <f>PRODUCT(P2:P3)</f>
        <v>2.6219999999999999</v>
      </c>
      <c r="Q4" s="1312">
        <f>PRODUCT(Q2:Q3)</f>
        <v>2.6219999999999999</v>
      </c>
      <c r="R4" s="1312">
        <f>PRODUCT(R2:R3)</f>
        <v>2.6219999999999999</v>
      </c>
      <c r="S4" s="1312">
        <f>PRODUCT(S2:S3)</f>
        <v>2.6219999999999999</v>
      </c>
      <c r="U4" s="185"/>
      <c r="V4" s="186" t="s">
        <v>108</v>
      </c>
      <c r="W4" s="208">
        <f>DF_Time_Law</f>
        <v>1.2</v>
      </c>
      <c r="X4" s="208">
        <f>DF_Time_Law</f>
        <v>1.2</v>
      </c>
      <c r="Y4" s="208">
        <f>DF_Time_Law</f>
        <v>1.2</v>
      </c>
      <c r="Z4" s="208">
        <f>DF_Time_Law</f>
        <v>1.2</v>
      </c>
      <c r="AB4" s="185"/>
      <c r="AC4" s="186" t="s">
        <v>1050</v>
      </c>
      <c r="AD4" s="238">
        <f>F22</f>
        <v>0</v>
      </c>
      <c r="AE4" s="238">
        <f>F22</f>
        <v>0</v>
      </c>
      <c r="AF4" s="238">
        <f>F22</f>
        <v>0</v>
      </c>
      <c r="AG4" s="785">
        <f>F22</f>
        <v>0</v>
      </c>
      <c r="AI4" s="686" t="s">
        <v>1715</v>
      </c>
      <c r="AK4" s="155">
        <f>IF(AK22&lt;-0.05,-0.05,IF(AK22&gt;0.05,0.05,AK22))</f>
        <v>0</v>
      </c>
    </row>
    <row r="5" spans="1:37" x14ac:dyDescent="0.2">
      <c r="A5" s="120" t="s">
        <v>1828</v>
      </c>
      <c r="B5" s="729">
        <f>IF(B3="B",TC10_BLDG1!B4,IF(B3="PP",TC10_PP1!B4,""))</f>
        <v>0</v>
      </c>
      <c r="C5" s="1086">
        <f>IF(B3="B",TC10_BLDG1!C4,IF(B3="PP",TC10_PP1!C4,""))</f>
        <v>0</v>
      </c>
      <c r="D5" s="84" t="s">
        <v>1610</v>
      </c>
      <c r="E5" s="193"/>
      <c r="F5" s="704"/>
      <c r="H5" s="483" t="s">
        <v>978</v>
      </c>
      <c r="I5" s="485">
        <f>IF(F3="Yes",P26,0)</f>
        <v>0</v>
      </c>
      <c r="J5" s="485">
        <f>IF(F3="Yes",Q26,0)</f>
        <v>0</v>
      </c>
      <c r="K5" s="485">
        <f>IF(AND(F3="Yes",C12="SP"),R26,0)</f>
        <v>0</v>
      </c>
      <c r="L5" s="485">
        <f>IF(AND(F3="Yes",C12="BR"),S26,0)</f>
        <v>0</v>
      </c>
      <c r="O5" s="168" t="str">
        <f>C3&amp;" - Loss Cost"</f>
        <v>Building - Loss Cost</v>
      </c>
      <c r="P5" s="247">
        <f>B29</f>
        <v>0.126</v>
      </c>
      <c r="Q5" s="247">
        <f>C29</f>
        <v>4.2000000000000003E-2</v>
      </c>
      <c r="R5" s="247">
        <f>IF(C12="SP",VLOOKUP(B13,Table_Time_Special,3,FALSE),0)</f>
        <v>6.2E-2</v>
      </c>
      <c r="S5" s="247">
        <f>HLOOKUP(B12,Table_BroadTime,3,FALSE)</f>
        <v>2.3E-2</v>
      </c>
      <c r="V5" s="83" t="s">
        <v>109</v>
      </c>
      <c r="W5" s="247" t="e">
        <f>ROUND(PRODUCT(W3:W4),3)</f>
        <v>#N/A</v>
      </c>
      <c r="X5" s="247" t="e">
        <f>ROUND(PRODUCT(X3:X4),3)</f>
        <v>#N/A</v>
      </c>
      <c r="Y5" s="247">
        <f>ROUND(PRODUCT(Y3:Y4),3)</f>
        <v>0.19600000000000001</v>
      </c>
      <c r="Z5" s="247">
        <f>ROUND(PRODUCT(Z3:Z4),3)</f>
        <v>7.1999999999999995E-2</v>
      </c>
      <c r="AB5" s="146"/>
      <c r="AC5" s="301" t="s">
        <v>1051</v>
      </c>
      <c r="AD5" s="146">
        <f>ROUND(PRODUCT(AD3:AD4),3)</f>
        <v>0</v>
      </c>
      <c r="AE5" s="146">
        <f>ROUND(PRODUCT(AE3:AE4),3)</f>
        <v>0</v>
      </c>
      <c r="AF5" s="146">
        <f>ROUND(PRODUCT(AF3:AF4),3)</f>
        <v>0</v>
      </c>
      <c r="AG5" s="146">
        <f>ROUND(PRODUCT(AG3:AG4),3)</f>
        <v>0</v>
      </c>
      <c r="AI5" s="151" t="s">
        <v>1714</v>
      </c>
      <c r="AK5" s="155">
        <f>IF(AK23&lt;-0.06,-0.06,IF(AK23&gt;0.06,0.06,AK23))</f>
        <v>0</v>
      </c>
    </row>
    <row r="6" spans="1:37" x14ac:dyDescent="0.2">
      <c r="A6" s="120"/>
      <c r="B6" s="95"/>
      <c r="C6" s="1039"/>
      <c r="D6" s="499"/>
      <c r="E6" s="146"/>
      <c r="F6" s="1072"/>
      <c r="H6" s="483"/>
      <c r="I6" s="485"/>
      <c r="J6" s="485"/>
      <c r="K6" s="485"/>
      <c r="L6" s="485"/>
      <c r="O6" s="168" t="s">
        <v>972</v>
      </c>
      <c r="P6" s="207">
        <f>IF(OR(C27="S",C27="T"),1,VLOOKUP(C14,Table_ProtClass,IF(C15&lt;=3,2,3),FALSE)) - IF(AND(C33=1,ISNUMBER(B31),P13=1),B31,0)</f>
        <v>0.96</v>
      </c>
      <c r="Q6" s="207">
        <v>1</v>
      </c>
      <c r="R6" s="207">
        <v>1</v>
      </c>
      <c r="S6" s="207">
        <v>1</v>
      </c>
      <c r="AC6" s="168" t="s">
        <v>971</v>
      </c>
      <c r="AD6" s="207">
        <f>HLOOKUP(C11,Table_StateRates,6,FALSE)</f>
        <v>1.9</v>
      </c>
      <c r="AE6" s="207">
        <f>HLOOKUP(C11,Table_StateRates,6,FALSE)</f>
        <v>1.9</v>
      </c>
      <c r="AF6" s="207">
        <f>HLOOKUP(C11,Table_StateRates,6,FALSE)</f>
        <v>1.9</v>
      </c>
      <c r="AG6" s="207">
        <f>HLOOKUP(C11,Table_StateRates,6,FALSE)</f>
        <v>1.9</v>
      </c>
      <c r="AI6" s="8" t="s">
        <v>1716</v>
      </c>
      <c r="AK6" s="155">
        <f>IF(AK24&lt;-0.06,-0.06,IF(AK24&gt;0.06,0.06,AK24))</f>
        <v>0</v>
      </c>
    </row>
    <row r="7" spans="1:37" x14ac:dyDescent="0.2">
      <c r="A7" s="120" t="s">
        <v>969</v>
      </c>
      <c r="B7" s="95"/>
      <c r="C7" s="1087" t="str">
        <f>IF(B3="B",TC10_BLDG1!C6,IF(B3="PP",TC10_PP1!C6,""))</f>
        <v>CPP</v>
      </c>
      <c r="D7" s="538" t="s">
        <v>1545</v>
      </c>
      <c r="E7" s="103"/>
      <c r="F7" s="413" t="s">
        <v>857</v>
      </c>
      <c r="H7" s="168"/>
      <c r="I7" s="485"/>
      <c r="J7" s="485"/>
      <c r="K7" s="485"/>
      <c r="L7" s="485"/>
      <c r="N7" s="185"/>
      <c r="O7" s="186" t="s">
        <v>970</v>
      </c>
      <c r="P7" s="208">
        <f>IF(B30="Yes",DF_Sprinkler50,1)</f>
        <v>1</v>
      </c>
      <c r="Q7" s="208">
        <v>1</v>
      </c>
      <c r="R7" s="208">
        <v>1</v>
      </c>
      <c r="S7" s="208">
        <v>1</v>
      </c>
      <c r="V7" s="568" t="s">
        <v>110</v>
      </c>
      <c r="W7" s="893" t="e">
        <f>IF(C12="SP",SUM(W5:Y5),IF(C12="BR",SUM(W5:X5,Z5),SUM(W5:X5)))</f>
        <v>#N/A</v>
      </c>
      <c r="AC7" s="168" t="s">
        <v>1019</v>
      </c>
      <c r="AD7" s="207">
        <f>HLOOKUP(C11,Table_StateRates,5,FALSE)</f>
        <v>1.38</v>
      </c>
      <c r="AE7" s="207">
        <f>HLOOKUP(C11,Table_StateRates,5,FALSE)</f>
        <v>1.38</v>
      </c>
      <c r="AF7" s="207">
        <f>HLOOKUP(C11,Table_StateRates,5,FALSE)</f>
        <v>1.38</v>
      </c>
      <c r="AG7" s="207">
        <f>HLOOKUP(C11,Table_StateRates,5,FALSE)</f>
        <v>1.38</v>
      </c>
      <c r="AI7" s="8" t="s">
        <v>1717</v>
      </c>
      <c r="AK7" s="155">
        <f>IF(AK25&lt;-0.1,-0.1,IF(AK25&gt;0.1,0.1,AK25))</f>
        <v>0</v>
      </c>
    </row>
    <row r="8" spans="1:37" x14ac:dyDescent="0.2">
      <c r="A8" s="143" t="s">
        <v>923</v>
      </c>
      <c r="B8" s="1236" t="str">
        <f>IF(B3="B",TC10_BLDG1!B7,IF(B3="PP",TC10_PP1!B7,""))</f>
        <v>No</v>
      </c>
      <c r="C8" s="1039"/>
      <c r="D8" s="518" t="s">
        <v>1555</v>
      </c>
      <c r="E8" s="414" t="s">
        <v>857</v>
      </c>
      <c r="F8" s="1065"/>
      <c r="H8" s="82" t="s">
        <v>1661</v>
      </c>
      <c r="I8" s="485"/>
      <c r="J8" s="485"/>
      <c r="K8" s="485"/>
      <c r="L8" s="485"/>
      <c r="O8" s="83" t="s">
        <v>1134</v>
      </c>
      <c r="P8" s="1315">
        <f>ROUND(PRODUCT(P4:P7),3)</f>
        <v>0.317</v>
      </c>
      <c r="Q8" s="1315">
        <f>ROUND(PRODUCT(Q4:Q7),3)</f>
        <v>0.11</v>
      </c>
      <c r="R8" s="1315">
        <f>ROUND(PRODUCT(R4:R7),3)</f>
        <v>0.16300000000000001</v>
      </c>
      <c r="S8" s="1315">
        <f>ROUND(PRODUCT(S4:S7),3)</f>
        <v>0.06</v>
      </c>
      <c r="AC8" s="168" t="s">
        <v>180</v>
      </c>
      <c r="AD8" s="207">
        <v>1</v>
      </c>
      <c r="AE8" s="207">
        <v>1</v>
      </c>
      <c r="AF8" s="207">
        <v>1</v>
      </c>
      <c r="AG8" s="207">
        <v>1</v>
      </c>
      <c r="AI8" s="687" t="s">
        <v>1718</v>
      </c>
      <c r="AK8" s="155">
        <f>IF(AK26&lt;-0.06,-0.06,IF(AK26&gt;0.06,0.06,AK26))</f>
        <v>0</v>
      </c>
    </row>
    <row r="9" spans="1:37" ht="13.5" thickBot="1" x14ac:dyDescent="0.25">
      <c r="A9" s="120"/>
      <c r="B9" s="95"/>
      <c r="C9" s="1039"/>
      <c r="D9" s="91"/>
      <c r="E9" s="195"/>
      <c r="F9" s="101"/>
      <c r="H9" s="189" t="s">
        <v>1826</v>
      </c>
      <c r="I9" s="485">
        <f>IF(AND(F3="Yes",F11="Yes"),P49,0)</f>
        <v>0</v>
      </c>
      <c r="J9" s="485">
        <f>IF(AND(F3="Yes",F11="Yes"),Q49,0)</f>
        <v>0</v>
      </c>
      <c r="K9" s="485">
        <f>IF(AND(F11="Yes",C12="SP"),R49,0)</f>
        <v>0</v>
      </c>
      <c r="L9" s="485">
        <f>IF(AND(F11="Yes",C12="BR"),S49,0)</f>
        <v>0</v>
      </c>
      <c r="O9" s="1117" t="s">
        <v>2140</v>
      </c>
      <c r="P9" s="247">
        <f>DF_BI_BRF1</f>
        <v>0.8</v>
      </c>
      <c r="Q9" s="247">
        <f>DF_BI_BRF2</f>
        <v>0.65</v>
      </c>
      <c r="R9" s="247">
        <v>1</v>
      </c>
      <c r="S9" s="247">
        <v>1</v>
      </c>
      <c r="V9" s="545" t="s">
        <v>184</v>
      </c>
      <c r="W9" s="248">
        <f>F4/100</f>
        <v>0</v>
      </c>
      <c r="AB9" s="146"/>
      <c r="AC9" s="545" t="s">
        <v>1020</v>
      </c>
      <c r="AD9" s="299">
        <f>IF(C7="PAC",VLOOKUP(B8,Table_PakMods,MATCH(C11,List_Company,0)+1,FALSE),1)</f>
        <v>1</v>
      </c>
      <c r="AE9" s="299">
        <f>IF(C7="PAC",VLOOKUP(B8,Table_PakMods,MATCH(C11,List_Company,0)+1,FALSE),1)</f>
        <v>1</v>
      </c>
      <c r="AF9" s="299">
        <f>IF(C7="PAC",VLOOKUP(B8,Table_PakMods,MATCH(C11,List_Company,0)+1,FALSE),1)</f>
        <v>1</v>
      </c>
      <c r="AG9" s="299">
        <f>IF(C7="PAC",VLOOKUP(B8,Table_PakMods,MATCH(C11,List_Company,0)+1,FALSE),1)</f>
        <v>1</v>
      </c>
      <c r="AI9" s="153" t="s">
        <v>1719</v>
      </c>
      <c r="AK9" s="155">
        <f>IF(AK27&lt;-0.025,-0.025,IF(AK27&gt;0.025,0.025,AK27))</f>
        <v>0</v>
      </c>
    </row>
    <row r="10" spans="1:37" ht="13.5" thickBot="1" x14ac:dyDescent="0.25">
      <c r="A10" s="120" t="s">
        <v>1829</v>
      </c>
      <c r="B10" s="95"/>
      <c r="C10" s="1086">
        <f>IF(B3="B",TC10_BLDG1!C9,IF(B3="PP",TC10_PP1!C9,""))</f>
        <v>1</v>
      </c>
      <c r="D10" s="529" t="s">
        <v>897</v>
      </c>
      <c r="E10" s="217"/>
      <c r="F10" s="218"/>
      <c r="H10" s="83"/>
      <c r="I10" s="248"/>
      <c r="J10" s="248"/>
      <c r="K10" s="248"/>
      <c r="L10" s="248"/>
      <c r="N10" s="185"/>
      <c r="O10" s="186" t="s">
        <v>1258</v>
      </c>
      <c r="P10" s="208" t="e">
        <f>VLOOKUP(F5,Table_EE_CoIns,3,FALSE)</f>
        <v>#N/A</v>
      </c>
      <c r="Q10" s="208" t="e">
        <f>VLOOKUP(F5,Table_EE_CoIns,3,FALSE)</f>
        <v>#N/A</v>
      </c>
      <c r="R10" s="208">
        <v>1</v>
      </c>
      <c r="S10" s="208">
        <v>1</v>
      </c>
      <c r="U10" s="185"/>
      <c r="V10" s="186" t="s">
        <v>111</v>
      </c>
      <c r="W10" s="455">
        <f>IF(F18="Yes",W7,0)</f>
        <v>0</v>
      </c>
      <c r="AB10" s="542"/>
      <c r="AC10" s="724" t="s">
        <v>1022</v>
      </c>
      <c r="AD10" s="279">
        <v>1</v>
      </c>
      <c r="AE10" s="279">
        <v>1</v>
      </c>
      <c r="AF10" s="279">
        <v>1</v>
      </c>
      <c r="AG10" s="279">
        <v>1</v>
      </c>
      <c r="AI10" s="687" t="s">
        <v>1720</v>
      </c>
      <c r="AK10" s="155">
        <f>IF(AK28&lt;-0.025,-0.025,IF(AK28&gt;0.025,0.025,AK28))</f>
        <v>0</v>
      </c>
    </row>
    <row r="11" spans="1:37" x14ac:dyDescent="0.2">
      <c r="A11" s="120" t="s">
        <v>835</v>
      </c>
      <c r="B11" s="95"/>
      <c r="C11" s="1087" t="str">
        <f>IF(B3="B",TC10_BLDG1!C11,IF(B3="PP",TC10_PP1!C11,""))</f>
        <v>GAIC</v>
      </c>
      <c r="D11" s="123" t="s">
        <v>964</v>
      </c>
      <c r="E11" s="474"/>
      <c r="F11" s="475" t="s">
        <v>857</v>
      </c>
      <c r="L11" s="890" t="s">
        <v>1048</v>
      </c>
      <c r="N11" s="266"/>
      <c r="O11" s="568" t="s">
        <v>917</v>
      </c>
      <c r="P11" s="1422" t="e">
        <f>ROUND(PRODUCT(P8:P10),3)</f>
        <v>#N/A</v>
      </c>
      <c r="Q11" s="1422" t="e">
        <f>ROUND(PRODUCT(Q8:Q10),3)</f>
        <v>#N/A</v>
      </c>
      <c r="R11" s="1422">
        <f>ROUND(PRODUCT(R8:R10),3)</f>
        <v>0.16300000000000001</v>
      </c>
      <c r="S11" s="1422">
        <f>ROUND(PRODUCT(S8:S10),3)</f>
        <v>0.06</v>
      </c>
      <c r="V11" s="83" t="s">
        <v>1514</v>
      </c>
      <c r="W11" s="248">
        <f>ROUND(PRODUCT(W9:W10),0)</f>
        <v>0</v>
      </c>
      <c r="AC11" s="83" t="s">
        <v>1150</v>
      </c>
      <c r="AD11" s="2">
        <f>ROUND(PRODUCT(AD5:AD10),3)</f>
        <v>0</v>
      </c>
      <c r="AE11" s="2">
        <f>ROUND(PRODUCT(AE5:AE10),3)</f>
        <v>0</v>
      </c>
      <c r="AF11" s="2">
        <f>ROUND(PRODUCT(AF5:AF10),3)</f>
        <v>0</v>
      </c>
      <c r="AG11" s="2">
        <f>ROUND(PRODUCT(AG5:AG10),3)</f>
        <v>0</v>
      </c>
      <c r="AI11" s="687" t="s">
        <v>1721</v>
      </c>
      <c r="AK11" s="155">
        <f>IF(AK29&lt;-0.075,-0.075,IF(AK29&gt;0.075,0.075,AK29))</f>
        <v>0</v>
      </c>
    </row>
    <row r="12" spans="1:37" ht="13.5" thickBot="1" x14ac:dyDescent="0.25">
      <c r="A12" s="415" t="s">
        <v>910</v>
      </c>
      <c r="B12" s="493">
        <f>IF(OR(C15=5,C15=6),1,2)</f>
        <v>2</v>
      </c>
      <c r="C12" s="704" t="s">
        <v>894</v>
      </c>
      <c r="D12" s="107" t="s">
        <v>1242</v>
      </c>
      <c r="E12" s="272"/>
      <c r="F12" s="476"/>
      <c r="H12" s="168" t="s">
        <v>1507</v>
      </c>
      <c r="I12" s="248">
        <f>IF(AND(F3="Yes",F18="Yes"),W23,0)</f>
        <v>0</v>
      </c>
      <c r="J12" s="248"/>
      <c r="K12" s="248"/>
      <c r="L12" s="248"/>
      <c r="O12" s="189" t="s">
        <v>1496</v>
      </c>
      <c r="P12" s="207">
        <v>1</v>
      </c>
      <c r="Q12" s="207">
        <f>IF(C32="Yes",VLOOKUP(C15,Table_Construction,3,FALSE),1)</f>
        <v>1</v>
      </c>
      <c r="R12" s="207">
        <v>1</v>
      </c>
      <c r="S12" s="207">
        <v>1</v>
      </c>
      <c r="V12" s="83"/>
      <c r="W12" s="248"/>
      <c r="Y12" s="168"/>
      <c r="AB12" s="185"/>
      <c r="AC12" s="186" t="s">
        <v>1025</v>
      </c>
      <c r="AD12" s="238">
        <f>IF(ISNUMBER(E21),E21/100,0)</f>
        <v>0</v>
      </c>
      <c r="AE12" s="238">
        <f>IF(ISNUMBER(E21),E21/100,0)</f>
        <v>0</v>
      </c>
      <c r="AF12" s="238">
        <f>IF(ISNUMBER(E21),E21/100,0)</f>
        <v>0</v>
      </c>
      <c r="AG12" s="238">
        <f>IF(ISNUMBER(E21),E21/100,0)</f>
        <v>0</v>
      </c>
      <c r="AI12" s="8" t="s">
        <v>1722</v>
      </c>
      <c r="AK12" s="155">
        <f>IF(AK30&lt;-0.05,-0.05,IF(AK30&gt;0.05,0.05,AK30))</f>
        <v>0</v>
      </c>
    </row>
    <row r="13" spans="1:37" ht="13.5" thickBot="1" x14ac:dyDescent="0.25">
      <c r="A13" s="507" t="s">
        <v>1069</v>
      </c>
      <c r="B13" s="498" t="str">
        <f>IF(AND(C12="SP",C13=1),1&amp;B15,IF(AND(C12="SP",C13=2),IF(C30=1,2&amp;B15,3&amp;B15),"None"))</f>
        <v>3B</v>
      </c>
      <c r="C13" s="1088">
        <v>2</v>
      </c>
      <c r="D13" s="108" t="s">
        <v>904</v>
      </c>
      <c r="E13" s="319" t="str">
        <f>IF(ISBLANK(F13),"",VLOOKUP(F13,Table_G1_LC,2,FALSE))</f>
        <v/>
      </c>
      <c r="F13" s="188"/>
      <c r="H13" s="168" t="s">
        <v>1047</v>
      </c>
      <c r="I13" s="248">
        <f>IF(AND(F3="Yes",F20="Yes"),AD48,0)</f>
        <v>0</v>
      </c>
      <c r="J13" s="248"/>
      <c r="K13" s="248"/>
      <c r="L13" s="248"/>
      <c r="O13" s="168" t="s">
        <v>1199</v>
      </c>
      <c r="P13" s="247">
        <f>IF(OR(C27="S",C27="T"),1,VLOOKUP(C17,Table_TerrMult,2,FALSE)) - IF(AND((C31)="Yes",ISNUMBER(B31)),B31,0)</f>
        <v>1</v>
      </c>
      <c r="Q13" s="207">
        <v>1</v>
      </c>
      <c r="R13" s="207">
        <v>1</v>
      </c>
      <c r="S13" s="207">
        <v>1</v>
      </c>
      <c r="U13" s="60" t="s">
        <v>1508</v>
      </c>
      <c r="V13" s="83"/>
      <c r="W13" s="248"/>
      <c r="AC13" s="83" t="s">
        <v>1647</v>
      </c>
      <c r="AD13" s="248">
        <f>ROUND(PRODUCT(AD11:AD12),0)</f>
        <v>0</v>
      </c>
      <c r="AE13" s="248">
        <f>ROUND(PRODUCT(AE11:AE12),0)</f>
        <v>0</v>
      </c>
      <c r="AF13" s="248">
        <f>ROUND(PRODUCT(AF11:AF12),0)</f>
        <v>0</v>
      </c>
      <c r="AG13" s="248">
        <f>ROUND(PRODUCT(AG11:AG12),0)</f>
        <v>0</v>
      </c>
      <c r="AI13" s="8"/>
      <c r="AK13" s="155"/>
    </row>
    <row r="14" spans="1:37" x14ac:dyDescent="0.2">
      <c r="A14" s="108" t="s">
        <v>898</v>
      </c>
      <c r="B14" s="95"/>
      <c r="C14" s="1087">
        <f>IF(B3="B",TC10_BLDG1!C14,IF(B3="PP",TC10_PP1!C14,""))</f>
        <v>3</v>
      </c>
      <c r="D14" s="482" t="str">
        <f>IF(F13="1190","Special Form Class Only - Choose Again",IF(F13="1180","Enter Prior/Intended Occ. Class Code Below",""))</f>
        <v/>
      </c>
      <c r="E14" s="273"/>
      <c r="F14" s="274"/>
      <c r="I14" s="248"/>
      <c r="J14" s="248"/>
      <c r="K14" s="248"/>
      <c r="L14" s="248"/>
      <c r="O14" s="168" t="s">
        <v>1100</v>
      </c>
      <c r="P14" s="207">
        <f>IF(C31="Yes",IF(ISNUMBER(B31),1,VLOOKUP(C15,Table_SprLkg,IF(B3="B",2,3),FALSE)),1)</f>
        <v>1</v>
      </c>
      <c r="Q14" s="207">
        <v>1</v>
      </c>
      <c r="R14" s="207">
        <v>1</v>
      </c>
      <c r="S14" s="207">
        <v>1</v>
      </c>
      <c r="V14" s="189" t="s">
        <v>1510</v>
      </c>
      <c r="W14" s="248" t="e">
        <f>P26</f>
        <v>#N/A</v>
      </c>
      <c r="AJ14" s="60" t="s">
        <v>952</v>
      </c>
      <c r="AK14" s="157">
        <f>IF(SUM(AK4:AK13)&lt;-0.4,-0.4,IF(SUM(AK4:AK13)&gt;0.4,0.4,SUM(AK4:AK13)))</f>
        <v>0</v>
      </c>
    </row>
    <row r="15" spans="1:37" ht="13.5" customHeight="1" x14ac:dyDescent="0.2">
      <c r="A15" s="108" t="s">
        <v>1073</v>
      </c>
      <c r="B15" s="319" t="str">
        <f>IF(C15&lt;=4,"B","A")</f>
        <v>B</v>
      </c>
      <c r="C15" s="1089">
        <f>IF(B3="B",TC10_BLDG1!C15,IF(B3="PP",TC10_PP1!C15,""))</f>
        <v>1</v>
      </c>
      <c r="D15" s="108" t="s">
        <v>960</v>
      </c>
      <c r="E15" s="160"/>
      <c r="F15" s="188"/>
      <c r="H15" s="990" t="s">
        <v>244</v>
      </c>
      <c r="I15" s="797">
        <f>SUM(I12:I13,I9:L9)</f>
        <v>0</v>
      </c>
      <c r="O15" s="236" t="s">
        <v>1099</v>
      </c>
      <c r="P15" s="281">
        <f>C33</f>
        <v>0</v>
      </c>
      <c r="Q15" s="211">
        <v>1</v>
      </c>
      <c r="R15" s="211">
        <v>1</v>
      </c>
      <c r="S15" s="211">
        <v>1</v>
      </c>
      <c r="V15" s="189" t="s">
        <v>1511</v>
      </c>
      <c r="W15" s="248" t="e">
        <f>Q26</f>
        <v>#N/A</v>
      </c>
      <c r="AC15" s="685" t="s">
        <v>549</v>
      </c>
      <c r="AD15" s="907">
        <f>IF(F20="Yes",IF(C12="SP",SUM(AD13:AF13),IF(C12="BR",SUM(AD13:AE13,AG13),SUM(AD13:AE13))),0)</f>
        <v>0</v>
      </c>
    </row>
    <row r="16" spans="1:37" ht="13.5" thickBot="1" x14ac:dyDescent="0.25">
      <c r="A16" s="84" t="s">
        <v>975</v>
      </c>
      <c r="B16" s="160"/>
      <c r="C16" s="1080" t="str">
        <f>IF(B3="B",TC10_BLDG1!C16,IF(B3="PP",TC10_PP1!C16,""))</f>
        <v>A</v>
      </c>
      <c r="D16" s="191" t="s">
        <v>1065</v>
      </c>
      <c r="E16" s="456">
        <f>IF(ISBLANK(F15),0,IF(ISERROR(VLOOKUP(F15,List_VacantClasses,1,FALSE)),VLOOKUP(F15,Table_G1_LC,MATCH(C15&amp;"B",List_ClassLC,0)+2),0))</f>
        <v>0</v>
      </c>
      <c r="F16" s="213"/>
      <c r="N16" s="209"/>
      <c r="O16" s="210" t="s">
        <v>1016</v>
      </c>
      <c r="P16" s="212">
        <v>1</v>
      </c>
      <c r="Q16" s="212">
        <v>1</v>
      </c>
      <c r="R16" s="212">
        <v>1</v>
      </c>
      <c r="S16" s="212">
        <v>1</v>
      </c>
      <c r="V16" s="189" t="s">
        <v>1509</v>
      </c>
      <c r="W16" s="248">
        <f>IF(C12="SP",R26,0)</f>
        <v>0</v>
      </c>
      <c r="AC16" s="685"/>
      <c r="AD16" s="701"/>
    </row>
    <row r="17" spans="1:40" ht="15" customHeight="1" thickBot="1" x14ac:dyDescent="0.25">
      <c r="A17" s="122" t="s">
        <v>974</v>
      </c>
      <c r="B17" s="95"/>
      <c r="C17" s="1087">
        <f>IF(B3="B",TC10_BLDG1!C17,IF(B3="PP",TC10_PP1!C17,""))</f>
        <v>1</v>
      </c>
      <c r="D17" s="91"/>
      <c r="E17" s="195"/>
      <c r="F17" s="101"/>
      <c r="N17" s="185"/>
      <c r="O17" s="186" t="s">
        <v>1259</v>
      </c>
      <c r="P17" s="208">
        <f>IF(F7="Yes",VLOOKUP(E8,Table_CivilAuth,2,FALSE),1)</f>
        <v>1</v>
      </c>
      <c r="Q17" s="208">
        <f>IF(F7="Yes",VLOOKUP(E8,Table_CivilAuth,2,FALSE),1)</f>
        <v>1</v>
      </c>
      <c r="R17" s="208">
        <f>IF(F7="Yes",VLOOKUP(E8,Table_CivilAuth,2,FALSE),1)</f>
        <v>1</v>
      </c>
      <c r="S17" s="208">
        <f>IF(F7="Yes",VLOOKUP(E8,Table_CivilAuth,2,FALSE),1)</f>
        <v>1</v>
      </c>
      <c r="U17" s="185"/>
      <c r="V17" s="477" t="s">
        <v>1512</v>
      </c>
      <c r="W17" s="238">
        <f>IF(C12="BR",S26,0)</f>
        <v>0</v>
      </c>
      <c r="AI17" s="136" t="s">
        <v>947</v>
      </c>
      <c r="AJ17" s="137"/>
      <c r="AK17" s="137"/>
      <c r="AL17" s="137"/>
      <c r="AM17" s="136" t="s">
        <v>938</v>
      </c>
      <c r="AN17" s="517"/>
    </row>
    <row r="18" spans="1:40" x14ac:dyDescent="0.2">
      <c r="A18" s="1195" t="s">
        <v>2097</v>
      </c>
      <c r="B18" s="95"/>
      <c r="C18" s="1238">
        <v>2</v>
      </c>
      <c r="D18" s="872" t="s">
        <v>1052</v>
      </c>
      <c r="E18" s="422"/>
      <c r="F18" s="892" t="s">
        <v>857</v>
      </c>
      <c r="H18" s="566" t="s">
        <v>663</v>
      </c>
      <c r="I18" s="2" t="e">
        <f>IF(AND(C21="Yes",C24="Yes"),W51,IF(AND(C21="Yes",C24="No"),B24,0))</f>
        <v>#N/A</v>
      </c>
      <c r="O18" s="83" t="s">
        <v>2167</v>
      </c>
      <c r="P18" s="1312" t="e">
        <f>ROUND(PRODUCT(P11:P13,IF(AND(C31="Yes",B31="Sprinkler",C33&lt;&gt;1),P14-P15,P14),P16:P17),3)</f>
        <v>#N/A</v>
      </c>
      <c r="Q18" s="1312" t="e">
        <f>ROUND(PRODUCT(Q11:Q17),3)</f>
        <v>#N/A</v>
      </c>
      <c r="R18" s="1312">
        <f>ROUND(PRODUCT(R11:R17),3)</f>
        <v>0.16300000000000001</v>
      </c>
      <c r="S18" s="1312">
        <f>ROUND(PRODUCT(S11:S17),3)</f>
        <v>0.06</v>
      </c>
      <c r="V18" s="83" t="s">
        <v>1513</v>
      </c>
      <c r="W18" s="248" t="e">
        <f>SUM(W14:W17)</f>
        <v>#N/A</v>
      </c>
      <c r="AB18" s="60" t="s">
        <v>551</v>
      </c>
      <c r="AD18" s="235" t="s">
        <v>1012</v>
      </c>
      <c r="AE18" s="235" t="s">
        <v>1013</v>
      </c>
      <c r="AF18" s="235" t="s">
        <v>838</v>
      </c>
      <c r="AG18" s="235" t="s">
        <v>837</v>
      </c>
      <c r="AI18" s="138" t="s">
        <v>939</v>
      </c>
      <c r="AJ18" s="8"/>
      <c r="AK18" s="8"/>
      <c r="AL18" s="8"/>
      <c r="AM18" s="445" t="s">
        <v>940</v>
      </c>
      <c r="AN18" s="481"/>
    </row>
    <row r="19" spans="1:40" ht="13.5" thickBot="1" x14ac:dyDescent="0.25">
      <c r="A19" s="126"/>
      <c r="B19" s="96"/>
      <c r="C19" s="192"/>
      <c r="D19" s="91"/>
      <c r="E19" s="195"/>
      <c r="F19" s="101"/>
      <c r="O19" s="168" t="s">
        <v>180</v>
      </c>
      <c r="P19" s="207">
        <v>1</v>
      </c>
      <c r="Q19" s="207">
        <v>1</v>
      </c>
      <c r="R19" s="207">
        <v>1</v>
      </c>
      <c r="S19" s="207">
        <v>1</v>
      </c>
      <c r="V19" s="83"/>
      <c r="W19" s="248"/>
      <c r="AB19" s="146"/>
      <c r="AC19" s="545" t="s">
        <v>1049</v>
      </c>
      <c r="AD19" s="146">
        <f>VLOOKUP(2,Table_Time_Utility,2,FALSE)</f>
        <v>4.3999999999999997E-2</v>
      </c>
      <c r="AE19" s="146">
        <f>VLOOKUP(2,Table_Time_Utility,3,FALSE)</f>
        <v>4.3999999999999997E-2</v>
      </c>
      <c r="AF19" s="146">
        <f>VLOOKUP(2,Table_Time_Utility,5,FALSE)</f>
        <v>2.9000000000000001E-2</v>
      </c>
      <c r="AG19" s="563">
        <f>VLOOKUP(2,Table_Time_Utility,4,FALSE)</f>
        <v>0.01</v>
      </c>
      <c r="AI19" s="138" t="s">
        <v>941</v>
      </c>
      <c r="AJ19" s="8"/>
      <c r="AK19" s="8"/>
      <c r="AL19" s="8"/>
      <c r="AM19" s="26"/>
      <c r="AN19" s="481"/>
    </row>
    <row r="20" spans="1:40" x14ac:dyDescent="0.2">
      <c r="A20" s="88" t="s">
        <v>954</v>
      </c>
      <c r="B20" s="89"/>
      <c r="C20" s="118"/>
      <c r="D20" s="897" t="s">
        <v>1668</v>
      </c>
      <c r="E20" s="447"/>
      <c r="F20" s="873" t="s">
        <v>857</v>
      </c>
      <c r="N20" s="146"/>
      <c r="O20" s="545" t="s">
        <v>1020</v>
      </c>
      <c r="P20" s="299">
        <f>IF(C7="PAC",VLOOKUP(B8,Table_PakMods,MATCH(C11,List_Company,0)+1,FALSE),1)</f>
        <v>1</v>
      </c>
      <c r="Q20" s="299">
        <f>IF(C7="PAC",VLOOKUP(B8,Table_PakMods,MATCH(C11,List_Company,0)+1,FALSE),1)</f>
        <v>1</v>
      </c>
      <c r="R20" s="299">
        <f>IF(C7="PAC",VLOOKUP(B8,Table_PakMods,MATCH(C11,List_Company,0)+1,FALSE),1)</f>
        <v>1</v>
      </c>
      <c r="S20" s="299">
        <f>IF(C7="PAC",VLOOKUP(B8,Table_PakMods,MATCH(C11,List_Company,0)+1,FALSE),1)</f>
        <v>1</v>
      </c>
      <c r="U20" s="82" t="s">
        <v>1515</v>
      </c>
      <c r="V20" s="60"/>
      <c r="W20" s="83"/>
      <c r="AC20" s="168" t="s">
        <v>971</v>
      </c>
      <c r="AD20" s="207">
        <f>HLOOKUP(C11,Table_StateRates,6,FALSE)</f>
        <v>1.9</v>
      </c>
      <c r="AE20" s="207">
        <f>HLOOKUP(C11,Table_StateRates,6,FALSE)</f>
        <v>1.9</v>
      </c>
      <c r="AF20" s="207">
        <f>HLOOKUP(C11,Table_StateRates,6,FALSE)</f>
        <v>1.9</v>
      </c>
      <c r="AG20" s="207">
        <f>HLOOKUP(C11,Table_StateRates,6,FALSE)</f>
        <v>1.9</v>
      </c>
      <c r="AI20" s="26"/>
      <c r="AJ20" s="8"/>
      <c r="AK20" s="8"/>
      <c r="AL20" s="8"/>
      <c r="AM20" s="140" t="s">
        <v>942</v>
      </c>
      <c r="AN20" s="481"/>
    </row>
    <row r="21" spans="1:40" x14ac:dyDescent="0.2">
      <c r="A21" s="122" t="s">
        <v>956</v>
      </c>
      <c r="B21" s="319">
        <f>IF(C17=1,1,2)</f>
        <v>1</v>
      </c>
      <c r="C21" s="1090" t="str">
        <f>IF(B3="B",TC10_BLDG1!C21,IF(B3="PP",TC10_PP1!C21,""))</f>
        <v>Yes</v>
      </c>
      <c r="D21" s="898" t="s">
        <v>1646</v>
      </c>
      <c r="E21" s="519"/>
      <c r="F21" s="446"/>
      <c r="H21" s="60" t="s">
        <v>2288</v>
      </c>
      <c r="I21" s="1468">
        <f>SUM(I5:L5,I15)</f>
        <v>0</v>
      </c>
      <c r="N21" s="542"/>
      <c r="O21" s="724" t="s">
        <v>1022</v>
      </c>
      <c r="P21" s="279">
        <v>1</v>
      </c>
      <c r="Q21" s="279">
        <v>1</v>
      </c>
      <c r="R21" s="279">
        <v>1</v>
      </c>
      <c r="S21" s="279">
        <v>1</v>
      </c>
      <c r="V21" s="168" t="s">
        <v>1165</v>
      </c>
      <c r="W21" s="248">
        <f>W11</f>
        <v>0</v>
      </c>
      <c r="AC21" s="168" t="s">
        <v>1019</v>
      </c>
      <c r="AD21" s="207">
        <f>HLOOKUP(C11,Table_StateRates,5,FALSE)</f>
        <v>1.38</v>
      </c>
      <c r="AE21" s="207">
        <f>HLOOKUP(C11,Table_StateRates,5,FALSE)</f>
        <v>1.38</v>
      </c>
      <c r="AF21" s="207">
        <f>HLOOKUP(C11,Table_StateRates,5,FALSE)</f>
        <v>1.38</v>
      </c>
      <c r="AG21" s="207">
        <f>HLOOKUP(C11,Table_StateRates,5,FALSE)</f>
        <v>1.38</v>
      </c>
      <c r="AI21" s="445" t="s">
        <v>943</v>
      </c>
      <c r="AJ21" s="8"/>
      <c r="AK21" s="142" t="s">
        <v>944</v>
      </c>
      <c r="AM21" s="140" t="s">
        <v>945</v>
      </c>
      <c r="AN21" s="481"/>
    </row>
    <row r="22" spans="1:40" x14ac:dyDescent="0.2">
      <c r="A22" s="911" t="s">
        <v>958</v>
      </c>
      <c r="B22" s="90"/>
      <c r="C22" s="571" t="str">
        <f>IF(B3="B",TC10_BLDG1!C22,IF(B3="PP",TC10_PP1!C22,""))</f>
        <v>No</v>
      </c>
      <c r="D22" s="518" t="s">
        <v>317</v>
      </c>
      <c r="E22" s="414"/>
      <c r="F22" s="891">
        <f>COUNTIF(E22:E23,"Yes")</f>
        <v>0</v>
      </c>
      <c r="N22" s="385"/>
      <c r="O22" s="685" t="s">
        <v>2236</v>
      </c>
      <c r="P22" s="1314">
        <f>ROUND(PRODUCT(P19:P21),3)</f>
        <v>1</v>
      </c>
      <c r="Q22" s="1314">
        <f>ROUND(PRODUCT(Q19:Q21),3)</f>
        <v>1</v>
      </c>
      <c r="R22" s="1314">
        <f>ROUND(PRODUCT(R19:R21),3)</f>
        <v>1</v>
      </c>
      <c r="S22" s="1314">
        <f>ROUND(PRODUCT(S19:S21),3)</f>
        <v>1</v>
      </c>
      <c r="U22" s="185"/>
      <c r="V22" s="187" t="s">
        <v>1516</v>
      </c>
      <c r="W22" s="238" t="e">
        <f>W18</f>
        <v>#N/A</v>
      </c>
      <c r="AC22" s="168" t="s">
        <v>180</v>
      </c>
      <c r="AD22" s="207">
        <v>1</v>
      </c>
      <c r="AE22" s="207">
        <v>1</v>
      </c>
      <c r="AF22" s="207">
        <v>1</v>
      </c>
      <c r="AG22" s="207">
        <v>1</v>
      </c>
      <c r="AI22" s="140" t="s">
        <v>1715</v>
      </c>
      <c r="AJ22" s="8"/>
      <c r="AK22" s="144"/>
      <c r="AM22" s="140" t="s">
        <v>946</v>
      </c>
      <c r="AN22" s="481"/>
    </row>
    <row r="23" spans="1:40" ht="13.5" thickBot="1" x14ac:dyDescent="0.25">
      <c r="A23" s="908" t="s">
        <v>955</v>
      </c>
      <c r="B23" s="910"/>
      <c r="C23" s="1091"/>
      <c r="D23" s="518" t="s">
        <v>315</v>
      </c>
      <c r="E23" s="414"/>
      <c r="F23" s="891"/>
      <c r="H23" s="60" t="s">
        <v>2291</v>
      </c>
      <c r="I23" s="1469" t="e">
        <f>SUM(I21,I18)</f>
        <v>#N/A</v>
      </c>
      <c r="N23" s="542"/>
      <c r="O23" s="1211" t="s">
        <v>2167</v>
      </c>
      <c r="P23" s="757" t="e">
        <f>P18</f>
        <v>#N/A</v>
      </c>
      <c r="Q23" s="757" t="e">
        <f>Q18</f>
        <v>#N/A</v>
      </c>
      <c r="R23" s="757">
        <f>R18</f>
        <v>0.16300000000000001</v>
      </c>
      <c r="S23" s="757">
        <f>S18</f>
        <v>0.06</v>
      </c>
      <c r="V23" s="83" t="s">
        <v>1517</v>
      </c>
      <c r="W23" s="260" t="e">
        <f>W21-W22</f>
        <v>#N/A</v>
      </c>
      <c r="AB23" s="146"/>
      <c r="AC23" s="545" t="s">
        <v>1020</v>
      </c>
      <c r="AD23" s="299">
        <f>IF(C7="PAC",VLOOKUP(B8,Table_PakMods,MATCH(C11,List_Company,0)+1,FALSE),1)</f>
        <v>1</v>
      </c>
      <c r="AE23" s="299">
        <f>IF(C7="PAC",VLOOKUP(B8,Table_PakMods,MATCH(C11,List_Company,0)+1,FALSE),1)</f>
        <v>1</v>
      </c>
      <c r="AF23" s="299">
        <f>IF(C7="PAC",VLOOKUP(B8,Table_PakMods,MATCH(C11,List_Company,0)+1,FALSE),1)</f>
        <v>1</v>
      </c>
      <c r="AG23" s="299">
        <f>IF(C7="PAC",VLOOKUP(B8,Table_PakMods,MATCH(C11,List_Company,0)+1,FALSE),1)</f>
        <v>1</v>
      </c>
      <c r="AI23" s="141" t="s">
        <v>1714</v>
      </c>
      <c r="AJ23" s="139"/>
      <c r="AK23" s="145"/>
      <c r="AM23" s="445"/>
      <c r="AN23" s="481"/>
    </row>
    <row r="24" spans="1:40" ht="13.5" thickBot="1" x14ac:dyDescent="0.25">
      <c r="A24" s="108" t="s">
        <v>957</v>
      </c>
      <c r="B24" s="896"/>
      <c r="C24" s="889" t="str">
        <f>IF(B3="B",TC10_BLDG1!C24,IF(B3="PP",TC10_PP1!C24,""))</f>
        <v>Yes</v>
      </c>
      <c r="D24" s="518" t="s">
        <v>316</v>
      </c>
      <c r="E24" s="414"/>
      <c r="F24" s="891"/>
      <c r="O24" s="83" t="s">
        <v>2242</v>
      </c>
      <c r="P24" s="1315" t="e">
        <f>ROUND(PRODUCT(P22:P23),3)</f>
        <v>#N/A</v>
      </c>
      <c r="Q24" s="1315" t="e">
        <f>ROUND(PRODUCT(Q22:Q23),3)</f>
        <v>#N/A</v>
      </c>
      <c r="R24" s="1315">
        <f>ROUND(PRODUCT(R22:R23),3)</f>
        <v>0.16300000000000001</v>
      </c>
      <c r="S24" s="1315">
        <f>ROUND(PRODUCT(S22:S23),3)</f>
        <v>0.06</v>
      </c>
      <c r="V24" s="83"/>
      <c r="AB24" s="542"/>
      <c r="AC24" s="724" t="s">
        <v>1022</v>
      </c>
      <c r="AD24" s="279">
        <v>1</v>
      </c>
      <c r="AE24" s="279">
        <v>1</v>
      </c>
      <c r="AF24" s="279">
        <v>1</v>
      </c>
      <c r="AG24" s="279">
        <v>1</v>
      </c>
      <c r="AI24" s="141" t="s">
        <v>1716</v>
      </c>
      <c r="AJ24" s="139"/>
      <c r="AK24" s="145"/>
      <c r="AM24" s="1618"/>
      <c r="AN24" s="1619"/>
    </row>
    <row r="25" spans="1:40" ht="13.5" thickBot="1" x14ac:dyDescent="0.25">
      <c r="A25" s="92"/>
      <c r="B25" s="93"/>
      <c r="C25" s="119"/>
      <c r="D25" s="518" t="s">
        <v>1574</v>
      </c>
      <c r="E25" s="414"/>
      <c r="F25" s="891">
        <f>COUNTIF(E25:E26,"Yes")</f>
        <v>0</v>
      </c>
      <c r="N25" s="185"/>
      <c r="O25" s="186" t="s">
        <v>1025</v>
      </c>
      <c r="P25" s="238">
        <f>IF(ISNUMBER(F4),F4/100,0)</f>
        <v>0</v>
      </c>
      <c r="Q25" s="238">
        <f>IF(ISNUMBER(F4),F4/100,0)</f>
        <v>0</v>
      </c>
      <c r="R25" s="238">
        <f>IF(ISNUMBER(F4),F4/100,0)</f>
        <v>0</v>
      </c>
      <c r="S25" s="238">
        <f>IF(ISNUMBER(F4),F4/100,0)</f>
        <v>0</v>
      </c>
      <c r="V25" s="83"/>
      <c r="AC25" s="83" t="s">
        <v>1150</v>
      </c>
      <c r="AD25" s="2">
        <f>ROUND(PRODUCT(AD19:AD24),3)</f>
        <v>0.115</v>
      </c>
      <c r="AE25" s="2">
        <f>ROUND(PRODUCT(AE19:AE24),3)</f>
        <v>0.115</v>
      </c>
      <c r="AF25" s="2">
        <f>ROUND(PRODUCT(AF19:AF24),3)</f>
        <v>7.5999999999999998E-2</v>
      </c>
      <c r="AG25" s="2">
        <f>ROUND(PRODUCT(AG19:AG24),3)</f>
        <v>2.5999999999999999E-2</v>
      </c>
      <c r="AI25" s="141" t="s">
        <v>1717</v>
      </c>
      <c r="AJ25" s="139"/>
      <c r="AK25" s="145"/>
      <c r="AM25" s="445"/>
      <c r="AN25" s="481"/>
    </row>
    <row r="26" spans="1:40" x14ac:dyDescent="0.2">
      <c r="A26" s="161" t="s">
        <v>1827</v>
      </c>
      <c r="B26" s="217"/>
      <c r="C26" s="986"/>
      <c r="D26" s="518" t="s">
        <v>1575</v>
      </c>
      <c r="E26" s="414"/>
      <c r="F26" s="891"/>
      <c r="O26" s="83" t="s">
        <v>978</v>
      </c>
      <c r="P26" s="248" t="e">
        <f>ROUND(PRODUCT(P24:P25),0)</f>
        <v>#N/A</v>
      </c>
      <c r="Q26" s="248" t="e">
        <f>ROUND(PRODUCT(Q24:Q25),0)</f>
        <v>#N/A</v>
      </c>
      <c r="R26" s="248">
        <f>ROUND(PRODUCT(R24:R25),0)</f>
        <v>0</v>
      </c>
      <c r="S26" s="248">
        <f>ROUND(PRODUCT(S24:S25),0)</f>
        <v>0</v>
      </c>
      <c r="AB26" s="185"/>
      <c r="AC26" s="186" t="s">
        <v>1025</v>
      </c>
      <c r="AD26" s="238">
        <f>IF(ISNUMBER(E21),E21/100,0)</f>
        <v>0</v>
      </c>
      <c r="AE26" s="238">
        <f>IF(ISNUMBER(E21),E21/100,0)</f>
        <v>0</v>
      </c>
      <c r="AF26" s="238">
        <f>IF(ISNUMBER(E21),E21/100,0)</f>
        <v>0</v>
      </c>
      <c r="AG26" s="238">
        <f>IF(ISNUMBER(E21),E21/100,0)</f>
        <v>0</v>
      </c>
      <c r="AI26" s="141" t="s">
        <v>1718</v>
      </c>
      <c r="AJ26" s="8"/>
      <c r="AK26" s="145"/>
      <c r="AM26" s="26"/>
      <c r="AN26" s="481"/>
    </row>
    <row r="27" spans="1:40" ht="13.5" thickBot="1" x14ac:dyDescent="0.25">
      <c r="A27" s="521" t="s">
        <v>899</v>
      </c>
      <c r="B27" s="817" t="str">
        <f>IF(C27="C","Class",IF(C27="S","Specific",IF(C27="T","Tentative","")))</f>
        <v>Class</v>
      </c>
      <c r="C27" s="818" t="str">
        <f>IF(B3="B",IF(TC10_BLDG1!C28&lt;&gt;"SC",TC10_BLDG1!C28,"C"),IF(B3="PP",TC10_PP1!C28,""))</f>
        <v>C</v>
      </c>
      <c r="D27" s="91"/>
      <c r="E27" s="195"/>
      <c r="F27" s="101"/>
      <c r="N27" s="146"/>
      <c r="O27" s="300"/>
      <c r="P27" s="299"/>
      <c r="Q27" s="146"/>
      <c r="R27" s="146"/>
      <c r="S27" s="146"/>
      <c r="U27" s="60" t="s">
        <v>554</v>
      </c>
      <c r="X27" s="60" t="s">
        <v>557</v>
      </c>
      <c r="AC27" s="83" t="s">
        <v>1647</v>
      </c>
      <c r="AD27" s="248">
        <f>ROUND(PRODUCT(AD25:AD26),0)</f>
        <v>0</v>
      </c>
      <c r="AE27" s="248">
        <f>ROUND(PRODUCT(AE25:AE26),0)</f>
        <v>0</v>
      </c>
      <c r="AF27" s="248">
        <f>ROUND(PRODUCT(AF25:AF26),0)</f>
        <v>0</v>
      </c>
      <c r="AG27" s="248">
        <f>ROUND(PRODUCT(AG25:AG26),0)</f>
        <v>0</v>
      </c>
      <c r="AI27" s="141" t="s">
        <v>1719</v>
      </c>
      <c r="AJ27" s="8"/>
      <c r="AK27" s="145"/>
      <c r="AM27" s="26"/>
      <c r="AN27" s="481"/>
    </row>
    <row r="28" spans="1:40" x14ac:dyDescent="0.2">
      <c r="A28" s="108" t="s">
        <v>953</v>
      </c>
      <c r="B28" s="95"/>
      <c r="C28" s="570" t="str">
        <f>IF(B3="B",TC10_BLDG1!C30,IF(B3="PP",TC10_PP1!C30,0))</f>
        <v>No</v>
      </c>
      <c r="D28" s="980" t="s">
        <v>662</v>
      </c>
      <c r="E28" s="474"/>
      <c r="F28" s="956" t="s">
        <v>857</v>
      </c>
      <c r="N28" s="146"/>
      <c r="O28" s="301"/>
      <c r="P28" s="299"/>
      <c r="Q28" s="146"/>
      <c r="R28" s="146"/>
      <c r="S28" s="146"/>
      <c r="U28" s="2" t="s">
        <v>555</v>
      </c>
      <c r="X28" s="834">
        <f>IF(P14=1,0,2)</f>
        <v>0</v>
      </c>
      <c r="Y28" s="2" t="s">
        <v>558</v>
      </c>
      <c r="AI28" s="141" t="s">
        <v>1720</v>
      </c>
      <c r="AJ28" s="8"/>
      <c r="AK28" s="145"/>
      <c r="AM28" s="26"/>
      <c r="AN28" s="481"/>
    </row>
    <row r="29" spans="1:40" ht="13.5" thickBot="1" x14ac:dyDescent="0.25">
      <c r="A29" s="743" t="str">
        <f>IF(B3="B","80% Bldg LC - Grp I / II",IF(B3="PP","80% Pers. Pty LC - Grp I / II","No Rating Available"))</f>
        <v>80% Bldg LC - Grp I / II</v>
      </c>
      <c r="B29" s="749">
        <f>IF(B3="B",TC10_BLDG1!P5,IF(B3="PP",TC10_PP1!P5,0))</f>
        <v>0.126</v>
      </c>
      <c r="C29" s="749">
        <f>IF(B3="B",TC10_BLDG1!Q5,IF(B3="PP",TC10_PP1!Q5,0))</f>
        <v>4.2000000000000003E-2</v>
      </c>
      <c r="D29" s="473" t="s">
        <v>1766</v>
      </c>
      <c r="E29" s="216"/>
      <c r="F29" s="763">
        <f>IF(F28="No",0,F4)</f>
        <v>0</v>
      </c>
      <c r="N29" s="60" t="s">
        <v>1612</v>
      </c>
      <c r="P29" s="235" t="s">
        <v>1012</v>
      </c>
      <c r="Q29" s="235" t="s">
        <v>1013</v>
      </c>
      <c r="R29" s="235" t="s">
        <v>838</v>
      </c>
      <c r="S29" s="235" t="s">
        <v>837</v>
      </c>
      <c r="U29" s="834">
        <f>IF(P13=1,0,2)</f>
        <v>0</v>
      </c>
      <c r="V29" s="2" t="s">
        <v>556</v>
      </c>
      <c r="X29" s="834">
        <f>IF(P13=1,0,4)</f>
        <v>0</v>
      </c>
      <c r="Y29" s="2" t="s">
        <v>556</v>
      </c>
      <c r="AC29" s="685" t="s">
        <v>1433</v>
      </c>
      <c r="AD29" s="907">
        <f>IF(F20="Yes",IF(C12="SP",SUM(AD27:AF27),IF(C12="BR",SUM(AD27:AE27,AG27),SUM(AD27:AE27))),0)</f>
        <v>0</v>
      </c>
      <c r="AI29" s="141" t="s">
        <v>1721</v>
      </c>
      <c r="AJ29" s="8"/>
      <c r="AK29" s="145"/>
      <c r="AM29" s="26"/>
      <c r="AN29" s="481"/>
    </row>
    <row r="30" spans="1:40" ht="13.5" thickBot="1" x14ac:dyDescent="0.25">
      <c r="A30" s="122" t="s">
        <v>1430</v>
      </c>
      <c r="B30" s="886" t="str">
        <f>IF(ISNUMBER(C30),VLOOKUP(C30,Table_Special_PP,2,0),"NA")</f>
        <v>Motels/Hotels</v>
      </c>
      <c r="C30" s="885">
        <f>IF(B3="B",TC10_BLDG1!C33,IF(B3="PP",TC10_PP1!C33,""))</f>
        <v>6</v>
      </c>
      <c r="D30" s="669" t="s">
        <v>1833</v>
      </c>
      <c r="E30" s="216"/>
      <c r="F30" s="954" t="s">
        <v>857</v>
      </c>
      <c r="O30" s="168" t="str">
        <f>C3&amp;" - Loss Cost"</f>
        <v>Building - Loss Cost</v>
      </c>
      <c r="P30" s="247">
        <f>B29</f>
        <v>0.126</v>
      </c>
      <c r="Q30" s="247">
        <f>C29</f>
        <v>4.2000000000000003E-2</v>
      </c>
      <c r="R30" s="247">
        <f>IF(C12="SP",VLOOKUP(B13,Table_Time_Special,3,FALSE),0)</f>
        <v>6.2E-2</v>
      </c>
      <c r="S30" s="247">
        <f>HLOOKUP(B12,Table_BroadTime,3,FALSE)</f>
        <v>2.3E-2</v>
      </c>
      <c r="U30" s="917">
        <f>IF(P6=1,0,4)</f>
        <v>4</v>
      </c>
      <c r="V30" s="185" t="s">
        <v>1161</v>
      </c>
      <c r="X30" s="917">
        <f>IF(P6=1,0,5)</f>
        <v>5</v>
      </c>
      <c r="Y30" s="185" t="s">
        <v>1161</v>
      </c>
      <c r="AI30" s="141" t="s">
        <v>1722</v>
      </c>
      <c r="AJ30" s="8"/>
      <c r="AK30" s="145"/>
      <c r="AM30" s="26"/>
      <c r="AN30" s="481"/>
    </row>
    <row r="31" spans="1:40" ht="13.5" thickBot="1" x14ac:dyDescent="0.25">
      <c r="A31" s="108" t="s">
        <v>1813</v>
      </c>
      <c r="B31" s="939" t="str">
        <f>IF(B3="B",TC10_BLDG1!C61,IF(B3="PP",TC10_PP1!C57,0))</f>
        <v>NA</v>
      </c>
      <c r="C31" s="570" t="str">
        <f>IF(B3="B",TC10_BLDG1!C59,IF(B3="PP",TC10_PP1!C55,0))</f>
        <v>No</v>
      </c>
      <c r="D31" s="507" t="s">
        <v>677</v>
      </c>
      <c r="E31" s="947" t="s">
        <v>459</v>
      </c>
      <c r="F31" s="772" t="str">
        <f>IF(F30="Yes","B","")</f>
        <v/>
      </c>
      <c r="O31" s="168" t="s">
        <v>970</v>
      </c>
      <c r="P31" s="207">
        <f>IF(C30="Yes",DF_Sprinkler50,1)</f>
        <v>1</v>
      </c>
      <c r="Q31" s="207">
        <v>1</v>
      </c>
      <c r="R31" s="207">
        <v>1</v>
      </c>
      <c r="S31" s="299">
        <v>1</v>
      </c>
      <c r="U31" s="834">
        <f>SUM(U29:U30)</f>
        <v>4</v>
      </c>
      <c r="V31" s="53" t="str">
        <f>"Subtract from the " &amp; IF(OR(U31=6,U31=2),"Terr Mult",IF(U31=4,"Prot Class","Loss Cost"))</f>
        <v>Subtract from the Prot Class</v>
      </c>
      <c r="X31" s="834">
        <f>SUM(X28:X30)</f>
        <v>5</v>
      </c>
      <c r="Y31" s="53" t="str">
        <f>"Subtract from the " &amp; IF(OR(X31=2,X31=6,X31=7,X31=11),"Sprk Lkg",IF(OR(X31=4,X31=9),"Terr Mult",IF(X31=5,"Prot Class","Loss Cost")))</f>
        <v>Subtract from the Prot Class</v>
      </c>
      <c r="AB31" s="266"/>
      <c r="AC31" s="266"/>
      <c r="AD31" s="266"/>
      <c r="AE31" s="558"/>
      <c r="AF31" s="558"/>
      <c r="AG31" s="558"/>
      <c r="AI31" s="85"/>
      <c r="AJ31" s="86"/>
      <c r="AK31" s="86"/>
      <c r="AL31" s="86"/>
      <c r="AM31" s="85"/>
      <c r="AN31" s="196"/>
    </row>
    <row r="32" spans="1:40" ht="13.5" thickBot="1" x14ac:dyDescent="0.25">
      <c r="A32" s="108" t="s">
        <v>1825</v>
      </c>
      <c r="B32" s="747"/>
      <c r="C32" s="570" t="str">
        <f>IF(B3="B",TC10_BLDG1!B60,IF(B3="PP",TC10_PP1!B56,0))</f>
        <v>No</v>
      </c>
      <c r="D32" s="507" t="s">
        <v>1748</v>
      </c>
      <c r="E32" s="947">
        <v>25</v>
      </c>
      <c r="F32" s="771" t="str">
        <f>IF(F30="Yes",E32&amp;"_"&amp;E31,"")</f>
        <v/>
      </c>
      <c r="N32" s="185"/>
      <c r="O32" s="186" t="s">
        <v>971</v>
      </c>
      <c r="P32" s="208">
        <f>HLOOKUP(C11,Table_StateRates,6,FALSE)</f>
        <v>1.9</v>
      </c>
      <c r="Q32" s="208">
        <f>HLOOKUP(C11,Table_StateRates,6,FALSE)</f>
        <v>1.9</v>
      </c>
      <c r="R32" s="208">
        <f>HLOOKUP(C11,Table_StateRates,6,FALSE)</f>
        <v>1.9</v>
      </c>
      <c r="S32" s="208">
        <f>HLOOKUP(C11,Table_StateRates,6,FALSE)</f>
        <v>1.9</v>
      </c>
      <c r="U32" s="146"/>
      <c r="AB32" s="60" t="s">
        <v>552</v>
      </c>
      <c r="AD32" s="235" t="s">
        <v>1012</v>
      </c>
      <c r="AE32" s="235" t="s">
        <v>1013</v>
      </c>
      <c r="AF32" s="235" t="s">
        <v>838</v>
      </c>
      <c r="AG32" s="235" t="s">
        <v>837</v>
      </c>
    </row>
    <row r="33" spans="1:33" ht="13.5" thickBot="1" x14ac:dyDescent="0.25">
      <c r="A33" s="108" t="s">
        <v>1824</v>
      </c>
      <c r="B33" s="748"/>
      <c r="C33" s="570">
        <f>IF(AND(B3="B",TC10_BLDG1!C62="Yes"),TC10_BLDG1!P14,IF(AND(B3="PP",TC10_PP1!C58="Yes"),TC10_PP1!P14,0))</f>
        <v>0</v>
      </c>
      <c r="D33" s="669" t="s">
        <v>1834</v>
      </c>
      <c r="E33" s="261"/>
      <c r="F33" s="954" t="s">
        <v>857</v>
      </c>
      <c r="O33" s="83" t="s">
        <v>1134</v>
      </c>
      <c r="P33" s="247">
        <f>ROUND(PRODUCT(P30:P32),3)</f>
        <v>0.23899999999999999</v>
      </c>
      <c r="Q33" s="247">
        <f>ROUND(PRODUCT(Q30:Q32),3)</f>
        <v>0.08</v>
      </c>
      <c r="R33" s="247">
        <f>ROUND(PRODUCT(R30:R32),3)</f>
        <v>0.11799999999999999</v>
      </c>
      <c r="S33" s="247">
        <f>ROUND(PRODUCT(S30:S32),3)</f>
        <v>4.3999999999999997E-2</v>
      </c>
      <c r="U33" s="479" t="str">
        <f>IF(OR(U31=6,U31=2),"TM",IF(U31=4,"PC","LC"))</f>
        <v>PC</v>
      </c>
      <c r="V33" s="919" t="s">
        <v>559</v>
      </c>
      <c r="X33" s="479" t="str">
        <f>IF(AND(B31="Sprinkler",OR(X31=2,X31=6,X31=7,X31=11)),"SL",IF(AND(OR(B31="NA",ISNUMBER(B31)),OR(X31=4,X31=9)),"TM",IF(AND(OR(B31="NA",ISNUMBER(B31)),X31=5),"PC","LC")))</f>
        <v>PC</v>
      </c>
      <c r="AB33" s="146"/>
      <c r="AC33" s="545" t="s">
        <v>1049</v>
      </c>
      <c r="AD33" s="146">
        <f>VLOOKUP(3,Table_Time_Utility,2,FALSE)</f>
        <v>1.0999999999999999E-2</v>
      </c>
      <c r="AE33" s="146">
        <f>VLOOKUP(3,Table_Time_Utility,3,FALSE)</f>
        <v>2.7E-2</v>
      </c>
      <c r="AF33" s="146">
        <f>VLOOKUP(3,Table_Time_Utility,5,FALSE)</f>
        <v>5.2999999999999999E-2</v>
      </c>
      <c r="AG33" s="563">
        <f>VLOOKUP(3,Table_Time_Utility,4,FALSE)</f>
        <v>0.01</v>
      </c>
    </row>
    <row r="34" spans="1:33" x14ac:dyDescent="0.2">
      <c r="A34" s="122" t="s">
        <v>1469</v>
      </c>
      <c r="B34" s="747"/>
      <c r="C34" s="570" t="str">
        <f>IF(B3="B",TC10_BLDG1!C64,IF(B3="PP",TC10_PP1!C60,0))</f>
        <v>No</v>
      </c>
      <c r="D34" s="669" t="s">
        <v>1835</v>
      </c>
      <c r="E34" s="261"/>
      <c r="F34" s="954" t="s">
        <v>857</v>
      </c>
      <c r="N34" s="185"/>
      <c r="O34" s="186" t="s">
        <v>1258</v>
      </c>
      <c r="P34" s="208" t="e">
        <f>VLOOKUP(F5,Table_EE_CoIns,3,FALSE)</f>
        <v>#N/A</v>
      </c>
      <c r="Q34" s="208" t="e">
        <f>VLOOKUP(F5,Table_EE_CoIns,3,FALSE)</f>
        <v>#N/A</v>
      </c>
      <c r="R34" s="208">
        <v>1</v>
      </c>
      <c r="S34" s="208">
        <v>1</v>
      </c>
      <c r="AB34" s="185"/>
      <c r="AC34" s="186" t="s">
        <v>1050</v>
      </c>
      <c r="AD34" s="238">
        <f>F25</f>
        <v>0</v>
      </c>
      <c r="AE34" s="238">
        <f>F25</f>
        <v>0</v>
      </c>
      <c r="AF34" s="238">
        <f>F25</f>
        <v>0</v>
      </c>
      <c r="AG34" s="785">
        <f>F25</f>
        <v>0</v>
      </c>
    </row>
    <row r="35" spans="1:33" ht="13.5" thickBot="1" x14ac:dyDescent="0.25">
      <c r="A35" s="526"/>
      <c r="B35" s="96"/>
      <c r="C35" s="987"/>
      <c r="D35" s="507" t="s">
        <v>1836</v>
      </c>
      <c r="E35" s="947"/>
      <c r="F35" s="293"/>
      <c r="O35" s="83" t="s">
        <v>917</v>
      </c>
      <c r="P35" s="247" t="e">
        <f>ROUND(PRODUCT(P33:P34),3)</f>
        <v>#N/A</v>
      </c>
      <c r="Q35" s="247" t="e">
        <f>ROUND(PRODUCT(Q33:Q34),3)</f>
        <v>#N/A</v>
      </c>
      <c r="R35" s="247">
        <f>ROUND(PRODUCT(R33:R34),3)</f>
        <v>0.11799999999999999</v>
      </c>
      <c r="S35" s="247">
        <f>ROUND(PRODUCT(S33:S34),3)</f>
        <v>4.3999999999999997E-2</v>
      </c>
      <c r="AB35" s="146"/>
      <c r="AC35" s="301" t="s">
        <v>1051</v>
      </c>
      <c r="AD35" s="146">
        <f>ROUND(PRODUCT(AD33:AD34),3)</f>
        <v>0</v>
      </c>
      <c r="AE35" s="146">
        <f>ROUND(PRODUCT(AE33:AE34),3)</f>
        <v>0</v>
      </c>
      <c r="AF35" s="146">
        <f>ROUND(PRODUCT(AF33:AF34),3)</f>
        <v>0</v>
      </c>
      <c r="AG35" s="146">
        <f>ROUND(PRODUCT(AG33:AG34),3)</f>
        <v>0</v>
      </c>
    </row>
    <row r="36" spans="1:33" x14ac:dyDescent="0.2">
      <c r="D36" s="762"/>
      <c r="E36" s="774"/>
      <c r="F36" s="773"/>
      <c r="O36" s="189" t="s">
        <v>1496</v>
      </c>
      <c r="P36" s="247">
        <v>1</v>
      </c>
      <c r="Q36" s="207">
        <f>IF(C32="Yes",VLOOKUP(C15,Table_Construction,3,FALSE),1)</f>
        <v>1</v>
      </c>
      <c r="R36" s="207">
        <v>1</v>
      </c>
      <c r="S36" s="207">
        <v>1</v>
      </c>
      <c r="AC36" s="168" t="s">
        <v>971</v>
      </c>
      <c r="AD36" s="207">
        <f>HLOOKUP(C11,Table_StateRates,6,FALSE)</f>
        <v>1.9</v>
      </c>
      <c r="AE36" s="207">
        <f>HLOOKUP(C11,Table_StateRates,6,FALSE)</f>
        <v>1.9</v>
      </c>
      <c r="AF36" s="207">
        <f>HLOOKUP(C11,Table_StateRates,6,FALSE)</f>
        <v>1.9</v>
      </c>
      <c r="AG36" s="207">
        <f>HLOOKUP(C11,Table_StateRates,6,FALSE)</f>
        <v>1.9</v>
      </c>
    </row>
    <row r="37" spans="1:33" ht="13.5" thickBot="1" x14ac:dyDescent="0.25">
      <c r="A37" s="739"/>
      <c r="B37" s="686"/>
      <c r="C37" s="686"/>
      <c r="D37" s="669" t="s">
        <v>1234</v>
      </c>
      <c r="E37" s="261"/>
      <c r="F37" s="954" t="s">
        <v>857</v>
      </c>
      <c r="O37" s="168" t="s">
        <v>972</v>
      </c>
      <c r="P37" s="207">
        <f>IF(OR(C27="S",C27="T"),1,VLOOKUP(C14,Table_ProtClass,IF(C15&lt;=3,2,3),FALSE)) - IF(AND(C33=1,ISNUMBER(B31),P13=1),B31,0)</f>
        <v>0.96</v>
      </c>
      <c r="Q37" s="207">
        <v>1</v>
      </c>
      <c r="R37" s="207">
        <v>1</v>
      </c>
      <c r="S37" s="207">
        <v>1</v>
      </c>
      <c r="AC37" s="168" t="s">
        <v>1019</v>
      </c>
      <c r="AD37" s="207">
        <f>HLOOKUP(C11,Table_StateRates,5,FALSE)</f>
        <v>1.38</v>
      </c>
      <c r="AE37" s="207">
        <f>HLOOKUP(C11,Table_StateRates,5,FALSE)</f>
        <v>1.38</v>
      </c>
      <c r="AF37" s="207">
        <f>HLOOKUP(C11,Table_StateRates,5,FALSE)</f>
        <v>1.38</v>
      </c>
      <c r="AG37" s="207">
        <f>HLOOKUP(C11,Table_StateRates,5,FALSE)</f>
        <v>1.38</v>
      </c>
    </row>
    <row r="38" spans="1:33" ht="13.5" thickBot="1" x14ac:dyDescent="0.25">
      <c r="A38" s="740"/>
      <c r="B38" s="686"/>
      <c r="C38" s="686"/>
      <c r="D38" s="507" t="s">
        <v>1235</v>
      </c>
      <c r="E38" s="947"/>
      <c r="F38" s="293"/>
      <c r="G38" s="385"/>
      <c r="O38" s="168" t="s">
        <v>1199</v>
      </c>
      <c r="P38" s="247">
        <f>IF(OR(C27="S",C27="T"),1,VLOOKUP(C17,Table_TerrMult,2,FALSE)) - IF(AND((C31)="Yes",ISNUMBER(B31)),B31,0)</f>
        <v>1</v>
      </c>
      <c r="Q38" s="207">
        <v>1</v>
      </c>
      <c r="R38" s="207">
        <v>1</v>
      </c>
      <c r="S38" s="207">
        <v>1</v>
      </c>
      <c r="U38" s="1602" t="s">
        <v>388</v>
      </c>
      <c r="V38" s="1603"/>
      <c r="W38" s="1603"/>
      <c r="X38" s="1603"/>
      <c r="Y38" s="1603"/>
      <c r="Z38" s="1604"/>
      <c r="AC38" s="168" t="s">
        <v>180</v>
      </c>
      <c r="AD38" s="207">
        <v>1</v>
      </c>
      <c r="AE38" s="207">
        <v>1</v>
      </c>
      <c r="AF38" s="207">
        <v>1</v>
      </c>
      <c r="AG38" s="207">
        <v>1</v>
      </c>
    </row>
    <row r="39" spans="1:33" ht="13.5" thickBot="1" x14ac:dyDescent="0.25">
      <c r="A39" s="740"/>
      <c r="B39" s="686"/>
      <c r="C39" s="686"/>
      <c r="D39" s="514"/>
      <c r="E39" s="515"/>
      <c r="F39" s="516"/>
      <c r="G39" s="385"/>
      <c r="O39" s="168" t="s">
        <v>1100</v>
      </c>
      <c r="P39" s="207">
        <f>IF(C31="Yes",IF(ISNUMBER(B31),1,VLOOKUP(C15,Table_SprLkg,IF(B3="B",2,3),FALSE)),1)</f>
        <v>1</v>
      </c>
      <c r="Q39" s="207">
        <v>1</v>
      </c>
      <c r="R39" s="207">
        <v>1</v>
      </c>
      <c r="S39" s="207">
        <v>1</v>
      </c>
      <c r="U39" s="266"/>
      <c r="V39" s="266"/>
      <c r="W39" s="266"/>
      <c r="X39" s="266"/>
      <c r="Y39" s="266"/>
      <c r="Z39" s="266"/>
      <c r="AB39" s="146"/>
      <c r="AC39" s="545" t="s">
        <v>1020</v>
      </c>
      <c r="AD39" s="299">
        <f>IF(C7="PAC",VLOOKUP(B8,Table_PakMods,MATCH(C11,List_Company,0)+1,FALSE),1)</f>
        <v>1</v>
      </c>
      <c r="AE39" s="299">
        <f>IF(C7="PAC",VLOOKUP(B8,Table_PakMods,MATCH(C11,List_Company,0)+1,FALSE),1)</f>
        <v>1</v>
      </c>
      <c r="AF39" s="299">
        <f>IF(C7="PAC",VLOOKUP(B8,Table_PakMods,MATCH(C11,List_Company,0)+1,FALSE),1)</f>
        <v>1</v>
      </c>
      <c r="AG39" s="299">
        <f>IF(C7="PAC",VLOOKUP(B8,Table_PakMods,MATCH(C11,List_Company,0)+1,FALSE),1)</f>
        <v>1</v>
      </c>
    </row>
    <row r="40" spans="1:33" x14ac:dyDescent="0.2">
      <c r="A40" s="686"/>
      <c r="B40" s="686"/>
      <c r="C40" s="686"/>
      <c r="D40" s="737"/>
      <c r="E40" s="686"/>
      <c r="F40" s="385"/>
      <c r="G40" s="385"/>
      <c r="O40" s="236" t="s">
        <v>1099</v>
      </c>
      <c r="P40" s="281">
        <f>C33</f>
        <v>0</v>
      </c>
      <c r="Q40" s="211">
        <v>1</v>
      </c>
      <c r="R40" s="211">
        <v>1</v>
      </c>
      <c r="S40" s="211">
        <v>1</v>
      </c>
      <c r="U40" s="566" t="s">
        <v>1172</v>
      </c>
      <c r="V40" s="266"/>
      <c r="W40" s="266"/>
      <c r="X40" s="266"/>
      <c r="Y40" s="566"/>
      <c r="Z40" s="266"/>
      <c r="AB40" s="542"/>
      <c r="AC40" s="724" t="s">
        <v>1022</v>
      </c>
      <c r="AD40" s="279">
        <v>1</v>
      </c>
      <c r="AE40" s="279">
        <v>1</v>
      </c>
      <c r="AF40" s="279">
        <v>1</v>
      </c>
      <c r="AG40" s="279">
        <v>1</v>
      </c>
    </row>
    <row r="41" spans="1:33" x14ac:dyDescent="0.2">
      <c r="A41" s="739"/>
      <c r="B41" s="686"/>
      <c r="C41" s="686"/>
      <c r="D41" s="737"/>
      <c r="E41" s="686"/>
      <c r="F41" s="385"/>
      <c r="G41" s="385"/>
      <c r="N41" s="209"/>
      <c r="O41" s="210" t="s">
        <v>1016</v>
      </c>
      <c r="P41" s="212">
        <v>1</v>
      </c>
      <c r="Q41" s="212">
        <v>1</v>
      </c>
      <c r="R41" s="212">
        <v>1</v>
      </c>
      <c r="S41" s="212">
        <v>1</v>
      </c>
      <c r="U41" s="266"/>
      <c r="V41" s="486" t="s">
        <v>228</v>
      </c>
      <c r="W41" s="426">
        <f>IF(C21="Yes",HLOOKUP(B21,Table_Terrorism,3,FALSE),0)</f>
        <v>1.4999999999999999E-2</v>
      </c>
      <c r="X41" s="266"/>
      <c r="Y41" s="385"/>
      <c r="Z41" s="702"/>
      <c r="AC41" s="83" t="s">
        <v>1150</v>
      </c>
      <c r="AD41" s="2">
        <f>ROUND(PRODUCT(AD35:AD40),3)</f>
        <v>0</v>
      </c>
      <c r="AE41" s="2">
        <f>ROUND(PRODUCT(AE35:AE40),3)</f>
        <v>0</v>
      </c>
      <c r="AF41" s="2">
        <f>ROUND(PRODUCT(AF35:AF40),3)</f>
        <v>0</v>
      </c>
      <c r="AG41" s="2">
        <f>ROUND(PRODUCT(AG35:AG40),3)</f>
        <v>0</v>
      </c>
    </row>
    <row r="42" spans="1:33" ht="13.5" customHeight="1" x14ac:dyDescent="0.2">
      <c r="A42" s="741"/>
      <c r="B42" s="686"/>
      <c r="C42" s="686"/>
      <c r="D42" s="737"/>
      <c r="E42" s="686"/>
      <c r="F42" s="385"/>
      <c r="G42" s="385"/>
      <c r="O42" s="168" t="s">
        <v>1259</v>
      </c>
      <c r="P42" s="207">
        <f>IF(F7="Yes",VLOOKUP(E8,Table_CivilAuth,2,FALSE),1)</f>
        <v>1</v>
      </c>
      <c r="Q42" s="207">
        <f>IF(F7="Yes",VLOOKUP(E8,Table_CivilAuth,2,FALSE),1)</f>
        <v>1</v>
      </c>
      <c r="R42" s="207">
        <f>IF(F7="Yes",VLOOKUP(E8,Table_CivilAuth,2,FALSE),1)</f>
        <v>1</v>
      </c>
      <c r="S42" s="207">
        <f>IF(F7="Yes",VLOOKUP(E8,Table_CivilAuth,2,FALSE),1)</f>
        <v>1</v>
      </c>
      <c r="U42" s="209"/>
      <c r="V42" s="280" t="s">
        <v>1176</v>
      </c>
      <c r="W42" s="212">
        <v>1</v>
      </c>
      <c r="X42" s="385"/>
      <c r="Y42" s="385"/>
      <c r="Z42" s="702"/>
      <c r="AB42" s="185"/>
      <c r="AC42" s="186" t="s">
        <v>1025</v>
      </c>
      <c r="AD42" s="238">
        <f>IF(ISNUMBER(E21),E21/100,0)</f>
        <v>0</v>
      </c>
      <c r="AE42" s="238">
        <f>IF(ISNUMBER(E21),E21/100,0)</f>
        <v>0</v>
      </c>
      <c r="AF42" s="238">
        <f>IF(ISNUMBER(E21),E21/100,0)</f>
        <v>0</v>
      </c>
      <c r="AG42" s="238">
        <f>IF(ISNUMBER(E21),E21/100,0)</f>
        <v>0</v>
      </c>
    </row>
    <row r="43" spans="1:33" ht="12.75" customHeight="1" x14ac:dyDescent="0.2">
      <c r="A43" s="742"/>
      <c r="B43" s="739"/>
      <c r="C43" s="739"/>
      <c r="D43" s="737"/>
      <c r="E43" s="686"/>
      <c r="F43" s="385"/>
      <c r="G43" s="385"/>
      <c r="O43" s="168" t="s">
        <v>1019</v>
      </c>
      <c r="P43" s="207">
        <f>HLOOKUP(C11,Table_StateRates,5,FALSE)</f>
        <v>1.38</v>
      </c>
      <c r="Q43" s="207">
        <f>HLOOKUP(C11,Table_StateRates,5,FALSE)</f>
        <v>1.38</v>
      </c>
      <c r="R43" s="207">
        <f>HLOOKUP(C11,Table_StateRates,5,FALSE)</f>
        <v>1.38</v>
      </c>
      <c r="S43" s="207">
        <f>HLOOKUP(C11,Table_StateRates,5,FALSE)</f>
        <v>1.38</v>
      </c>
      <c r="U43" s="266"/>
      <c r="V43" s="486" t="s">
        <v>1177</v>
      </c>
      <c r="W43" s="423">
        <f>IF(C22="Yes",VLOOKUP(B21,Table_TerrorNBC,2,FALSE),1)</f>
        <v>1</v>
      </c>
      <c r="X43" s="423"/>
      <c r="Y43" s="385"/>
      <c r="Z43" s="702"/>
      <c r="AC43" s="83" t="s">
        <v>1647</v>
      </c>
      <c r="AD43" s="248">
        <f>ROUND(PRODUCT(AD41:AD42),0)</f>
        <v>0</v>
      </c>
      <c r="AE43" s="248">
        <f>ROUND(PRODUCT(AE41:AE42),0)</f>
        <v>0</v>
      </c>
      <c r="AF43" s="248">
        <f>ROUND(PRODUCT(AF41:AF42),0)</f>
        <v>0</v>
      </c>
      <c r="AG43" s="248">
        <f>ROUND(PRODUCT(AG41:AG42),0)</f>
        <v>0</v>
      </c>
    </row>
    <row r="44" spans="1:33" x14ac:dyDescent="0.2">
      <c r="A44" s="742"/>
      <c r="B44" s="739"/>
      <c r="C44" s="739"/>
      <c r="D44" s="737"/>
      <c r="E44" s="686"/>
      <c r="F44" s="385"/>
      <c r="G44" s="385"/>
      <c r="O44" s="168" t="s">
        <v>180</v>
      </c>
      <c r="P44" s="207">
        <v>1</v>
      </c>
      <c r="Q44" s="207">
        <v>1</v>
      </c>
      <c r="R44" s="207">
        <v>1</v>
      </c>
      <c r="S44" s="207">
        <v>1</v>
      </c>
      <c r="U44" s="266"/>
      <c r="V44" s="486" t="s">
        <v>971</v>
      </c>
      <c r="W44" s="423">
        <f>HLOOKUP(C11,Table_StateRates,6,FALSE)</f>
        <v>1.9</v>
      </c>
      <c r="X44" s="559"/>
      <c r="Y44" s="559"/>
      <c r="Z44" s="877"/>
    </row>
    <row r="45" spans="1:33" x14ac:dyDescent="0.2">
      <c r="A45" s="742"/>
      <c r="B45" s="739"/>
      <c r="C45" s="739"/>
      <c r="D45" s="737"/>
      <c r="E45" s="686"/>
      <c r="F45" s="385"/>
      <c r="G45" s="385"/>
      <c r="N45" s="146"/>
      <c r="O45" s="545" t="s">
        <v>1020</v>
      </c>
      <c r="P45" s="299">
        <f>IF(C7="PAC",VLOOKUP(B8,Table_PakMods,MATCH(C11,List_Company,0)+1,FALSE),1)</f>
        <v>1</v>
      </c>
      <c r="Q45" s="299">
        <f>IF(C7="PAC",VLOOKUP(B8,Table_PakMods,MATCH(C11,List_Company,0)+1,FALSE),1)</f>
        <v>1</v>
      </c>
      <c r="R45" s="299">
        <f>IF(C7="PAC",VLOOKUP(B8,Table_PakMods,MATCH(C11,List_Company,0)+1,FALSE),1)</f>
        <v>1</v>
      </c>
      <c r="S45" s="299">
        <f>IF(C7="PAC",VLOOKUP(B8,Table_PakMods,MATCH(C11,List_Company,0)+1,FALSE),1)</f>
        <v>1</v>
      </c>
      <c r="U45" s="542"/>
      <c r="V45" s="597" t="s">
        <v>1019</v>
      </c>
      <c r="W45" s="279">
        <f>HLOOKUP(C11,Table_StateRates,5,FALSE)</f>
        <v>1.38</v>
      </c>
      <c r="X45" s="426"/>
      <c r="Y45" s="559"/>
      <c r="Z45" s="899"/>
      <c r="AC45" s="685" t="s">
        <v>1434</v>
      </c>
      <c r="AD45" s="907">
        <f>IF(F20="Yes",IF(C12="SP",SUM(AD43:AF43),IF(C12="BR",SUM(AD43:AE43,AG43),SUM(AD43:AE43))),0)</f>
        <v>0</v>
      </c>
    </row>
    <row r="46" spans="1:33" x14ac:dyDescent="0.2">
      <c r="A46" s="742"/>
      <c r="B46" s="686"/>
      <c r="C46" s="686"/>
      <c r="D46" s="737"/>
      <c r="E46" s="686"/>
      <c r="F46" s="385"/>
      <c r="G46" s="385"/>
      <c r="N46" s="542"/>
      <c r="O46" s="724" t="s">
        <v>1022</v>
      </c>
      <c r="P46" s="279">
        <v>1</v>
      </c>
      <c r="Q46" s="279">
        <v>1</v>
      </c>
      <c r="R46" s="279">
        <v>1</v>
      </c>
      <c r="S46" s="279">
        <v>1</v>
      </c>
      <c r="U46" s="385"/>
      <c r="V46" s="685" t="s">
        <v>1134</v>
      </c>
      <c r="W46" s="558">
        <f>ROUND(PRODUCT(W41:W45),3)</f>
        <v>3.9E-2</v>
      </c>
      <c r="X46" s="385"/>
      <c r="Y46" s="559"/>
      <c r="Z46" s="877"/>
    </row>
    <row r="47" spans="1:33" ht="13.5" thickBot="1" x14ac:dyDescent="0.25">
      <c r="A47" s="742"/>
      <c r="B47" s="686"/>
      <c r="C47" s="686"/>
      <c r="D47" s="385"/>
      <c r="E47" s="385"/>
      <c r="F47" s="385"/>
      <c r="G47" s="385"/>
      <c r="O47" s="83" t="s">
        <v>1150</v>
      </c>
      <c r="P47" s="247" t="e">
        <f>ROUND(PRODUCT(P35:P38,IF(AND(C31="Yes",B31="Sprinkler",C33&lt;&gt;1),P39-P40,P39),P41:P46),3)</f>
        <v>#N/A</v>
      </c>
      <c r="Q47" s="247" t="e">
        <f>ROUND(PRODUCT(Q35:Q46),3)</f>
        <v>#N/A</v>
      </c>
      <c r="R47" s="247">
        <f>ROUND(PRODUCT(R35:R46),3)</f>
        <v>0.16300000000000001</v>
      </c>
      <c r="S47" s="247">
        <f>ROUND(PRODUCT(S35:S46),3)</f>
        <v>6.0999999999999999E-2</v>
      </c>
      <c r="U47" s="385"/>
      <c r="V47" s="702" t="s">
        <v>1178</v>
      </c>
      <c r="W47" s="559">
        <f>VLOOKUP(C14,Table_ProtClass,IF(C15&lt;=3,2,3),FALSE)</f>
        <v>0.96</v>
      </c>
      <c r="X47" s="266"/>
      <c r="Y47" s="266"/>
      <c r="Z47" s="266"/>
    </row>
    <row r="48" spans="1:33" ht="13.5" thickBot="1" x14ac:dyDescent="0.25">
      <c r="A48" s="742"/>
      <c r="B48" s="686"/>
      <c r="C48" s="686"/>
      <c r="D48" s="385"/>
      <c r="E48" s="385"/>
      <c r="F48" s="385"/>
      <c r="G48" s="385"/>
      <c r="N48" s="185"/>
      <c r="O48" s="186" t="s">
        <v>1025</v>
      </c>
      <c r="P48" s="238">
        <f>IF(ISNUMBER(F12),F12/100,0)</f>
        <v>0</v>
      </c>
      <c r="Q48" s="238">
        <f>IF(ISNUMBER(F12),F12/100,0)</f>
        <v>0</v>
      </c>
      <c r="R48" s="238">
        <f>IF(ISNUMBER(F12),F12/100,0)</f>
        <v>0</v>
      </c>
      <c r="S48" s="238">
        <f>IF(ISNUMBER(F12),F12/100,0)</f>
        <v>0</v>
      </c>
      <c r="U48" s="542"/>
      <c r="V48" s="597" t="s">
        <v>1475</v>
      </c>
      <c r="W48" s="279" t="e">
        <f>VLOOKUP(F5,Table_EE_CoIns,3,FALSE)</f>
        <v>#N/A</v>
      </c>
      <c r="X48" s="558"/>
      <c r="Y48" s="558"/>
      <c r="Z48" s="558"/>
      <c r="AB48" s="916" t="s">
        <v>553</v>
      </c>
      <c r="AD48" s="734">
        <f>SUM(AD15,AD29,AD45)</f>
        <v>0</v>
      </c>
    </row>
    <row r="49" spans="1:26" x14ac:dyDescent="0.2">
      <c r="A49" s="742"/>
      <c r="B49" s="686"/>
      <c r="C49" s="686"/>
      <c r="D49" s="385"/>
      <c r="E49" s="385"/>
      <c r="F49" s="385"/>
      <c r="G49" s="385"/>
      <c r="O49" s="83" t="s">
        <v>978</v>
      </c>
      <c r="P49" s="248" t="e">
        <f>ROUND(PRODUCT(P47:P48),0)</f>
        <v>#N/A</v>
      </c>
      <c r="Q49" s="248" t="e">
        <f>ROUND(PRODUCT(Q47:Q48),0)</f>
        <v>#N/A</v>
      </c>
      <c r="R49" s="248">
        <f>ROUND(PRODUCT(R47:R48),0)</f>
        <v>0</v>
      </c>
      <c r="S49" s="248">
        <f>ROUND(PRODUCT(S47:S48),0)</f>
        <v>0</v>
      </c>
      <c r="U49" s="423"/>
      <c r="V49" s="810" t="s">
        <v>1150</v>
      </c>
      <c r="W49" s="426" t="e">
        <f>ROUND(PRODUCT(W46:W48),3)</f>
        <v>#N/A</v>
      </c>
      <c r="X49" s="559"/>
      <c r="Y49" s="559"/>
      <c r="Z49" s="559"/>
    </row>
    <row r="50" spans="1:26" x14ac:dyDescent="0.2">
      <c r="A50" s="742"/>
      <c r="B50" s="686"/>
      <c r="C50" s="686"/>
      <c r="G50" s="385"/>
      <c r="U50" s="279"/>
      <c r="V50" s="809" t="s">
        <v>1473</v>
      </c>
      <c r="W50" s="487">
        <f>IF(ISNUMBER(F4),F4/100,0)</f>
        <v>0</v>
      </c>
      <c r="X50" s="559"/>
      <c r="Y50" s="559"/>
      <c r="Z50" s="559"/>
    </row>
    <row r="51" spans="1:26" x14ac:dyDescent="0.2">
      <c r="A51" s="742"/>
      <c r="B51" s="686"/>
      <c r="C51" s="686"/>
      <c r="G51" s="385"/>
      <c r="U51" s="426"/>
      <c r="V51" s="811" t="s">
        <v>1474</v>
      </c>
      <c r="W51" s="812" t="e">
        <f>ROUND(PRODUCT(W49:W50),0)</f>
        <v>#N/A</v>
      </c>
      <c r="X51" s="558"/>
      <c r="Y51" s="558"/>
      <c r="Z51" s="558"/>
    </row>
    <row r="52" spans="1:26" x14ac:dyDescent="0.2">
      <c r="A52" s="742"/>
      <c r="B52" s="686"/>
      <c r="C52" s="686"/>
      <c r="G52" s="385"/>
    </row>
    <row r="53" spans="1:26" x14ac:dyDescent="0.2">
      <c r="A53" s="742"/>
      <c r="B53" s="686"/>
      <c r="C53" s="686"/>
      <c r="G53" s="385"/>
    </row>
    <row r="54" spans="1:26" x14ac:dyDescent="0.2">
      <c r="A54" s="385"/>
      <c r="B54" s="385"/>
      <c r="C54" s="385"/>
      <c r="G54" s="385"/>
      <c r="U54" s="566" t="s">
        <v>1732</v>
      </c>
      <c r="V54" s="266"/>
      <c r="W54" s="266"/>
    </row>
    <row r="55" spans="1:26" x14ac:dyDescent="0.2">
      <c r="A55" s="385"/>
      <c r="B55" s="385"/>
      <c r="C55" s="385"/>
      <c r="F55" s="8"/>
      <c r="G55" s="385"/>
      <c r="U55" s="266"/>
      <c r="V55" s="268" t="s">
        <v>1693</v>
      </c>
      <c r="W55" s="426">
        <f>B29</f>
        <v>0.126</v>
      </c>
    </row>
    <row r="56" spans="1:26" x14ac:dyDescent="0.2">
      <c r="A56" s="385"/>
      <c r="B56" s="385"/>
      <c r="C56" s="385"/>
      <c r="F56" s="139"/>
      <c r="G56" s="385"/>
      <c r="U56" s="266"/>
      <c r="V56" s="268" t="s">
        <v>1695</v>
      </c>
      <c r="W56" s="423" t="e">
        <f>IF(#REF!="Yes",DF_TerrorDT,1)</f>
        <v>#REF!</v>
      </c>
    </row>
    <row r="57" spans="1:26" x14ac:dyDescent="0.2">
      <c r="F57" s="139"/>
      <c r="G57" s="385"/>
      <c r="U57" s="542"/>
      <c r="V57" s="724" t="s">
        <v>1696</v>
      </c>
      <c r="W57" s="757" t="e">
        <f>IF(#REF!="Yes",DF_TerrorDTnbc,1)</f>
        <v>#REF!</v>
      </c>
    </row>
    <row r="58" spans="1:26" x14ac:dyDescent="0.2">
      <c r="F58" s="139"/>
      <c r="U58" s="266"/>
      <c r="V58" s="568" t="s">
        <v>1694</v>
      </c>
      <c r="W58" s="426" t="e">
        <f>ROUND(PRODUCT(W55:W57),3)</f>
        <v>#REF!</v>
      </c>
    </row>
    <row r="59" spans="1:26" x14ac:dyDescent="0.2">
      <c r="G59" s="8"/>
      <c r="U59" s="542"/>
      <c r="V59" s="809" t="s">
        <v>1473</v>
      </c>
      <c r="W59" s="988">
        <f>IF(ISBLANK(F4),0,F4/100)</f>
        <v>0</v>
      </c>
    </row>
    <row r="60" spans="1:26" x14ac:dyDescent="0.2">
      <c r="G60" s="8"/>
      <c r="U60" s="385"/>
      <c r="V60" s="568" t="s">
        <v>1733</v>
      </c>
      <c r="W60" s="989" t="e">
        <f>ROUND(PRODUCT(W55:W59),0)</f>
        <v>#REF!</v>
      </c>
    </row>
    <row r="61" spans="1:26" x14ac:dyDescent="0.2">
      <c r="G61" s="8"/>
      <c r="U61" s="385"/>
      <c r="V61" s="702"/>
      <c r="W61" s="559"/>
    </row>
    <row r="62" spans="1:26" x14ac:dyDescent="0.2">
      <c r="G62" s="8"/>
      <c r="U62" s="385"/>
      <c r="V62" s="702"/>
      <c r="W62" s="559"/>
    </row>
    <row r="63" spans="1:26" x14ac:dyDescent="0.2">
      <c r="G63" s="8"/>
      <c r="U63" s="559"/>
      <c r="V63" s="877"/>
      <c r="W63" s="558"/>
    </row>
    <row r="64" spans="1:26" x14ac:dyDescent="0.2">
      <c r="U64" s="559"/>
      <c r="V64" s="899"/>
      <c r="W64" s="575"/>
    </row>
    <row r="65" spans="7:23" x14ac:dyDescent="0.2">
      <c r="U65" s="558"/>
      <c r="V65" s="900"/>
      <c r="W65" s="575"/>
    </row>
    <row r="66" spans="7:23" x14ac:dyDescent="0.2">
      <c r="O66" s="168"/>
    </row>
    <row r="67" spans="7:23" x14ac:dyDescent="0.2">
      <c r="O67" s="168"/>
    </row>
    <row r="68" spans="7:23" x14ac:dyDescent="0.2">
      <c r="G68" s="8"/>
    </row>
    <row r="69" spans="7:23" x14ac:dyDescent="0.2">
      <c r="G69" s="8"/>
    </row>
    <row r="70" spans="7:23" x14ac:dyDescent="0.2">
      <c r="G70" s="8"/>
    </row>
    <row r="71" spans="7:23" x14ac:dyDescent="0.2">
      <c r="G71" s="8"/>
    </row>
    <row r="72" spans="7:23" x14ac:dyDescent="0.2">
      <c r="G72" s="8"/>
    </row>
    <row r="73" spans="7:23" x14ac:dyDescent="0.2">
      <c r="G73" s="8"/>
    </row>
    <row r="74" spans="7:23" x14ac:dyDescent="0.2">
      <c r="G74" s="8"/>
    </row>
    <row r="75" spans="7:23" x14ac:dyDescent="0.2">
      <c r="G75" s="8"/>
    </row>
    <row r="76" spans="7:23" x14ac:dyDescent="0.2">
      <c r="G76" s="146"/>
    </row>
  </sheetData>
  <mergeCells count="3">
    <mergeCell ref="H1:L1"/>
    <mergeCell ref="AM24:AN24"/>
    <mergeCell ref="U38:Z38"/>
  </mergeCells>
  <conditionalFormatting sqref="B24">
    <cfRule type="expression" dxfId="14" priority="2" stopIfTrue="1">
      <formula>IF($C$24="Yes",FALSE,TRUE)</formula>
    </cfRule>
  </conditionalFormatting>
  <conditionalFormatting sqref="A18">
    <cfRule type="expression" dxfId="13" priority="1">
      <formula>IF($C$12="SP",TRUE,FALSE)</formula>
    </cfRule>
  </conditionalFormatting>
  <dataValidations count="47">
    <dataValidation type="custom" allowBlank="1" showInputMessage="1" showErrorMessage="1" promptTitle="Group II - Construction Symbol" prompt="This designation is based upon the Construction classification chosen for the Group I - Construction Type._x000a__x000a_This field is set by either the Building or Personal Property Coverage already established on policy." sqref="C16">
      <formula1>FALSE</formula1>
    </dataValidation>
    <dataValidation type="list" allowBlank="1" showInputMessage="1" showErrorMessage="1" promptTitle="EQ Building Class" prompt="Please Select a class from the drop down list." sqref="E31">
      <formula1>IF($F$47="Yes",List_EQBldgClass,List_No)</formula1>
    </dataValidation>
    <dataValidation type="list" allowBlank="1" showInputMessage="1" showErrorMessage="1" errorTitle="Invalid Entry:" error="If &quot;Other Cause of Loss&quot; is not &quot;Yes&quot;_x000a_OR_x000a_iif Cause of Loss = SPECIAL, this coverage is not allowed." promptTitle="Pier &amp; Wharf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5">
      <formula1>IF($F$51="Yes",OFFSET(Table_Other_PierWharf,0,0,,1),List_No)</formula1>
    </dataValidation>
    <dataValidation type="list" allowBlank="1" showInputMessage="1" showErrorMessage="1" errorTitle="Invalid Entry:" error="If &quot;Other Cause of Loss&quot; is not &quot;Yes&quot;_x000a_OR_x000a_iif Cause of Loss = BASIC or BROAD, this coverage is not allowed." promptTitle="Watercraft BE Construction:" prompt="Please Select:_x000a_1 - FR incl. Pier &amp; Platform Deck_x000a_2 - FR Substructure, incl. Superstruct. Enclosed_x000a_3 - NC Heavy Timber Sub/Superstruct. Enclosed_x000a_4 - All Other Pier &amp; Platform Deck_x000a_5 - All Other Sub/Superstruct.; enclosed_x000a_6 - Substructure not enclosed" sqref="E38">
      <formula1>IF($F$54="Yes",OFFSET(Table_Other_WaterBuyback,0,0,,1),List_No)</formula1>
    </dataValidation>
    <dataValidation type="list" allowBlank="1" showInputMessage="1" showErrorMessage="1" promptTitle="Please Select Territory:" prompt="Select the Territory that corresponds to the Zipcode provided:_x000a_Territories { 21 - 25 }" sqref="E32">
      <formula1>OFFSET(Table_EQ_Tiers,0,0,,1)</formula1>
    </dataValidation>
    <dataValidation type="custom" allowBlank="1" showInputMessage="1" showErrorMessage="1" prompt="EQ Table Lookup Value" sqref="F32">
      <formula1>FALSE</formula1>
    </dataValidation>
    <dataValidation type="custom" allowBlank="1" showInputMessage="1" showErrorMessage="1" prompt="EQ Sprinkler Leakage Extension Factor Lookup value." sqref="F31">
      <formula1>FALSE</formula1>
    </dataValidation>
    <dataValidation type="list" allowBlank="1" showInputMessage="1" showErrorMessage="1" promptTitle="Molten Material Coverage:" prompt="Please Select:_x000a_{ Yes or No }_x000a__x000a_* Please note that this coverage is not allowed if Cause of Loss = Special." sqref="F33">
      <formula1>IF($C$12="SP",List_No,IF($F$45="Yes",List_YN,List_No))</formula1>
    </dataValidation>
    <dataValidation type="list" allowBlank="1" showInputMessage="1" showErrorMessage="1" promptTitle="Pier &amp; Wharf Coverage:" prompt="Please Select:_x000a_{ Yes or No }_x000a__x000a_* Please note that this coverage is not allowed if Cause of Loss = Special." sqref="F34">
      <formula1>IF($C$12="SP",List_No,IF($F$45="Yes",List_YN,List_No))</formula1>
    </dataValidation>
    <dataValidation type="list" allowBlank="1" showInputMessage="1" showErrorMessage="1" promptTitle="Watercraft Exclusion Buyback:" prompt="Please Select:_x000a_{ Yes or No }_x000a__x000a_* Please note that this coverage is not allowed if Cause of Loss = Basic or Broad." sqref="F37">
      <formula1>IF(OR($C$12="BR",$C$12="BA"),List_No,IF($F$45="Yes",List_YN,List_No))</formula1>
    </dataValidation>
    <dataValidation type="list" showInputMessage="1" showErrorMessage="1" errorTitle="Invalid Selection" error="This Coverage is not allowed if Other Cause of Loss is not selected and if Sprinkler Leakage Exclusion has been applied." promptTitle="EQ Sprinkler Leakage" prompt="Please Select:_x000a_{ Yes or No }" sqref="F30">
      <formula1>IF(AND($F$45="Yes",$C$56&lt;&gt;"Yes"),List_YN,List_No)</formula1>
    </dataValidation>
    <dataValidation type="custom" allowBlank="1" showInputMessage="1" showErrorMessage="1" prompt="Relates to Special Form Reference" sqref="B15">
      <formula1>FALSE</formula1>
    </dataValidation>
    <dataValidation type="list" allowBlank="1" showInputMessage="1" showErrorMessage="1" promptTitle="Power &amp; Water Supply" prompt="Please Select:_x000a_{ Yes or No }" sqref="E22:E23">
      <formula1>IF($F$20="Yes",List_YN, List_No)</formula1>
    </dataValidation>
    <dataValidation type="list" allowBlank="1" showInputMessage="1" showErrorMessage="1" promptTitle="Communications Supply" prompt="Please Select:_x000a_{ Yes or No }" sqref="E24">
      <formula1>IF($F$20="Yes",List_YN, List_No)</formula1>
    </dataValidation>
    <dataValidation type="list" allowBlank="1" showInputMessage="1" showErrorMessage="1" promptTitle="Ovhd Communication Lines" prompt="Please Select:_x000a_{ Yes or No }" sqref="E26">
      <formula1>IF($F$20="Yes",List_YN, List_No)</formula1>
    </dataValidation>
    <dataValidation type="list" allowBlank="1" showInputMessage="1" showErrorMessage="1" promptTitle="OH Power Transmission Lines" prompt="Please Select:_x000a_{ Yes or No }" sqref="E25">
      <formula1>IF($F$20="Yes",List_YN, List_No)</formula1>
    </dataValidation>
    <dataValidation type="custom" allowBlank="1" showInputMessage="1" showErrorMessage="1" promptTitle="P&amp;W Utility Svc Multiplier" prompt="Displays the multiplier for Power &amp; Water Supply premium calculations." sqref="F22">
      <formula1>FALSE</formula1>
    </dataValidation>
    <dataValidation type="custom" allowBlank="1" showInputMessage="1" showErrorMessage="1" promptTitle="OH Lines Utility Svc Multiplier" prompt="Displays the multiplier for the Overhead Power Trans &amp; Comm Lines premium calculations." sqref="F25">
      <formula1>FALSE</formula1>
    </dataValidation>
    <dataValidation allowBlank="1" showInputMessage="1" showErrorMessage="1" promptTitle="SPECIAL Form - Column Ref." prompt="This factor is used to determine the which column to use in the SPECIAL Form - Time Element Loss Cost table." sqref="B13"/>
    <dataValidation type="list" allowBlank="1" showInputMessage="1" showErrorMessage="1" promptTitle="Please Select Cause of Loss:" prompt="BA  = Basic_x000a_BR  = Broad_x000a_SP  = Special_x000a_EQ = Earthquake" sqref="C12">
      <formula1>List_CauseBldg</formula1>
    </dataValidation>
    <dataValidation type="list" allowBlank="1" showInputMessage="1" showErrorMessage="1" promptTitle="Special - Cause of Loss" prompt="Please select:_x000a_1 - Excluding Theft (Special)_x000a_2 - Including Theft  (Special)" sqref="C13">
      <formula1>IF($C$12="SP",List_SPTheft,List_No)</formula1>
    </dataValidation>
    <dataValidation type="custom" allowBlank="1" showInputMessage="1" showErrorMessage="1" promptTitle="EE Availability Indicator:" prompt="BI - indicates that Business Income Coverage has already been applied to the policy._x000a__x000a_Available - indicates EE is still available to be added to the policy." sqref="E3">
      <formula1>FALSE</formula1>
    </dataValidation>
    <dataValidation type="list" allowBlank="1" showInputMessage="1" showErrorMessage="1" errorTitle="Coverage Not Allowed" error="Business Income Coverage has already been applied to this policy." promptTitle="Please Select:" prompt="Yes = Apply Coverage_x000a_No  = Do Not Apply_x000a__x000a_* Coverage not available if Business Income Coverage has already been applied to policy." sqref="F3">
      <formula1>IF($E$3="BI",List_No,List_YN)</formula1>
    </dataValidation>
    <dataValidation type="custom" allowBlank="1" showInputMessage="1" showErrorMessage="1" errorTitle="NO ENTRY ALLOWED" error="This is a calculated field that is based upon the Grp I Territory selected above." promptTitle="Terrorism Territory" prompt="Displays the appropriate terrorism territory:_x000a_1 - Jefferson County_x000a_2 - Remainder of State" sqref="B21">
      <formula1>FALSE</formula1>
    </dataValidation>
    <dataValidation type="custom" allowBlank="1" showInputMessage="1" showErrorMessage="1" promptTitle="BROAD Form - Column Ref." prompt="This factor is used to determine the which column to use in the Broad Form - Loss Cost table." sqref="B12">
      <formula1>FALSE</formula1>
    </dataValidation>
    <dataValidation type="list" allowBlank="1" showInputMessage="1" showErrorMessage="1" promptTitle="Choose Exclusion Option:" prompt="1 - Exclude NBC from Terrorism Only_x000a_2 - Exclude NBC from ALL Perils" sqref="B23">
      <formula1>IF($C$22="Yes",List_NBC,List_No)</formula1>
    </dataValidation>
    <dataValidation type="list" allowBlank="1" showInputMessage="1" showErrorMessage="1" promptTitle="Limits on Loss Payment" prompt="Please Select:_x000a_  35 = 35%-70%-100%_x000a_  40 = 40%-80%-100%_x000a_100 = 100%-100%-100%" sqref="F5">
      <formula1>OFFSET(Table_EE_CoIns,0,0,,1)</formula1>
    </dataValidation>
    <dataValidation type="list" allowBlank="1" showInputMessage="1" showErrorMessage="1" promptTitle="Civil Authority Inc. Coverage" prompt="Please Select:_x000a_Yes or No" sqref="F7">
      <formula1>List_YN</formula1>
    </dataValidation>
    <dataValidation type="list" allowBlank="1" showInputMessage="1" showErrorMessage="1" promptTitle="Basic Group I - Class Codes" prompt="Please select your building class code" sqref="F13">
      <formula1>OFFSET(Table_G1_LC,0,0,,1)</formula1>
    </dataValidation>
    <dataValidation type="custom" allowBlank="1" showInputMessage="1" showErrorMessage="1" promptTitle="Class Rating Group" prompt="Displays Rating Group for Class Code selected." sqref="E13">
      <formula1>FALSE</formula1>
    </dataValidation>
    <dataValidation type="custom" allowBlank="1" showInputMessage="1" showErrorMessage="1" promptTitle="Prior/Intended Occupancy CSP" prompt="This additional lost cost value will be added to the building Loss Cost amount; if Vacant (1180) property has been selected." sqref="E16">
      <formula1>FALSE</formula1>
    </dataValidation>
    <dataValidation type="list" allowBlank="1" showInputMessage="1" showErrorMessage="1" promptTitle="Prior/Intended Building Class:" prompt="Please select your previous or Intended Building Class code for the building type classified." sqref="F15">
      <formula1>OFFSET(Table_G1_LC,0,0,,1)</formula1>
    </dataValidation>
    <dataValidation type="list" allowBlank="1" showInputMessage="1" showErrorMessage="1" promptTitle="Please Select:" prompt="Yes = Apply Coverage_x000a_No  = Do Not Apply" sqref="F11 F28">
      <formula1>List_YN</formula1>
    </dataValidation>
    <dataValidation type="list" allowBlank="1" showInputMessage="1" showErrorMessage="1" promptTitle="Increased Period of Restoration" prompt="Please Select:_x000a_Yes or No" sqref="F18">
      <formula1>List_YN</formula1>
    </dataValidation>
    <dataValidation type="list" allowBlank="1" showInputMessage="1" showErrorMessage="1" promptTitle="Utility Services Coverage" prompt="Please Select:_x000a_Yes or No" sqref="F20">
      <formula1>List_YN</formula1>
    </dataValidation>
    <dataValidation type="custom" allowBlank="1" showInputMessage="1" showErrorMessage="1" promptTitle="Pre-Determined Factor:" prompt="Based upon how this question is answered for either Building or Personal Property Coverage." sqref="C30">
      <formula1>FALSE</formula1>
    </dataValidation>
    <dataValidation type="custom" allowBlank="1" showInputMessage="1" showErrorMessage="1" promptTitle="Pre-Determined Policy Info" prompt="All Rates and Policy Information is based on how the terms were specified in the Building or Personal Property Coverage.  If Blank, neither coverage is provided on policy." sqref="C27 C10:C11 C7 B8 C14:C15 B5:C5 C4 C21:C22 C24 C17">
      <formula1>FALSE</formula1>
    </dataValidation>
    <dataValidation type="custom" allowBlank="1" showInputMessage="1" showErrorMessage="1" promptTitle="Rating Type Description" prompt="Gives a brief description of the rating type selected on the Building or Personal Property Coverage." sqref="B27">
      <formula1>FALSE</formula1>
    </dataValidation>
    <dataValidation type="custom" allowBlank="1" showInputMessage="1" showErrorMessage="1" prompt="Group I - Loss Cost" sqref="B29">
      <formula1>FALSE</formula1>
    </dataValidation>
    <dataValidation type="custom" allowBlank="1" showInputMessage="1" showErrorMessage="1" prompt="Group II - Loss Cost" sqref="C29">
      <formula1>FALSE</formula1>
    </dataValidation>
    <dataValidation type="custom" allowBlank="1" showInputMessage="1" showErrorMessage="1" promptTitle="Pre-Determined Factors:" prompt="Based upon how this question is answered for either Building or Personal Property Coverage." sqref="C28 C31:C34">
      <formula1>FALSE</formula1>
    </dataValidation>
    <dataValidation type="custom" allowBlank="1" showInputMessage="1" showErrorMessage="1" errorTitle="Do Not Touch" error="This is used to generate the Coinsurance rate." sqref="B34 E37">
      <formula1>FALSE</formula1>
    </dataValidation>
    <dataValidation type="custom" allowBlank="1" showInputMessage="1" showErrorMessage="1" sqref="O30 A29 F29 B30 C25 O5">
      <formula1>FALSE</formula1>
    </dataValidation>
    <dataValidation type="list" allowBlank="1" showInputMessage="1" showErrorMessage="1" promptTitle="Increased Coverage Period" prompt="Please Select # of Days:_x000a_{ 60, 90, 180 }" sqref="E8">
      <formula1>IF(F7="Yes",OFFSET(Table_CivilAuth,0,0,,1),List_No)</formula1>
    </dataValidation>
    <dataValidation type="custom" allowBlank="1" showInputMessage="1" showErrorMessage="1" promptTitle="Manually Rated Terrorism Prem:" prompt="If &quot;Yes&quot; is not selected; user will have to supply a manually rated premium for Terrorism on this section of the policy." sqref="B24">
      <formula1>IF(C24="Yes",FALSE,TRUE)</formula1>
    </dataValidation>
    <dataValidation type="custom" allowBlank="1" showInputMessage="1" showErrorMessage="1" sqref="E21">
      <formula1>IF(F20="Yes",TRUE,FALSE)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8">
      <formula1>IF($C$12="SP",OFFSET(Table_TerrMult_SP,0,0,,1),List_Blank)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5" manualBreakCount="5">
    <brk id="6" max="1048575" man="1"/>
    <brk id="13" max="52" man="1"/>
    <brk id="20" max="52" man="1"/>
    <brk id="27" max="52" man="1"/>
    <brk id="34" max="52" man="1"/>
  </colBreak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Z57"/>
  <sheetViews>
    <sheetView zoomScale="90" zoomScaleNormal="90" workbookViewId="0">
      <selection activeCell="H4" sqref="H4"/>
    </sheetView>
  </sheetViews>
  <sheetFormatPr defaultRowHeight="12.75" x14ac:dyDescent="0.2"/>
  <cols>
    <col min="1" max="1" width="27.5703125" style="2" customWidth="1"/>
    <col min="2" max="2" width="12.5703125" style="2" customWidth="1"/>
    <col min="3" max="3" width="12.85546875" style="2" customWidth="1"/>
    <col min="4" max="4" width="26.85546875" style="2" customWidth="1"/>
    <col min="5" max="5" width="12.5703125" style="2" customWidth="1"/>
    <col min="6" max="6" width="11.85546875" style="2" customWidth="1"/>
    <col min="7" max="7" width="9.140625" style="2"/>
    <col min="8" max="8" width="20.85546875" style="2" customWidth="1"/>
    <col min="9" max="9" width="17.85546875" style="2" customWidth="1"/>
    <col min="10" max="10" width="12.85546875" style="2" customWidth="1"/>
    <col min="11" max="11" width="19.5703125" style="2" customWidth="1"/>
    <col min="12" max="12" width="9.140625" style="2"/>
    <col min="13" max="13" width="14.7109375" style="2" customWidth="1"/>
    <col min="14" max="14" width="25.85546875" style="2" customWidth="1"/>
    <col min="15" max="15" width="14.140625" style="2" customWidth="1"/>
    <col min="16" max="16" width="9.140625" style="2"/>
    <col min="17" max="17" width="14.7109375" style="2" customWidth="1"/>
    <col min="18" max="18" width="23.85546875" style="2" customWidth="1"/>
    <col min="19" max="19" width="14.140625" style="2" customWidth="1"/>
    <col min="20" max="20" width="9.140625" style="2"/>
    <col min="21" max="21" width="34.28515625" style="2" customWidth="1"/>
    <col min="22" max="22" width="23.7109375" style="2" customWidth="1"/>
    <col min="23" max="23" width="14.28515625" style="2" customWidth="1"/>
    <col min="24" max="16384" width="9.140625" style="2"/>
  </cols>
  <sheetData>
    <row r="1" spans="1:23" ht="19.5" customHeight="1" thickBot="1" x14ac:dyDescent="0.25">
      <c r="A1" s="99" t="s">
        <v>834</v>
      </c>
      <c r="B1" s="94"/>
      <c r="C1" s="94"/>
      <c r="D1" s="105"/>
      <c r="E1" s="105"/>
      <c r="F1" s="106" t="s">
        <v>840</v>
      </c>
      <c r="H1" s="1594" t="s">
        <v>1723</v>
      </c>
      <c r="I1" s="1595"/>
      <c r="J1" s="1595"/>
      <c r="K1" s="1596"/>
      <c r="U1" s="1617" t="s">
        <v>949</v>
      </c>
      <c r="V1" s="1617"/>
      <c r="W1" s="1617"/>
    </row>
    <row r="2" spans="1:23" ht="12.75" customHeight="1" thickBot="1" x14ac:dyDescent="0.25">
      <c r="A2" s="161" t="s">
        <v>832</v>
      </c>
      <c r="B2" s="162"/>
      <c r="C2" s="163"/>
      <c r="D2" s="529" t="s">
        <v>897</v>
      </c>
      <c r="E2" s="531"/>
      <c r="F2" s="532"/>
      <c r="M2" s="60" t="s">
        <v>1767</v>
      </c>
      <c r="Q2" s="60" t="s">
        <v>1769</v>
      </c>
    </row>
    <row r="3" spans="1:23" ht="13.5" thickBot="1" x14ac:dyDescent="0.25">
      <c r="A3" s="120" t="s">
        <v>1024</v>
      </c>
      <c r="B3" s="95"/>
      <c r="C3" s="1085" t="str">
        <f>DF_State</f>
        <v>CT</v>
      </c>
      <c r="D3" s="203" t="s">
        <v>306</v>
      </c>
      <c r="E3" s="216"/>
      <c r="F3" s="204" t="s">
        <v>857</v>
      </c>
      <c r="H3" s="1273">
        <f>Summary10</f>
        <v>0</v>
      </c>
      <c r="I3" s="557"/>
      <c r="J3" s="557"/>
      <c r="N3" s="168" t="s">
        <v>1761</v>
      </c>
      <c r="O3" s="247">
        <f>IF(C31="Yes",VLOOKUP(B32,Table_EQ_LC,3,FALSE),0)</f>
        <v>0</v>
      </c>
      <c r="R3" s="168" t="s">
        <v>1761</v>
      </c>
      <c r="S3" s="247" t="e">
        <f>IF(C31="Yes",VLOOKUP(B32,Table_EQ_LC,3,FALSE),VLOOKUP(B42,Table_EQ_LC,MATCH(C47,List_PPGrade,0)+3,FALSE))</f>
        <v>#N/A</v>
      </c>
      <c r="U3" s="154" t="s">
        <v>950</v>
      </c>
      <c r="V3" s="86"/>
      <c r="W3" s="156" t="s">
        <v>951</v>
      </c>
    </row>
    <row r="4" spans="1:23" x14ac:dyDescent="0.2">
      <c r="A4" s="1036" t="s">
        <v>1828</v>
      </c>
      <c r="B4" s="1041"/>
      <c r="C4" s="1098"/>
      <c r="D4" s="107" t="s">
        <v>961</v>
      </c>
      <c r="E4" s="272"/>
      <c r="F4" s="704"/>
      <c r="H4" s="82"/>
      <c r="I4" s="189"/>
      <c r="J4" s="4"/>
      <c r="M4" s="146"/>
      <c r="N4" s="545" t="s">
        <v>971</v>
      </c>
      <c r="O4" s="299" t="e">
        <f>HLOOKUP(C10,Table_StateRates,6,FALSE)</f>
        <v>#N/A</v>
      </c>
      <c r="Q4" s="146"/>
      <c r="R4" s="545" t="s">
        <v>971</v>
      </c>
      <c r="S4" s="299" t="e">
        <f>HLOOKUP(C10,Table_StateRates,6,FALSE)</f>
        <v>#N/A</v>
      </c>
      <c r="U4" s="686" t="s">
        <v>1715</v>
      </c>
      <c r="W4" s="155">
        <f>IF(W22&lt;-0.05,-0.05,IF(W22&gt;0.05,0.05,W22))</f>
        <v>0</v>
      </c>
    </row>
    <row r="5" spans="1:23" x14ac:dyDescent="0.2">
      <c r="A5" s="120"/>
      <c r="B5" s="95"/>
      <c r="C5" s="1039"/>
      <c r="D5" s="124" t="s">
        <v>1218</v>
      </c>
      <c r="E5" s="417">
        <f>IF(F5="Yes",2,3)</f>
        <v>3</v>
      </c>
      <c r="F5" s="704" t="s">
        <v>857</v>
      </c>
      <c r="H5" s="82" t="s">
        <v>1759</v>
      </c>
      <c r="I5" s="258"/>
      <c r="J5" s="259">
        <f>IF(C31="Yes",O15,0)</f>
        <v>0</v>
      </c>
      <c r="N5" s="189" t="s">
        <v>1497</v>
      </c>
      <c r="O5" s="207">
        <v>1</v>
      </c>
      <c r="R5" s="189" t="s">
        <v>1253</v>
      </c>
      <c r="S5" s="247">
        <f>IF(OR(ISBLANK(F7),F7="None"),1,IF(E8="Yes",F14,VLOOKUP(F7,IF(F5="Yes",Table_BI_CoIns_EE,Table_BI_CoIns),F8+1,FALSE)))</f>
        <v>1</v>
      </c>
      <c r="U5" s="151" t="s">
        <v>1714</v>
      </c>
      <c r="W5" s="155">
        <f>IF(W23&lt;-0.06,-0.06,IF(W23&gt;0.06,0.06,W23))</f>
        <v>0</v>
      </c>
    </row>
    <row r="6" spans="1:23" x14ac:dyDescent="0.2">
      <c r="A6" s="120" t="s">
        <v>969</v>
      </c>
      <c r="B6" s="95"/>
      <c r="C6" s="1093" t="s">
        <v>980</v>
      </c>
      <c r="D6" s="84" t="s">
        <v>1227</v>
      </c>
      <c r="E6" s="193"/>
      <c r="F6" s="704" t="s">
        <v>857</v>
      </c>
      <c r="H6" s="189"/>
      <c r="I6" s="258"/>
      <c r="J6" s="259"/>
      <c r="N6" s="168" t="s">
        <v>1017</v>
      </c>
      <c r="O6" s="247">
        <f>VLOOKUP(C27,Table_EQ_CoIns,2,FALSE)</f>
        <v>1</v>
      </c>
      <c r="R6" s="168" t="s">
        <v>1086</v>
      </c>
      <c r="S6" s="207">
        <f>IF(F6="Yes",DF_BI_AV,1)</f>
        <v>1</v>
      </c>
      <c r="U6" s="8" t="s">
        <v>1716</v>
      </c>
      <c r="W6" s="155">
        <f>IF(W24&lt;-0.06,-0.06,IF(W24&gt;0.06,0.06,W24))</f>
        <v>0</v>
      </c>
    </row>
    <row r="7" spans="1:23" ht="13.5" thickBot="1" x14ac:dyDescent="0.25">
      <c r="A7" s="143" t="s">
        <v>923</v>
      </c>
      <c r="B7" s="940" t="s">
        <v>857</v>
      </c>
      <c r="C7" s="1039"/>
      <c r="D7" s="84" t="s">
        <v>1085</v>
      </c>
      <c r="E7" s="103"/>
      <c r="F7" s="704" t="s">
        <v>1883</v>
      </c>
      <c r="H7" s="82" t="s">
        <v>1758</v>
      </c>
      <c r="I7" s="248"/>
      <c r="N7" s="168" t="s">
        <v>1018</v>
      </c>
      <c r="O7" s="1417">
        <f>IF(C31="Yes",VLOOKUP(B38,Table_EQ_Deductible,MATCH(IF(B37&gt;C37,B37,C37),List_EQDeductibles,0)+1,FALSE),0)</f>
        <v>0</v>
      </c>
      <c r="R7" s="168" t="s">
        <v>1088</v>
      </c>
      <c r="S7" s="207">
        <f>IF(OR(C20="S",C20="T"),VLOOKUP(IF(C31="Yes",C39,C51),Table_EQ_OptStory,3,FALSE),1)</f>
        <v>1</v>
      </c>
      <c r="U7" s="8" t="s">
        <v>1717</v>
      </c>
      <c r="W7" s="155">
        <f>IF(W25&lt;-0.1,-0.1,IF(W25&gt;0.1,0.1,W25))</f>
        <v>0</v>
      </c>
    </row>
    <row r="8" spans="1:23" ht="13.5" thickBot="1" x14ac:dyDescent="0.25">
      <c r="A8" s="120"/>
      <c r="B8" s="95"/>
      <c r="C8" s="1039"/>
      <c r="D8" s="84" t="s">
        <v>1205</v>
      </c>
      <c r="E8" s="479" t="s">
        <v>857</v>
      </c>
      <c r="F8" s="706"/>
      <c r="H8" s="82"/>
      <c r="I8" s="972" t="s">
        <v>1797</v>
      </c>
      <c r="J8" s="259">
        <f>IF(C41="Yes",O30,0)</f>
        <v>0</v>
      </c>
      <c r="N8" s="168" t="s">
        <v>1086</v>
      </c>
      <c r="O8" s="207">
        <f>IF(C28="Yes",DF_AgreedFctr,1)</f>
        <v>1.05</v>
      </c>
      <c r="R8" s="83" t="s">
        <v>1251</v>
      </c>
      <c r="S8" s="207">
        <f>IF(F17="Yes",VLOOKUP(F8,Table_BI_MaxInd,E5,FALSE)+S17,1)</f>
        <v>1</v>
      </c>
      <c r="U8" s="687" t="s">
        <v>1718</v>
      </c>
      <c r="W8" s="155">
        <f>IF(W26&lt;-0.06,-0.06,IF(W26&gt;0.06,0.06,W26))</f>
        <v>0</v>
      </c>
    </row>
    <row r="9" spans="1:23" x14ac:dyDescent="0.2">
      <c r="A9" s="120" t="s">
        <v>1829</v>
      </c>
      <c r="B9" s="95"/>
      <c r="C9" s="1094">
        <v>1</v>
      </c>
      <c r="D9" s="695" t="str">
        <f>IF(F3="No","",IF(E8="Yes","Please Select the 2 Occ. Types below","Select 1 Occ. Type in the shaded cell above"))</f>
        <v/>
      </c>
      <c r="E9" s="487"/>
      <c r="F9" s="533"/>
      <c r="H9" s="82"/>
      <c r="I9" s="972" t="s">
        <v>1798</v>
      </c>
      <c r="J9" s="259">
        <f>IF(B54="Yes",O39,0)</f>
        <v>0</v>
      </c>
      <c r="N9" s="168" t="s">
        <v>1768</v>
      </c>
      <c r="O9" s="207">
        <f>IF(OR(C33="1C",C33="1D"),VLOOKUP(B36,Table_EQ_Masonry,3,FALSE),1)</f>
        <v>1</v>
      </c>
      <c r="R9" s="83" t="s">
        <v>1252</v>
      </c>
      <c r="S9" s="207">
        <f ca="1">IF(F18="Yes",VLOOKUP(E19,INDIRECT("Table_BI_Mos"&amp;F8),E5,FALSE)+S17,1)</f>
        <v>1</v>
      </c>
      <c r="U9" s="153" t="s">
        <v>1719</v>
      </c>
      <c r="W9" s="155">
        <f>IF(W27&lt;-0.025,-0.025,IF(W27&gt;0.025,0.025,W27))</f>
        <v>0</v>
      </c>
    </row>
    <row r="10" spans="1:23" x14ac:dyDescent="0.2">
      <c r="A10" s="120" t="s">
        <v>835</v>
      </c>
      <c r="B10" s="95"/>
      <c r="C10" s="1093" t="s">
        <v>1862</v>
      </c>
      <c r="D10" s="159" t="s">
        <v>1662</v>
      </c>
      <c r="E10" s="443"/>
      <c r="F10" s="704"/>
      <c r="H10" s="82"/>
      <c r="I10" s="972" t="s">
        <v>1799</v>
      </c>
      <c r="J10" s="259">
        <f>IF(B55="Yes",O44,0)</f>
        <v>0</v>
      </c>
      <c r="N10" s="168" t="s">
        <v>180</v>
      </c>
      <c r="O10" s="207">
        <f>1+ $Y$24</f>
        <v>1</v>
      </c>
      <c r="R10" s="882" t="s">
        <v>1547</v>
      </c>
      <c r="S10" s="299">
        <f>IF(AND(F20="Yes",OR(E21=1,E21=3)),VLOOKUP(F7,Table_BI_Educ,E5,FALSE),1)</f>
        <v>1</v>
      </c>
      <c r="U10" s="687" t="s">
        <v>1720</v>
      </c>
      <c r="W10" s="155">
        <f>IF(W28&lt;-0.025,-0.025,IF(W28&gt;0.025,0.025,W28))</f>
        <v>0</v>
      </c>
    </row>
    <row r="11" spans="1:23" ht="13.5" thickBot="1" x14ac:dyDescent="0.25">
      <c r="A11" s="415" t="s">
        <v>910</v>
      </c>
      <c r="B11" s="493">
        <f>IF(OR(C14=5,C14=6),1,2)</f>
        <v>2</v>
      </c>
      <c r="C11" s="704" t="s">
        <v>1678</v>
      </c>
      <c r="D11" s="159" t="s">
        <v>1663</v>
      </c>
      <c r="E11" s="442"/>
      <c r="F11" s="704"/>
      <c r="H11" s="82"/>
      <c r="I11" s="972" t="s">
        <v>1795</v>
      </c>
      <c r="J11" s="259">
        <f>IF(B56="Yes",O49,0)</f>
        <v>0</v>
      </c>
      <c r="M11" s="146"/>
      <c r="N11" s="545" t="s">
        <v>1020</v>
      </c>
      <c r="O11" s="299">
        <f>IF(C6="PAC",VLOOKUP(B7,Table_PakMods,MATCH(C11,List_Company,0)+1,FALSE),1)</f>
        <v>1</v>
      </c>
      <c r="R11" s="83" t="s">
        <v>1549</v>
      </c>
      <c r="S11" s="207">
        <f>IF(AND(F20="Yes",E21=2),VLOOKUP(F7,Table_BI_Educ,E5,FALSE)+IF(F21&gt;4,SUM(4*0.02,(F21-4)*0.04),F21*0.02),1)</f>
        <v>1</v>
      </c>
      <c r="U11" s="687" t="s">
        <v>1721</v>
      </c>
      <c r="W11" s="155">
        <f>IF(W29&lt;-0.075,-0.075,IF(W29&gt;0.075,0.075,W29))</f>
        <v>0</v>
      </c>
    </row>
    <row r="12" spans="1:23" ht="13.5" thickBot="1" x14ac:dyDescent="0.25">
      <c r="A12" s="507" t="s">
        <v>1069</v>
      </c>
      <c r="B12" s="498">
        <f>IF(C12=1,2,IF(C14&lt;4,3,4))</f>
        <v>3</v>
      </c>
      <c r="C12" s="1088" t="s">
        <v>857</v>
      </c>
      <c r="D12" s="159" t="s">
        <v>1223</v>
      </c>
      <c r="E12" s="442"/>
      <c r="F12" s="704"/>
      <c r="H12" s="975"/>
      <c r="I12" s="795" t="s">
        <v>1796</v>
      </c>
      <c r="J12" s="884">
        <f>IF(B57="Yes",O54,0)</f>
        <v>0</v>
      </c>
      <c r="M12" s="542"/>
      <c r="N12" s="724" t="s">
        <v>1022</v>
      </c>
      <c r="O12" s="279">
        <f>1+$W$14</f>
        <v>1</v>
      </c>
      <c r="R12" s="189" t="s">
        <v>1254</v>
      </c>
      <c r="S12" s="207">
        <f>IF(F25="Yes",VLOOKUP(E5,Table_BI_Seasonal,2,FALSE),1)</f>
        <v>1</v>
      </c>
      <c r="U12" s="8" t="s">
        <v>1722</v>
      </c>
      <c r="W12" s="155">
        <f>IF(W30&lt;-0.05,-0.05,IF(W30&gt;0.05,0.05,W30))</f>
        <v>0</v>
      </c>
    </row>
    <row r="13" spans="1:23" ht="13.5" thickBot="1" x14ac:dyDescent="0.25">
      <c r="A13" s="108" t="s">
        <v>898</v>
      </c>
      <c r="B13" s="95"/>
      <c r="C13" s="1093">
        <v>3</v>
      </c>
      <c r="D13" s="480"/>
      <c r="E13" s="489" t="str">
        <f>IF(AND(E8="Yes",E14="Area"),PRODUCT(VLOOKUP(F7,IF(F5="Yes",Table_BI_CoIns_EE,Table_BI_CoIns),E10+1,FALSE),E11),IF(AND(E8="Yes",E14="Value"),E12/VLOOKUP(F7,IF(F5="Yes",Table_BI_CoIns_EE,Table_BI_CoIns),E10+1,FALSE),""))</f>
        <v/>
      </c>
      <c r="F13" s="816" t="str">
        <f>IF(AND(E8="Yes",E14="Area"),PRODUCT(VLOOKUP(F7,IF(F5="Yes",Table_BI_CoIns_EE,Table_BI_CoIns),F10+1,FALSE),F11),IF(AND(E8="Yes",E14="Value"),F12/VLOOKUP(F7,IF(F5="Yes",Table_BI_CoIns_EE,Table_BI_CoIns),F10+1,FALSE),""))</f>
        <v/>
      </c>
      <c r="H13" s="82"/>
      <c r="I13" s="890" t="s">
        <v>1802</v>
      </c>
      <c r="J13" s="259">
        <f>SUM(J8:J12)</f>
        <v>0</v>
      </c>
      <c r="N13" s="83" t="s">
        <v>1150</v>
      </c>
      <c r="O13" s="247" t="e">
        <f>ROUND(PRODUCT(O3:O12),3)</f>
        <v>#N/A</v>
      </c>
      <c r="R13" s="189" t="s">
        <v>1255</v>
      </c>
      <c r="S13" s="207">
        <f>IF(F15="Yes",VLOOKUP(E16,Table_BI_IndDays,2,FALSE),1)</f>
        <v>1</v>
      </c>
      <c r="U13" s="8"/>
      <c r="W13" s="155"/>
    </row>
    <row r="14" spans="1:23" ht="13.5" thickBot="1" x14ac:dyDescent="0.25">
      <c r="A14" s="108" t="s">
        <v>1073</v>
      </c>
      <c r="B14" s="494"/>
      <c r="C14" s="704">
        <v>1</v>
      </c>
      <c r="D14" s="492" t="str">
        <f>IF(E8="Yes","BI - Combo Occupancy Rate:","")</f>
        <v/>
      </c>
      <c r="E14" s="490" t="str">
        <f>IF(AND(E8="Yes",AND(ISNUMBER(E11),ISNUMBER(F11),ISBLANK(E12),ISBLANK(F12))),"Area",IF(AND(E8="Yes",AND(ISNUMBER(E12),ISNUMBER(F12),ISBLANK(E11),ISBLANK(F11))),"Value",""))</f>
        <v/>
      </c>
      <c r="F14" s="696" t="str">
        <f>IF(AND(E8="Yes",E14="Area"),ROUND(SUM(E13:F13)/SUM(E11:F11),3),IF(AND(E8="Yes",E14="Value"),ROUND(SUM(E12:F12)/SUM(E13:F13),3),""))</f>
        <v/>
      </c>
      <c r="H14" s="82"/>
      <c r="I14" s="248"/>
      <c r="J14" s="259"/>
      <c r="M14" s="185"/>
      <c r="N14" s="186" t="s">
        <v>1025</v>
      </c>
      <c r="O14" s="238">
        <f>IF(ISNUMBER(C32),C32/100,0)</f>
        <v>0</v>
      </c>
      <c r="R14" s="168" t="s">
        <v>1256</v>
      </c>
      <c r="S14" s="207">
        <f>IF(F22="Yes",VLOOKUP(E23,Table_BI_OrdPR,2,FALSE),1)</f>
        <v>1</v>
      </c>
      <c r="V14" s="60" t="s">
        <v>952</v>
      </c>
      <c r="W14" s="157">
        <f>IF(SUM(W4:W13)&lt;-0.4,-0.4,IF(SUM(W4:W13)&gt;0.4,0.4,SUM(W4:W13)))</f>
        <v>0</v>
      </c>
    </row>
    <row r="15" spans="1:23" ht="13.5" customHeight="1" x14ac:dyDescent="0.2">
      <c r="A15" s="84" t="s">
        <v>975</v>
      </c>
      <c r="B15" s="160"/>
      <c r="C15" s="1116" t="s">
        <v>18</v>
      </c>
      <c r="D15" s="84" t="s">
        <v>1224</v>
      </c>
      <c r="E15" s="193"/>
      <c r="F15" s="1101" t="s">
        <v>857</v>
      </c>
      <c r="H15" s="82"/>
      <c r="I15" s="248"/>
      <c r="J15" s="259"/>
      <c r="N15" s="83" t="s">
        <v>1767</v>
      </c>
      <c r="O15" s="248" t="e">
        <f>ROUND(PRODUCT(O13:O14),0)</f>
        <v>#N/A</v>
      </c>
      <c r="R15" s="168" t="s">
        <v>1257</v>
      </c>
      <c r="S15" s="207">
        <f>IF(F24="Yes",DF_BI_Power,1)</f>
        <v>1</v>
      </c>
    </row>
    <row r="16" spans="1:23" ht="13.5" thickBot="1" x14ac:dyDescent="0.25">
      <c r="A16" s="122" t="s">
        <v>974</v>
      </c>
      <c r="B16" s="95"/>
      <c r="C16" s="1048">
        <v>1</v>
      </c>
      <c r="D16" s="159" t="s">
        <v>1244</v>
      </c>
      <c r="E16" s="963"/>
      <c r="F16" s="277"/>
      <c r="H16" s="576"/>
      <c r="I16" s="248"/>
      <c r="J16" s="248"/>
      <c r="R16" s="268" t="s">
        <v>1259</v>
      </c>
      <c r="S16" s="423">
        <f>IF(F26="Yes",VLOOKUP(E27,Table_CivilAuth,2,FALSE),1)</f>
        <v>1</v>
      </c>
    </row>
    <row r="17" spans="1:26" ht="15" customHeight="1" x14ac:dyDescent="0.2">
      <c r="A17" s="1195" t="s">
        <v>2097</v>
      </c>
      <c r="B17" s="95"/>
      <c r="C17" s="1194"/>
      <c r="D17" s="84" t="s">
        <v>1204</v>
      </c>
      <c r="E17" s="193"/>
      <c r="F17" s="962" t="s">
        <v>857</v>
      </c>
      <c r="H17" s="483" t="s">
        <v>1661</v>
      </c>
      <c r="I17" s="248"/>
      <c r="J17" s="248"/>
      <c r="R17" s="267" t="s">
        <v>1592</v>
      </c>
      <c r="S17" s="426">
        <f>IF(F28="Yes",VLOOKUP(E29,Table_BI_Mining,2,FALSE),0)</f>
        <v>0</v>
      </c>
      <c r="U17" s="136" t="s">
        <v>947</v>
      </c>
      <c r="V17" s="137"/>
      <c r="W17" s="137"/>
      <c r="X17" s="137"/>
      <c r="Y17" s="136" t="s">
        <v>938</v>
      </c>
      <c r="Z17" s="517"/>
    </row>
    <row r="18" spans="1:26" ht="13.5" thickBot="1" x14ac:dyDescent="0.25">
      <c r="A18" s="526"/>
      <c r="B18" s="96"/>
      <c r="C18" s="1099"/>
      <c r="D18" s="84" t="s">
        <v>1203</v>
      </c>
      <c r="E18" s="193"/>
      <c r="F18" s="962" t="s">
        <v>857</v>
      </c>
      <c r="H18" s="486"/>
      <c r="I18" s="486" t="s">
        <v>977</v>
      </c>
      <c r="J18" s="259">
        <f>IF(AND(C31="Yes",F3="Yes"),S25,0)</f>
        <v>0</v>
      </c>
      <c r="M18" s="60" t="s">
        <v>1797</v>
      </c>
      <c r="R18" s="268" t="s">
        <v>821</v>
      </c>
      <c r="S18" s="423">
        <f>IF(AND(F31="Yes",E32="24-HR"),VLOOKUP(E32,Table_BI_Wait,3,FALSE),1)</f>
        <v>1</v>
      </c>
      <c r="U18" s="138" t="s">
        <v>939</v>
      </c>
      <c r="V18" s="8"/>
      <c r="W18" s="8"/>
      <c r="X18" s="8"/>
      <c r="Y18" s="445" t="s">
        <v>940</v>
      </c>
      <c r="Z18" s="481"/>
    </row>
    <row r="19" spans="1:26" ht="15" customHeight="1" thickBot="1" x14ac:dyDescent="0.25">
      <c r="A19" s="529" t="s">
        <v>300</v>
      </c>
      <c r="B19" s="531"/>
      <c r="C19" s="532"/>
      <c r="D19" s="159" t="s">
        <v>1225</v>
      </c>
      <c r="E19" s="965" t="s">
        <v>857</v>
      </c>
      <c r="F19" s="1065"/>
      <c r="H19" s="486"/>
      <c r="I19" s="486" t="s">
        <v>978</v>
      </c>
      <c r="J19" s="259">
        <f>IF(AND(C31="Yes",F34="Yes"),S38,0)</f>
        <v>0</v>
      </c>
      <c r="N19" s="168" t="s">
        <v>1083</v>
      </c>
      <c r="O19" s="247">
        <f>IF(C41="Yes",VLOOKUP(B42,Table_EQ_LC,MATCH(C47,List_PPGrade,0)+3,FALSE),0)</f>
        <v>0</v>
      </c>
      <c r="R19" s="568" t="s">
        <v>822</v>
      </c>
      <c r="S19" s="423">
        <f>IF(AND(F31="Yes",E32="None"),VLOOKUP(E32,Table_BI_Wait,3,FALSE),1)</f>
        <v>1</v>
      </c>
      <c r="U19" s="138" t="s">
        <v>941</v>
      </c>
      <c r="V19" s="8"/>
      <c r="W19" s="8"/>
      <c r="X19" s="8"/>
      <c r="Y19" s="26"/>
      <c r="Z19" s="481"/>
    </row>
    <row r="20" spans="1:26" x14ac:dyDescent="0.2">
      <c r="A20" s="521" t="s">
        <v>899</v>
      </c>
      <c r="B20" s="95"/>
      <c r="C20" s="1094" t="s">
        <v>83</v>
      </c>
      <c r="D20" s="534" t="s">
        <v>1233</v>
      </c>
      <c r="E20" s="273"/>
      <c r="F20" s="962" t="s">
        <v>857</v>
      </c>
      <c r="H20" s="486"/>
      <c r="I20" s="705"/>
      <c r="J20" s="485"/>
      <c r="M20" s="146"/>
      <c r="N20" s="545" t="s">
        <v>971</v>
      </c>
      <c r="O20" s="299" t="e">
        <f>HLOOKUP(C10,Table_StateRates,6,FALSE)</f>
        <v>#N/A</v>
      </c>
      <c r="R20" s="168" t="s">
        <v>180</v>
      </c>
      <c r="S20" s="207">
        <f>1+ $Y$24</f>
        <v>1</v>
      </c>
      <c r="U20" s="26"/>
      <c r="V20" s="8"/>
      <c r="W20" s="8"/>
      <c r="X20" s="8"/>
      <c r="Y20" s="727" t="s">
        <v>942</v>
      </c>
      <c r="Z20" s="481"/>
    </row>
    <row r="21" spans="1:26" x14ac:dyDescent="0.2">
      <c r="A21" s="124" t="s">
        <v>959</v>
      </c>
      <c r="B21" s="496"/>
      <c r="C21" s="1064"/>
      <c r="D21" s="535" t="s">
        <v>1550</v>
      </c>
      <c r="E21" s="948"/>
      <c r="F21" s="966"/>
      <c r="H21" s="189"/>
      <c r="I21" s="705" t="s">
        <v>1084</v>
      </c>
      <c r="J21" s="260">
        <f>SUM(J18:J19)</f>
        <v>0</v>
      </c>
      <c r="N21" s="189" t="s">
        <v>1497</v>
      </c>
      <c r="O21" s="207">
        <v>1</v>
      </c>
      <c r="Q21" s="146"/>
      <c r="R21" s="545" t="s">
        <v>1020</v>
      </c>
      <c r="S21" s="299">
        <f>IF(C6="PAC",VLOOKUP(B7,Table_PakMods,MATCH(C11,List_Company,0)+1,FALSE),1)</f>
        <v>1</v>
      </c>
      <c r="U21" s="445" t="s">
        <v>943</v>
      </c>
      <c r="V21" s="8"/>
      <c r="W21" s="142" t="s">
        <v>944</v>
      </c>
      <c r="X21" s="8"/>
      <c r="Y21" s="727" t="s">
        <v>945</v>
      </c>
      <c r="Z21" s="481"/>
    </row>
    <row r="22" spans="1:26" x14ac:dyDescent="0.2">
      <c r="A22" s="108" t="s">
        <v>953</v>
      </c>
      <c r="B22" s="95"/>
      <c r="C22" s="735" t="s">
        <v>857</v>
      </c>
      <c r="D22" s="444" t="s">
        <v>1229</v>
      </c>
      <c r="E22" s="103"/>
      <c r="F22" s="966" t="s">
        <v>857</v>
      </c>
      <c r="H22" s="486"/>
      <c r="I22" s="485"/>
      <c r="J22" s="485"/>
      <c r="N22" s="168" t="s">
        <v>1017</v>
      </c>
      <c r="O22" s="247">
        <f>VLOOKUP(C27,Table_EQ_CoIns,2,FALSE)</f>
        <v>1</v>
      </c>
      <c r="Q22" s="542"/>
      <c r="R22" s="724" t="s">
        <v>1022</v>
      </c>
      <c r="S22" s="279">
        <f>1+$W$14</f>
        <v>1</v>
      </c>
      <c r="U22" s="140" t="s">
        <v>1715</v>
      </c>
      <c r="V22" s="8"/>
      <c r="W22" s="144"/>
      <c r="X22" s="8"/>
      <c r="Y22" s="727" t="s">
        <v>946</v>
      </c>
      <c r="Z22" s="481"/>
    </row>
    <row r="23" spans="1:26" ht="13.5" thickBot="1" x14ac:dyDescent="0.25">
      <c r="A23" s="120"/>
      <c r="B23" s="95"/>
      <c r="C23" s="1039"/>
      <c r="D23" s="819" t="s">
        <v>1243</v>
      </c>
      <c r="E23" s="965" t="s">
        <v>857</v>
      </c>
      <c r="F23" s="1102"/>
      <c r="H23" s="486"/>
      <c r="I23" s="485"/>
      <c r="J23" s="485"/>
      <c r="N23" s="168" t="s">
        <v>1018</v>
      </c>
      <c r="O23" s="207">
        <f>IF(C41="Yes",VLOOKUP(B50,Table_EQ_Deductible,MATCH(IF(B49&gt;C49,B49,C49),List_EQDeductibles,0)+1,FALSE),0)</f>
        <v>0</v>
      </c>
      <c r="R23" s="83" t="s">
        <v>1150</v>
      </c>
      <c r="S23" s="247" t="e">
        <f>ROUND(PRODUCT(S3:S16,S18:S22),3)</f>
        <v>#N/A</v>
      </c>
      <c r="U23" s="141" t="s">
        <v>1714</v>
      </c>
      <c r="V23" s="139"/>
      <c r="W23" s="145"/>
      <c r="X23" s="139"/>
      <c r="Y23" s="445"/>
      <c r="Z23" s="481"/>
    </row>
    <row r="24" spans="1:26" ht="13.5" thickBot="1" x14ac:dyDescent="0.25">
      <c r="A24" s="670" t="s">
        <v>307</v>
      </c>
      <c r="B24" s="683">
        <v>40502</v>
      </c>
      <c r="C24" s="736">
        <v>1</v>
      </c>
      <c r="D24" s="444" t="s">
        <v>1230</v>
      </c>
      <c r="E24" s="103"/>
      <c r="F24" s="966" t="s">
        <v>857</v>
      </c>
      <c r="H24" s="483" t="s">
        <v>1760</v>
      </c>
      <c r="I24" s="485"/>
      <c r="J24" s="569">
        <f>SUM(J5,J8,J21)</f>
        <v>0</v>
      </c>
      <c r="N24" s="168" t="s">
        <v>1768</v>
      </c>
      <c r="O24" s="207">
        <f>IF(OR(C43="1C",C43="1D"),VLOOKUP(B46,Table_EQ_Masonry,3,FALSE),1)</f>
        <v>1</v>
      </c>
      <c r="Q24" s="185"/>
      <c r="R24" s="186" t="s">
        <v>1025</v>
      </c>
      <c r="S24" s="238">
        <f>IF(ISNUMBER(F4),F4/100,0)</f>
        <v>0</v>
      </c>
      <c r="U24" s="141" t="s">
        <v>1716</v>
      </c>
      <c r="V24" s="139"/>
      <c r="W24" s="145"/>
      <c r="X24" s="139"/>
      <c r="Y24" s="1597"/>
      <c r="Z24" s="1598"/>
    </row>
    <row r="25" spans="1:26" ht="13.5" thickBot="1" x14ac:dyDescent="0.25">
      <c r="A25" s="671" t="s">
        <v>308</v>
      </c>
      <c r="B25" s="678">
        <f>IF(ISBLANK(C24),"N/A",VLOOKUP(C24,Table_EQ_Tiers,2,FALSE))</f>
        <v>1</v>
      </c>
      <c r="C25" s="1039"/>
      <c r="D25" s="444" t="s">
        <v>1232</v>
      </c>
      <c r="E25" s="103"/>
      <c r="F25" s="966" t="s">
        <v>857</v>
      </c>
      <c r="H25" s="486"/>
      <c r="I25" s="485"/>
      <c r="J25" s="485"/>
      <c r="N25" s="168" t="s">
        <v>180</v>
      </c>
      <c r="O25" s="207">
        <f>1+ $Y$24</f>
        <v>1</v>
      </c>
      <c r="R25" s="83" t="s">
        <v>1769</v>
      </c>
      <c r="S25" s="248" t="e">
        <f>ROUND(PRODUCT(S23:S24),0)</f>
        <v>#N/A</v>
      </c>
      <c r="U25" s="141" t="s">
        <v>1717</v>
      </c>
      <c r="V25" s="139"/>
      <c r="W25" s="145"/>
      <c r="X25" s="139"/>
      <c r="Y25" s="445"/>
      <c r="Z25" s="481"/>
    </row>
    <row r="26" spans="1:26" x14ac:dyDescent="0.2">
      <c r="A26" s="84" t="s">
        <v>310</v>
      </c>
      <c r="B26" s="675"/>
      <c r="C26" s="1093">
        <v>99</v>
      </c>
      <c r="D26" s="538" t="s">
        <v>1545</v>
      </c>
      <c r="E26" s="103"/>
      <c r="F26" s="966" t="s">
        <v>857</v>
      </c>
      <c r="M26" s="146"/>
      <c r="N26" s="545" t="s">
        <v>1020</v>
      </c>
      <c r="O26" s="299">
        <f>IF(C6="PAC",VLOOKUP(B7,Table_PakMods,MATCH(C11,List_Company,0)+1,FALSE),1)</f>
        <v>1</v>
      </c>
      <c r="U26" s="141" t="s">
        <v>1718</v>
      </c>
      <c r="V26" s="8"/>
      <c r="W26" s="145"/>
      <c r="X26" s="8"/>
      <c r="Y26" s="26"/>
      <c r="Z26" s="481"/>
    </row>
    <row r="27" spans="1:26" x14ac:dyDescent="0.2">
      <c r="A27" s="108" t="s">
        <v>309</v>
      </c>
      <c r="B27" s="95"/>
      <c r="C27" s="1093">
        <v>80</v>
      </c>
      <c r="D27" s="518" t="s">
        <v>1555</v>
      </c>
      <c r="E27" s="948">
        <v>180</v>
      </c>
      <c r="F27" s="1065"/>
      <c r="M27" s="542"/>
      <c r="N27" s="724" t="s">
        <v>1022</v>
      </c>
      <c r="O27" s="279">
        <f>1+$W$14</f>
        <v>1</v>
      </c>
      <c r="U27" s="141" t="s">
        <v>181</v>
      </c>
      <c r="V27" s="8"/>
      <c r="W27" s="145"/>
      <c r="X27" s="8"/>
      <c r="Y27" s="26"/>
      <c r="Z27" s="481"/>
    </row>
    <row r="28" spans="1:26" x14ac:dyDescent="0.2">
      <c r="A28" s="108" t="s">
        <v>908</v>
      </c>
      <c r="B28" s="912" t="str">
        <f>IF(OR(TC10_BLDG1!C59="Yes",TC10_PP1!C53="Yes"),"Repl Cost","Available")</f>
        <v>Available</v>
      </c>
      <c r="C28" s="962" t="s">
        <v>833</v>
      </c>
      <c r="D28" s="538" t="s">
        <v>1246</v>
      </c>
      <c r="E28" s="103"/>
      <c r="F28" s="966" t="s">
        <v>857</v>
      </c>
      <c r="N28" s="83" t="s">
        <v>1150</v>
      </c>
      <c r="O28" s="247" t="e">
        <f>ROUND(PRODUCT(O19:O27),3)</f>
        <v>#N/A</v>
      </c>
      <c r="Q28" s="60" t="s">
        <v>1770</v>
      </c>
      <c r="U28" s="141" t="s">
        <v>1720</v>
      </c>
      <c r="V28" s="8"/>
      <c r="W28" s="145"/>
      <c r="X28" s="8"/>
      <c r="Y28" s="26"/>
      <c r="Z28" s="481"/>
    </row>
    <row r="29" spans="1:26" ht="13.5" thickBot="1" x14ac:dyDescent="0.25">
      <c r="A29" s="526"/>
      <c r="B29" s="515"/>
      <c r="C29" s="540"/>
      <c r="D29" s="507" t="s">
        <v>1589</v>
      </c>
      <c r="E29" s="948"/>
      <c r="F29" s="1065"/>
      <c r="M29" s="185"/>
      <c r="N29" s="186" t="s">
        <v>1025</v>
      </c>
      <c r="O29" s="238">
        <f>IF(ISNUMBER(C42),C42/100,0)</f>
        <v>0</v>
      </c>
      <c r="R29" s="168" t="s">
        <v>1761</v>
      </c>
      <c r="S29" s="247" t="e">
        <f>IF(C31="Yes",VLOOKUP(B32,Table_EQ_LC,3,FALSE),VLOOKUP(B42,Table_EQ_LC,MATCH(C47,List_PPGrade,0)+3,FALSE))</f>
        <v>#N/A</v>
      </c>
      <c r="U29" s="141" t="s">
        <v>182</v>
      </c>
      <c r="V29" s="8"/>
      <c r="W29" s="145"/>
      <c r="X29" s="8"/>
      <c r="Y29" s="26"/>
      <c r="Z29" s="481"/>
    </row>
    <row r="30" spans="1:26" ht="13.5" thickBot="1" x14ac:dyDescent="0.25">
      <c r="A30" s="529" t="s">
        <v>1831</v>
      </c>
      <c r="B30" s="531"/>
      <c r="C30" s="532"/>
      <c r="D30" s="499"/>
      <c r="E30" s="146"/>
      <c r="F30" s="1072"/>
      <c r="N30" s="83" t="s">
        <v>1797</v>
      </c>
      <c r="O30" s="248" t="e">
        <f>ROUND(PRODUCT(O28:O29),0)</f>
        <v>#N/A</v>
      </c>
      <c r="Q30" s="146"/>
      <c r="R30" s="545" t="s">
        <v>971</v>
      </c>
      <c r="S30" s="299" t="e">
        <f>HLOOKUP(C10,Table_StateRates,6,FALSE)</f>
        <v>#N/A</v>
      </c>
      <c r="U30" s="141" t="s">
        <v>1722</v>
      </c>
      <c r="V30" s="8"/>
      <c r="W30" s="145"/>
      <c r="X30" s="8"/>
      <c r="Y30" s="26"/>
      <c r="Z30" s="481"/>
    </row>
    <row r="31" spans="1:26" ht="13.5" thickBot="1" x14ac:dyDescent="0.25">
      <c r="A31" s="203" t="s">
        <v>301</v>
      </c>
      <c r="B31" s="216"/>
      <c r="C31" s="1100" t="s">
        <v>857</v>
      </c>
      <c r="D31" s="527" t="s">
        <v>1608</v>
      </c>
      <c r="E31" s="422"/>
      <c r="F31" s="966" t="s">
        <v>857</v>
      </c>
      <c r="R31" s="168" t="s">
        <v>1258</v>
      </c>
      <c r="S31" s="207">
        <f>IF(F34="Yes",VLOOKUP(F36,Table_EE_CoIns,3,FALSE),1)</f>
        <v>1</v>
      </c>
      <c r="U31" s="85"/>
      <c r="V31" s="86"/>
      <c r="W31" s="86"/>
      <c r="X31" s="86"/>
      <c r="Y31" s="85"/>
      <c r="Z31" s="196"/>
    </row>
    <row r="32" spans="1:26" x14ac:dyDescent="0.2">
      <c r="A32" s="107" t="s">
        <v>1242</v>
      </c>
      <c r="B32" s="690" t="str">
        <f>IF(ISBLANK(C33),"",IF(C33=6,"Invalid",C24&amp;"_"&amp;IF(C33=7,B33,C33)))</f>
        <v/>
      </c>
      <c r="C32" s="704"/>
      <c r="D32" s="539" t="s">
        <v>1609</v>
      </c>
      <c r="E32" s="968" t="s">
        <v>1599</v>
      </c>
      <c r="F32" s="1065"/>
      <c r="R32" s="168" t="s">
        <v>1088</v>
      </c>
      <c r="S32" s="207">
        <f>IF(OR(C20="S",C20="T"),VLOOKUP(IF(C31="Yes",C39,C51),Table_EQ_OptStory,3,FALSE),1)</f>
        <v>1</v>
      </c>
    </row>
    <row r="33" spans="1:19" ht="13.5" thickBot="1" x14ac:dyDescent="0.25">
      <c r="A33" s="81" t="s">
        <v>302</v>
      </c>
      <c r="B33" s="697" t="str">
        <f>IF(C33=7,VLOOKUP(C34,Table_EQ_Class7,2,FALSE),"N/A")</f>
        <v>N/A</v>
      </c>
      <c r="C33" s="735"/>
      <c r="D33" s="87"/>
      <c r="E33" s="194"/>
      <c r="F33" s="1103"/>
      <c r="N33" s="974" t="s">
        <v>1800</v>
      </c>
      <c r="O33" s="883" t="e">
        <f>O28</f>
        <v>#N/A</v>
      </c>
      <c r="R33" s="168" t="s">
        <v>180</v>
      </c>
      <c r="S33" s="207">
        <f>1+ $Y$24</f>
        <v>1</v>
      </c>
    </row>
    <row r="34" spans="1:19" x14ac:dyDescent="0.2">
      <c r="A34" s="693" t="str">
        <f>IF(C33=6,"Invalid Bldg Class, Choose Again",IF(C33=7, "Select Special Structure Item #","Lookup Value is:"&amp;"  "&amp;B32))</f>
        <v xml:space="preserve">Lookup Value is:  </v>
      </c>
      <c r="B34" s="272"/>
      <c r="C34" s="692" t="s">
        <v>857</v>
      </c>
      <c r="D34" s="123" t="s">
        <v>962</v>
      </c>
      <c r="E34" s="474"/>
      <c r="F34" s="1104" t="s">
        <v>857</v>
      </c>
      <c r="Q34" s="146"/>
      <c r="R34" s="545" t="s">
        <v>1020</v>
      </c>
      <c r="S34" s="299">
        <f>IF(C6="PAC",VLOOKUP(B7,Table_PakMods,MATCH(C11,List_Company,0)+1,FALSE),1)</f>
        <v>1</v>
      </c>
    </row>
    <row r="35" spans="1:19" x14ac:dyDescent="0.2">
      <c r="A35" s="694" t="e">
        <f>IF(AND(C33=7,ISBLANK(C34)=FALSE),VLOOKUP(C34,Table_EQ_Class7,4,FALSE),VLOOKUP(C33,Table_EQ_BldgClass,2,FALSE))</f>
        <v>#N/A</v>
      </c>
      <c r="B35" s="193"/>
      <c r="C35" s="691"/>
      <c r="D35" s="107" t="s">
        <v>1241</v>
      </c>
      <c r="E35" s="272"/>
      <c r="F35" s="704"/>
      <c r="Q35" s="542"/>
      <c r="R35" s="724" t="s">
        <v>1022</v>
      </c>
      <c r="S35" s="279">
        <f>1+$W$14</f>
        <v>1</v>
      </c>
    </row>
    <row r="36" spans="1:19" x14ac:dyDescent="0.2">
      <c r="A36" s="81" t="s">
        <v>1377</v>
      </c>
      <c r="B36" s="414" t="s">
        <v>857</v>
      </c>
      <c r="C36" s="169"/>
      <c r="D36" s="81" t="s">
        <v>1610</v>
      </c>
      <c r="E36" s="193"/>
      <c r="F36" s="704"/>
      <c r="M36" s="60" t="s">
        <v>1798</v>
      </c>
      <c r="R36" s="83" t="s">
        <v>1150</v>
      </c>
      <c r="S36" s="247" t="e">
        <f>ROUND(PRODUCT(S29:S35),3)</f>
        <v>#N/A</v>
      </c>
    </row>
    <row r="37" spans="1:19" ht="13.5" thickBot="1" x14ac:dyDescent="0.25">
      <c r="A37" s="669" t="s">
        <v>303</v>
      </c>
      <c r="B37" s="414">
        <v>10</v>
      </c>
      <c r="C37" s="699" t="str">
        <f>IF(C31="Yes",VLOOKUP(B32,Table_EQ_LC,2,FALSE),"")</f>
        <v/>
      </c>
      <c r="D37" s="87"/>
      <c r="E37" s="194"/>
      <c r="F37" s="100"/>
      <c r="N37" s="168" t="s">
        <v>1801</v>
      </c>
      <c r="O37" s="247" t="e">
        <f>$O$33</f>
        <v>#N/A</v>
      </c>
      <c r="Q37" s="185"/>
      <c r="R37" s="186" t="s">
        <v>1025</v>
      </c>
      <c r="S37" s="238">
        <f>IF(ISNUMBER(F35),F35/100,0)</f>
        <v>0</v>
      </c>
    </row>
    <row r="38" spans="1:19" x14ac:dyDescent="0.2">
      <c r="A38" s="676" t="s">
        <v>1764</v>
      </c>
      <c r="B38" s="355" t="str">
        <f>IF(C31="Yes",B25&amp;"_"&amp;IF(C33=7,B33,C33),"N/A")</f>
        <v>N/A</v>
      </c>
      <c r="C38" s="698"/>
      <c r="M38" s="185"/>
      <c r="N38" s="186" t="s">
        <v>1025</v>
      </c>
      <c r="O38" s="238">
        <f>IF(B54="Yes",C54/100,0)</f>
        <v>0</v>
      </c>
      <c r="R38" s="83" t="s">
        <v>1770</v>
      </c>
      <c r="S38" s="248" t="e">
        <f>ROUND(PRODUCT(S36:S37),0)</f>
        <v>#N/A</v>
      </c>
    </row>
    <row r="39" spans="1:19" x14ac:dyDescent="0.2">
      <c r="A39" s="676" t="s">
        <v>126</v>
      </c>
      <c r="B39" s="414">
        <v>2</v>
      </c>
      <c r="C39" s="684">
        <f>IF(ISBLANK(B39),"",IF(B39&lt;9,1,IF(B39&lt;21,2,3)))</f>
        <v>1</v>
      </c>
      <c r="N39" s="83" t="s">
        <v>1794</v>
      </c>
      <c r="O39" s="248" t="e">
        <f>ROUND(PRODUCT(O37:O38),0)</f>
        <v>#N/A</v>
      </c>
    </row>
    <row r="40" spans="1:19" ht="13.5" thickBot="1" x14ac:dyDescent="0.25">
      <c r="A40" s="87"/>
      <c r="B40" s="194"/>
      <c r="C40" s="100"/>
    </row>
    <row r="41" spans="1:19" x14ac:dyDescent="0.2">
      <c r="A41" s="203" t="s">
        <v>304</v>
      </c>
      <c r="B41" s="216"/>
      <c r="C41" s="1100" t="s">
        <v>857</v>
      </c>
      <c r="M41" s="60" t="s">
        <v>1799</v>
      </c>
    </row>
    <row r="42" spans="1:19" ht="13.5" customHeight="1" x14ac:dyDescent="0.2">
      <c r="A42" s="107" t="s">
        <v>1242</v>
      </c>
      <c r="B42" s="690" t="str">
        <f>IF(ISBLANK(C43),"",IF(C43=6,"Invalid",C24&amp;"_"&amp;IF(C43=7,B43,C43)))</f>
        <v/>
      </c>
      <c r="C42" s="413"/>
      <c r="N42" s="168" t="s">
        <v>1801</v>
      </c>
      <c r="O42" s="247" t="e">
        <f>$O$33</f>
        <v>#N/A</v>
      </c>
    </row>
    <row r="43" spans="1:19" ht="12.75" customHeight="1" x14ac:dyDescent="0.2">
      <c r="A43" s="81" t="s">
        <v>302</v>
      </c>
      <c r="B43" s="697" t="str">
        <f>IF(C43=7,VLOOKUP(C44,Table_EQ_Class7,2,FALSE),"N/A")</f>
        <v>N/A</v>
      </c>
      <c r="C43" s="735"/>
      <c r="M43" s="185"/>
      <c r="N43" s="186" t="s">
        <v>1025</v>
      </c>
      <c r="O43" s="238">
        <f>IF(B55="Yes",C55/100,0)</f>
        <v>0</v>
      </c>
    </row>
    <row r="44" spans="1:19" x14ac:dyDescent="0.2">
      <c r="A44" s="693" t="str">
        <f>IF(C43=6,"Invalid Bldg Class, Choose Again",IF(C43=7, "Select Special Structure Item #","Lookup Value is:"&amp;"  "&amp;B42))</f>
        <v xml:space="preserve">Lookup Value is:  </v>
      </c>
      <c r="B44" s="272"/>
      <c r="C44" s="692" t="s">
        <v>857</v>
      </c>
      <c r="N44" s="83" t="s">
        <v>1793</v>
      </c>
      <c r="O44" s="248" t="e">
        <f>ROUND(PRODUCT(O42:O43),0)</f>
        <v>#N/A</v>
      </c>
    </row>
    <row r="45" spans="1:19" x14ac:dyDescent="0.2">
      <c r="A45" s="694" t="e">
        <f>IF(AND(C43=7,ISBLANK(C44)=FALSE),VLOOKUP(C44,Table_EQ_Class7,4,FALSE),VLOOKUP(C43,Table_EQ_BldgClass,2,FALSE))</f>
        <v>#N/A</v>
      </c>
      <c r="B45" s="193"/>
      <c r="C45" s="691"/>
    </row>
    <row r="46" spans="1:19" ht="13.5" thickBot="1" x14ac:dyDescent="0.25">
      <c r="A46" s="81" t="s">
        <v>1377</v>
      </c>
      <c r="B46" s="414" t="s">
        <v>857</v>
      </c>
      <c r="C46" s="169"/>
      <c r="M46" s="60" t="s">
        <v>1795</v>
      </c>
    </row>
    <row r="47" spans="1:19" ht="13.5" thickBot="1" x14ac:dyDescent="0.25">
      <c r="A47" s="669" t="s">
        <v>305</v>
      </c>
      <c r="B47" s="273"/>
      <c r="C47" s="703" t="str">
        <f>IF(C41="Yes",VLOOKUP(A48,Table_EQ_PPGrade,2,FALSE),"N/A")</f>
        <v>N/A</v>
      </c>
      <c r="N47" s="168" t="s">
        <v>1801</v>
      </c>
      <c r="O47" s="247" t="e">
        <f>$O$33</f>
        <v>#N/A</v>
      </c>
    </row>
    <row r="48" spans="1:19" x14ac:dyDescent="0.2">
      <c r="A48" s="1620" t="s">
        <v>708</v>
      </c>
      <c r="B48" s="1621"/>
      <c r="C48" s="1622"/>
      <c r="M48" s="185"/>
      <c r="N48" s="186" t="s">
        <v>1025</v>
      </c>
      <c r="O48" s="238">
        <f>IF(B56="Yes",C56/100,0)</f>
        <v>0</v>
      </c>
    </row>
    <row r="49" spans="1:15" x14ac:dyDescent="0.2">
      <c r="A49" s="669" t="s">
        <v>303</v>
      </c>
      <c r="B49" s="414"/>
      <c r="C49" s="699" t="str">
        <f>IF(C41="Yes",VLOOKUP(B42,Table_EQ_LC,2,FALSE),"")</f>
        <v/>
      </c>
      <c r="N49" s="83" t="s">
        <v>1792</v>
      </c>
      <c r="O49" s="248" t="e">
        <f>ROUND(PRODUCT(O47:O48),0)</f>
        <v>#N/A</v>
      </c>
    </row>
    <row r="50" spans="1:15" x14ac:dyDescent="0.2">
      <c r="A50" s="676" t="s">
        <v>1764</v>
      </c>
      <c r="B50" s="355" t="str">
        <f>IF(C41="Yes",B25&amp;"_"&amp;IF(C43=7,B43,C43),"N/A")</f>
        <v>N/A</v>
      </c>
      <c r="C50" s="698"/>
    </row>
    <row r="51" spans="1:15" x14ac:dyDescent="0.2">
      <c r="A51" s="676" t="s">
        <v>126</v>
      </c>
      <c r="B51" s="414"/>
      <c r="C51" s="684" t="str">
        <f>IF(ISBLANK(B51),"",IF(B51&lt;9,1,IF(B51&lt;21,2,3)))</f>
        <v/>
      </c>
      <c r="M51" s="60" t="s">
        <v>1796</v>
      </c>
    </row>
    <row r="52" spans="1:15" ht="13.5" thickBot="1" x14ac:dyDescent="0.25">
      <c r="A52" s="87"/>
      <c r="B52" s="194"/>
      <c r="C52" s="100"/>
      <c r="N52" s="168" t="s">
        <v>1801</v>
      </c>
      <c r="O52" s="247" t="e">
        <f>$O$33</f>
        <v>#N/A</v>
      </c>
    </row>
    <row r="53" spans="1:15" ht="13.5" thickBot="1" x14ac:dyDescent="0.25">
      <c r="A53" s="529" t="s">
        <v>1141</v>
      </c>
      <c r="B53" s="531"/>
      <c r="C53" s="532"/>
      <c r="M53" s="185"/>
      <c r="N53" s="186" t="s">
        <v>1025</v>
      </c>
      <c r="O53" s="238">
        <f>IF(B57="Yes",C57/100,0)</f>
        <v>0</v>
      </c>
    </row>
    <row r="54" spans="1:15" x14ac:dyDescent="0.2">
      <c r="A54" s="783" t="s">
        <v>1142</v>
      </c>
      <c r="B54" s="948" t="s">
        <v>857</v>
      </c>
      <c r="C54" s="1101"/>
      <c r="N54" s="83" t="s">
        <v>1791</v>
      </c>
      <c r="O54" s="248" t="e">
        <f>ROUND(PRODUCT(O52:O53),0)</f>
        <v>#N/A</v>
      </c>
    </row>
    <row r="55" spans="1:15" x14ac:dyDescent="0.2">
      <c r="A55" s="783" t="s">
        <v>1143</v>
      </c>
      <c r="B55" s="948" t="s">
        <v>857</v>
      </c>
      <c r="C55" s="1101"/>
      <c r="M55" s="60"/>
    </row>
    <row r="56" spans="1:15" x14ac:dyDescent="0.2">
      <c r="A56" s="783" t="s">
        <v>1144</v>
      </c>
      <c r="B56" s="948" t="s">
        <v>857</v>
      </c>
      <c r="C56" s="1101"/>
    </row>
    <row r="57" spans="1:15" x14ac:dyDescent="0.2">
      <c r="A57" s="784" t="s">
        <v>1145</v>
      </c>
      <c r="B57" s="948" t="s">
        <v>857</v>
      </c>
      <c r="C57" s="962"/>
    </row>
  </sheetData>
  <mergeCells count="4">
    <mergeCell ref="H1:K1"/>
    <mergeCell ref="U1:W1"/>
    <mergeCell ref="Y24:Z24"/>
    <mergeCell ref="A48:C48"/>
  </mergeCells>
  <conditionalFormatting sqref="C17">
    <cfRule type="expression" dxfId="12" priority="8">
      <formula>IF($C$12="SP",TRUE,FALSE)</formula>
    </cfRule>
    <cfRule type="expression" dxfId="11" priority="9">
      <formula>IF($C$12="SP",TRUE,FALSE)</formula>
    </cfRule>
  </conditionalFormatting>
  <conditionalFormatting sqref="A17">
    <cfRule type="expression" dxfId="10" priority="7">
      <formula>IF($C$12="SP",TRUE,FALSE)</formula>
    </cfRule>
  </conditionalFormatting>
  <conditionalFormatting sqref="C17">
    <cfRule type="expression" dxfId="9" priority="5">
      <formula>IF($C$12="SP",TRUE,FALSE)</formula>
    </cfRule>
    <cfRule type="expression" dxfId="8" priority="6">
      <formula>IF($C$12="SP",TRUE,FALSE)</formula>
    </cfRule>
  </conditionalFormatting>
  <conditionalFormatting sqref="C17">
    <cfRule type="expression" dxfId="7" priority="3">
      <formula>IF($C$12="SP",TRUE,FALSE)</formula>
    </cfRule>
    <cfRule type="expression" dxfId="6" priority="4">
      <formula>IF($C$12="SP",TRUE,FALSE)</formula>
    </cfRule>
  </conditionalFormatting>
  <conditionalFormatting sqref="C17">
    <cfRule type="expression" dxfId="5" priority="1">
      <formula>IF($C$12="SP",TRUE,FALSE)</formula>
    </cfRule>
    <cfRule type="expression" dxfId="4" priority="2">
      <formula>IF($C$12="SP",TRUE,FALSE)</formula>
    </cfRule>
  </conditionalFormatting>
  <dataValidations count="73"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C15">
      <formula1>OFFSET(Table_G2SymLC,0,0,,1)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Personal Property of Others" prompt="If you would like to apply Additional Personal Property:_x000a__x000a_Please Select:_x000a_Yes or No" sqref="B54">
      <formula1>IF($C$29="No",List_No,List_YN)</formula1>
    </dataValidation>
    <dataValidation type="list" allowBlank="1" showInputMessage="1" showErrorMessage="1" promptTitle="Household Personal Property" prompt="If you would like to apply Additional Personal Property:_x000a__x000a_Please Select:_x000a_Yes or No" sqref="B55">
      <formula1>IF($C$29="No",List_No,List_YN)</formula1>
    </dataValidation>
    <dataValidation type="list" allowBlank="1" showInputMessage="1" showErrorMessage="1" promptTitle="Stock Personal Property" prompt="If you would like to apply Additional Personal Property:_x000a__x000a_Please Select:_x000a_Yes or No" sqref="B56">
      <formula1>IF($C$29="No",List_No,List_YN)</formula1>
    </dataValidation>
    <dataValidation type="list" allowBlank="1" showInputMessage="1" showErrorMessage="1" promptTitle="Other Personal Property" prompt="If you would like to apply Additional Personal Property:_x000a__x000a_Please Select:_x000a_Yes or No" sqref="B57">
      <formula1>IF($C$29="No",List_No,List_YN)</formula1>
    </dataValidation>
    <dataValidation type="list" allowBlank="1" showInputMessage="1" showErrorMessage="1" errorTitle="Not Applicable" error="This coverage does not apply if Civil Authority Increased Coverage Period is not selected." promptTitle="BI Changes - Waiting Period" prompt="If you wish to override the 72 hour waiting period initiated by Civil Authority which is already included in the basic policy, please select:_x000a__x000a_Yes or No" sqref="F31">
      <formula1>List_YN</formula1>
    </dataValidation>
    <dataValidation type="list" allowBlank="1" showInputMessage="1" showErrorMessage="1" promptTitle="Please Select Waiting Period:" prompt="Select how you would like to modify the Civil Authority Time Period:_x000a__x000a_24-Hour Waiting Period_x000a_or_x000a_No Waiting Period" sqref="E32">
      <formula1>IF(#REF!="Yes", OFFSET(Table_BI_Wait,0,0,,1),List_No)</formula1>
    </dataValidation>
    <dataValidation type="list" allowBlank="1" showInputMessage="1" showErrorMessage="1" promptTitle="Civil Authority Inc. Coverage" prompt="Please Select:_x000a_Yes or No" sqref="F26">
      <formula1>List_YN</formula1>
    </dataValidation>
    <dataValidation type="list" allowBlank="1" showInputMessage="1" showErrorMessage="1" promptTitle="Increased Coverage Period" prompt="Please Select # of Days:_x000a_{ 60, 90, 180 }" sqref="E27">
      <formula1>IF($F$28="Yes",OFFSET(Table_CivilAuth,0,0,,1),List_No)</formula1>
    </dataValidation>
    <dataValidation type="list" allowBlank="1" showInputMessage="1" showErrorMessage="1" promptTitle="Ordinary Payroll Exclusion" prompt="Please Select:_x000a_Yes or No" sqref="F22">
      <formula1>List_YN</formula1>
    </dataValidation>
    <dataValidation type="list" allowBlank="1" showInputMessage="1" showErrorMessage="1" errorTitle="Invalid Entry" error="If you would like to apply the Power, Heat &amp; Refrigeration Deduction, please apply at least a 50% CoInsurance." promptTitle="Apply Deduction?" prompt="Please Select:_x000a_Yes or No" sqref="F24">
      <formula1>IF(ISNUMBER($F$7),List_YN,List_No)</formula1>
    </dataValidation>
    <dataValidation type="list" allowBlank="1" showInputMessage="1" showErrorMessage="1" errorTitle="Invalid Entry" error="Please select &quot;Yes&quot; for the Ordinary Payroll Exclusion." promptTitle="Ordinary Payroll Days" prompt="Please Select:_x000a_( 0, 90 , 180 )" sqref="E23">
      <formula1>IF($F$24="Yes",OFFSET(Table_BI_OrdPR,0,0,,1),List_No)</formula1>
    </dataValidation>
    <dataValidation type="list" allowBlank="1" showInputMessage="1" showErrorMessage="1" promptTitle="Apply Mining Property Coverage?" prompt="Please Select:_x000a_Yes or No" sqref="F28">
      <formula1>IF(ISNUMBER($F$7),List_YN,List_No)</formula1>
    </dataValidation>
    <dataValidation type="list" allowBlank="1" showInputMessage="1" showErrorMessage="1" promptTitle="Seasonal Leases:" prompt="Please Select:_x000a_Yes or No_x000a__x000a_* This coverage relates to rental property only." sqref="F25">
      <formula1>IF($F$8&lt;&gt;3,List_No,List_YN)</formula1>
    </dataValidation>
    <dataValidation type="list" allowBlank="1" showInputMessage="1" showErrorMessage="1" promptTitle="Underground Coverage Type" prompt="Please select type of coverage:_x000a_None = No Underground Coverage_x000a_LC = Limited Coverage_x000a_BR = Broad Coverage_x000a__x000a_* This rate is added to the BI Rate" sqref="E29">
      <formula1>IF($F$33="Yes",List_BI_Mining,List_No)</formula1>
    </dataValidation>
    <dataValidation type="custom" allowBlank="1" showInputMessage="1" showErrorMessage="1" promptTitle="Replacement Cost on Policy" prompt="If replacement cost is present on the policy, then Agreed Value cannot be applied." sqref="B28">
      <formula1>FALSE</formula1>
    </dataValidation>
    <dataValidation type="list" showInputMessage="1" showErrorMessage="1" promptTitle="Please Select:" prompt="Yes = Apply Coverage_x000a_No  = Do Not Apply_x000a__x000a_* Please note this coverage is not allowed if Replacement cost is present." sqref="C28">
      <formula1>IF($B$28="Available",List_YN,List_No)</formula1>
    </dataValidation>
    <dataValidation type="list" allowBlank="1" showInputMessage="1" showErrorMessage="1" sqref="C27">
      <formula1>OFFSET(Table_EQ_CoIns,0,0,,1)</formula1>
    </dataValidation>
    <dataValidation type="custom" allowBlank="1" showInputMessage="1" showErrorMessage="1" promptTitle="Earthquake Tier:" prompt="Determined by the Territory supplied." sqref="B25">
      <formula1>FALSE</formula1>
    </dataValidation>
    <dataValidation type="list" allowBlank="1" showInputMessage="1" showErrorMessage="1" promptTitle="Please Select Territory:" prompt="Select the Territory that corresponds to the Zipcode provided:_x000a_Territories { 21 - 25 }" sqref="C24">
      <formula1>OFFSET(Table_EQ_Tiers,0,0,,1)</formula1>
    </dataValidation>
    <dataValidation allowBlank="1" showInputMessage="1" showErrorMessage="1" promptTitle="Enter EQ Zipcode:" prompt="Please supply the Zipcode for the EQ Building Property." sqref="B24"/>
    <dataValidation type="list" allowBlank="1" showInputMessage="1" showErrorMessage="1" errorTitle="Invalid Selection:" error="This factor only applies to Specific or Tentative Class Rated Property." promptTitle="Building Code Eff. Grading:" prompt="Please Select Grading:_x000a_1 - 10 _x000a_or_x000a_99 = Ungraded_x000a__x000a_*Applies only to (S)pecific or (T)entative Class Rated Property." sqref="C26">
      <formula1>IF(OR($C$20="S",$C$20="T"),OFFSET(Table_BCEG,0,0,,1),List_BCEG99)</formula1>
    </dataValidation>
    <dataValidation type="list" allowBlank="1" showInputMessage="1" showErrorMessage="1" promptTitle="Please Select Cause of Loss:" prompt="BA  = Basic_x000a_BR  = Broad_x000a_SP  = Special_x000a_EQ = Earthquake" sqref="C11">
      <formula1>List_CauseBldg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C14">
      <formula1>List_ConstrNum</formula1>
    </dataValidation>
    <dataValidation type="list" allowBlank="1" showInputMessage="1" showErrorMessage="1" promptTitle="Protection Class:" prompt="Please select a number (1 - 10)" sqref="C13">
      <formula1>OFFSET(Table_ProtClass,0,0,,1)</formula1>
    </dataValidation>
    <dataValidation type="list" allowBlank="1" showInputMessage="1" showErrorMessage="1" promptTitle="Special - Cause of Loss" prompt="Please select:_x000a_1 - Excluding Theft (Special)_x000a_2 - Including Theft  (Special)" sqref="C12">
      <formula1>IF($C$11="SP",List_SPTheft,List_No)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custom" allowBlank="1" showInputMessage="1" showErrorMessage="1" promptTitle="SPECIAL Form - Column Ref." prompt="This factor is used to determine the which column to use in the SPECIAL Form - Loss Cost table." sqref="B12">
      <formula1>FALSE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allowBlank="1" showInputMessage="1" showErrorMessage="1" promptTitle="Policy Term" prompt="Please Select:_x000a_1 - 1-Yr Policy_x000a_3 - 3-Yr Policy" sqref="C9"/>
    <dataValidation type="list" allowBlank="1" showInputMessage="1" showErrorMessage="1" promptTitle="Please Select:" prompt="C   = Class_x000a_S   = Specific_x000a_T   = Tentative" sqref="C20">
      <formula1>OFFSET(List_RatingType,0,0,3,1)</formula1>
    </dataValidation>
    <dataValidation type="list" allowBlank="1" showInputMessage="1" showErrorMessage="1" promptTitle="Masonry Veneer Limitation:" prompt="Please select the % of the Exterior Wall Faced with Masonry Veneer:_x000a_1:  Less Than 10%_x000a_2:  10 - 25%_x000a_3:  25 - 50%_x000a_4:  Over 50%_x000a__x000a_* Applies only to Building Classes 1C or 1D" sqref="B36 B46">
      <formula1>IF(OR($C$33="1C",$C$33="1D"),OFFSET(Table_EQ_Masonry,0,0,,1),List_No)</formula1>
    </dataValidation>
    <dataValidation type="custom" allowBlank="1" showInputMessage="1" showErrorMessage="1" promptTitle="Personal Pty Grade:" prompt="Displays the Grade of the Personal Property type you select below." sqref="C47">
      <formula1>FALSE</formula1>
    </dataValidation>
    <dataValidation type="list" allowBlank="1" showInputMessage="1" showErrorMessage="1" promptTitle="Personal Property Description" prompt="Please Select the appropriate Personal Property to be covered, in order to determine the Grade of the Property." sqref="A48:C48">
      <formula1>IF($C$41="Yes",OFFSET(Table_EQ_PPGrade,0,0,,1),List_No)</formula1>
    </dataValidation>
    <dataValidation type="custom" allowBlank="1" showInputMessage="1" showErrorMessage="1" promptTitle="Building Class 7" prompt="Displays equivalent Building Class for the Special Structure selected." sqref="B33 B43">
      <formula1>FALSE</formula1>
    </dataValidation>
    <dataValidation type="custom" allowBlank="1" showInputMessage="1" showErrorMessage="1" prompt="Bldg Loss Cost lookup value" sqref="B32 B42">
      <formula1>FALSE</formula1>
    </dataValidation>
    <dataValidation type="custom" allowBlank="1" showInputMessage="1" showErrorMessage="1" promptTitle="Building Class Description" prompt="Displays a description of the Building Class selected whether it be one of the standard building class types or a Class 7 Special Structure type." sqref="A35 A45">
      <formula1>FALSE</formula1>
    </dataValidation>
    <dataValidation type="list" allowBlank="1" showInputMessage="1" showErrorMessage="1" errorTitle="Selection Not Available" error="Unless the building class specified is Class 7; No entry is allowed." promptTitle="Bldg Class 7: Special Structures" prompt="Please select an Item # from the drop down list, the description of the special structure will be displayed below." sqref="C34 C44">
      <formula1>IF($C$33=7,OFFSET(Table_EQ_Class7,0,0,,1),List_No)</formula1>
    </dataValidation>
    <dataValidation type="list" allowBlank="1" showInputMessage="1" showErrorMessage="1" sqref="C33 C43">
      <formula1>OFFSET(Table_EQ_BldgClass,0,0,,1)</formula1>
    </dataValidation>
    <dataValidation type="custom" allowBlank="1" showInputMessage="1" showErrorMessage="1" prompt="Mandatory Deductible Minimum" sqref="C49 C37">
      <formula1>FALSE</formula1>
    </dataValidation>
    <dataValidation type="custom" allowBlank="1" showInputMessage="1" showErrorMessage="1" promptTitle="Tier / Bldg Class:" prompt="Lookup value for the EQ Deductible Table.  Will generate automatically based upon your selections." sqref="B38 B50">
      <formula1>FALSE</formula1>
    </dataValidation>
    <dataValidation type="list" allowBlank="1" showInputMessage="1" showErrorMessage="1" sqref="B49 B37">
      <formula1>List_EQDeductibles</formula1>
    </dataValidation>
    <dataValidation type="list" allowBlank="1" showInputMessage="1" showErrorMessage="1" promptTitle="Apply Educational Inst Coverage?" prompt="Please Select:_x000a_Yes or No" sqref="F20">
      <formula1>IF($C$35&gt;=50,List_No,List_YN)</formula1>
    </dataValidation>
    <dataValidation type="list" allowBlank="1" showInputMessage="1" showErrorMessage="1" promptTitle="Select Coverage Type:" prompt="1 - Broad Coverage_x000a_2 - Limited Coverage_x000a_3 - Recovery Months" sqref="E21">
      <formula1>List_BI_Educ</formula1>
    </dataValidation>
    <dataValidation type="list" allowBlank="1" showInputMessage="1" showErrorMessage="1" promptTitle="Monthly Limitation Period:" prompt="Please Select:_x000a_3rd - 1/3_x000a_4th - 1/4_x000a_6th - 1/6" sqref="E19">
      <formula1>IF($C$46&lt;&gt;"Yes",List_No,List_MosLimit)</formula1>
    </dataValidation>
    <dataValidation type="list" allowBlank="1" showInputMessage="1" showErrorMessage="1" promptTitle="Apply Monthly Limitation?" prompt="Please Select:_x000a_Yes or No" sqref="F18">
      <formula1>IF(ISNUMBER($C$35),List_No,List_YN)</formula1>
    </dataValidation>
    <dataValidation type="list" allowBlank="1" showInputMessage="1" showErrorMessage="1" errorTitle="Co-Insurance Rating Applied:" error="Please select &quot;None&quot; on Co-Insurance % if you wish to rate this way." promptTitle="# of Days in Extended Period:" prompt="Please select the number of days in the Extended Period." sqref="E16">
      <formula1>IF($C$43="Yes",OFFSET(Table_BI_IndDays,0,0,,1),List_No)</formula1>
    </dataValidation>
    <dataValidation type="list" allowBlank="1" showInputMessage="1" showErrorMessage="1" errorTitle="NOT APPLICABLE" error="If you have specified Co-Insurance coverage or Max Period of Indemnity this coverage is not valid." promptTitle="Apply Extended Period?" prompt="Please Select:_x000a_Yes or No" sqref="F15">
      <formula1>IF(OR($C$45="Yes"),List_No,List_YN)</formula1>
    </dataValidation>
    <dataValidation type="list" allowBlank="1" showInputMessage="1" showErrorMessage="1" promptTitle="Apply Max Period?" prompt="Please Select:_x000a_Yes or No_x000a__x000a_* Please note this is not valid if you have selected an Extended Period of Indemnity" sqref="F17">
      <formula1>List_YN</formula1>
    </dataValidation>
    <dataValidation type="list" allowBlank="1" showInputMessage="1" showErrorMessage="1" promptTitle="Bus Income Coinsurance Rating" prompt="Please Select a Coinsurance Rate;_x000a__x000a_If you are not rating by CoInsurance please specify &quot;None&quot;" sqref="F7">
      <formula1>OFFSET(Table_BI_CoIns,0,0,,1)</formula1>
    </dataValidation>
    <dataValidation type="custom" allowBlank="1" showInputMessage="1" showErrorMessage="1" sqref="E13:F13 D14">
      <formula1>FALSE</formula1>
    </dataValidation>
    <dataValidation type="list" allowBlank="1" showInputMessage="1" showErrorMessage="1" promptTitle="Include Extra Expense Coverage" prompt="Please Select:_x000a_Yes or No" sqref="F5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F8">
      <formula1>IF($B$52="Yes",List_No,List_BI_OccType)</formula1>
    </dataValidation>
    <dataValidation type="list" allowBlank="1" showInputMessage="1" showErrorMessage="1" promptTitle="Agreed Value Optional Coverage:" prompt="Please Select:_x000a_Yes or No" sqref="F6">
      <formula1>List_YN</formula1>
    </dataValidation>
    <dataValidation type="custom" allowBlank="1" showInputMessage="1" showErrorMessage="1" prompt="Column reference for BI (Extra Expense)" sqref="E5">
      <formula1>FALSE</formula1>
    </dataValidation>
    <dataValidation type="list" allowBlank="1" showInputMessage="1" showErrorMessage="1" promptTitle="Combination Occupancy Rate" prompt="Please Select:_x000a_Yes or No_x000a__x000a_If you need to apply a combination rate for the Business Occupancy (i.e. Merc Mfg / Rental )" sqref="E8">
      <formula1>List_YN</formula1>
    </dataValidation>
    <dataValidation type="list" allowBlank="1" showInputMessage="1" showErrorMessage="1" promptTitle="BI - Occupancy Type" prompt="Please Select:_x000a_1 - Mercantile / Non-Mfg_x000a_2 - Manufacturing / Mining_x000a_3 - Rental Property" sqref="E10:F10">
      <formula1>IF($B$52="No",List_No,List_BI_OccType)</formula1>
    </dataValidation>
    <dataValidation type="custom" allowBlank="1" showInputMessage="1" showErrorMessage="1" promptTitle="BI Combination Rate" prompt="This cell will display the BI Rate when a combination of Business Occupancy Types are selected." sqref="F14">
      <formula1>FALSE</formula1>
    </dataValidation>
    <dataValidation type="custom" allowBlank="1" showInputMessage="1" showErrorMessage="1" promptTitle="Calculation Method Used" prompt="Displays the valuation method used to obtain the BI Comb Occupancy Rate." sqref="E14">
      <formula1>FALSE</formula1>
    </dataValidation>
    <dataValidation type="list" allowBlank="1" showInputMessage="1" showErrorMessage="1" promptTitle="Limits on Loss Payment" prompt="Please Select:_x000a_  35 = 35%-70%-100%_x000a_  40 = 40%-80%-100%_x000a_100 = 100%-100%-100%" sqref="F36">
      <formula1>OFFSET(Table_EE_CoIns,0,0,,1)</formula1>
    </dataValidation>
    <dataValidation type="list" allowBlank="1" showInputMessage="1" showErrorMessage="1" promptTitle="Please Select:" prompt="Yes = Apply Coverage_x000a_No  = Do Not Apply" sqref="F34 F3 C22 C41 C31">
      <formula1>List_YN</formula1>
    </dataValidation>
    <dataValidation type="custom" showInputMessage="1" showErrorMessage="1" errorTitle="Entry Not Allowed:" error="The Additional Personal Property Coverage you are attempting to enter a limit for, has not been selected._x000a__x000a_Please enter or select &quot;Yes&quot; from the drop-down list if you would like to apply this coverage." promptTitle="Limit of Insurance" prompt="Please enter the limit of insurance related to the Additional Personal Property selected." sqref="C54:C57">
      <formula1>IF(B54="Yes",TRUE,FALSE)</formula1>
    </dataValidation>
    <dataValidation type="whole" allowBlank="1" showInputMessage="1" showErrorMessage="1" errorTitle="INVALID ENTRY" error="Either:_x000a_(1) Option 2 was not selected for Extension Period_x000a__x000a_OR_x000a__x000a_(2) The # of months specified is not within permitted parameters." promptTitle="Ext. Of Recov. Period (Option 2)" prompt="If you select Option 2:_x000a_Please specify the # of months { 1 - 12} that the Educational Institution Extension Period should be." sqref="F21">
      <formula1>IF(E21=2,1,0)</formula1>
      <formula2>IF(E21=2,12,0)</formula2>
    </dataValidation>
    <dataValidation type="custom" allowBlank="1" showInputMessage="1" showErrorMessage="1" errorTitle="Invalid Entry" error="You did not select to have a Combination Business Occupancy Type." promptTitle="Combo - Occ. Type 1 - Area" prompt="Please supply the Area (square feet) of the first occupancy type selected." sqref="E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F12">
      <formula1>IF(OR(E8="No",ISNUMBER(F11)),FALSE,TRUE)</formula1>
    </dataValidation>
    <dataValidation type="custom" allowBlank="1" showInputMessage="1" showErrorMessage="1" errorTitle="Invalid Entry" error="You did not select to have a Combination Business Occupancy Type." promptTitle="Combo - Occ. Type 2 - Area" prompt="Please supply the Area (square feet) of the second occupancy type selected." sqref="F11">
      <formula1>IF(E8="Yes",TRUE,FALSE)</formula1>
    </dataValidation>
    <dataValidation type="custom" allowBlank="1" showInputMessage="1" showErrorMessage="1" errorTitle="Invalid Entry" error="You have not selected to have a combination Business Occupancy Type or;_x000a__x000a_You have already supplied an Area for this Business Occupancy Type." promptTitle="Occupancy Type Value:" prompt="Please enter the value for the occupancy type you selected above." sqref="E12">
      <formula1>IF(OR(E8="No",ISNUMBER(E11)),FALSE,TRUE)</formula1>
    </dataValidation>
    <dataValidation type="custom" allowBlank="1" showInputMessage="1" showErrorMessage="1" errorTitle="Rating Type Incompatible" error="You have not selected Specific or Tentative Rating Type for this policy." promptTitle="Specific or Tentative Rate Type:" prompt="If you have selected Specific or Tentative Rate type you will need to supply the Loss Cost." sqref="B21">
      <formula1>IF(OR(C20="S",C20="T"),TRUE,FALSE)</formula1>
    </dataValidation>
    <dataValidation type="list" allowBlank="1" showInputMessage="1" showErrorMessage="1" promptTitle="Special  - Territory (County)" prompt="Please select:_x000a_1 - New Haven_x000a_2 - Fairfield, Hartford_x000a_3 - Remainder of State" sqref="C17">
      <formula1>IF($C$12="SP",OFFSET(Table_TerrMult_SP,0,0,,1),List_Blank)</formula1>
    </dataValidation>
    <dataValidation type="list" allowBlank="1" showInputMessage="1" showErrorMessage="1" promptTitle="Please Select a Territory:" prompt="1 - Entire State - CT" sqref="C16">
      <formula1>OFFSET(Table_TerrMult,0,0,,1)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colBreaks count="2" manualBreakCount="2">
    <brk id="6" max="1048575" man="1"/>
    <brk id="12" max="1048575" man="1"/>
  </colBreak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U80"/>
  <sheetViews>
    <sheetView zoomScale="90" zoomScaleNormal="90" workbookViewId="0"/>
  </sheetViews>
  <sheetFormatPr defaultRowHeight="12.75" x14ac:dyDescent="0.2"/>
  <cols>
    <col min="1" max="1" width="24.7109375" style="2" customWidth="1"/>
    <col min="2" max="2" width="12.28515625" style="2" customWidth="1"/>
    <col min="3" max="3" width="13.7109375" style="2" customWidth="1"/>
    <col min="4" max="4" width="7.5703125" style="2" customWidth="1"/>
    <col min="5" max="5" width="12.7109375" style="2" customWidth="1"/>
    <col min="6" max="6" width="9.85546875" style="2" customWidth="1"/>
    <col min="7" max="7" width="10.28515625" style="2" customWidth="1"/>
    <col min="8" max="8" width="11.42578125" style="2" customWidth="1"/>
    <col min="9" max="9" width="15.7109375" style="2" customWidth="1"/>
    <col min="10" max="10" width="6.7109375" style="2" customWidth="1"/>
    <col min="11" max="11" width="23.5703125" style="2" customWidth="1"/>
    <col min="12" max="15" width="12.85546875" style="2" customWidth="1"/>
    <col min="16" max="16" width="4.85546875" style="2" customWidth="1"/>
    <col min="17" max="17" width="27.28515625" style="2" bestFit="1" customWidth="1"/>
    <col min="18" max="18" width="11.85546875" style="2" customWidth="1"/>
    <col min="19" max="19" width="13.28515625" style="2" customWidth="1"/>
    <col min="20" max="21" width="12" style="2" bestFit="1" customWidth="1"/>
    <col min="22" max="23" width="10.85546875" style="2" bestFit="1" customWidth="1"/>
    <col min="24" max="24" width="3.42578125" style="2" customWidth="1"/>
    <col min="25" max="25" width="15.85546875" style="2" customWidth="1"/>
    <col min="26" max="26" width="24.42578125" style="2" customWidth="1"/>
    <col min="27" max="29" width="11.5703125" style="2" customWidth="1"/>
    <col min="30" max="30" width="10.42578125" style="2" customWidth="1"/>
    <col min="31" max="31" width="9.7109375" style="2" customWidth="1"/>
    <col min="32" max="32" width="4.85546875" style="2" customWidth="1"/>
    <col min="33" max="33" width="27.28515625" style="2" bestFit="1" customWidth="1"/>
    <col min="34" max="34" width="11.85546875" style="2" customWidth="1"/>
    <col min="35" max="35" width="13.28515625" style="2" customWidth="1"/>
    <col min="36" max="37" width="10.85546875" style="2" bestFit="1" customWidth="1"/>
    <col min="38" max="39" width="10.42578125" style="2" bestFit="1" customWidth="1"/>
    <col min="40" max="40" width="3.42578125" style="2" customWidth="1"/>
    <col min="41" max="41" width="15.85546875" style="2" customWidth="1"/>
    <col min="42" max="42" width="24.42578125" style="2" customWidth="1"/>
    <col min="43" max="45" width="11.5703125" style="2" customWidth="1"/>
    <col min="46" max="46" width="10.42578125" style="2" customWidth="1"/>
    <col min="47" max="47" width="9.7109375" style="2" customWidth="1"/>
    <col min="48" max="16384" width="9.140625" style="2"/>
  </cols>
  <sheetData>
    <row r="1" spans="1:47" ht="19.5" customHeight="1" thickBot="1" x14ac:dyDescent="0.25">
      <c r="A1" s="99" t="s">
        <v>834</v>
      </c>
      <c r="B1" s="94"/>
      <c r="C1" s="94"/>
      <c r="D1" s="105"/>
      <c r="E1" s="105"/>
      <c r="F1" s="105"/>
      <c r="G1" s="105"/>
      <c r="H1" s="105"/>
      <c r="I1" s="106" t="s">
        <v>840</v>
      </c>
      <c r="K1" s="1594" t="s">
        <v>2175</v>
      </c>
      <c r="L1" s="1595"/>
      <c r="M1" s="1595"/>
      <c r="N1" s="1595"/>
      <c r="O1" s="1596"/>
      <c r="Q1" s="1612" t="s">
        <v>2224</v>
      </c>
      <c r="R1" s="1613"/>
      <c r="S1" s="1613"/>
      <c r="T1" s="1613"/>
      <c r="U1" s="1613"/>
      <c r="V1" s="1613"/>
      <c r="W1" s="1614"/>
      <c r="Y1" s="1612" t="s">
        <v>2225</v>
      </c>
      <c r="Z1" s="1613"/>
      <c r="AA1" s="1613"/>
      <c r="AB1" s="1613"/>
      <c r="AC1" s="1613"/>
      <c r="AD1" s="1613"/>
      <c r="AE1" s="1614"/>
      <c r="AG1" s="1609" t="s">
        <v>2284</v>
      </c>
      <c r="AH1" s="1610"/>
      <c r="AI1" s="1610"/>
      <c r="AJ1" s="1610"/>
      <c r="AK1" s="1610"/>
      <c r="AL1" s="1610"/>
      <c r="AM1" s="1611"/>
      <c r="AO1" s="1609" t="s">
        <v>2285</v>
      </c>
      <c r="AP1" s="1610"/>
      <c r="AQ1" s="1610"/>
      <c r="AR1" s="1610"/>
      <c r="AS1" s="1610"/>
      <c r="AT1" s="1610"/>
      <c r="AU1" s="1611"/>
    </row>
    <row r="2" spans="1:47" ht="13.5" thickBot="1" x14ac:dyDescent="0.25">
      <c r="A2" s="500" t="s">
        <v>1832</v>
      </c>
      <c r="B2" s="501"/>
      <c r="C2" s="502"/>
      <c r="D2" s="500" t="s">
        <v>2213</v>
      </c>
      <c r="E2" s="508"/>
      <c r="F2" s="508"/>
      <c r="G2" s="508"/>
      <c r="H2" s="508"/>
      <c r="I2" s="509"/>
      <c r="K2" s="1479">
        <f>Summary10</f>
        <v>0</v>
      </c>
      <c r="Q2" s="60" t="s">
        <v>2182</v>
      </c>
      <c r="S2" s="235" t="s">
        <v>2176</v>
      </c>
      <c r="T2" s="235" t="s">
        <v>2177</v>
      </c>
      <c r="U2" s="235" t="s">
        <v>2178</v>
      </c>
      <c r="V2" s="235" t="s">
        <v>2179</v>
      </c>
      <c r="W2" s="235" t="s">
        <v>2180</v>
      </c>
      <c r="Y2" s="60" t="s">
        <v>2182</v>
      </c>
      <c r="AA2" s="235" t="s">
        <v>2176</v>
      </c>
      <c r="AB2" s="235" t="s">
        <v>2177</v>
      </c>
      <c r="AC2" s="235" t="s">
        <v>2178</v>
      </c>
      <c r="AD2" s="235" t="s">
        <v>2179</v>
      </c>
      <c r="AE2" s="235" t="s">
        <v>2180</v>
      </c>
      <c r="AG2" s="60" t="s">
        <v>2182</v>
      </c>
      <c r="AI2" s="235" t="s">
        <v>2176</v>
      </c>
      <c r="AJ2" s="235" t="s">
        <v>2177</v>
      </c>
      <c r="AK2" s="235" t="s">
        <v>2178</v>
      </c>
      <c r="AL2" s="235" t="s">
        <v>2179</v>
      </c>
      <c r="AM2" s="235" t="s">
        <v>2180</v>
      </c>
      <c r="AO2" s="60" t="s">
        <v>2182</v>
      </c>
      <c r="AQ2" s="235" t="s">
        <v>2176</v>
      </c>
      <c r="AR2" s="235" t="s">
        <v>2177</v>
      </c>
      <c r="AS2" s="235" t="s">
        <v>2178</v>
      </c>
      <c r="AT2" s="235" t="s">
        <v>2179</v>
      </c>
      <c r="AU2" s="235" t="s">
        <v>2180</v>
      </c>
    </row>
    <row r="3" spans="1:47" ht="13.5" thickBot="1" x14ac:dyDescent="0.25">
      <c r="A3" s="505" t="s">
        <v>1024</v>
      </c>
      <c r="B3" s="506"/>
      <c r="C3" s="1268" t="str">
        <f>DF_State</f>
        <v>CT</v>
      </c>
      <c r="D3" s="1320" t="s">
        <v>2173</v>
      </c>
      <c r="E3" s="1323" t="s">
        <v>57</v>
      </c>
      <c r="F3" s="1323" t="s">
        <v>2170</v>
      </c>
      <c r="G3" s="1323" t="s">
        <v>2228</v>
      </c>
      <c r="H3" s="1323" t="s">
        <v>2171</v>
      </c>
      <c r="I3" s="1324" t="s">
        <v>2172</v>
      </c>
      <c r="K3" s="1105"/>
      <c r="L3" s="235" t="s">
        <v>1012</v>
      </c>
      <c r="M3" s="235" t="s">
        <v>1013</v>
      </c>
      <c r="N3" s="557" t="s">
        <v>838</v>
      </c>
      <c r="O3" s="557" t="s">
        <v>837</v>
      </c>
      <c r="Q3" s="60"/>
      <c r="R3" s="1117" t="s">
        <v>1197</v>
      </c>
      <c r="S3" s="2">
        <f>IF(ISTEXT($E4),VLOOKUP($E4,Table_G1_LC,MATCH($G4&amp;"B",List_ClassLC,0)+3,FALSE),0)</f>
        <v>0</v>
      </c>
      <c r="T3" s="2">
        <f>IF(ISTEXT($E5),VLOOKUP($E5,Table_G1_LC,MATCH($G5&amp;"B",List_ClassLC,0)+3,FALSE),0)</f>
        <v>0</v>
      </c>
      <c r="U3" s="2">
        <f>IF(ISTEXT($E6),VLOOKUP($E6,Table_G1_LC,MATCH($G6&amp;"B",List_ClassLC,0)+3,FALSE),0)</f>
        <v>0</v>
      </c>
      <c r="V3" s="2">
        <f>IF(ISTEXT($E7),VLOOKUP($E7,Table_G1_LC,MATCH($G7&amp;"B",List_ClassLC,0)+3,FALSE),0)</f>
        <v>0</v>
      </c>
      <c r="W3" s="2">
        <f>IF(ISTEXT($E8),VLOOKUP($E8,Table_G1_LC,MATCH($G8&amp;"B",List_ClassLC,0)+3,FALSE),0)</f>
        <v>0</v>
      </c>
      <c r="Y3" s="60"/>
      <c r="Z3" s="1117" t="s">
        <v>1197</v>
      </c>
      <c r="AA3" s="2">
        <f>IF(ISTEXT($E4),VLOOKUP($H4,Table_G2SymLC,2,FALSE),0)</f>
        <v>0</v>
      </c>
      <c r="AB3" s="2">
        <f>IF(ISTEXT($E5),VLOOKUP($H5,Table_G2SymLC,2,FALSE),0)</f>
        <v>0</v>
      </c>
      <c r="AC3" s="2">
        <f>IF(ISTEXT($E6),VLOOKUP($H6,Table_G2SymLC,2,FALSE),0)</f>
        <v>0</v>
      </c>
      <c r="AD3" s="2">
        <f>IF(ISTEXT($E7),VLOOKUP($H7,Table_G2SymLC,2,FALSE),0)</f>
        <v>0</v>
      </c>
      <c r="AE3" s="2">
        <f>IF(ISTEXT($E8),VLOOKUP($H8,Table_G2SymLC,2,FALSE),0)</f>
        <v>0</v>
      </c>
      <c r="AG3" s="60"/>
      <c r="AH3" s="1117" t="s">
        <v>1198</v>
      </c>
      <c r="AI3" s="2">
        <f>IF(ISTEXT($E13),VLOOKUP($E13,Table_G1_LC,MATCH($G13&amp;"C",List_ClassLC,0)+3,FALSE),0)</f>
        <v>0</v>
      </c>
      <c r="AJ3" s="2">
        <f>IF(ISTEXT($E14),VLOOKUP($E14,Table_G1_LC,MATCH($G14&amp;"C",List_ClassLC,0)+3,FALSE),0)</f>
        <v>0</v>
      </c>
      <c r="AK3" s="2">
        <f>IF(ISTEXT($E15),VLOOKUP($E15,Table_G1_LC,MATCH($G15&amp;"C",List_ClassLC,0)+3,FALSE),0)</f>
        <v>0</v>
      </c>
      <c r="AL3" s="2">
        <f>IF(ISTEXT($E16),VLOOKUP($E16,Table_G1_LC,MATCH($G16&amp;"C",List_ClassLC,0)+3,FALSE),0)</f>
        <v>0</v>
      </c>
      <c r="AM3" s="2">
        <f>IF(ISTEXT($E17),VLOOKUP($E17,Table_G1_LC,MATCH($G17&amp;"C",List_ClassLC,0)+3,FALSE),0)</f>
        <v>0</v>
      </c>
      <c r="AO3" s="60"/>
      <c r="AP3" s="1117" t="s">
        <v>1198</v>
      </c>
      <c r="AQ3" s="2">
        <f>IF(ISTEXT($E13),VLOOKUP($H13,Table_G2SymLC,3,FALSE),0)</f>
        <v>0</v>
      </c>
      <c r="AR3" s="2">
        <f>IF(ISTEXT($E14),VLOOKUP($H14,Table_G2SymLC,3,FALSE),0)</f>
        <v>0</v>
      </c>
      <c r="AS3" s="2">
        <f>IF(ISTEXT($E15),VLOOKUP($H15,Table_G2SymLC,3,FALSE),0)</f>
        <v>0</v>
      </c>
      <c r="AT3" s="2">
        <f>IF(ISTEXT($E16),VLOOKUP($H16,Table_G2SymLC,3,FALSE),0)</f>
        <v>0</v>
      </c>
      <c r="AU3" s="2">
        <f>IF(ISTEXT($E17),VLOOKUP($H17,Table_G2SymLC,3,FALSE),0)</f>
        <v>0</v>
      </c>
    </row>
    <row r="4" spans="1:47" x14ac:dyDescent="0.2">
      <c r="A4" s="1036" t="s">
        <v>1828</v>
      </c>
      <c r="B4" s="1041"/>
      <c r="C4" s="1092"/>
      <c r="D4" s="1321">
        <v>1</v>
      </c>
      <c r="E4" s="1349"/>
      <c r="F4" s="1359"/>
      <c r="G4" s="1351"/>
      <c r="H4" s="1352"/>
      <c r="I4" s="1353"/>
      <c r="K4" s="1340" t="s">
        <v>55</v>
      </c>
      <c r="L4" s="1341"/>
      <c r="M4" s="1342"/>
      <c r="N4" s="1342"/>
      <c r="O4" s="1342"/>
      <c r="Q4" s="60"/>
      <c r="R4" s="1117" t="s">
        <v>1178</v>
      </c>
      <c r="S4" s="207">
        <f>IF(ISNUMBER($F4),VLOOKUP($F4,Table_ProtClass,IF($G4&lt;=3,2,3),FALSE),0)</f>
        <v>0</v>
      </c>
      <c r="T4" s="207">
        <f>IF(ISNUMBER($F5),VLOOKUP($F5,Table_ProtClass,IF($G5&lt;=3,2,3),FALSE),0)</f>
        <v>0</v>
      </c>
      <c r="U4" s="207">
        <f>IF(ISNUMBER($F6),VLOOKUP($F6,Table_ProtClass,IF($G6&lt;=3,2,3),FALSE),0)</f>
        <v>0</v>
      </c>
      <c r="V4" s="207">
        <f>IF(ISNUMBER($F7),VLOOKUP($F7,Table_ProtClass,IF($G7&lt;=3,2,3),FALSE),0)</f>
        <v>0</v>
      </c>
      <c r="W4" s="207">
        <f>IF(ISNUMBER($F8),VLOOKUP($F8,Table_ProtClass,IF($G8&lt;=3,2,3),FALSE),0)</f>
        <v>0</v>
      </c>
      <c r="Y4" s="60"/>
      <c r="Z4" s="1117" t="s">
        <v>1178</v>
      </c>
      <c r="AA4" s="207">
        <v>1</v>
      </c>
      <c r="AB4" s="207">
        <v>1</v>
      </c>
      <c r="AC4" s="207">
        <v>1</v>
      </c>
      <c r="AD4" s="207">
        <v>1</v>
      </c>
      <c r="AE4" s="207">
        <v>1</v>
      </c>
      <c r="AG4" s="60"/>
      <c r="AH4" s="1117" t="s">
        <v>1178</v>
      </c>
      <c r="AI4" s="207">
        <f>IF(ISNUMBER($F13),VLOOKUP($F13,Table_ProtClass,IF($G13&lt;=3,2,3),FALSE),0)</f>
        <v>0</v>
      </c>
      <c r="AJ4" s="207">
        <f>IF(ISNUMBER($F14),VLOOKUP($F14,Table_ProtClass,IF($G14&lt;=3,2,3),FALSE),0)</f>
        <v>0</v>
      </c>
      <c r="AK4" s="207">
        <f>IF(ISNUMBER($F15),VLOOKUP($F15,Table_ProtClass,IF($G15&lt;=3,2,3),FALSE),0)</f>
        <v>0</v>
      </c>
      <c r="AL4" s="207">
        <f>IF(ISNUMBER($F16),VLOOKUP($F16,Table_ProtClass,IF($G16&lt;=3,2,3),FALSE),0)</f>
        <v>0</v>
      </c>
      <c r="AM4" s="207">
        <f>IF(ISNUMBER($F17),VLOOKUP($F17,Table_ProtClass,IF($G17&lt;=3,2,3),FALSE),0)</f>
        <v>0</v>
      </c>
      <c r="AO4" s="60"/>
      <c r="AP4" s="1117" t="s">
        <v>1178</v>
      </c>
      <c r="AQ4" s="207">
        <v>1</v>
      </c>
      <c r="AR4" s="207">
        <v>1</v>
      </c>
      <c r="AS4" s="207">
        <v>1</v>
      </c>
      <c r="AT4" s="207">
        <v>1</v>
      </c>
      <c r="AU4" s="207">
        <v>1</v>
      </c>
    </row>
    <row r="5" spans="1:47" x14ac:dyDescent="0.2">
      <c r="A5" s="120"/>
      <c r="B5" s="95"/>
      <c r="C5" s="125"/>
      <c r="D5" s="1322">
        <v>2</v>
      </c>
      <c r="E5" s="1354"/>
      <c r="F5" s="1360"/>
      <c r="G5" s="1352"/>
      <c r="H5" s="1352"/>
      <c r="I5" s="1353"/>
      <c r="K5" s="1458" t="s">
        <v>2278</v>
      </c>
      <c r="L5" s="1463" t="str">
        <f>IF($C$21="Yes",$S$30, "NA")</f>
        <v>NA</v>
      </c>
      <c r="M5" s="1463" t="str">
        <f>IF($C$21="Yes",$AA$30, "NA")</f>
        <v>NA</v>
      </c>
      <c r="N5" s="1463" t="str">
        <f>IF($C$21="Yes",$S$75, "NA")</f>
        <v>NA</v>
      </c>
      <c r="O5" s="1463" t="str">
        <f>IF($C$21="Yes",$AA$75, "NA")</f>
        <v>NA</v>
      </c>
      <c r="Q5" s="60"/>
      <c r="R5" s="545" t="s">
        <v>971</v>
      </c>
      <c r="S5" s="207">
        <f>HLOOKUP($C$10,Table_StateRates,6,FALSE)</f>
        <v>1.9</v>
      </c>
      <c r="T5" s="207">
        <f>HLOOKUP($C$10,Table_StateRates,6,FALSE)</f>
        <v>1.9</v>
      </c>
      <c r="U5" s="207">
        <f>HLOOKUP($C$10,Table_StateRates,6,FALSE)</f>
        <v>1.9</v>
      </c>
      <c r="V5" s="207">
        <f>HLOOKUP($C$10,Table_StateRates,6,FALSE)</f>
        <v>1.9</v>
      </c>
      <c r="W5" s="207">
        <f>HLOOKUP($C$10,Table_StateRates,6,FALSE)</f>
        <v>1.9</v>
      </c>
      <c r="Y5" s="60"/>
      <c r="Z5" s="545" t="s">
        <v>971</v>
      </c>
      <c r="AA5" s="207">
        <f>HLOOKUP($C$10,Table_StateRates,6,FALSE)</f>
        <v>1.9</v>
      </c>
      <c r="AB5" s="207">
        <f>HLOOKUP($C$10,Table_StateRates,6,FALSE)</f>
        <v>1.9</v>
      </c>
      <c r="AC5" s="207">
        <f>HLOOKUP($C$10,Table_StateRates,6,FALSE)</f>
        <v>1.9</v>
      </c>
      <c r="AD5" s="207">
        <f>HLOOKUP($C$10,Table_StateRates,6,FALSE)</f>
        <v>1.9</v>
      </c>
      <c r="AE5" s="207">
        <f>HLOOKUP($C$10,Table_StateRates,6,FALSE)</f>
        <v>1.9</v>
      </c>
      <c r="AG5" s="60"/>
      <c r="AH5" s="545" t="s">
        <v>971</v>
      </c>
      <c r="AI5" s="207">
        <f>HLOOKUP($C$10,Table_StateRates,6,FALSE)</f>
        <v>1.9</v>
      </c>
      <c r="AJ5" s="207">
        <f>HLOOKUP($C$10,Table_StateRates,6,FALSE)</f>
        <v>1.9</v>
      </c>
      <c r="AK5" s="207">
        <f>HLOOKUP($C$10,Table_StateRates,6,FALSE)</f>
        <v>1.9</v>
      </c>
      <c r="AL5" s="207">
        <f>HLOOKUP($C$10,Table_StateRates,6,FALSE)</f>
        <v>1.9</v>
      </c>
      <c r="AM5" s="207">
        <f>HLOOKUP($C$10,Table_StateRates,6,FALSE)</f>
        <v>1.9</v>
      </c>
      <c r="AO5" s="60"/>
      <c r="AP5" s="545" t="s">
        <v>971</v>
      </c>
      <c r="AQ5" s="207">
        <f>HLOOKUP($C$10,Table_StateRates,6,FALSE)</f>
        <v>1.9</v>
      </c>
      <c r="AR5" s="207">
        <f>HLOOKUP($C$10,Table_StateRates,6,FALSE)</f>
        <v>1.9</v>
      </c>
      <c r="AS5" s="207">
        <f>HLOOKUP($C$10,Table_StateRates,6,FALSE)</f>
        <v>1.9</v>
      </c>
      <c r="AT5" s="207">
        <f>HLOOKUP($C$10,Table_StateRates,6,FALSE)</f>
        <v>1.9</v>
      </c>
      <c r="AU5" s="207">
        <f>HLOOKUP($C$10,Table_StateRates,6,FALSE)</f>
        <v>1.9</v>
      </c>
    </row>
    <row r="6" spans="1:47" x14ac:dyDescent="0.2">
      <c r="A6" s="120" t="s">
        <v>969</v>
      </c>
      <c r="B6" s="95"/>
      <c r="C6" s="1093" t="s">
        <v>980</v>
      </c>
      <c r="D6" s="1322">
        <v>3</v>
      </c>
      <c r="E6" s="1354"/>
      <c r="F6" s="1360"/>
      <c r="G6" s="1352"/>
      <c r="H6" s="1352"/>
      <c r="I6" s="1353"/>
      <c r="K6" s="1344" t="s">
        <v>2204</v>
      </c>
      <c r="L6" s="258">
        <f>IF($C$21="Yes",S$35,0)</f>
        <v>0</v>
      </c>
      <c r="M6" s="258">
        <f>IF($C$21="Yes",AA$35,0)</f>
        <v>0</v>
      </c>
      <c r="N6" s="259">
        <f>IF(AND($C$21="Yes",$C$11="SP"),S$80,0)</f>
        <v>0</v>
      </c>
      <c r="O6" s="259">
        <f>IF(AND($C$21="Yes",$C$11="BR"),AA$80,0)</f>
        <v>0</v>
      </c>
      <c r="Q6" s="60"/>
      <c r="R6" s="545" t="s">
        <v>2331</v>
      </c>
      <c r="S6" s="207">
        <f>$C$13</f>
        <v>1</v>
      </c>
      <c r="T6" s="207">
        <f t="shared" ref="T6:W6" si="0">$C$13</f>
        <v>1</v>
      </c>
      <c r="U6" s="207">
        <f t="shared" si="0"/>
        <v>1</v>
      </c>
      <c r="V6" s="207">
        <f t="shared" si="0"/>
        <v>1</v>
      </c>
      <c r="W6" s="207">
        <f t="shared" si="0"/>
        <v>1</v>
      </c>
      <c r="Y6" s="60"/>
      <c r="Z6" s="545" t="s">
        <v>1199</v>
      </c>
      <c r="AA6" s="207">
        <v>1</v>
      </c>
      <c r="AB6" s="207">
        <v>1</v>
      </c>
      <c r="AC6" s="207">
        <v>1</v>
      </c>
      <c r="AD6" s="207">
        <v>1</v>
      </c>
      <c r="AE6" s="207">
        <v>1</v>
      </c>
      <c r="AG6" s="60"/>
      <c r="AH6" s="1210" t="s">
        <v>1199</v>
      </c>
      <c r="AI6" s="207">
        <f>$C$13</f>
        <v>1</v>
      </c>
      <c r="AJ6" s="207">
        <f t="shared" ref="AJ6:AM6" si="1">$C$13</f>
        <v>1</v>
      </c>
      <c r="AK6" s="207">
        <f t="shared" si="1"/>
        <v>1</v>
      </c>
      <c r="AL6" s="207">
        <f t="shared" si="1"/>
        <v>1</v>
      </c>
      <c r="AM6" s="207">
        <f t="shared" si="1"/>
        <v>1</v>
      </c>
      <c r="AO6" s="60"/>
      <c r="AP6" s="1210" t="s">
        <v>1199</v>
      </c>
      <c r="AQ6" s="207">
        <v>1</v>
      </c>
      <c r="AR6" s="207">
        <v>1</v>
      </c>
      <c r="AS6" s="207">
        <v>1</v>
      </c>
      <c r="AT6" s="207">
        <v>1</v>
      </c>
      <c r="AU6" s="207">
        <v>1</v>
      </c>
    </row>
    <row r="7" spans="1:47" x14ac:dyDescent="0.2">
      <c r="A7" s="143" t="s">
        <v>923</v>
      </c>
      <c r="B7" s="940" t="s">
        <v>857</v>
      </c>
      <c r="C7" s="1039"/>
      <c r="D7" s="1322">
        <v>4</v>
      </c>
      <c r="E7" s="1354"/>
      <c r="F7" s="1360"/>
      <c r="G7" s="1352"/>
      <c r="H7" s="1352"/>
      <c r="I7" s="1356"/>
      <c r="K7" s="1344" t="s">
        <v>2205</v>
      </c>
      <c r="L7" s="258">
        <f>IF($C$21="Yes",T$35,0)</f>
        <v>0</v>
      </c>
      <c r="M7" s="258">
        <f>IF($C21="Yes",AB$35,0)</f>
        <v>0</v>
      </c>
      <c r="N7" s="259">
        <f>IF(AND($C$21="Yes",$C$11="SP"),T$80,0)</f>
        <v>0</v>
      </c>
      <c r="O7" s="259">
        <f>IF(AND($C$21="Yes",$C$11="BR"),AB$80,0)</f>
        <v>0</v>
      </c>
      <c r="Q7" s="60"/>
      <c r="R7" s="1210" t="s">
        <v>1018</v>
      </c>
      <c r="S7" s="207">
        <f>IF($B$16=250,DF_250Deductible,$C$16)</f>
        <v>1</v>
      </c>
      <c r="T7" s="207">
        <f>IF($B$16=250,DF_250Deductible,$C$16)</f>
        <v>1</v>
      </c>
      <c r="U7" s="207">
        <f>IF($B$16=250,DF_250Deductible,$C$16)</f>
        <v>1</v>
      </c>
      <c r="V7" s="207">
        <f>IF($B$16=250,DF_250Deductible,$C$16)</f>
        <v>1</v>
      </c>
      <c r="W7" s="207">
        <f>IF($B$16=250,DF_250Deductible,$C$16)</f>
        <v>1</v>
      </c>
      <c r="Y7" s="60"/>
      <c r="Z7" s="1210" t="s">
        <v>1018</v>
      </c>
      <c r="AA7" s="207">
        <f>IF($B$16=250,DF_250Deductible,$C$16)</f>
        <v>1</v>
      </c>
      <c r="AB7" s="207">
        <f>IF($B$16=250,DF_250Deductible,$C$16)</f>
        <v>1</v>
      </c>
      <c r="AC7" s="207">
        <f>IF($B$16=250,DF_250Deductible,$C$16)</f>
        <v>1</v>
      </c>
      <c r="AD7" s="207">
        <f>IF($B$16=250,DF_250Deductible,$C$16)</f>
        <v>1</v>
      </c>
      <c r="AE7" s="207">
        <f>IF($B$16=250,DF_250Deductible,$C$16)</f>
        <v>1</v>
      </c>
      <c r="AG7" s="60"/>
      <c r="AH7" s="1210" t="s">
        <v>1018</v>
      </c>
      <c r="AI7" s="207">
        <f>IF($B$18=250,DF_250Deductible,$C$18)</f>
        <v>1</v>
      </c>
      <c r="AJ7" s="207">
        <f>IF($B$18=250,DF_250Deductible,$C$18)</f>
        <v>1</v>
      </c>
      <c r="AK7" s="207">
        <f>IF($B$18=250,DF_250Deductible,$C$18)</f>
        <v>1</v>
      </c>
      <c r="AL7" s="207">
        <f>IF($B$18=250,DF_250Deductible,$C$18)</f>
        <v>1</v>
      </c>
      <c r="AM7" s="207">
        <f>IF($B$18=250,DF_250Deductible,$C$18)</f>
        <v>1</v>
      </c>
      <c r="AO7" s="60"/>
      <c r="AP7" s="1210" t="s">
        <v>1018</v>
      </c>
      <c r="AQ7" s="207">
        <f>IF($B$18=250,DF_250Deductible,$C$18)</f>
        <v>1</v>
      </c>
      <c r="AR7" s="207">
        <f>IF($B$18=250,DF_250Deductible,$C$18)</f>
        <v>1</v>
      </c>
      <c r="AS7" s="207">
        <f>IF($B$18=250,DF_250Deductible,$C$18)</f>
        <v>1</v>
      </c>
      <c r="AT7" s="207">
        <f>IF($B$18=250,DF_250Deductible,$C$18)</f>
        <v>1</v>
      </c>
      <c r="AU7" s="207">
        <f>IF($B$18=250,DF_250Deductible,$C$18)</f>
        <v>1</v>
      </c>
    </row>
    <row r="8" spans="1:47" x14ac:dyDescent="0.2">
      <c r="A8" s="120"/>
      <c r="B8" s="95"/>
      <c r="C8" s="1039"/>
      <c r="D8" s="1322">
        <v>5</v>
      </c>
      <c r="E8" s="1354"/>
      <c r="F8" s="1360"/>
      <c r="G8" s="1352"/>
      <c r="H8" s="1352"/>
      <c r="I8" s="1356"/>
      <c r="K8" s="1344" t="s">
        <v>2206</v>
      </c>
      <c r="L8" s="258">
        <f>IF($C$21="Yes",U$35,0)</f>
        <v>0</v>
      </c>
      <c r="M8" s="258">
        <f>IF($C21="Yes",AC$35,0)</f>
        <v>0</v>
      </c>
      <c r="N8" s="259">
        <f>IF(AND($C$21="Yes",$C$11="SP"),U$80,0)</f>
        <v>0</v>
      </c>
      <c r="O8" s="259">
        <f>IF(AND($C$21="Yes",$C$11="BR"),AC$80,0)</f>
        <v>0</v>
      </c>
      <c r="Q8" s="185"/>
      <c r="R8" s="1226" t="s">
        <v>1019</v>
      </c>
      <c r="S8" s="208">
        <f>HLOOKUP($C$10,Table_StateRates,5,FALSE)</f>
        <v>1.38</v>
      </c>
      <c r="T8" s="208">
        <f>HLOOKUP(C10,Table_StateRates,5,FALSE)</f>
        <v>1.38</v>
      </c>
      <c r="U8" s="208">
        <f>HLOOKUP(C10,Table_StateRates,5,FALSE)</f>
        <v>1.38</v>
      </c>
      <c r="V8" s="208">
        <f>HLOOKUP(C10,Table_StateRates,5,FALSE)</f>
        <v>1.38</v>
      </c>
      <c r="W8" s="208">
        <f>HLOOKUP(C10,Table_StateRates,5,FALSE)</f>
        <v>1.38</v>
      </c>
      <c r="Y8" s="185"/>
      <c r="Z8" s="1226" t="s">
        <v>1019</v>
      </c>
      <c r="AA8" s="208">
        <f>HLOOKUP(C10,Table_StateRates,5,FALSE)</f>
        <v>1.38</v>
      </c>
      <c r="AB8" s="208">
        <f>HLOOKUP(C10,Table_StateRates,5,FALSE)</f>
        <v>1.38</v>
      </c>
      <c r="AC8" s="208">
        <f>HLOOKUP(C10,Table_StateRates,5,FALSE)</f>
        <v>1.38</v>
      </c>
      <c r="AD8" s="208">
        <f>HLOOKUP(C10,Table_StateRates,5,FALSE)</f>
        <v>1.38</v>
      </c>
      <c r="AE8" s="208">
        <f>HLOOKUP(C10,Table_StateRates,5,FALSE)</f>
        <v>1.38</v>
      </c>
      <c r="AG8" s="185"/>
      <c r="AH8" s="1226" t="s">
        <v>1019</v>
      </c>
      <c r="AI8" s="208">
        <f>HLOOKUP($C$10,Table_StateRates,5,FALSE)</f>
        <v>1.38</v>
      </c>
      <c r="AJ8" s="208">
        <f>HLOOKUP($C$10,Table_StateRates,5,FALSE)</f>
        <v>1.38</v>
      </c>
      <c r="AK8" s="208">
        <f>HLOOKUP($C$10,Table_StateRates,5,FALSE)</f>
        <v>1.38</v>
      </c>
      <c r="AL8" s="208">
        <f>HLOOKUP($C$10,Table_StateRates,5,FALSE)</f>
        <v>1.38</v>
      </c>
      <c r="AM8" s="208">
        <f>HLOOKUP($C$10,Table_StateRates,5,FALSE)</f>
        <v>1.38</v>
      </c>
      <c r="AO8" s="185"/>
      <c r="AP8" s="1226" t="s">
        <v>1019</v>
      </c>
      <c r="AQ8" s="208">
        <f>HLOOKUP($C$10,Table_StateRates,5,FALSE)</f>
        <v>1.38</v>
      </c>
      <c r="AR8" s="208">
        <f>HLOOKUP($C$10,Table_StateRates,5,FALSE)</f>
        <v>1.38</v>
      </c>
      <c r="AS8" s="208">
        <f>HLOOKUP($C$10,Table_StateRates,5,FALSE)</f>
        <v>1.38</v>
      </c>
      <c r="AT8" s="208">
        <f>HLOOKUP($C$10,Table_StateRates,5,FALSE)</f>
        <v>1.38</v>
      </c>
      <c r="AU8" s="208">
        <f>HLOOKUP($C$10,Table_StateRates,5,FALSE)</f>
        <v>1.38</v>
      </c>
    </row>
    <row r="9" spans="1:47" x14ac:dyDescent="0.2">
      <c r="A9" s="120" t="s">
        <v>1829</v>
      </c>
      <c r="B9" s="95"/>
      <c r="C9" s="1094">
        <v>1</v>
      </c>
      <c r="D9" s="1326"/>
      <c r="E9" s="1327"/>
      <c r="F9" s="1347"/>
      <c r="G9" s="1328"/>
      <c r="H9" s="1329" t="s">
        <v>2174</v>
      </c>
      <c r="I9" s="1325">
        <f>SUM(I4:I8)</f>
        <v>0</v>
      </c>
      <c r="K9" s="1344" t="s">
        <v>2207</v>
      </c>
      <c r="L9" s="258">
        <f>IF($C$21="Yes",V$35,0)</f>
        <v>0</v>
      </c>
      <c r="M9" s="258">
        <f>IF($C21="Yes",AD$35,0)</f>
        <v>0</v>
      </c>
      <c r="N9" s="259">
        <f>IF(AND($C$21="Yes",$C$11="SP"),V$80,0)</f>
        <v>0</v>
      </c>
      <c r="O9" s="259">
        <f>IF(AND($C$21="Yes",$C$11="BR"),AD$80,0)</f>
        <v>0</v>
      </c>
      <c r="Q9" s="60"/>
      <c r="R9" s="83" t="s">
        <v>2181</v>
      </c>
      <c r="S9" s="1315">
        <f>ROUND(PRODUCT(S3:S8),3)</f>
        <v>0</v>
      </c>
      <c r="T9" s="1315">
        <f>ROUND(PRODUCT(T3:T8),3)</f>
        <v>0</v>
      </c>
      <c r="U9" s="1315">
        <f>ROUND(PRODUCT(U3:U8),3)</f>
        <v>0</v>
      </c>
      <c r="V9" s="1315">
        <f>ROUND(PRODUCT(V3:V8),3)</f>
        <v>0</v>
      </c>
      <c r="W9" s="1315">
        <f>ROUND(PRODUCT(W3:W8),3)</f>
        <v>0</v>
      </c>
      <c r="Y9" s="60"/>
      <c r="Z9" s="83" t="s">
        <v>2223</v>
      </c>
      <c r="AA9" s="1315">
        <f>ROUND(PRODUCT(AA3:AA8),3)</f>
        <v>0</v>
      </c>
      <c r="AB9" s="1315">
        <f>ROUND(PRODUCT(AB3:AB8),3)</f>
        <v>0</v>
      </c>
      <c r="AC9" s="1315">
        <f>ROUND(PRODUCT(AC3:AC8),3)</f>
        <v>0</v>
      </c>
      <c r="AD9" s="1315">
        <f>ROUND(PRODUCT(AD3:AD8),3)</f>
        <v>0</v>
      </c>
      <c r="AE9" s="1315">
        <f>ROUND(PRODUCT(AE3:AE8),3)</f>
        <v>0</v>
      </c>
      <c r="AG9" s="60"/>
      <c r="AH9" s="83" t="s">
        <v>2181</v>
      </c>
      <c r="AI9" s="1315">
        <f>ROUND(PRODUCT(AI3:AI8),3)</f>
        <v>0</v>
      </c>
      <c r="AJ9" s="1315">
        <f>ROUND(PRODUCT(AJ3:AJ8),3)</f>
        <v>0</v>
      </c>
      <c r="AK9" s="1315">
        <f>ROUND(PRODUCT(AK3:AK8),3)</f>
        <v>0</v>
      </c>
      <c r="AL9" s="1315">
        <f>ROUND(PRODUCT(AL3:AL8),3)</f>
        <v>0</v>
      </c>
      <c r="AM9" s="1315">
        <f>ROUND(PRODUCT(AM3:AM8),3)</f>
        <v>0</v>
      </c>
      <c r="AO9" s="60"/>
      <c r="AP9" s="83" t="s">
        <v>2223</v>
      </c>
      <c r="AQ9" s="1312">
        <f>ROUND(PRODUCT(AQ3:AQ8),3)</f>
        <v>0</v>
      </c>
      <c r="AR9" s="1312">
        <f>ROUND(PRODUCT(AR3:AR8),3)</f>
        <v>0</v>
      </c>
      <c r="AS9" s="1312">
        <f>ROUND(PRODUCT(AS3:AS8),3)</f>
        <v>0</v>
      </c>
      <c r="AT9" s="1312">
        <f>ROUND(PRODUCT(AT3:AT8),3)</f>
        <v>0</v>
      </c>
      <c r="AU9" s="1312">
        <f>ROUND(PRODUCT(AU3:AU8),3)</f>
        <v>0</v>
      </c>
    </row>
    <row r="10" spans="1:47" ht="13.5" thickBot="1" x14ac:dyDescent="0.25">
      <c r="A10" s="120" t="s">
        <v>835</v>
      </c>
      <c r="B10" s="1317"/>
      <c r="C10" s="1093" t="s">
        <v>1859</v>
      </c>
      <c r="D10" s="126"/>
      <c r="E10" s="541"/>
      <c r="F10" s="541"/>
      <c r="G10" s="96"/>
      <c r="H10" s="96"/>
      <c r="I10" s="1096"/>
      <c r="K10" s="1345" t="s">
        <v>2208</v>
      </c>
      <c r="L10" s="1357">
        <f>IF($C$21="Yes",W$35,0)</f>
        <v>0</v>
      </c>
      <c r="M10" s="1357">
        <f>IF($C21="Yes",AE$35,0)</f>
        <v>0</v>
      </c>
      <c r="N10" s="884">
        <f>IF(AND($C$21="Yes",$C$11="SP"),W$80,0)</f>
        <v>0</v>
      </c>
      <c r="O10" s="884">
        <f>IF(AND($C$21="Yes",$C$11="BR"),AE$80,0)</f>
        <v>0</v>
      </c>
      <c r="Q10" s="60"/>
      <c r="R10" s="83"/>
      <c r="S10" s="1312"/>
      <c r="T10" s="1312"/>
      <c r="U10" s="1312"/>
      <c r="V10" s="1312"/>
      <c r="W10" s="1312"/>
      <c r="AG10" s="60"/>
      <c r="AH10" s="83"/>
      <c r="AI10" s="1312"/>
      <c r="AJ10" s="1312"/>
      <c r="AK10" s="1312"/>
      <c r="AL10" s="1312"/>
      <c r="AM10" s="1312"/>
    </row>
    <row r="11" spans="1:47" x14ac:dyDescent="0.2">
      <c r="A11" s="415" t="s">
        <v>910</v>
      </c>
      <c r="B11" s="1318"/>
      <c r="C11" s="704" t="s">
        <v>894</v>
      </c>
      <c r="D11" s="500" t="s">
        <v>2215</v>
      </c>
      <c r="E11" s="508"/>
      <c r="F11" s="508"/>
      <c r="G11" s="508"/>
      <c r="H11" s="508"/>
      <c r="I11" s="509"/>
      <c r="K11" s="1343" t="s">
        <v>2218</v>
      </c>
      <c r="L11" s="485">
        <f>SUM(L6:L10)</f>
        <v>0</v>
      </c>
      <c r="M11" s="485">
        <f>SUM(M6:M10)</f>
        <v>0</v>
      </c>
      <c r="N11" s="485">
        <f>SUM(N6:N10)</f>
        <v>0</v>
      </c>
      <c r="O11" s="485">
        <f>SUM(O6:O10)</f>
        <v>0</v>
      </c>
      <c r="Q11" s="60" t="s">
        <v>2183</v>
      </c>
      <c r="R11" s="83"/>
      <c r="S11" s="1312"/>
      <c r="T11" s="1312"/>
      <c r="U11" s="1312"/>
      <c r="V11" s="1312"/>
      <c r="W11" s="1312"/>
      <c r="Y11" s="60" t="s">
        <v>2183</v>
      </c>
      <c r="Z11" s="83"/>
      <c r="AA11" s="1312"/>
      <c r="AB11" s="1312"/>
      <c r="AC11" s="1312"/>
      <c r="AD11" s="1312"/>
      <c r="AE11" s="1312"/>
      <c r="AG11" s="60" t="s">
        <v>2183</v>
      </c>
      <c r="AH11" s="83"/>
      <c r="AI11" s="1312"/>
      <c r="AJ11" s="1312"/>
      <c r="AK11" s="1312"/>
      <c r="AL11" s="1312"/>
      <c r="AM11" s="1312"/>
      <c r="AO11" s="60" t="s">
        <v>2183</v>
      </c>
      <c r="AP11" s="83"/>
      <c r="AQ11" s="1312"/>
      <c r="AR11" s="1312"/>
      <c r="AS11" s="1312"/>
      <c r="AT11" s="1312"/>
      <c r="AU11" s="1312"/>
    </row>
    <row r="12" spans="1:47" ht="13.5" thickBot="1" x14ac:dyDescent="0.25">
      <c r="A12" s="507" t="s">
        <v>1069</v>
      </c>
      <c r="B12" s="95"/>
      <c r="C12" s="1319">
        <v>1</v>
      </c>
      <c r="D12" s="1320" t="s">
        <v>2173</v>
      </c>
      <c r="E12" s="1323" t="s">
        <v>57</v>
      </c>
      <c r="F12" s="1323" t="s">
        <v>2170</v>
      </c>
      <c r="G12" s="1323" t="s">
        <v>2228</v>
      </c>
      <c r="H12" s="1323" t="s">
        <v>2171</v>
      </c>
      <c r="I12" s="1324" t="s">
        <v>2172</v>
      </c>
      <c r="K12" s="1206"/>
      <c r="L12" s="485"/>
      <c r="M12" s="485"/>
      <c r="N12" s="485"/>
      <c r="O12" s="485"/>
      <c r="R12" s="1117" t="s">
        <v>2184</v>
      </c>
      <c r="S12" s="478">
        <f>IF(ISNUMBER($I4),$I4,0)</f>
        <v>0</v>
      </c>
      <c r="T12" s="478">
        <f>IF(ISNUMBER($I5),$I5,0)</f>
        <v>0</v>
      </c>
      <c r="U12" s="478">
        <f>IF(ISNUMBER($I6),$I6,0)</f>
        <v>0</v>
      </c>
      <c r="V12" s="478">
        <f>IF(ISNUMBER($I7),$I7,0)</f>
        <v>0</v>
      </c>
      <c r="W12" s="478">
        <f>IF(ISNUMBER($I8),$I8,0)</f>
        <v>0</v>
      </c>
      <c r="Z12" s="1117" t="s">
        <v>2184</v>
      </c>
      <c r="AA12" s="478">
        <f>IF(ISNUMBER($I$4),$I$4,0)</f>
        <v>0</v>
      </c>
      <c r="AB12" s="478">
        <f>IF(ISNUMBER($I$5),$I$5,0)</f>
        <v>0</v>
      </c>
      <c r="AC12" s="478">
        <f>IF(ISNUMBER($I$6),$I$6,0)</f>
        <v>0</v>
      </c>
      <c r="AD12" s="478">
        <f>IF(ISNUMBER($I$7),$I$7,0)</f>
        <v>0</v>
      </c>
      <c r="AE12" s="478">
        <f>IF(ISNUMBER($I$8),$I$8,0)</f>
        <v>0</v>
      </c>
      <c r="AH12" s="1117" t="s">
        <v>2184</v>
      </c>
      <c r="AI12" s="478">
        <f>IF(ISNUMBER($I13),$I13,0)</f>
        <v>0</v>
      </c>
      <c r="AJ12" s="478">
        <f>IF(ISNUMBER($I14),$I14,0)</f>
        <v>0</v>
      </c>
      <c r="AK12" s="478">
        <f>IF(ISNUMBER($I15),$I15,0)</f>
        <v>0</v>
      </c>
      <c r="AL12" s="478">
        <f>IF(ISNUMBER($I16),$I16,0)</f>
        <v>0</v>
      </c>
      <c r="AM12" s="478">
        <f>IF(ISNUMBER($I17),$I17,0)</f>
        <v>0</v>
      </c>
      <c r="AP12" s="1117" t="s">
        <v>2184</v>
      </c>
      <c r="AQ12" s="478">
        <f>IF(ISNUMBER($I$13),$I$13,0)</f>
        <v>0</v>
      </c>
      <c r="AR12" s="478">
        <f>IF(ISNUMBER($I$14),$I$14,0)</f>
        <v>0</v>
      </c>
      <c r="AS12" s="478">
        <f>IF(ISNUMBER($I$15),$I$15,0)</f>
        <v>0</v>
      </c>
      <c r="AT12" s="478">
        <f>IF(ISNUMBER($I$16),$I$16,0)</f>
        <v>0</v>
      </c>
      <c r="AU12" s="478">
        <f>IF(ISNUMBER($I$17),$I$17,0)</f>
        <v>0</v>
      </c>
    </row>
    <row r="13" spans="1:47" x14ac:dyDescent="0.2">
      <c r="A13" s="1485" t="s">
        <v>2333</v>
      </c>
      <c r="B13" s="95"/>
      <c r="C13" s="1486">
        <v>1</v>
      </c>
      <c r="D13" s="1321">
        <v>1</v>
      </c>
      <c r="E13" s="1349"/>
      <c r="F13" s="1359"/>
      <c r="G13" s="1351"/>
      <c r="H13" s="1352"/>
      <c r="I13" s="1353"/>
      <c r="K13" s="1340" t="s">
        <v>2219</v>
      </c>
      <c r="L13" s="1341"/>
      <c r="M13" s="1342"/>
      <c r="N13" s="1342"/>
      <c r="O13" s="1342"/>
      <c r="Q13" s="185"/>
      <c r="R13" s="1226" t="s">
        <v>2185</v>
      </c>
      <c r="S13" s="238">
        <f>$I$9</f>
        <v>0</v>
      </c>
      <c r="T13" s="238">
        <f>$I$9</f>
        <v>0</v>
      </c>
      <c r="U13" s="238">
        <f>$I$9</f>
        <v>0</v>
      </c>
      <c r="V13" s="238">
        <f>$I$9</f>
        <v>0</v>
      </c>
      <c r="W13" s="238">
        <f>$I$9</f>
        <v>0</v>
      </c>
      <c r="Y13" s="185"/>
      <c r="Z13" s="1226" t="s">
        <v>2185</v>
      </c>
      <c r="AA13" s="238">
        <f>$I$9</f>
        <v>0</v>
      </c>
      <c r="AB13" s="238">
        <f t="shared" ref="AB13:AE13" si="2">$I$9</f>
        <v>0</v>
      </c>
      <c r="AC13" s="238">
        <f t="shared" si="2"/>
        <v>0</v>
      </c>
      <c r="AD13" s="238">
        <f t="shared" si="2"/>
        <v>0</v>
      </c>
      <c r="AE13" s="238">
        <f t="shared" si="2"/>
        <v>0</v>
      </c>
      <c r="AG13" s="185"/>
      <c r="AH13" s="1226" t="s">
        <v>2185</v>
      </c>
      <c r="AI13" s="238">
        <f>$I$18</f>
        <v>0</v>
      </c>
      <c r="AJ13" s="238">
        <f t="shared" ref="AJ13:AM13" si="3">$I$18</f>
        <v>0</v>
      </c>
      <c r="AK13" s="238">
        <f t="shared" si="3"/>
        <v>0</v>
      </c>
      <c r="AL13" s="238">
        <f t="shared" si="3"/>
        <v>0</v>
      </c>
      <c r="AM13" s="238">
        <f t="shared" si="3"/>
        <v>0</v>
      </c>
      <c r="AO13" s="185"/>
      <c r="AP13" s="1226" t="s">
        <v>2185</v>
      </c>
      <c r="AQ13" s="238">
        <f>$I$18</f>
        <v>0</v>
      </c>
      <c r="AR13" s="238">
        <f t="shared" ref="AR13:AU13" si="4">$I$18</f>
        <v>0</v>
      </c>
      <c r="AS13" s="238">
        <f t="shared" si="4"/>
        <v>0</v>
      </c>
      <c r="AT13" s="238">
        <f t="shared" si="4"/>
        <v>0</v>
      </c>
      <c r="AU13" s="238">
        <f t="shared" si="4"/>
        <v>0</v>
      </c>
    </row>
    <row r="14" spans="1:47" x14ac:dyDescent="0.2">
      <c r="A14" s="1485" t="s">
        <v>2332</v>
      </c>
      <c r="B14" s="95"/>
      <c r="C14" s="1486">
        <v>1</v>
      </c>
      <c r="D14" s="1322">
        <v>2</v>
      </c>
      <c r="E14" s="1354"/>
      <c r="F14" s="1360"/>
      <c r="G14" s="1352"/>
      <c r="H14" s="1352"/>
      <c r="I14" s="1356"/>
      <c r="K14" s="1458" t="s">
        <v>2278</v>
      </c>
      <c r="L14" s="1463" t="str">
        <f>IF($C$22="Yes",$AI$30,"NA")</f>
        <v>NA</v>
      </c>
      <c r="M14" s="1463" t="str">
        <f>IF($C$22="Yes",$AQ$30,"NA")</f>
        <v>NA</v>
      </c>
      <c r="N14" s="1463" t="str">
        <f>IF($C$22="Yes",$AI$75,"NA")</f>
        <v>NA</v>
      </c>
      <c r="O14" s="1463" t="str">
        <f>IF($C$22="Yes",$AQ$75,"NA")</f>
        <v>NA</v>
      </c>
      <c r="Q14" s="146"/>
      <c r="R14" s="301" t="s">
        <v>2187</v>
      </c>
      <c r="S14" s="1313" t="e">
        <f>ROUND(S12/S13,2)</f>
        <v>#DIV/0!</v>
      </c>
      <c r="T14" s="1313" t="e">
        <f>ROUND(T12/T13,2)</f>
        <v>#DIV/0!</v>
      </c>
      <c r="U14" s="1313" t="e">
        <f>ROUND(U12/U13,2)</f>
        <v>#DIV/0!</v>
      </c>
      <c r="V14" s="1313" t="e">
        <f>ROUND(V12/V13,2)</f>
        <v>#DIV/0!</v>
      </c>
      <c r="W14" s="1313" t="e">
        <f>ROUND(W12/W13,2)</f>
        <v>#DIV/0!</v>
      </c>
      <c r="Y14" s="146"/>
      <c r="Z14" s="301" t="s">
        <v>2187</v>
      </c>
      <c r="AA14" s="1313" t="e">
        <f>ROUND(AA12/AA13,2)</f>
        <v>#DIV/0!</v>
      </c>
      <c r="AB14" s="1313" t="e">
        <f>ROUND(AB12/AB13,2)</f>
        <v>#DIV/0!</v>
      </c>
      <c r="AC14" s="1313" t="e">
        <f>ROUND(AC12/AC13,2)</f>
        <v>#DIV/0!</v>
      </c>
      <c r="AD14" s="1313" t="e">
        <f>ROUND(AD12/AD13,2)</f>
        <v>#DIV/0!</v>
      </c>
      <c r="AE14" s="1313" t="e">
        <f>ROUND(AE12/AE13,2)</f>
        <v>#DIV/0!</v>
      </c>
      <c r="AG14" s="146"/>
      <c r="AH14" s="301" t="s">
        <v>2187</v>
      </c>
      <c r="AI14" s="1313" t="e">
        <f>ROUND(AI12/AI13,2)</f>
        <v>#DIV/0!</v>
      </c>
      <c r="AJ14" s="1313" t="e">
        <f>ROUND(AJ12/AJ13,2)</f>
        <v>#DIV/0!</v>
      </c>
      <c r="AK14" s="1313" t="e">
        <f>ROUND(AK12/AK13,2)</f>
        <v>#DIV/0!</v>
      </c>
      <c r="AL14" s="1313" t="e">
        <f>ROUND(AL12/AL13,2)</f>
        <v>#DIV/0!</v>
      </c>
      <c r="AM14" s="1313" t="e">
        <f>ROUND(AM12/AM13,2)</f>
        <v>#DIV/0!</v>
      </c>
      <c r="AO14" s="146"/>
      <c r="AP14" s="301" t="s">
        <v>2187</v>
      </c>
      <c r="AQ14" s="1313" t="e">
        <f>ROUND(AQ12/AQ13,2)</f>
        <v>#DIV/0!</v>
      </c>
      <c r="AR14" s="1313" t="e">
        <f>ROUND(AR12/AR13,2)</f>
        <v>#DIV/0!</v>
      </c>
      <c r="AS14" s="1313" t="e">
        <f>ROUND(AS12/AS13,2)</f>
        <v>#DIV/0!</v>
      </c>
      <c r="AT14" s="1313" t="e">
        <f>ROUND(AT12/AT13,2)</f>
        <v>#DIV/0!</v>
      </c>
      <c r="AU14" s="1313" t="e">
        <f>ROUND(AU12/AU13,2)</f>
        <v>#DIV/0!</v>
      </c>
    </row>
    <row r="15" spans="1:47" ht="13.5" customHeight="1" x14ac:dyDescent="0.2">
      <c r="A15" s="1316" t="s">
        <v>2226</v>
      </c>
      <c r="B15" s="160"/>
      <c r="C15" s="1330">
        <v>100</v>
      </c>
      <c r="D15" s="1322">
        <v>3</v>
      </c>
      <c r="E15" s="1354"/>
      <c r="F15" s="1360"/>
      <c r="G15" s="1352"/>
      <c r="H15" s="1352"/>
      <c r="I15" s="1356"/>
      <c r="K15" s="1344" t="s">
        <v>2204</v>
      </c>
      <c r="L15" s="258">
        <f>IF($C$22="Yes",AI$35,0)</f>
        <v>0</v>
      </c>
      <c r="M15" s="258">
        <f>IF($C$22="Yes",AQ$35,0)</f>
        <v>0</v>
      </c>
      <c r="N15" s="259">
        <f>IF(AND($C$22="Yes",$C$11="SP"),AI$80,0)</f>
        <v>0</v>
      </c>
      <c r="O15" s="259">
        <f>IF(AND($C$22="Yes",$C$11="BR"),AQ$80,0)</f>
        <v>0</v>
      </c>
      <c r="Q15" s="185"/>
      <c r="R15" s="1226" t="s">
        <v>2188</v>
      </c>
      <c r="S15" s="238">
        <f>PRODUCT(0.9,$I$9)</f>
        <v>0</v>
      </c>
      <c r="T15" s="238">
        <f>PRODUCT(0.9,$I$9)</f>
        <v>0</v>
      </c>
      <c r="U15" s="238">
        <f>PRODUCT(0.9,$I$9)</f>
        <v>0</v>
      </c>
      <c r="V15" s="238">
        <f>PRODUCT(0.9,$I$9)</f>
        <v>0</v>
      </c>
      <c r="W15" s="238">
        <f>PRODUCT(0.9,$I$9)</f>
        <v>0</v>
      </c>
      <c r="Y15" s="185"/>
      <c r="Z15" s="1226" t="s">
        <v>2188</v>
      </c>
      <c r="AA15" s="238">
        <f>PRODUCT(0.9,$I$9)</f>
        <v>0</v>
      </c>
      <c r="AB15" s="238">
        <f>PRODUCT(0.9,$I$9)</f>
        <v>0</v>
      </c>
      <c r="AC15" s="238">
        <f>PRODUCT(0.9,$I$9)</f>
        <v>0</v>
      </c>
      <c r="AD15" s="238">
        <f>PRODUCT(0.9,$I$9)</f>
        <v>0</v>
      </c>
      <c r="AE15" s="238">
        <f>PRODUCT(0.9,$I$9)</f>
        <v>0</v>
      </c>
      <c r="AG15" s="185"/>
      <c r="AH15" s="1226" t="s">
        <v>2188</v>
      </c>
      <c r="AI15" s="238">
        <f>PRODUCT(0.9,$I$18)</f>
        <v>0</v>
      </c>
      <c r="AJ15" s="238">
        <f>PRODUCT(0.9,$I$18)</f>
        <v>0</v>
      </c>
      <c r="AK15" s="238">
        <f>PRODUCT(0.9,$I$18)</f>
        <v>0</v>
      </c>
      <c r="AL15" s="238">
        <f>PRODUCT(0.9,$I$18)</f>
        <v>0</v>
      </c>
      <c r="AM15" s="238">
        <f>PRODUCT(0.9,$I$18)</f>
        <v>0</v>
      </c>
      <c r="AO15" s="185"/>
      <c r="AP15" s="1226" t="s">
        <v>2188</v>
      </c>
      <c r="AQ15" s="238">
        <f>PRODUCT(0.9,$I$18)</f>
        <v>0</v>
      </c>
      <c r="AR15" s="238">
        <f>PRODUCT(0.9,$I$18)</f>
        <v>0</v>
      </c>
      <c r="AS15" s="238">
        <f>PRODUCT(0.9,$I$18)</f>
        <v>0</v>
      </c>
      <c r="AT15" s="238">
        <f>PRODUCT(0.9,$I$18)</f>
        <v>0</v>
      </c>
      <c r="AU15" s="238">
        <f>PRODUCT(0.9,$I$18)</f>
        <v>0</v>
      </c>
    </row>
    <row r="16" spans="1:47" x14ac:dyDescent="0.2">
      <c r="A16" s="1316" t="s">
        <v>2323</v>
      </c>
      <c r="B16" s="1482">
        <v>500</v>
      </c>
      <c r="C16" s="1483">
        <v>1</v>
      </c>
      <c r="D16" s="1322">
        <v>4</v>
      </c>
      <c r="E16" s="1354"/>
      <c r="F16" s="1360"/>
      <c r="G16" s="1352"/>
      <c r="H16" s="1352"/>
      <c r="I16" s="1356"/>
      <c r="K16" s="1344" t="s">
        <v>2205</v>
      </c>
      <c r="L16" s="258">
        <f>IF($C$22="Yes",AJ$35,0)</f>
        <v>0</v>
      </c>
      <c r="M16" s="258">
        <f>IF($C$22="Yes",AR$35,0)</f>
        <v>0</v>
      </c>
      <c r="N16" s="259">
        <f>IF(AND($C$22="Yes",$C$11="SP"),AJ$80,0)</f>
        <v>0</v>
      </c>
      <c r="O16" s="259">
        <f>IF(AND($C$22="Yes",$C$11="BR"),AR$80,0)</f>
        <v>0</v>
      </c>
      <c r="R16" s="83" t="s">
        <v>2189</v>
      </c>
      <c r="S16" s="248" t="e">
        <f>PRODUCT(S14:S15)</f>
        <v>#DIV/0!</v>
      </c>
      <c r="T16" s="248" t="e">
        <f>PRODUCT(T14:T15)</f>
        <v>#DIV/0!</v>
      </c>
      <c r="U16" s="248" t="e">
        <f>PRODUCT(U14:U15)</f>
        <v>#DIV/0!</v>
      </c>
      <c r="V16" s="248" t="e">
        <f>PRODUCT(V14:V15)</f>
        <v>#DIV/0!</v>
      </c>
      <c r="W16" s="248" t="e">
        <f>PRODUCT(W14:W15)</f>
        <v>#DIV/0!</v>
      </c>
      <c r="Z16" s="83" t="s">
        <v>2189</v>
      </c>
      <c r="AA16" s="248" t="e">
        <f>PRODUCT(AA14:AA15)</f>
        <v>#DIV/0!</v>
      </c>
      <c r="AB16" s="248" t="e">
        <f>PRODUCT(AB14:AB15)</f>
        <v>#DIV/0!</v>
      </c>
      <c r="AC16" s="248" t="e">
        <f>PRODUCT(AC14:AC15)</f>
        <v>#DIV/0!</v>
      </c>
      <c r="AD16" s="248" t="e">
        <f>PRODUCT(AD14:AD15)</f>
        <v>#DIV/0!</v>
      </c>
      <c r="AE16" s="248" t="e">
        <f>PRODUCT(AE14:AE15)</f>
        <v>#DIV/0!</v>
      </c>
      <c r="AH16" s="83" t="s">
        <v>2189</v>
      </c>
      <c r="AI16" s="248" t="e">
        <f>PRODUCT(AI14:AI15)</f>
        <v>#DIV/0!</v>
      </c>
      <c r="AJ16" s="248" t="e">
        <f>PRODUCT(AJ14:AJ15)</f>
        <v>#DIV/0!</v>
      </c>
      <c r="AK16" s="248" t="e">
        <f>PRODUCT(AK14:AK15)</f>
        <v>#DIV/0!</v>
      </c>
      <c r="AL16" s="248" t="e">
        <f>PRODUCT(AL14:AL15)</f>
        <v>#DIV/0!</v>
      </c>
      <c r="AM16" s="248" t="e">
        <f>PRODUCT(AM14:AM15)</f>
        <v>#DIV/0!</v>
      </c>
      <c r="AP16" s="83" t="s">
        <v>2189</v>
      </c>
      <c r="AQ16" s="248" t="e">
        <f>PRODUCT(AQ14:AQ15)</f>
        <v>#DIV/0!</v>
      </c>
      <c r="AR16" s="248" t="e">
        <f>PRODUCT(AR14:AR15)</f>
        <v>#DIV/0!</v>
      </c>
      <c r="AS16" s="248" t="e">
        <f>PRODUCT(AS14:AS15)</f>
        <v>#DIV/0!</v>
      </c>
      <c r="AT16" s="248" t="e">
        <f>PRODUCT(AT14:AT15)</f>
        <v>#DIV/0!</v>
      </c>
      <c r="AU16" s="248" t="e">
        <f>PRODUCT(AU14:AU15)</f>
        <v>#DIV/0!</v>
      </c>
    </row>
    <row r="17" spans="1:47" ht="15" customHeight="1" x14ac:dyDescent="0.2">
      <c r="A17" s="1316" t="s">
        <v>2227</v>
      </c>
      <c r="B17" s="160"/>
      <c r="C17" s="1330">
        <v>100</v>
      </c>
      <c r="D17" s="1322">
        <v>5</v>
      </c>
      <c r="E17" s="1354"/>
      <c r="F17" s="1360"/>
      <c r="G17" s="1352"/>
      <c r="H17" s="1352"/>
      <c r="I17" s="1356"/>
      <c r="K17" s="1344" t="s">
        <v>2206</v>
      </c>
      <c r="L17" s="258">
        <f>IF($C$22="Yes",AK$35,0)</f>
        <v>0</v>
      </c>
      <c r="M17" s="258">
        <f>IF($C$22="Yes",AS$35,0)</f>
        <v>0</v>
      </c>
      <c r="N17" s="259">
        <f>IF(AND($C$22="Yes",$C$11="SP"),AK$80,0)</f>
        <v>0</v>
      </c>
      <c r="O17" s="259">
        <f>IF(AND($C$22="Yes",$C$11="BR"),AS$80,0)</f>
        <v>0</v>
      </c>
      <c r="Q17" s="1332"/>
      <c r="R17" s="1333" t="s">
        <v>2193</v>
      </c>
      <c r="S17" s="1334" t="e">
        <f>IF(S16=0,"N/A",IF(ISNA(MATCH(S16,List_LOI_Bldg,0)),VLOOKUP(S16,List_LOI_Bldg,1,TRUE),"N/A"))</f>
        <v>#DIV/0!</v>
      </c>
      <c r="T17" s="1334" t="e">
        <f>IF(T16=0,"N/A",IF(ISNA(MATCH(T16,List_LOI_Bldg,0)),VLOOKUP(T16,List_LOI_Bldg,1,TRUE),"N/A"))</f>
        <v>#DIV/0!</v>
      </c>
      <c r="U17" s="1334" t="e">
        <f>IF(U16=0,"N/A",IF(ISNA(MATCH(U16,List_LOI_Bldg,0)),VLOOKUP(U16,List_LOI_Bldg,1,TRUE),"N/A"))</f>
        <v>#DIV/0!</v>
      </c>
      <c r="V17" s="1335" t="e">
        <f>IF(V16=0,"N/A",IF(ISNA(MATCH(V16,List_LOI_Bldg,0)),VLOOKUP(V16,List_LOI_Bldg,1,TRUE),"N/A"))</f>
        <v>#DIV/0!</v>
      </c>
      <c r="W17" s="1335" t="e">
        <f>IF(W16=0,"N/A",IF(ISNA(MATCH(W16,List_LOI_Bldg,0)),VLOOKUP(W16,List_LOI_Bldg,1,TRUE),"N/A"))</f>
        <v>#DIV/0!</v>
      </c>
      <c r="Y17" s="1332"/>
      <c r="Z17" s="1333" t="s">
        <v>2193</v>
      </c>
      <c r="AA17" s="1334" t="e">
        <f>IF(AA16=0,"N/A",IF(ISNA(MATCH(AA16,List_LOI_Bldg,0)),VLOOKUP(AA16,List_LOI_Bldg,1,TRUE),"N/A"))</f>
        <v>#DIV/0!</v>
      </c>
      <c r="AB17" s="1334" t="e">
        <f>IF(AB16=0,"N/A",IF(ISNA(MATCH(AB16,List_LOI_Bldg,0)),VLOOKUP(AB16,List_LOI_Bldg,1,TRUE),"N/A"))</f>
        <v>#DIV/0!</v>
      </c>
      <c r="AC17" s="1335" t="e">
        <f>IF(AC16=0,"N/A",IF(ISNA(MATCH(AC16,List_LOI_Bldg,0)),VLOOKUP(AC16,List_LOI_Bldg,1,TRUE),"N/A"))</f>
        <v>#DIV/0!</v>
      </c>
      <c r="AD17" s="1335" t="e">
        <f>IF(AD16=0,"N/A",IF(ISNA(MATCH(AD16,List_LOI_Bldg,0)),VLOOKUP(AD16,List_LOI_Bldg,1,TRUE),"N/A"))</f>
        <v>#DIV/0!</v>
      </c>
      <c r="AE17" s="1335" t="e">
        <f>IF(AE16=0,"N/A",IF(ISNA(MATCH(AE16,List_LOI_Bldg,0)),VLOOKUP(AE16,List_LOI_Bldg,1,TRUE),"N/A"))</f>
        <v>#DIV/0!</v>
      </c>
      <c r="AG17" s="1332"/>
      <c r="AH17" s="1333" t="s">
        <v>2193</v>
      </c>
      <c r="AI17" s="1334" t="e">
        <f>IF(AI16=0,"N/A",IF(ISNA(MATCH(AI16,List_LOI_PP,0)),VLOOKUP(AI16,List_LOI_PP,1,TRUE),"N/A"))</f>
        <v>#DIV/0!</v>
      </c>
      <c r="AJ17" s="1334" t="e">
        <f>IF(AJ16=0,"N/A",IF(ISNA(MATCH(AJ16,List_LOI_PP,0)),VLOOKUP(AJ16,List_LOI_PP,1,TRUE),"N/A"))</f>
        <v>#DIV/0!</v>
      </c>
      <c r="AK17" s="1334" t="e">
        <f>IF(AK16=0,"N/A",IF(ISNA(MATCH(AK16,List_LOI_PP,0)),VLOOKUP(AK16,List_LOI_PP,1,TRUE),"N/A"))</f>
        <v>#DIV/0!</v>
      </c>
      <c r="AL17" s="1335" t="e">
        <f>IF(AL16=0,"N/A",IF(ISNA(MATCH(AL16,List_LOI_PP,0)),VLOOKUP(AL16,List_LOI_PP,1,TRUE),"N/A"))</f>
        <v>#DIV/0!</v>
      </c>
      <c r="AM17" s="1335" t="e">
        <f>IF(AM16=0,"N/A",IF(ISNA(MATCH(AM16,List_LOI_PP,0)),VLOOKUP(AM16,List_LOI_PP,1,TRUE),"N/A"))</f>
        <v>#DIV/0!</v>
      </c>
      <c r="AO17" s="1332"/>
      <c r="AP17" s="1333" t="s">
        <v>2193</v>
      </c>
      <c r="AQ17" s="1334" t="e">
        <f>IF(AQ16=0,"N/A",IF(ISNA(MATCH(AQ16,List_LOI_PP,0)),VLOOKUP(AQ16,List_LOI_PP,1,TRUE),"N/A"))</f>
        <v>#DIV/0!</v>
      </c>
      <c r="AR17" s="1334" t="e">
        <f>IF(AR16=0,"N/A",IF(ISNA(MATCH(AR16,List_LOI_PP,0)),VLOOKUP(AR16,List_LOI_PP,1,TRUE),"N/A"))</f>
        <v>#DIV/0!</v>
      </c>
      <c r="AS17" s="1335" t="e">
        <f>IF(AS16=0,"N/A",IF(ISNA(MATCH(AS16,List_LOI_PP,0)),VLOOKUP(AS16,List_LOI_PP,1,TRUE),"N/A"))</f>
        <v>#DIV/0!</v>
      </c>
      <c r="AT17" s="1335" t="e">
        <f>IF(AT16=0,"N/A",IF(ISNA(MATCH(AT16,List_LOI_PP,0)),VLOOKUP(AT16,List_LOI_PP,1,TRUE),"N/A"))</f>
        <v>#DIV/0!</v>
      </c>
      <c r="AU17" s="1335" t="e">
        <f>IF(AU16=0,"N/A",IF(ISNA(MATCH(AU16,List_LOI_PP,0)),VLOOKUP(AU16,List_LOI_PP,1,TRUE),"N/A"))</f>
        <v>#DIV/0!</v>
      </c>
    </row>
    <row r="18" spans="1:47" x14ac:dyDescent="0.2">
      <c r="A18" s="1316" t="s">
        <v>2323</v>
      </c>
      <c r="B18" s="1482">
        <v>500</v>
      </c>
      <c r="C18" s="1483">
        <v>1</v>
      </c>
      <c r="D18" s="1326"/>
      <c r="E18" s="1327"/>
      <c r="F18" s="1347"/>
      <c r="G18" s="1328"/>
      <c r="H18" s="1329" t="s">
        <v>2174</v>
      </c>
      <c r="I18" s="1325">
        <f>SUM(I13:I17)</f>
        <v>0</v>
      </c>
      <c r="K18" s="1344" t="s">
        <v>2207</v>
      </c>
      <c r="L18" s="258">
        <f>IF($C$22="Yes",AL$35,0)</f>
        <v>0</v>
      </c>
      <c r="M18" s="258">
        <f>IF($C$22="Yes",AT$35,0)</f>
        <v>0</v>
      </c>
      <c r="N18" s="259">
        <f>IF(AND($C$22="Yes",$C$11="SP"),AL$80,0)</f>
        <v>0</v>
      </c>
      <c r="O18" s="259">
        <f>IF(AND($C$22="Yes",$C$11="BR"),AT$80,0)</f>
        <v>0</v>
      </c>
      <c r="Q18" s="1336"/>
      <c r="R18" s="1337" t="s">
        <v>2194</v>
      </c>
      <c r="S18" s="1338" t="e">
        <f>IF(S17="N/A",0,INDEX(List_LOI_Bldg,MATCH(S17,List_LOI_Bldg,0)+1,1))</f>
        <v>#DIV/0!</v>
      </c>
      <c r="T18" s="1338" t="e">
        <f>IF(T17="N/A",0,INDEX(List_LOI_Bldg,MATCH(T17,List_LOI_Bldg,0)+1,1))</f>
        <v>#DIV/0!</v>
      </c>
      <c r="U18" s="1338" t="e">
        <f>IF(U17="N/A",0,INDEX(List_LOI_Bldg,MATCH(U17,List_LOI_Bldg,0)+1,1))</f>
        <v>#DIV/0!</v>
      </c>
      <c r="V18" s="1338" t="e">
        <f>IF(V17="N/A",0,INDEX(List_LOI_Bldg,MATCH(V17,List_LOI_Bldg,0)+1,1))</f>
        <v>#DIV/0!</v>
      </c>
      <c r="W18" s="1338" t="e">
        <f>IF(W17="N/A",0,INDEX(List_LOI_Bldg,MATCH(W17,List_LOI_Bldg,0)+1,1))</f>
        <v>#DIV/0!</v>
      </c>
      <c r="Y18" s="1336"/>
      <c r="Z18" s="1337" t="s">
        <v>2194</v>
      </c>
      <c r="AA18" s="1338" t="e">
        <f>IF(AA17="N/A",0,INDEX(List_LOI_Bldg,MATCH(AA17,List_LOI_Bldg,0)+1,1))</f>
        <v>#DIV/0!</v>
      </c>
      <c r="AB18" s="1338" t="e">
        <f>IF(AB17="N/A",0,INDEX(List_LOI_Bldg,MATCH(AB17,List_LOI_Bldg,0)+1,1))</f>
        <v>#DIV/0!</v>
      </c>
      <c r="AC18" s="1338" t="e">
        <f>IF(AC17="N/A",0,INDEX(List_LOI_Bldg,MATCH(AC17,List_LOI_Bldg,0)+1,1))</f>
        <v>#DIV/0!</v>
      </c>
      <c r="AD18" s="1338" t="e">
        <f>IF(AD17="N/A",0,INDEX(List_LOI_Bldg,MATCH(AD17,List_LOI_Bldg,0)+1,1))</f>
        <v>#DIV/0!</v>
      </c>
      <c r="AE18" s="1338" t="e">
        <f>IF(AE17="N/A",0,INDEX(List_LOI_Bldg,MATCH(AE17,List_LOI_Bldg,0)+1,1))</f>
        <v>#DIV/0!</v>
      </c>
      <c r="AG18" s="1336"/>
      <c r="AH18" s="1337" t="s">
        <v>2194</v>
      </c>
      <c r="AI18" s="1338" t="e">
        <f>IF(AI17="N/A",0,INDEX(List_LOI_PP,MATCH(AI17,List_LOI_PP,0)+1,1))</f>
        <v>#DIV/0!</v>
      </c>
      <c r="AJ18" s="1338" t="e">
        <f>IF(AJ17="N/A",0,INDEX(List_LOI_PP,MATCH(AJ17,List_LOI_PP,0)+1,1))</f>
        <v>#DIV/0!</v>
      </c>
      <c r="AK18" s="1338" t="e">
        <f>IF(AK17="N/A",0,INDEX(List_LOI_PP,MATCH(AK17,List_LOI_PP,0)+1,1))</f>
        <v>#DIV/0!</v>
      </c>
      <c r="AL18" s="1338" t="e">
        <f>IF(AL17="N/A",0,INDEX(List_LOI_PP,MATCH(AL17,List_LOI_PP,0)+1,1))</f>
        <v>#DIV/0!</v>
      </c>
      <c r="AM18" s="1338" t="e">
        <f>IF(AM17="N/A",0,INDEX(List_LOI_PP,MATCH(AM17,List_LOI_PP,0)+1,1))</f>
        <v>#DIV/0!</v>
      </c>
      <c r="AO18" s="1336"/>
      <c r="AP18" s="1337" t="s">
        <v>2194</v>
      </c>
      <c r="AQ18" s="1338" t="e">
        <f>IF(AQ17="N/A",0,INDEX(List_LOI_PP,MATCH(AQ17,List_LOI_PP,0)+1,1))</f>
        <v>#DIV/0!</v>
      </c>
      <c r="AR18" s="1338" t="e">
        <f>IF(AR17="N/A",0,INDEX(List_LOI_PP,MATCH(AR17,List_LOI_PP,0)+1,1))</f>
        <v>#DIV/0!</v>
      </c>
      <c r="AS18" s="1338" t="e">
        <f>IF(AS17="N/A",0,INDEX(List_LOI_PP,MATCH(AS17,List_LOI_PP,0)+1,1))</f>
        <v>#DIV/0!</v>
      </c>
      <c r="AT18" s="1338" t="e">
        <f>IF(AT17="N/A",0,INDEX(List_LOI_PP,MATCH(AT17,List_LOI_PP,0)+1,1))</f>
        <v>#DIV/0!</v>
      </c>
      <c r="AU18" s="1338" t="e">
        <f>IF(AU17="N/A",0,INDEX(List_LOI_PP,MATCH(AU17,List_LOI_PP,0)+1,1))</f>
        <v>#DIV/0!</v>
      </c>
    </row>
    <row r="19" spans="1:47" ht="13.5" thickBot="1" x14ac:dyDescent="0.25">
      <c r="A19" s="120"/>
      <c r="B19" s="95"/>
      <c r="C19" s="1039"/>
      <c r="D19" s="126"/>
      <c r="E19" s="541"/>
      <c r="F19" s="541"/>
      <c r="G19" s="96"/>
      <c r="H19" s="96"/>
      <c r="I19" s="1096"/>
      <c r="K19" s="1345" t="s">
        <v>2208</v>
      </c>
      <c r="L19" s="1357">
        <f>IF($C$22="Yes",AM$35,0)</f>
        <v>0</v>
      </c>
      <c r="M19" s="1357">
        <f>IF($C$22="Yes",AU$35,0)</f>
        <v>0</v>
      </c>
      <c r="N19" s="884">
        <f>IF(AND($C$22="Yes",$C$11="SP"),AM$80,0)</f>
        <v>0</v>
      </c>
      <c r="O19" s="884">
        <f>IF(AND($C$22="Yes",$C$11="BR"),AU$80,0)</f>
        <v>0</v>
      </c>
      <c r="Q19" s="185"/>
      <c r="R19" s="1226" t="s">
        <v>2195</v>
      </c>
      <c r="S19" s="1457" t="e">
        <f>IF(S16=0,0,IF(AND(S17="N/A",S16&gt;0),VLOOKUP(S16,Table_LOI_Bldg,MATCH($G4,List_Relatives,0)+1,FALSE),
ROUND(VLOOKUP(S17,Table_LOI_Bldg,MATCH($G4,List_Relatives,0)+1,FALSE) -
ROUND(PRODUCT((VLOOKUP(S17,Table_LOI_Bldg,MATCH($G4,List_Relatives,0)+1,FALSE) - VLOOKUP(S18,Table_LOI_Bldg,MATCH($G4,List_Relatives,0)+1,FALSE)),S16-S17)/(S18-S17),4),4)))</f>
        <v>#DIV/0!</v>
      </c>
      <c r="T19" s="1457" t="e">
        <f>IF(T16=0,0,IF(AND(T17="N/A",T16&gt;0),VLOOKUP(T16,Table_LOI_Bldg,MATCH($G5,List_Relatives,0)+1,FALSE),
ROUND(VLOOKUP(T17,Table_LOI_Bldg,MATCH($G5,List_Relatives,0)+1,FALSE) -
ROUND(PRODUCT((VLOOKUP(T17,Table_LOI_Bldg,MATCH($G5,List_Relatives,0)+1,FALSE) - VLOOKUP(T18,Table_LOI_Bldg,MATCH($G5,List_Relatives,0)+1,FALSE)),T16-T17)/(T18-T17),4),4)))</f>
        <v>#DIV/0!</v>
      </c>
      <c r="U19" s="1457" t="e">
        <f>IF(U16=0,0,IF(AND(U17="N/A",U16&gt;0),VLOOKUP(U16,Table_LOI_Bldg,MATCH($G6,List_Relatives,0)+1,FALSE),
ROUND(VLOOKUP(U17,Table_LOI_Bldg,MATCH($G6,List_Relatives,0)+1,FALSE) -
ROUND(PRODUCT((VLOOKUP(U17,Table_LOI_Bldg,MATCH($G6,List_Relatives,0)+1,FALSE) - VLOOKUP(U18,Table_LOI_Bldg,MATCH($G6,List_Relatives,0)+1,FALSE)),U16-U17)/(U18-U17),4),4)))</f>
        <v>#DIV/0!</v>
      </c>
      <c r="V19" s="1457" t="e">
        <f>IF(V16=0,0,IF(AND(V17="N/A",V16&gt;0),VLOOKUP(V16,Table_LOI_Bldg,MATCH($G7,List_Relatives,0)+1,FALSE),
ROUND(VLOOKUP(V17,Table_LOI_Bldg,MATCH($G7,List_Relatives,0)+1,FALSE) -
ROUND(PRODUCT((VLOOKUP(V17,Table_LOI_Bldg,MATCH($G7,List_Relatives,0)+1,FALSE) - VLOOKUP(V18,Table_LOI_Bldg,MATCH($G7,List_Relatives,0)+1,FALSE)),V16-V17)/(V18-V17),4),4)))</f>
        <v>#DIV/0!</v>
      </c>
      <c r="W19" s="1457" t="e">
        <f>IF(W16=0,0,IF(AND(W17="N/A",W16&gt;0),VLOOKUP(W16,Table_LOI_Bldg,MATCH($G8,List_Relatives,0)+1,FALSE),
ROUND(VLOOKUP(W17,Table_LOI_Bldg,MATCH($G8,List_Relatives,0)+1,FALSE) -
ROUND(PRODUCT((VLOOKUP(W17,Table_LOI_Bldg,MATCH($G8,List_Relatives,0)+1,FALSE) - VLOOKUP(W18,Table_LOI_Bldg,MATCH($G8,List_Relatives,0)+1,FALSE)),W16-W17)/(W18-W17),4),4)))</f>
        <v>#DIV/0!</v>
      </c>
      <c r="Y19" s="185"/>
      <c r="Z19" s="1226" t="s">
        <v>2195</v>
      </c>
      <c r="AA19" s="1457" t="e">
        <f>IF(AA16=0,0,IF(AND(AA17="N/A",AA16&gt;0),VLOOKUP(AA16,Table_LOI_Bldg,MATCH("BA2",List_Relatives,0)+1,FALSE),
ROUND(VLOOKUP(AA17,Table_LOI_Bldg,MATCH("BA2",List_Relatives,0)+1,FALSE) -
ROUND(PRODUCT((VLOOKUP(AA17,Table_LOI_Bldg,MATCH("BA2",List_Relatives,0)+1,FALSE) - VLOOKUP(AA18,Table_LOI_Bldg,MATCH("BA2",List_Relatives,0)+1,FALSE)),AA16-AA17)/(AA18-AA17),4),4)))</f>
        <v>#DIV/0!</v>
      </c>
      <c r="AB19" s="1457" t="e">
        <f>IF(AB16=0,0,IF(AND(AB17="N/A",AB16&gt;0),VLOOKUP(AB16,Table_LOI_Bldg,MATCH("BA2",List_Relatives,0)+1,FALSE),
ROUND(VLOOKUP(AB17,Table_LOI_Bldg,MATCH("BA2",List_Relatives,0)+1,FALSE) -
ROUND(PRODUCT((VLOOKUP(AB17,Table_LOI_Bldg,MATCH("BA2",List_Relatives,0)+1,FALSE) - VLOOKUP(AB18,Table_LOI_Bldg,MATCH("BA2",List_Relatives,0)+1,FALSE)),AB16-AB17)/(AB18-AB17),4),4)))</f>
        <v>#DIV/0!</v>
      </c>
      <c r="AC19" s="1457" t="e">
        <f>IF(AC16=0,0,IF(AND(AC17="N/A",AC16&gt;0),VLOOKUP(AC16,Table_LOI_Bldg,MATCH("BA2",List_Relatives,0)+1,FALSE),
ROUND(VLOOKUP(AC17,Table_LOI_Bldg,MATCH("BA2",List_Relatives,0)+1,FALSE) -
ROUND(PRODUCT((VLOOKUP(AC17,Table_LOI_Bldg,MATCH("BA2",List_Relatives,0)+1,FALSE) - VLOOKUP(AC18,Table_LOI_Bldg,MATCH("BA2",List_Relatives,0)+1,FALSE)),AC16-AC17)/(AC18-AC17),4),4)))</f>
        <v>#DIV/0!</v>
      </c>
      <c r="AD19" s="1457" t="e">
        <f>IF(AD16=0,0,IF(AND(AD17="N/A",AD16&gt;0),VLOOKUP(AD16,Table_LOI_Bldg,MATCH($G7,List_Relatives,0)+1,FALSE),
ROUND(VLOOKUP(AD17,Table_LOI_Bldg,MATCH($G7,List_Relatives,0)+1,FALSE) -
ROUND(PRODUCT((VLOOKUP(AD17,Table_LOI_Bldg,MATCH($G7,List_Relatives,0)+1,FALSE) - VLOOKUP(AD18,Table_LOI_Bldg,MATCH($G7,List_Relatives,0)+1,FALSE)),AD16-AD17)/(AD18-AD17),4),4)))</f>
        <v>#DIV/0!</v>
      </c>
      <c r="AE19" s="1457" t="e">
        <f>IF(AE16=0,0,IF(AND(AE17="N/A",AE16&gt;0),VLOOKUP(AE16,Table_LOI_Bldg,MATCH($G8,List_Relatives,0)+1,FALSE),
ROUND(VLOOKUP(AE17,Table_LOI_Bldg,MATCH($G8,List_Relatives,0)+1,FALSE) -
ROUND(PRODUCT((VLOOKUP(AE17,Table_LOI_Bldg,MATCH($G8,List_Relatives,0)+1,FALSE) - VLOOKUP(AE18,Table_LOI_Bldg,MATCH($G8,List_Relatives,0)+1,FALSE)),AE16-AE17)/(AE18-AE17),4),4)))</f>
        <v>#DIV/0!</v>
      </c>
      <c r="AG19" s="185"/>
      <c r="AH19" s="1226" t="s">
        <v>2195</v>
      </c>
      <c r="AI19" s="1457" t="e">
        <f>IF(AI16=0,0,IF(AND(AI17="N/A",AI16&gt;0),VLOOKUP(AI16,Table_LOI_PP,MATCH($G13,List_Relatives,0)+1,FALSE),
ROUND(VLOOKUP(AI17,Table_LOI_PP,MATCH($G13,List_Relatives,0)+1,FALSE) -
ROUND(PRODUCT((VLOOKUP(AI17,Table_LOI_PP,MATCH($G13,List_Relatives,0)+1,FALSE) - VLOOKUP(AI18,Table_LOI_PP,MATCH($G13,List_Relatives,0)+1,FALSE)),AI16-AI17)/(AI18-AI17),4),4)))</f>
        <v>#DIV/0!</v>
      </c>
      <c r="AJ19" s="1457" t="e">
        <f>IF(AJ16=0,0,IF(AND(AJ17="N/A",AJ16&gt;0),VLOOKUP(AJ16,Table_LOI_PP,MATCH($G14,List_Relatives,0)+1,FALSE),
ROUND(VLOOKUP(AJ17,Table_LOI_PP,MATCH($G14,List_Relatives,0)+1,FALSE) -
ROUND(PRODUCT((VLOOKUP(AJ17,Table_LOI_PP,MATCH($G14,List_Relatives,0)+1,FALSE) - VLOOKUP(AJ18,Table_LOI_PP,MATCH($G14,List_Relatives,0)+1,FALSE)),AJ16-AJ17)/(AJ18-AJ17),4),4)))</f>
        <v>#DIV/0!</v>
      </c>
      <c r="AK19" s="1457" t="e">
        <f>IF(AK16=0,0,IF(AND(AK17="N/A",AK16&gt;0),VLOOKUP(AK16,Table_LOI_PP,MATCH($G15,List_Relatives,0)+1,FALSE),
ROUND(VLOOKUP(AK17,Table_LOI_PP,MATCH($G15,List_Relatives,0)+1,FALSE) -
ROUND(PRODUCT((VLOOKUP(AK17,Table_LOI_PP,MATCH($G15,List_Relatives,0)+1,FALSE) - VLOOKUP(AK18,Table_LOI_PP,MATCH($G15,List_Relatives,0)+1,FALSE)),AK16-AK17)/(AK18-AK17),4),4)))</f>
        <v>#DIV/0!</v>
      </c>
      <c r="AL19" s="1457" t="e">
        <f>IF(AL16=0,0,IF(AND(AL17="N/A",AL16&gt;0),VLOOKUP(AL16,Table_LOI_PP,MATCH($G16,List_Relatives,0)+1,FALSE),
ROUND(VLOOKUP(AL17,Table_LOI_PP,MATCH($G16,List_Relatives,0)+1,FALSE) -
ROUND(PRODUCT((VLOOKUP(AL17,Table_LOI_PP,MATCH($G16,List_Relatives,0)+1,FALSE) - VLOOKUP(AL18,Table_LOI_PP,MATCH($G16,List_Relatives,0)+1,FALSE)),AL16-AL17)/(AL18-AL17),4),4)))</f>
        <v>#DIV/0!</v>
      </c>
      <c r="AM19" s="1457" t="e">
        <f>IF(AM16=0,0,IF(AND(AM17="N/A",AM16&gt;0),VLOOKUP(AM16,Table_LOI_PP,MATCH($G17,List_Relatives,0)+1,FALSE),
ROUND(VLOOKUP(AM17,Table_LOI_PP,MATCH($G17,List_Relatives,0)+1,FALSE) -
ROUND(PRODUCT((VLOOKUP(AM17,Table_LOI_PP,MATCH($G17,List_Relatives,0)+1,FALSE) - VLOOKUP(AM18,Table_LOI_PP,MATCH($G17,List_Relatives,0)+1,FALSE)),AM16-AM17)/(AM18-AM17),4),4)))</f>
        <v>#DIV/0!</v>
      </c>
      <c r="AO19" s="185"/>
      <c r="AP19" s="1226" t="s">
        <v>2195</v>
      </c>
      <c r="AQ19" s="1457" t="e">
        <f>IF(AQ16=0,0,IF(AND(AQ17="N/A",AQ16&gt;0),VLOOKUP(AQ16,Table_LOI_PP,MATCH("BA2",List_Relatives,0)+1,FALSE),
ROUND(VLOOKUP(AQ17,Table_LOI_PP,MATCH("BA2",List_Relatives,0)+1,FALSE) -
ROUND(PRODUCT((VLOOKUP(AQ17,Table_LOI_PP,MATCH("BA2",List_Relatives,0)+1,FALSE) - VLOOKUP(AQ18,Table_LOI_PP,MATCH("BA2",List_Relatives,0)+1,FALSE)),AQ16-AQ17)/(AQ18-AQ17),4),4)))</f>
        <v>#DIV/0!</v>
      </c>
      <c r="AR19" s="1457" t="e">
        <f>IF(AR16=0,0,IF(AND(AR17="N/A",AR16&gt;0),VLOOKUP(AR16,Table_LOI_PP,MATCH("BA2",List_Relatives,0)+1,FALSE),
ROUND(VLOOKUP(AR17,Table_LOI_PP,MATCH("BA2",List_Relatives,0)+1,FALSE) -
ROUND(PRODUCT((VLOOKUP(AR17,Table_LOI_PP,MATCH("BA2",List_Relatives,0)+1,FALSE) - VLOOKUP(AR18,Table_LOI_PP,MATCH("BA2",List_Relatives,0)+1,FALSE)),AR16-AR17)/(AR18-AR17),4),4)))</f>
        <v>#DIV/0!</v>
      </c>
      <c r="AS19" s="1457" t="e">
        <f>IF(AS16=0,0,IF(AND(AS17="N/A",AS16&gt;0),VLOOKUP(AS16,Table_LOI_PP,MATCH("BA2",List_Relatives,0)+1,FALSE),
ROUND(VLOOKUP(AS17,Table_LOI_PP,MATCH("BA2",List_Relatives,0)+1,FALSE) -
ROUND(PRODUCT((VLOOKUP(AS17,Table_LOI_PP,MATCH("BA2",List_Relatives,0)+1,FALSE) - VLOOKUP(AS18,Table_LOI_PP,MATCH("BA2",List_Relatives,0)+1,FALSE)),AS16-AS17)/(AS18-AS17),4),4)))</f>
        <v>#DIV/0!</v>
      </c>
      <c r="AT19" s="1457" t="e">
        <f>IF(AT16=0,0,IF(AND(AT17="N/A",AT16&gt;0),VLOOKUP(AT16,Table_LOI_PP,MATCH($G16,List_Relatives,0)+1,FALSE),
ROUND(VLOOKUP(AT17,Table_LOI_PP,MATCH($G16,List_Relatives,0)+1,FALSE) -
ROUND(PRODUCT((VLOOKUP(AT17,Table_LOI_PP,MATCH($G16,List_Relatives,0)+1,FALSE) - VLOOKUP(AT18,Table_LOI_PP,MATCH($G16,List_Relatives,0)+1,FALSE)),AT16-AT17)/(AT18-AT17),4),4)))</f>
        <v>#DIV/0!</v>
      </c>
      <c r="AU19" s="1457" t="e">
        <f>IF(AU16=0,0,IF(AND(AU17="N/A",AU16&gt;0),VLOOKUP(AU16,Table_LOI_PP,MATCH($G17,List_Relatives,0)+1,FALSE),
ROUND(VLOOKUP(AU17,Table_LOI_PP,MATCH($G17,List_Relatives,0)+1,FALSE) -
ROUND(PRODUCT((VLOOKUP(AU17,Table_LOI_PP,MATCH($G17,List_Relatives,0)+1,FALSE) - VLOOKUP(AU18,Table_LOI_PP,MATCH($G17,List_Relatives,0)+1,FALSE)),AU16-AU17)/(AU18-AU17),4),4)))</f>
        <v>#DIV/0!</v>
      </c>
    </row>
    <row r="20" spans="1:47" ht="13.5" thickBot="1" x14ac:dyDescent="0.25">
      <c r="A20" s="529" t="s">
        <v>2214</v>
      </c>
      <c r="B20" s="531"/>
      <c r="C20" s="532"/>
      <c r="D20" s="500" t="s">
        <v>2216</v>
      </c>
      <c r="E20" s="508"/>
      <c r="F20" s="508"/>
      <c r="G20" s="508"/>
      <c r="H20" s="508"/>
      <c r="I20" s="509"/>
      <c r="K20" s="1343" t="s">
        <v>2218</v>
      </c>
      <c r="L20" s="485">
        <f>SUM(L15:L19)</f>
        <v>0</v>
      </c>
      <c r="M20" s="485">
        <f>SUM(M15:M19)</f>
        <v>0</v>
      </c>
      <c r="N20" s="485">
        <f>SUM(N15:N19)</f>
        <v>0</v>
      </c>
      <c r="O20" s="485">
        <f>SUM(O15:O19)</f>
        <v>0</v>
      </c>
      <c r="R20" s="83" t="s">
        <v>2196</v>
      </c>
      <c r="S20" s="247" t="e">
        <f>PRODUCT(S9,S19)</f>
        <v>#DIV/0!</v>
      </c>
      <c r="T20" s="247" t="e">
        <f>PRODUCT(T9,T19)</f>
        <v>#DIV/0!</v>
      </c>
      <c r="U20" s="2" t="e">
        <f>PRODUCT(U9,U19)</f>
        <v>#DIV/0!</v>
      </c>
      <c r="V20" s="2" t="e">
        <f>PRODUCT(V9,V19)</f>
        <v>#DIV/0!</v>
      </c>
      <c r="W20" s="2" t="e">
        <f>PRODUCT(W9,W19)</f>
        <v>#DIV/0!</v>
      </c>
      <c r="Z20" s="83" t="s">
        <v>2196</v>
      </c>
      <c r="AA20" s="2" t="e">
        <f>PRODUCT(AA9,AA19)</f>
        <v>#DIV/0!</v>
      </c>
      <c r="AB20" s="2" t="e">
        <f>PRODUCT(AB9,AB19)</f>
        <v>#DIV/0!</v>
      </c>
      <c r="AC20" s="2" t="e">
        <f>PRODUCT(AC9,AC19)</f>
        <v>#DIV/0!</v>
      </c>
      <c r="AD20" s="2" t="e">
        <f>PRODUCT(AD9,AD19)</f>
        <v>#DIV/0!</v>
      </c>
      <c r="AE20" s="2" t="e">
        <f>PRODUCT(AE9,AE19)</f>
        <v>#DIV/0!</v>
      </c>
      <c r="AH20" s="83" t="s">
        <v>2196</v>
      </c>
      <c r="AI20" s="247" t="e">
        <f>PRODUCT(AI9,AI19)</f>
        <v>#DIV/0!</v>
      </c>
      <c r="AJ20" s="247" t="e">
        <f>PRODUCT(AJ9,AJ19)</f>
        <v>#DIV/0!</v>
      </c>
      <c r="AK20" s="2" t="e">
        <f>PRODUCT(AK9,AK19)</f>
        <v>#DIV/0!</v>
      </c>
      <c r="AL20" s="2" t="e">
        <f>PRODUCT(AL9,AL19)</f>
        <v>#DIV/0!</v>
      </c>
      <c r="AM20" s="2" t="e">
        <f>PRODUCT(AM9,AM19)</f>
        <v>#DIV/0!</v>
      </c>
      <c r="AP20" s="83" t="s">
        <v>2196</v>
      </c>
      <c r="AQ20" s="2" t="e">
        <f>PRODUCT(AQ9,AQ19)</f>
        <v>#DIV/0!</v>
      </c>
      <c r="AR20" s="2" t="e">
        <f>PRODUCT(AR9,AR19)</f>
        <v>#DIV/0!</v>
      </c>
      <c r="AS20" s="2" t="e">
        <f>PRODUCT(AS9,AS19)</f>
        <v>#DIV/0!</v>
      </c>
      <c r="AT20" s="2" t="e">
        <f>PRODUCT(AT9,AT19)</f>
        <v>#DIV/0!</v>
      </c>
      <c r="AU20" s="2" t="e">
        <f>PRODUCT(AU9,AU19)</f>
        <v>#DIV/0!</v>
      </c>
    </row>
    <row r="21" spans="1:47" ht="13.5" thickBot="1" x14ac:dyDescent="0.25">
      <c r="A21" s="1346" t="s">
        <v>856</v>
      </c>
      <c r="B21" s="95"/>
      <c r="C21" s="1097" t="s">
        <v>857</v>
      </c>
      <c r="D21" s="1320" t="s">
        <v>2173</v>
      </c>
      <c r="E21" s="1323" t="s">
        <v>57</v>
      </c>
      <c r="F21" s="1323"/>
      <c r="G21" s="1323"/>
      <c r="H21" s="1323" t="s">
        <v>2171</v>
      </c>
      <c r="I21" s="1324" t="s">
        <v>2172</v>
      </c>
      <c r="K21" s="685"/>
      <c r="L21" s="726"/>
      <c r="M21" s="726"/>
      <c r="N21" s="726"/>
      <c r="O21" s="726"/>
      <c r="Q21" s="185"/>
      <c r="R21" s="1226" t="s">
        <v>2197</v>
      </c>
      <c r="S21" s="238">
        <f>IF(ISNUMBER($I4),$I4,0)</f>
        <v>0</v>
      </c>
      <c r="T21" s="238">
        <f>IF(ISNUMBER($I5),$I5,0)</f>
        <v>0</v>
      </c>
      <c r="U21" s="238">
        <f>IF(ISNUMBER($I6),$I6,0)</f>
        <v>0</v>
      </c>
      <c r="V21" s="238">
        <f>IF(ISNUMBER($I7),$I7,0)</f>
        <v>0</v>
      </c>
      <c r="W21" s="238">
        <f>IF(ISNUMBER($I8),$I8,0)</f>
        <v>0</v>
      </c>
      <c r="Y21" s="185"/>
      <c r="Z21" s="1226" t="s">
        <v>2197</v>
      </c>
      <c r="AA21" s="238">
        <f>IF(ISNUMBER($I4),$I4,0)</f>
        <v>0</v>
      </c>
      <c r="AB21" s="238">
        <f>IF(ISNUMBER($I5),$I5,0)</f>
        <v>0</v>
      </c>
      <c r="AC21" s="238">
        <f>IF(ISNUMBER($I6),$I6,0)</f>
        <v>0</v>
      </c>
      <c r="AD21" s="238">
        <f>IF(ISNUMBER($I7),$I7,0)</f>
        <v>0</v>
      </c>
      <c r="AE21" s="238">
        <f>IF(ISNUMBER($I8),$I8,0)</f>
        <v>0</v>
      </c>
      <c r="AG21" s="185"/>
      <c r="AH21" s="1226" t="s">
        <v>2197</v>
      </c>
      <c r="AI21" s="238">
        <f>IF(ISNUMBER($I13),$I13,0)</f>
        <v>0</v>
      </c>
      <c r="AJ21" s="238">
        <f>IF(ISNUMBER($I14),$I14,0)</f>
        <v>0</v>
      </c>
      <c r="AK21" s="238">
        <f>IF(ISNUMBER($I15),$I15,0)</f>
        <v>0</v>
      </c>
      <c r="AL21" s="238">
        <f>IF(ISNUMBER($I16),$I16,0)</f>
        <v>0</v>
      </c>
      <c r="AM21" s="238">
        <f>IF(ISNUMBER($I17),$I17,0)</f>
        <v>0</v>
      </c>
      <c r="AO21" s="185"/>
      <c r="AP21" s="1226" t="s">
        <v>2197</v>
      </c>
      <c r="AQ21" s="238">
        <f>IF(ISNUMBER($I13),$I13,0)</f>
        <v>0</v>
      </c>
      <c r="AR21" s="238">
        <f>IF(ISNUMBER($I14),$I14,0)</f>
        <v>0</v>
      </c>
      <c r="AS21" s="238">
        <f>IF(ISNUMBER($I15),$I15,0)</f>
        <v>0</v>
      </c>
      <c r="AT21" s="238">
        <f>IF(ISNUMBER($I16),$I16,0)</f>
        <v>0</v>
      </c>
      <c r="AU21" s="238">
        <f>IF(ISNUMBER($I17),$I17,0)</f>
        <v>0</v>
      </c>
    </row>
    <row r="22" spans="1:47" x14ac:dyDescent="0.2">
      <c r="A22" s="1346" t="s">
        <v>1068</v>
      </c>
      <c r="B22" s="95"/>
      <c r="C22" s="1348" t="s">
        <v>857</v>
      </c>
      <c r="D22" s="1321">
        <v>1</v>
      </c>
      <c r="E22" s="1349"/>
      <c r="F22" s="1350"/>
      <c r="G22" s="1351"/>
      <c r="H22" s="1352"/>
      <c r="I22" s="1353"/>
      <c r="K22" s="1340" t="s">
        <v>2220</v>
      </c>
      <c r="L22" s="1341"/>
      <c r="M22" s="1342"/>
      <c r="N22" s="1342"/>
      <c r="O22" s="1342"/>
      <c r="R22" s="83" t="s">
        <v>2198</v>
      </c>
      <c r="S22" s="1339" t="e">
        <f>PRODUCT(S20:S21)</f>
        <v>#DIV/0!</v>
      </c>
      <c r="T22" s="1339" t="e">
        <f>PRODUCT(T20:T21)</f>
        <v>#DIV/0!</v>
      </c>
      <c r="U22" s="1339" t="e">
        <f>PRODUCT(U20:U21)</f>
        <v>#DIV/0!</v>
      </c>
      <c r="V22" s="1339" t="e">
        <f>PRODUCT(V20:V21)</f>
        <v>#DIV/0!</v>
      </c>
      <c r="W22" s="1339" t="e">
        <f>PRODUCT(W20:W21)</f>
        <v>#DIV/0!</v>
      </c>
      <c r="Z22" s="83" t="s">
        <v>2198</v>
      </c>
      <c r="AA22" s="1339" t="e">
        <f>PRODUCT(AA20:AA21)</f>
        <v>#DIV/0!</v>
      </c>
      <c r="AB22" s="1339" t="e">
        <f>PRODUCT(AB20:AB21)</f>
        <v>#DIV/0!</v>
      </c>
      <c r="AC22" s="1339" t="e">
        <f>PRODUCT(AC20:AC21)</f>
        <v>#DIV/0!</v>
      </c>
      <c r="AD22" s="1339" t="e">
        <f>PRODUCT(AD20:AD21)</f>
        <v>#DIV/0!</v>
      </c>
      <c r="AE22" s="1339" t="e">
        <f>PRODUCT(AE20:AE21)</f>
        <v>#DIV/0!</v>
      </c>
      <c r="AH22" s="83" t="s">
        <v>2198</v>
      </c>
      <c r="AI22" s="1339" t="e">
        <f>PRODUCT(AI20:AI21)</f>
        <v>#DIV/0!</v>
      </c>
      <c r="AJ22" s="1339" t="e">
        <f>PRODUCT(AJ20:AJ21)</f>
        <v>#DIV/0!</v>
      </c>
      <c r="AK22" s="1339" t="e">
        <f>PRODUCT(AK20:AK21)</f>
        <v>#DIV/0!</v>
      </c>
      <c r="AL22" s="1339" t="e">
        <f>PRODUCT(AL20:AL21)</f>
        <v>#DIV/0!</v>
      </c>
      <c r="AM22" s="1339" t="e">
        <f>PRODUCT(AM20:AM21)</f>
        <v>#DIV/0!</v>
      </c>
      <c r="AP22" s="83" t="s">
        <v>2198</v>
      </c>
      <c r="AQ22" s="1339" t="e">
        <f>PRODUCT(AQ20:AQ21)</f>
        <v>#DIV/0!</v>
      </c>
      <c r="AR22" s="1339" t="e">
        <f>PRODUCT(AR20:AR21)</f>
        <v>#DIV/0!</v>
      </c>
      <c r="AS22" s="1339" t="e">
        <f>PRODUCT(AS20:AS21)</f>
        <v>#DIV/0!</v>
      </c>
      <c r="AT22" s="1339" t="e">
        <f>PRODUCT(AT20:AT21)</f>
        <v>#DIV/0!</v>
      </c>
      <c r="AU22" s="1339" t="e">
        <f>PRODUCT(AU20:AU21)</f>
        <v>#DIV/0!</v>
      </c>
    </row>
    <row r="23" spans="1:47" x14ac:dyDescent="0.2">
      <c r="A23" s="1346" t="s">
        <v>306</v>
      </c>
      <c r="B23" s="95"/>
      <c r="C23" s="1348" t="s">
        <v>857</v>
      </c>
      <c r="D23" s="1322">
        <v>2</v>
      </c>
      <c r="E23" s="1354"/>
      <c r="F23" s="1355"/>
      <c r="G23" s="1352"/>
      <c r="H23" s="1352"/>
      <c r="I23" s="1356"/>
      <c r="K23" s="1458" t="s">
        <v>2278</v>
      </c>
      <c r="L23" s="1459"/>
      <c r="M23" s="1460"/>
      <c r="N23" s="1460"/>
      <c r="O23" s="1461"/>
    </row>
    <row r="24" spans="1:47" x14ac:dyDescent="0.2">
      <c r="A24" s="1346" t="s">
        <v>962</v>
      </c>
      <c r="B24" s="95"/>
      <c r="C24" s="1348" t="s">
        <v>857</v>
      </c>
      <c r="D24" s="1322">
        <v>3</v>
      </c>
      <c r="E24" s="1354"/>
      <c r="F24" s="1355"/>
      <c r="G24" s="1352"/>
      <c r="H24" s="1352"/>
      <c r="I24" s="1356"/>
      <c r="K24" s="1344" t="s">
        <v>2204</v>
      </c>
      <c r="L24" s="258"/>
      <c r="M24" s="258"/>
      <c r="N24" s="259"/>
      <c r="O24" s="259"/>
      <c r="Q24" s="60" t="s">
        <v>2199</v>
      </c>
      <c r="Y24" s="60" t="s">
        <v>2199</v>
      </c>
      <c r="AG24" s="60" t="s">
        <v>2199</v>
      </c>
      <c r="AO24" s="60" t="s">
        <v>2199</v>
      </c>
    </row>
    <row r="25" spans="1:47" ht="13.5" thickBot="1" x14ac:dyDescent="0.25">
      <c r="A25" s="526"/>
      <c r="B25" s="96"/>
      <c r="C25" s="1076"/>
      <c r="D25" s="1322">
        <v>4</v>
      </c>
      <c r="E25" s="1354"/>
      <c r="F25" s="1355"/>
      <c r="G25" s="1352"/>
      <c r="H25" s="1352"/>
      <c r="I25" s="1356"/>
      <c r="K25" s="1344" t="s">
        <v>2205</v>
      </c>
      <c r="L25" s="258"/>
      <c r="M25" s="259"/>
      <c r="N25" s="259"/>
      <c r="O25" s="259"/>
      <c r="R25" s="1117" t="s">
        <v>2200</v>
      </c>
      <c r="S25" s="1339" t="e">
        <f>SUM(S22:W22)</f>
        <v>#DIV/0!</v>
      </c>
      <c r="Z25" s="1117" t="s">
        <v>2200</v>
      </c>
      <c r="AA25" s="1339" t="e">
        <f>SUM(AA22:AE22)</f>
        <v>#DIV/0!</v>
      </c>
      <c r="AH25" s="1117" t="s">
        <v>2200</v>
      </c>
      <c r="AI25" s="1339" t="e">
        <f>SUM(AI22:AM22)</f>
        <v>#DIV/0!</v>
      </c>
      <c r="AP25" s="1117" t="s">
        <v>2200</v>
      </c>
      <c r="AQ25" s="1339" t="e">
        <f>SUM(AQ22:AU22)</f>
        <v>#DIV/0!</v>
      </c>
    </row>
    <row r="26" spans="1:47" x14ac:dyDescent="0.2">
      <c r="D26" s="1322">
        <v>5</v>
      </c>
      <c r="E26" s="1354"/>
      <c r="F26" s="1355"/>
      <c r="G26" s="1352"/>
      <c r="H26" s="1352"/>
      <c r="I26" s="1356"/>
      <c r="K26" s="1344" t="s">
        <v>2206</v>
      </c>
      <c r="L26" s="248"/>
      <c r="M26" s="248"/>
      <c r="N26" s="248"/>
      <c r="O26" s="248"/>
      <c r="Q26" s="185"/>
      <c r="R26" s="1226" t="s">
        <v>2186</v>
      </c>
      <c r="S26" s="238">
        <f>$I$9</f>
        <v>0</v>
      </c>
      <c r="Y26" s="185"/>
      <c r="Z26" s="1226" t="s">
        <v>2186</v>
      </c>
      <c r="AA26" s="238">
        <f>$I$9</f>
        <v>0</v>
      </c>
      <c r="AG26" s="185"/>
      <c r="AH26" s="1226" t="s">
        <v>2186</v>
      </c>
      <c r="AI26" s="238">
        <f>$I$18</f>
        <v>0</v>
      </c>
      <c r="AO26" s="185"/>
      <c r="AP26" s="1226" t="s">
        <v>2186</v>
      </c>
      <c r="AQ26" s="238">
        <f>$I$18</f>
        <v>0</v>
      </c>
    </row>
    <row r="27" spans="1:47" x14ac:dyDescent="0.2">
      <c r="D27" s="1326"/>
      <c r="E27" s="1327"/>
      <c r="F27" s="1347"/>
      <c r="G27" s="1328"/>
      <c r="H27" s="1329" t="s">
        <v>2174</v>
      </c>
      <c r="I27" s="1325">
        <f>SUM(I22:I26)</f>
        <v>0</v>
      </c>
      <c r="K27" s="1344" t="s">
        <v>2207</v>
      </c>
      <c r="L27" s="485"/>
      <c r="M27" s="485"/>
      <c r="N27" s="485"/>
      <c r="O27" s="485"/>
      <c r="R27" s="1117" t="s">
        <v>2201</v>
      </c>
      <c r="S27" s="2" t="e">
        <f>ROUND(S25/S26,3)</f>
        <v>#DIV/0!</v>
      </c>
      <c r="Z27" s="1117" t="s">
        <v>2229</v>
      </c>
      <c r="AA27" s="2" t="e">
        <f>ROUND(AA25/AA26,4)</f>
        <v>#DIV/0!</v>
      </c>
      <c r="AH27" s="1117" t="s">
        <v>2201</v>
      </c>
      <c r="AI27" s="2" t="e">
        <f>ROUND(AI25/AI26,3)</f>
        <v>#DIV/0!</v>
      </c>
      <c r="AP27" s="1117" t="s">
        <v>2229</v>
      </c>
      <c r="AQ27" s="2" t="e">
        <f>ROUND(AQ25/AQ26,4)</f>
        <v>#DIV/0!</v>
      </c>
    </row>
    <row r="28" spans="1:47" ht="13.5" thickBot="1" x14ac:dyDescent="0.25">
      <c r="D28" s="126"/>
      <c r="E28" s="541"/>
      <c r="F28" s="541"/>
      <c r="G28" s="96"/>
      <c r="H28" s="96"/>
      <c r="I28" s="1096"/>
      <c r="K28" s="1345" t="s">
        <v>2208</v>
      </c>
      <c r="L28" s="238"/>
      <c r="M28" s="238"/>
      <c r="N28" s="238"/>
      <c r="O28" s="238"/>
      <c r="Q28" s="146"/>
      <c r="R28" s="1210" t="s">
        <v>2202</v>
      </c>
      <c r="S28" s="299">
        <f>VLOOKUP($C$15,Table_CoIns_Blanket,2,0)</f>
        <v>0.95</v>
      </c>
      <c r="Y28" s="146"/>
      <c r="Z28" s="1210" t="s">
        <v>2202</v>
      </c>
      <c r="AA28" s="299">
        <f>VLOOKUP($C$15,Table_CoIns_Blanket,2,0)</f>
        <v>0.95</v>
      </c>
      <c r="AG28" s="146"/>
      <c r="AH28" s="1210" t="s">
        <v>2202</v>
      </c>
      <c r="AI28" s="299">
        <f>VLOOKUP($C$15,Table_CoIns_Blanket,2,0)</f>
        <v>0.95</v>
      </c>
      <c r="AO28" s="146"/>
      <c r="AP28" s="1210" t="s">
        <v>2202</v>
      </c>
      <c r="AQ28" s="299">
        <f>VLOOKUP($C$15,Table_CoIns_Blanket,2,0)</f>
        <v>0.95</v>
      </c>
    </row>
    <row r="29" spans="1:47" x14ac:dyDescent="0.2">
      <c r="D29" s="500" t="s">
        <v>2217</v>
      </c>
      <c r="E29" s="508"/>
      <c r="F29" s="508"/>
      <c r="G29" s="508"/>
      <c r="H29" s="508"/>
      <c r="I29" s="509"/>
      <c r="K29" s="1343" t="s">
        <v>2218</v>
      </c>
      <c r="L29" s="485">
        <f>SUM(L24:L28)</f>
        <v>0</v>
      </c>
      <c r="M29" s="485">
        <f>SUM(M24:M28)</f>
        <v>0</v>
      </c>
      <c r="N29" s="485">
        <f>SUM(N24:N28)</f>
        <v>0</v>
      </c>
      <c r="O29" s="485">
        <f>SUM(O24:O28)</f>
        <v>0</v>
      </c>
      <c r="Q29" s="185"/>
      <c r="R29" s="1226" t="s">
        <v>1020</v>
      </c>
      <c r="S29" s="208">
        <f>IF($C$6="PAC",VLOOKUP(B7,Table_PakMods,MATCH($C$10,List_Company,0)+1,FALSE),1)</f>
        <v>1</v>
      </c>
      <c r="Y29" s="185"/>
      <c r="Z29" s="1226" t="s">
        <v>1020</v>
      </c>
      <c r="AA29" s="208">
        <f>IF($C$6="PAC",VLOOKUP(B7,Table_PakMods,MATCH($C$10,List_Company,0)+1,FALSE),1)</f>
        <v>1</v>
      </c>
      <c r="AG29" s="185"/>
      <c r="AH29" s="1226" t="s">
        <v>1020</v>
      </c>
      <c r="AI29" s="208">
        <f>IF($C$6="PAC",VLOOKUP(B7,Table_PakMods,MATCH($C$10,List_Company,0)+1,FALSE),1)</f>
        <v>1</v>
      </c>
      <c r="AO29" s="185"/>
      <c r="AP29" s="1226" t="s">
        <v>1020</v>
      </c>
      <c r="AQ29" s="208">
        <f>IF($C$6="PAC",VLOOKUP(B7,Table_PakMods,MATCH($C$10,List_Company,0)+1,FALSE),1)</f>
        <v>1</v>
      </c>
    </row>
    <row r="30" spans="1:47" ht="13.5" thickBot="1" x14ac:dyDescent="0.25">
      <c r="D30" s="1320" t="s">
        <v>2173</v>
      </c>
      <c r="E30" s="1323" t="s">
        <v>57</v>
      </c>
      <c r="F30" s="1323"/>
      <c r="G30" s="1323" t="s">
        <v>2222</v>
      </c>
      <c r="H30" s="1323" t="s">
        <v>2171</v>
      </c>
      <c r="I30" s="1324" t="s">
        <v>2172</v>
      </c>
      <c r="K30" s="702"/>
      <c r="L30" s="575"/>
      <c r="M30" s="478"/>
      <c r="N30" s="575"/>
      <c r="O30" s="575"/>
      <c r="R30" s="83" t="s">
        <v>2203</v>
      </c>
      <c r="S30" s="60" t="e">
        <f>ROUND(PRODUCT(S27:S29),3)</f>
        <v>#DIV/0!</v>
      </c>
      <c r="Z30" s="83" t="s">
        <v>2230</v>
      </c>
      <c r="AA30" s="60" t="e">
        <f>ROUND(PRODUCT(AA27:AA29),3)</f>
        <v>#DIV/0!</v>
      </c>
      <c r="AH30" s="83" t="s">
        <v>2203</v>
      </c>
      <c r="AI30" s="60" t="e">
        <f>ROUND(PRODUCT(AI27:AI29),3)</f>
        <v>#DIV/0!</v>
      </c>
      <c r="AP30" s="83" t="s">
        <v>2230</v>
      </c>
      <c r="AQ30" s="60" t="e">
        <f>ROUND(PRODUCT(AQ27:AQ29),3)</f>
        <v>#DIV/0!</v>
      </c>
    </row>
    <row r="31" spans="1:47" x14ac:dyDescent="0.2">
      <c r="D31" s="1321">
        <v>1</v>
      </c>
      <c r="E31" s="1349"/>
      <c r="F31" s="1350"/>
      <c r="G31" s="1351"/>
      <c r="H31" s="1352"/>
      <c r="I31" s="1353"/>
      <c r="K31" s="1340" t="s">
        <v>2221</v>
      </c>
      <c r="L31" s="1341"/>
      <c r="M31" s="1342"/>
      <c r="N31" s="1342"/>
      <c r="O31" s="1342"/>
    </row>
    <row r="32" spans="1:47" x14ac:dyDescent="0.2">
      <c r="D32" s="1322">
        <v>2</v>
      </c>
      <c r="E32" s="1354"/>
      <c r="F32" s="1355"/>
      <c r="G32" s="1352"/>
      <c r="H32" s="1352"/>
      <c r="I32" s="1356"/>
      <c r="K32" s="1458" t="s">
        <v>2278</v>
      </c>
      <c r="L32" s="1459"/>
      <c r="M32" s="1460"/>
      <c r="N32" s="1460"/>
      <c r="O32" s="1461"/>
      <c r="Q32" s="60" t="s">
        <v>2209</v>
      </c>
      <c r="S32" s="235" t="s">
        <v>2176</v>
      </c>
      <c r="T32" s="235" t="s">
        <v>2177</v>
      </c>
      <c r="U32" s="235" t="s">
        <v>2178</v>
      </c>
      <c r="V32" s="235" t="s">
        <v>2179</v>
      </c>
      <c r="W32" s="235" t="s">
        <v>2180</v>
      </c>
      <c r="Y32" s="60" t="s">
        <v>2209</v>
      </c>
      <c r="AA32" s="235" t="s">
        <v>2176</v>
      </c>
      <c r="AB32" s="235" t="s">
        <v>2177</v>
      </c>
      <c r="AC32" s="235" t="s">
        <v>2178</v>
      </c>
      <c r="AD32" s="235" t="s">
        <v>2179</v>
      </c>
      <c r="AE32" s="235" t="s">
        <v>2180</v>
      </c>
      <c r="AG32" s="60" t="s">
        <v>2209</v>
      </c>
      <c r="AI32" s="235" t="s">
        <v>2176</v>
      </c>
      <c r="AJ32" s="235" t="s">
        <v>2177</v>
      </c>
      <c r="AK32" s="235" t="s">
        <v>2178</v>
      </c>
      <c r="AL32" s="235" t="s">
        <v>2179</v>
      </c>
      <c r="AM32" s="235" t="s">
        <v>2180</v>
      </c>
      <c r="AO32" s="60" t="s">
        <v>2209</v>
      </c>
      <c r="AQ32" s="235" t="s">
        <v>2176</v>
      </c>
      <c r="AR32" s="235" t="s">
        <v>2177</v>
      </c>
      <c r="AS32" s="235" t="s">
        <v>2178</v>
      </c>
      <c r="AT32" s="235" t="s">
        <v>2179</v>
      </c>
      <c r="AU32" s="235" t="s">
        <v>2180</v>
      </c>
    </row>
    <row r="33" spans="4:47" x14ac:dyDescent="0.2">
      <c r="D33" s="1322">
        <v>3</v>
      </c>
      <c r="E33" s="1354"/>
      <c r="F33" s="1355"/>
      <c r="G33" s="1352"/>
      <c r="H33" s="1352"/>
      <c r="I33" s="1356"/>
      <c r="K33" s="1344" t="s">
        <v>2204</v>
      </c>
      <c r="L33" s="258"/>
      <c r="M33" s="258"/>
      <c r="N33" s="259"/>
      <c r="O33" s="259"/>
      <c r="Q33" s="1227"/>
      <c r="R33" s="1117" t="s">
        <v>2212</v>
      </c>
      <c r="S33" s="478">
        <f>IF(ISNUMBER($I4),$I4/100,0)</f>
        <v>0</v>
      </c>
      <c r="T33" s="478">
        <f>IF(ISNUMBER($I5),$I5/100,0)</f>
        <v>0</v>
      </c>
      <c r="U33" s="478">
        <f>IF(ISNUMBER($I6),$I6/100,0)</f>
        <v>0</v>
      </c>
      <c r="V33" s="478">
        <f>IF(ISNUMBER($I7),$I7/100,0)</f>
        <v>0</v>
      </c>
      <c r="W33" s="478">
        <f>IF(ISNUMBER($I8),$I8/100,0)</f>
        <v>0</v>
      </c>
      <c r="Y33" s="1227"/>
      <c r="Z33" s="1117" t="s">
        <v>2212</v>
      </c>
      <c r="AA33" s="478">
        <f>IF(ISNUMBER($I4),$I4/100,0)</f>
        <v>0</v>
      </c>
      <c r="AB33" s="478">
        <f>IF(ISNUMBER($I5),$I5/100,0)</f>
        <v>0</v>
      </c>
      <c r="AC33" s="478">
        <f>IF(ISNUMBER($I6),$I6/100,0)</f>
        <v>0</v>
      </c>
      <c r="AD33" s="478">
        <f>IF(ISNUMBER($I7),$I7/100,0)</f>
        <v>0</v>
      </c>
      <c r="AE33" s="478">
        <f>IF(ISNUMBER($I8),$I8/100,0)</f>
        <v>0</v>
      </c>
      <c r="AG33" s="1227"/>
      <c r="AH33" s="1117" t="s">
        <v>2212</v>
      </c>
      <c r="AI33" s="478">
        <f>IF(ISNUMBER($I13),$I13/100,0)</f>
        <v>0</v>
      </c>
      <c r="AJ33" s="478">
        <f>IF(ISNUMBER($I14),$I14/100,0)</f>
        <v>0</v>
      </c>
      <c r="AK33" s="478">
        <f>IF(ISNUMBER($I15),$I15/100,0)</f>
        <v>0</v>
      </c>
      <c r="AL33" s="478">
        <f>IF(ISNUMBER($I16),$I16/100,0)</f>
        <v>0</v>
      </c>
      <c r="AM33" s="478">
        <f>IF(ISNUMBER($I17),$I17/100,0)</f>
        <v>0</v>
      </c>
      <c r="AO33" s="1227"/>
      <c r="AP33" s="1117" t="s">
        <v>2212</v>
      </c>
      <c r="AQ33" s="478">
        <f>IF(ISNUMBER($I13),$I13/100,0)</f>
        <v>0</v>
      </c>
      <c r="AR33" s="478">
        <f>IF(ISNUMBER($I14),$I14/100,0)</f>
        <v>0</v>
      </c>
      <c r="AS33" s="478">
        <f>IF(ISNUMBER($I15),$I15/100,0)</f>
        <v>0</v>
      </c>
      <c r="AT33" s="478">
        <f>IF(ISNUMBER($I16),$I16/100,0)</f>
        <v>0</v>
      </c>
      <c r="AU33" s="478">
        <f>IF(ISNUMBER($I17),$I17/100,0)</f>
        <v>0</v>
      </c>
    </row>
    <row r="34" spans="4:47" x14ac:dyDescent="0.2">
      <c r="D34" s="1322">
        <v>4</v>
      </c>
      <c r="E34" s="1354"/>
      <c r="F34" s="1355"/>
      <c r="G34" s="1352"/>
      <c r="H34" s="1352"/>
      <c r="I34" s="1356"/>
      <c r="K34" s="1344" t="s">
        <v>2205</v>
      </c>
      <c r="L34" s="258"/>
      <c r="M34" s="259"/>
      <c r="N34" s="259"/>
      <c r="O34" s="259"/>
      <c r="Q34" s="185"/>
      <c r="R34" s="1226" t="s">
        <v>2210</v>
      </c>
      <c r="S34" s="185" t="e">
        <f>$S$30</f>
        <v>#DIV/0!</v>
      </c>
      <c r="T34" s="185" t="e">
        <f>$S$30</f>
        <v>#DIV/0!</v>
      </c>
      <c r="U34" s="185" t="e">
        <f>$S$30</f>
        <v>#DIV/0!</v>
      </c>
      <c r="V34" s="185" t="e">
        <f>$S$30</f>
        <v>#DIV/0!</v>
      </c>
      <c r="W34" s="185" t="e">
        <f>$S$30</f>
        <v>#DIV/0!</v>
      </c>
      <c r="Y34" s="185"/>
      <c r="Z34" s="1226" t="s">
        <v>2210</v>
      </c>
      <c r="AA34" s="185" t="e">
        <f>$AA$30</f>
        <v>#DIV/0!</v>
      </c>
      <c r="AB34" s="185" t="e">
        <f>$AA$30</f>
        <v>#DIV/0!</v>
      </c>
      <c r="AC34" s="185" t="e">
        <f>$AA$30</f>
        <v>#DIV/0!</v>
      </c>
      <c r="AD34" s="185" t="e">
        <f>$AA$30</f>
        <v>#DIV/0!</v>
      </c>
      <c r="AE34" s="185" t="e">
        <f>$AA$30</f>
        <v>#DIV/0!</v>
      </c>
      <c r="AG34" s="185"/>
      <c r="AH34" s="1226" t="s">
        <v>2210</v>
      </c>
      <c r="AI34" s="185" t="e">
        <f>$AI$30</f>
        <v>#DIV/0!</v>
      </c>
      <c r="AJ34" s="185" t="e">
        <f t="shared" ref="AJ34:AM34" si="5">$AI$30</f>
        <v>#DIV/0!</v>
      </c>
      <c r="AK34" s="185" t="e">
        <f t="shared" si="5"/>
        <v>#DIV/0!</v>
      </c>
      <c r="AL34" s="185" t="e">
        <f t="shared" si="5"/>
        <v>#DIV/0!</v>
      </c>
      <c r="AM34" s="185" t="e">
        <f t="shared" si="5"/>
        <v>#DIV/0!</v>
      </c>
      <c r="AO34" s="185"/>
      <c r="AP34" s="1226" t="s">
        <v>2210</v>
      </c>
      <c r="AQ34" s="455" t="e">
        <f>$AQ$30</f>
        <v>#DIV/0!</v>
      </c>
      <c r="AR34" s="455" t="e">
        <f t="shared" ref="AR34:AU34" si="6">$AQ$30</f>
        <v>#DIV/0!</v>
      </c>
      <c r="AS34" s="455" t="e">
        <f t="shared" si="6"/>
        <v>#DIV/0!</v>
      </c>
      <c r="AT34" s="455" t="e">
        <f t="shared" si="6"/>
        <v>#DIV/0!</v>
      </c>
      <c r="AU34" s="455" t="e">
        <f t="shared" si="6"/>
        <v>#DIV/0!</v>
      </c>
    </row>
    <row r="35" spans="4:47" x14ac:dyDescent="0.2">
      <c r="D35" s="1322">
        <v>5</v>
      </c>
      <c r="E35" s="1354"/>
      <c r="F35" s="1355"/>
      <c r="G35" s="1352"/>
      <c r="H35" s="1352"/>
      <c r="I35" s="1356"/>
      <c r="K35" s="1344" t="s">
        <v>2206</v>
      </c>
      <c r="L35" s="248"/>
      <c r="M35" s="248"/>
      <c r="N35" s="248"/>
      <c r="O35" s="248"/>
      <c r="R35" s="83" t="s">
        <v>2211</v>
      </c>
      <c r="S35" s="248" t="e">
        <f>ROUND(PRODUCT(S33:S34),0)</f>
        <v>#DIV/0!</v>
      </c>
      <c r="T35" s="248" t="e">
        <f>ROUND(PRODUCT(T33:T34),0)</f>
        <v>#DIV/0!</v>
      </c>
      <c r="U35" s="248" t="e">
        <f>ROUND(PRODUCT(U33:U34),0)</f>
        <v>#DIV/0!</v>
      </c>
      <c r="V35" s="248" t="e">
        <f>ROUND(PRODUCT(V33:V34),0)</f>
        <v>#DIV/0!</v>
      </c>
      <c r="W35" s="248" t="e">
        <f>ROUND(PRODUCT(W33:W34),0)</f>
        <v>#DIV/0!</v>
      </c>
      <c r="Z35" s="83" t="s">
        <v>2231</v>
      </c>
      <c r="AA35" s="248" t="e">
        <f>ROUND(PRODUCT(AA33:AA34),0)</f>
        <v>#DIV/0!</v>
      </c>
      <c r="AB35" s="248" t="e">
        <f>ROUND(PRODUCT(AB33:AB34),0)</f>
        <v>#DIV/0!</v>
      </c>
      <c r="AC35" s="248" t="e">
        <f>ROUND(PRODUCT(AC33:AC34),0)</f>
        <v>#DIV/0!</v>
      </c>
      <c r="AD35" s="248" t="e">
        <f>ROUND(PRODUCT(AD33:AD34),0)</f>
        <v>#DIV/0!</v>
      </c>
      <c r="AE35" s="248" t="e">
        <f>ROUND(PRODUCT(AE33:AE34),0)</f>
        <v>#DIV/0!</v>
      </c>
      <c r="AH35" s="83" t="s">
        <v>2211</v>
      </c>
      <c r="AI35" s="248" t="e">
        <f>ROUND(PRODUCT(AI33:AI34),0)</f>
        <v>#DIV/0!</v>
      </c>
      <c r="AJ35" s="248" t="e">
        <f>ROUND(PRODUCT(AJ33:AJ34),0)</f>
        <v>#DIV/0!</v>
      </c>
      <c r="AK35" s="248" t="e">
        <f>ROUND(PRODUCT(AK33:AK34),0)</f>
        <v>#DIV/0!</v>
      </c>
      <c r="AL35" s="248" t="e">
        <f>ROUND(PRODUCT(AL33:AL34),0)</f>
        <v>#DIV/0!</v>
      </c>
      <c r="AM35" s="248" t="e">
        <f>ROUND(PRODUCT(AM33:AM34),0)</f>
        <v>#DIV/0!</v>
      </c>
      <c r="AP35" s="83" t="s">
        <v>2231</v>
      </c>
      <c r="AQ35" s="248" t="e">
        <f>ROUND(PRODUCT(AQ33:AQ34),0)</f>
        <v>#DIV/0!</v>
      </c>
      <c r="AR35" s="248" t="e">
        <f>ROUND(PRODUCT(AR33:AR34),0)</f>
        <v>#DIV/0!</v>
      </c>
      <c r="AS35" s="248" t="e">
        <f>ROUND(PRODUCT(AS33:AS34),0)</f>
        <v>#DIV/0!</v>
      </c>
      <c r="AT35" s="248" t="e">
        <f>ROUND(PRODUCT(AT33:AT34),0)</f>
        <v>#DIV/0!</v>
      </c>
      <c r="AU35" s="248" t="e">
        <f>ROUND(PRODUCT(AU33:AU34),0)</f>
        <v>#DIV/0!</v>
      </c>
    </row>
    <row r="36" spans="4:47" x14ac:dyDescent="0.2">
      <c r="D36" s="1326"/>
      <c r="E36" s="1327"/>
      <c r="F36" s="1347"/>
      <c r="G36" s="1328"/>
      <c r="H36" s="1329" t="s">
        <v>2174</v>
      </c>
      <c r="I36" s="1325">
        <f>SUM(I31:I35)</f>
        <v>0</v>
      </c>
      <c r="K36" s="1344" t="s">
        <v>2207</v>
      </c>
      <c r="L36" s="485"/>
      <c r="M36" s="485"/>
      <c r="N36" s="485"/>
      <c r="O36" s="485"/>
    </row>
    <row r="37" spans="4:47" ht="13.5" thickBot="1" x14ac:dyDescent="0.25">
      <c r="D37" s="126"/>
      <c r="E37" s="541"/>
      <c r="F37" s="541"/>
      <c r="G37" s="96"/>
      <c r="H37" s="96"/>
      <c r="I37" s="1096"/>
      <c r="K37" s="1345" t="s">
        <v>2208</v>
      </c>
      <c r="L37" s="238"/>
      <c r="M37" s="238"/>
      <c r="N37" s="238"/>
      <c r="O37" s="238"/>
    </row>
    <row r="38" spans="4:47" x14ac:dyDescent="0.2">
      <c r="I38" s="139"/>
      <c r="K38" s="1343" t="s">
        <v>2218</v>
      </c>
      <c r="L38" s="485">
        <f>SUM(L33:L37)</f>
        <v>0</v>
      </c>
      <c r="M38" s="485">
        <f>SUM(M33:M37)</f>
        <v>0</v>
      </c>
      <c r="N38" s="485">
        <f>SUM(N33:N37)</f>
        <v>0</v>
      </c>
      <c r="O38" s="485">
        <f>SUM(O33:O37)</f>
        <v>0</v>
      </c>
    </row>
    <row r="39" spans="4:47" x14ac:dyDescent="0.2">
      <c r="K39" s="793"/>
      <c r="L39" s="478"/>
      <c r="M39" s="146"/>
      <c r="N39" s="146"/>
      <c r="O39" s="146"/>
    </row>
    <row r="40" spans="4:47" x14ac:dyDescent="0.2">
      <c r="K40" s="793"/>
      <c r="L40" s="146"/>
      <c r="M40" s="146"/>
      <c r="N40" s="146"/>
      <c r="O40" s="146"/>
    </row>
    <row r="41" spans="4:47" x14ac:dyDescent="0.2">
      <c r="K41" s="146"/>
      <c r="L41" s="478"/>
      <c r="M41" s="146"/>
      <c r="N41" s="146"/>
      <c r="O41" s="146"/>
    </row>
    <row r="42" spans="4:47" x14ac:dyDescent="0.2">
      <c r="J42" s="8"/>
      <c r="K42" s="146"/>
      <c r="L42" s="478"/>
      <c r="M42" s="146"/>
      <c r="N42" s="146"/>
      <c r="O42" s="146"/>
    </row>
    <row r="43" spans="4:47" x14ac:dyDescent="0.2">
      <c r="J43" s="8"/>
      <c r="K43" s="146"/>
      <c r="L43" s="146"/>
      <c r="M43" s="146"/>
      <c r="N43" s="146"/>
      <c r="O43" s="146"/>
    </row>
    <row r="44" spans="4:47" x14ac:dyDescent="0.2">
      <c r="J44" s="8"/>
      <c r="K44" s="146"/>
      <c r="L44" s="146"/>
      <c r="M44" s="146"/>
      <c r="N44" s="146"/>
      <c r="O44" s="146"/>
    </row>
    <row r="45" spans="4:47" ht="13.5" thickBot="1" x14ac:dyDescent="0.25">
      <c r="J45" s="8"/>
      <c r="K45" s="146"/>
      <c r="L45" s="146"/>
      <c r="M45" s="146"/>
      <c r="N45" s="146"/>
      <c r="O45" s="146"/>
    </row>
    <row r="46" spans="4:47" ht="13.5" thickBot="1" x14ac:dyDescent="0.25">
      <c r="J46" s="8"/>
      <c r="K46" s="146"/>
      <c r="L46" s="146"/>
      <c r="M46" s="146"/>
      <c r="N46" s="146"/>
      <c r="O46" s="146"/>
      <c r="Q46" s="1612" t="s">
        <v>2279</v>
      </c>
      <c r="R46" s="1613"/>
      <c r="S46" s="1613"/>
      <c r="T46" s="1613"/>
      <c r="U46" s="1613"/>
      <c r="V46" s="1613"/>
      <c r="W46" s="1614"/>
      <c r="Y46" s="1612" t="s">
        <v>2280</v>
      </c>
      <c r="Z46" s="1613"/>
      <c r="AA46" s="1613"/>
      <c r="AB46" s="1613"/>
      <c r="AC46" s="1613"/>
      <c r="AD46" s="1613"/>
      <c r="AE46" s="1614"/>
      <c r="AG46" s="1609" t="s">
        <v>2286</v>
      </c>
      <c r="AH46" s="1610"/>
      <c r="AI46" s="1610"/>
      <c r="AJ46" s="1610"/>
      <c r="AK46" s="1610"/>
      <c r="AL46" s="1610"/>
      <c r="AM46" s="1611"/>
      <c r="AO46" s="1609" t="s">
        <v>2287</v>
      </c>
      <c r="AP46" s="1610"/>
      <c r="AQ46" s="1610"/>
      <c r="AR46" s="1610"/>
      <c r="AS46" s="1610"/>
      <c r="AT46" s="1610"/>
      <c r="AU46" s="1611"/>
    </row>
    <row r="47" spans="4:47" x14ac:dyDescent="0.2">
      <c r="K47" s="146"/>
      <c r="L47" s="146"/>
      <c r="M47" s="146"/>
      <c r="N47" s="146"/>
      <c r="O47" s="146"/>
      <c r="Q47" s="60" t="s">
        <v>2182</v>
      </c>
      <c r="S47" s="235" t="s">
        <v>2176</v>
      </c>
      <c r="T47" s="235" t="s">
        <v>2177</v>
      </c>
      <c r="U47" s="235" t="s">
        <v>2178</v>
      </c>
      <c r="V47" s="235" t="s">
        <v>2179</v>
      </c>
      <c r="W47" s="235" t="s">
        <v>2180</v>
      </c>
      <c r="Y47" s="60" t="s">
        <v>2182</v>
      </c>
      <c r="AA47" s="235" t="s">
        <v>2176</v>
      </c>
      <c r="AB47" s="235" t="s">
        <v>2177</v>
      </c>
      <c r="AC47" s="235" t="s">
        <v>2178</v>
      </c>
      <c r="AD47" s="235" t="s">
        <v>2179</v>
      </c>
      <c r="AE47" s="235" t="s">
        <v>2180</v>
      </c>
      <c r="AG47" s="60" t="s">
        <v>2182</v>
      </c>
      <c r="AI47" s="235" t="s">
        <v>2176</v>
      </c>
      <c r="AJ47" s="235" t="s">
        <v>2177</v>
      </c>
      <c r="AK47" s="235" t="s">
        <v>2178</v>
      </c>
      <c r="AL47" s="235" t="s">
        <v>2179</v>
      </c>
      <c r="AM47" s="235" t="s">
        <v>2180</v>
      </c>
      <c r="AO47" s="60" t="s">
        <v>2182</v>
      </c>
      <c r="AQ47" s="235" t="s">
        <v>2176</v>
      </c>
      <c r="AR47" s="235" t="s">
        <v>2177</v>
      </c>
      <c r="AS47" s="235" t="s">
        <v>2178</v>
      </c>
      <c r="AT47" s="235" t="s">
        <v>2179</v>
      </c>
      <c r="AU47" s="235" t="s">
        <v>2180</v>
      </c>
    </row>
    <row r="48" spans="4:47" x14ac:dyDescent="0.2">
      <c r="K48" s="146"/>
      <c r="L48" s="146"/>
      <c r="M48" s="146"/>
      <c r="N48" s="146"/>
      <c r="O48" s="146"/>
      <c r="Q48" s="60"/>
      <c r="R48" s="1117" t="s">
        <v>1197</v>
      </c>
      <c r="S48" s="2">
        <f>IF(OR(ISBLANK($C$12),$C$12="No"),0,IF(ISTEXT($E4),VLOOKUP(1,Table_Special_Bldg,2,FALSE)*IF(AND($C$11="SP",$C$12=2),VLOOKUP(2,Table_Special_Bldg,2,0),1),0))</f>
        <v>0</v>
      </c>
      <c r="T48" s="2">
        <f>IF(OR(ISBLANK($C$12),$C$12="No"),0,IF(ISTEXT($E5),VLOOKUP(1,Table_Special_Bldg,2,FALSE)*IF(AND($C$11="SP",$C$12=2),VLOOKUP(2,Table_Special_Bldg,2,0),1),0))</f>
        <v>0</v>
      </c>
      <c r="U48" s="2">
        <f>IF(OR(ISBLANK($C$12),$C$12="No"),0,IF(ISTEXT($E6),VLOOKUP(1,Table_Special_Bldg,2,FALSE)*IF(AND($C$11="SP",$C$12=2),VLOOKUP(2,Table_Special_Bldg,2,0),1),0))</f>
        <v>0</v>
      </c>
      <c r="V48" s="2">
        <f>IF(OR(ISBLANK($C$12),$C$12="No"),0,IF(ISTEXT($E7),VLOOKUP(1,Table_Special_Bldg,2,FALSE)*IF(AND($C$11="SP",$C$12=2),VLOOKUP(2,Table_Special_Bldg,2,0),1),0))</f>
        <v>0</v>
      </c>
      <c r="W48" s="2">
        <f>IF(OR(ISBLANK($C$12),$C$12="No"),0,IF(ISTEXT($E8),VLOOKUP(1,Table_Special_Bldg,2,FALSE)*IF(AND($C$11="SP",$C$12=2),VLOOKUP(2,Table_Special_Bldg,2,0),1),0))</f>
        <v>0</v>
      </c>
      <c r="Y48" s="60"/>
      <c r="Z48" s="1117" t="s">
        <v>2283</v>
      </c>
      <c r="AA48" s="1462">
        <f>IF(OR($G$4=5,$G$4=6),1,2)</f>
        <v>2</v>
      </c>
      <c r="AB48" s="1462">
        <f>IF(OR($G$5=5,$G$5=6),1,2)</f>
        <v>2</v>
      </c>
      <c r="AC48" s="1462">
        <f>IF(OR($G$6=5,$G$6=6),1,2)</f>
        <v>2</v>
      </c>
      <c r="AD48" s="1462">
        <f>IF(OR($G$7=5,$G$7=6),1,2)</f>
        <v>2</v>
      </c>
      <c r="AE48" s="1462">
        <f>IF(OR($G$8=5,$G$8=6),1,2)</f>
        <v>2</v>
      </c>
      <c r="AH48" s="1117" t="s">
        <v>2315</v>
      </c>
      <c r="AI48" s="168" t="str">
        <f>IF(ISTEXT($E13),VLOOKUP($E13,Table_G1_LC,3,0),"NA")</f>
        <v>NA</v>
      </c>
      <c r="AJ48" s="168" t="str">
        <f>IF(ISTEXT($E14),VLOOKUP($E14,Table_G1_LC,3,0),"NA")</f>
        <v>NA</v>
      </c>
      <c r="AK48" s="168" t="str">
        <f>IF(ISTEXT($E15),VLOOKUP($E15,Table_G1_LC,3,0),"NA")</f>
        <v>NA</v>
      </c>
      <c r="AL48" s="168" t="str">
        <f>IF(ISTEXT($E16),VLOOKUP($E16,Table_G1_LC,3,0),"NA")</f>
        <v>NA</v>
      </c>
      <c r="AM48" s="168" t="str">
        <f>IF(ISTEXT($E17),VLOOKUP($E17,Table_G1_LC,3,0),"NA")</f>
        <v>NA</v>
      </c>
      <c r="AO48" s="60"/>
      <c r="AP48" s="1117" t="s">
        <v>2283</v>
      </c>
      <c r="AQ48" s="1462">
        <f>IF(OR($G$13=5,$G$13=6),1,2)</f>
        <v>2</v>
      </c>
      <c r="AR48" s="1462">
        <f>IF(OR($G$14=5,$G$14=6),1,2)</f>
        <v>2</v>
      </c>
      <c r="AS48" s="1462">
        <f>IF(OR($G$15=5,$G$15=6),1,2)</f>
        <v>2</v>
      </c>
      <c r="AT48" s="1462">
        <f>IF(OR($G$16=5,$G$16=6),1,2)</f>
        <v>2</v>
      </c>
      <c r="AU48" s="1462">
        <f>IF(OR($G$17=5,$G$17=6),1,2)</f>
        <v>2</v>
      </c>
    </row>
    <row r="49" spans="10:47" x14ac:dyDescent="0.2">
      <c r="K49" s="146"/>
      <c r="L49" s="146"/>
      <c r="M49" s="146"/>
      <c r="N49" s="146"/>
      <c r="O49" s="146"/>
      <c r="Q49" s="60"/>
      <c r="R49" s="1117" t="s">
        <v>1178</v>
      </c>
      <c r="S49" s="207">
        <v>1</v>
      </c>
      <c r="T49" s="207">
        <v>1</v>
      </c>
      <c r="U49" s="207">
        <v>1</v>
      </c>
      <c r="V49" s="207">
        <v>1</v>
      </c>
      <c r="W49" s="207">
        <v>1</v>
      </c>
      <c r="Y49" s="60"/>
      <c r="Z49" s="1117" t="s">
        <v>1197</v>
      </c>
      <c r="AA49" s="2">
        <f>IF(ISTEXT($E4),HLOOKUP(AA48,Table_BroadLC,IF($E$4&lt;&gt;"1150",2,4),FALSE),0)</f>
        <v>0</v>
      </c>
      <c r="AB49" s="2">
        <f>IF(ISTEXT($E5),HLOOKUP(AB48,Table_BroadLC,IF($E$5&lt;&gt;"1150",2,4),FALSE),0)</f>
        <v>0</v>
      </c>
      <c r="AC49" s="2">
        <f>IF(ISTEXT($E6),HLOOKUP(AC48,Table_BroadLC,IF($E$6&lt;&gt;"1150",2,4),FALSE),0)</f>
        <v>0</v>
      </c>
      <c r="AD49" s="2">
        <f>IF(ISTEXT($E7),HLOOKUP(AD48,Table_BroadLC,IF($E$7&lt;&gt;"1150",2,4),FALSE),0)</f>
        <v>0</v>
      </c>
      <c r="AE49" s="2">
        <f>IF(ISTEXT($E8),HLOOKUP(AE48,Table_BroadLC,IF($E$8&lt;&gt;"1150",2,4),FALSE),0)</f>
        <v>0</v>
      </c>
      <c r="AG49" s="60"/>
      <c r="AH49" s="1117" t="s">
        <v>1198</v>
      </c>
      <c r="AI49" s="2">
        <f>IF(OR(ISBLANK($C$12),$C$12="No"),0,IF(ISTEXT($E13),VLOOKUP(AI48,Table_Special_PP,3,FALSE)*IF(AND($C$11="SP",$C$12=2),VLOOKUP(AI48,Table_Special_PP,4,0),1),0))</f>
        <v>0</v>
      </c>
      <c r="AJ49" s="2">
        <f>IF(OR(ISBLANK($C$12),$C$12="No"),0,IF(ISTEXT($E14),VLOOKUP(AJ48,Table_Special_PP,3,FALSE)*IF(AND($C$11="SP",$C$12=2),VLOOKUP(AJ48,Table_Special_PP,4,0),1),0))</f>
        <v>0</v>
      </c>
      <c r="AK49" s="2">
        <f>IF(OR(ISBLANK($C$12),$C$12="No"),0,IF(ISTEXT($E15),VLOOKUP(AK48,Table_Special_PP,3,FALSE)*IF(AND($C$11="SP",$C$12=2),VLOOKUP(AK48,Table_Special_PP,4,0),1),0))</f>
        <v>0</v>
      </c>
      <c r="AL49" s="2">
        <f>IF(OR(ISBLANK($C$12),$C$12="No"),0,IF(ISTEXT($E16),VLOOKUP(AL48,Table_Special_PP,3,FALSE)*IF(AND($C$11="SP",$C$12=2),VLOOKUP(AL48,Table_Special_PP,4,0),1),0))</f>
        <v>0</v>
      </c>
      <c r="AM49" s="2">
        <f>IF(OR(ISBLANK($C$12),$C$12="No"),0,IF(ISTEXT($E17),VLOOKUP(AM48,Table_Special_PP,3,FALSE)*IF(AND($C$11="SP",$C$12=2),VLOOKUP(AM48,Table_Special_PP,4,0),1),0))</f>
        <v>0</v>
      </c>
      <c r="AO49" s="60"/>
      <c r="AP49" s="1117" t="s">
        <v>1198</v>
      </c>
      <c r="AQ49" s="2">
        <f>IF(ISTEXT($E13),HLOOKUP(AQ48,Table_BroadLC,IF($E$4&lt;&gt;"1150",3,4),FALSE),0)</f>
        <v>0</v>
      </c>
      <c r="AR49" s="2">
        <f>IF(ISTEXT($E14),HLOOKUP(AR48,Table_BroadLC,IF($E$5&lt;&gt;"1150",3,4),FALSE),0)</f>
        <v>0</v>
      </c>
      <c r="AS49" s="2">
        <f>IF(ISTEXT($E15),HLOOKUP(AS48,Table_BroadLC,IF($E$6&lt;&gt;"1150",3,4),FALSE),0)</f>
        <v>0</v>
      </c>
      <c r="AT49" s="2">
        <f>IF(ISTEXT($E16),HLOOKUP(AT48,Table_BroadLC,IF($E$7&lt;&gt;"1150",3,4),FALSE),0)</f>
        <v>0</v>
      </c>
      <c r="AU49" s="2">
        <f>IF(ISTEXT($E17),HLOOKUP(AU48,Table_BroadLC,IF($E$8&lt;&gt;"1150",3,4),FALSE),0)</f>
        <v>0</v>
      </c>
    </row>
    <row r="50" spans="10:47" x14ac:dyDescent="0.2">
      <c r="K50" s="146"/>
      <c r="L50" s="146"/>
      <c r="M50" s="146"/>
      <c r="N50" s="146"/>
      <c r="O50" s="146"/>
      <c r="Q50" s="60"/>
      <c r="R50" s="545" t="s">
        <v>971</v>
      </c>
      <c r="S50" s="207">
        <f>HLOOKUP($C$10,Table_StateRates,6,FALSE)</f>
        <v>1.9</v>
      </c>
      <c r="T50" s="207">
        <f>HLOOKUP($C$10,Table_StateRates,6,FALSE)</f>
        <v>1.9</v>
      </c>
      <c r="U50" s="207">
        <f>HLOOKUP($C$10,Table_StateRates,6,FALSE)</f>
        <v>1.9</v>
      </c>
      <c r="V50" s="207">
        <f>HLOOKUP($C$10,Table_StateRates,6,FALSE)</f>
        <v>1.9</v>
      </c>
      <c r="W50" s="207">
        <f>HLOOKUP($C$10,Table_StateRates,6,FALSE)</f>
        <v>1.9</v>
      </c>
      <c r="Y50" s="60"/>
      <c r="Z50" s="545" t="s">
        <v>971</v>
      </c>
      <c r="AA50" s="207">
        <f>HLOOKUP($C$10,Table_StateRates,6,FALSE)</f>
        <v>1.9</v>
      </c>
      <c r="AB50" s="207">
        <f>HLOOKUP($C$10,Table_StateRates,6,FALSE)</f>
        <v>1.9</v>
      </c>
      <c r="AC50" s="207">
        <f>HLOOKUP($C$10,Table_StateRates,6,FALSE)</f>
        <v>1.9</v>
      </c>
      <c r="AD50" s="207">
        <f>HLOOKUP($C$10,Table_StateRates,6,FALSE)</f>
        <v>1.9</v>
      </c>
      <c r="AE50" s="207">
        <f>HLOOKUP($C$10,Table_StateRates,6,FALSE)</f>
        <v>1.9</v>
      </c>
      <c r="AG50" s="60"/>
      <c r="AH50" s="545" t="s">
        <v>971</v>
      </c>
      <c r="AI50" s="207">
        <f>HLOOKUP($C$10,Table_StateRates,6,FALSE)</f>
        <v>1.9</v>
      </c>
      <c r="AJ50" s="207">
        <f>HLOOKUP($C$10,Table_StateRates,6,FALSE)</f>
        <v>1.9</v>
      </c>
      <c r="AK50" s="207">
        <f>HLOOKUP($C$10,Table_StateRates,6,FALSE)</f>
        <v>1.9</v>
      </c>
      <c r="AL50" s="207">
        <f>HLOOKUP($C$10,Table_StateRates,6,FALSE)</f>
        <v>1.9</v>
      </c>
      <c r="AM50" s="207">
        <f>HLOOKUP($C$10,Table_StateRates,6,FALSE)</f>
        <v>1.9</v>
      </c>
      <c r="AO50" s="60"/>
      <c r="AP50" s="545" t="s">
        <v>971</v>
      </c>
      <c r="AQ50" s="207">
        <f>HLOOKUP($C$10,Table_StateRates,6,FALSE)</f>
        <v>1.9</v>
      </c>
      <c r="AR50" s="207">
        <f>HLOOKUP($C$10,Table_StateRates,6,FALSE)</f>
        <v>1.9</v>
      </c>
      <c r="AS50" s="207">
        <f>HLOOKUP($C$10,Table_StateRates,6,FALSE)</f>
        <v>1.9</v>
      </c>
      <c r="AT50" s="207">
        <f>HLOOKUP($C$10,Table_StateRates,6,FALSE)</f>
        <v>1.9</v>
      </c>
      <c r="AU50" s="207">
        <f>HLOOKUP($C$10,Table_StateRates,6,FALSE)</f>
        <v>1.9</v>
      </c>
    </row>
    <row r="51" spans="10:47" x14ac:dyDescent="0.2">
      <c r="J51" s="8"/>
      <c r="K51" s="146"/>
      <c r="L51" s="146"/>
      <c r="M51" s="146"/>
      <c r="N51" s="146"/>
      <c r="O51" s="146"/>
      <c r="Q51" s="60"/>
      <c r="R51" s="1210" t="s">
        <v>1018</v>
      </c>
      <c r="S51" s="207">
        <f>IF($B$16=250,DF_250Deductible,$C$16)</f>
        <v>1</v>
      </c>
      <c r="T51" s="207">
        <f>IF($B$16=250,DF_250Deductible,$C$16)</f>
        <v>1</v>
      </c>
      <c r="U51" s="207">
        <f>IF($B$16=250,DF_250Deductible,$C$16)</f>
        <v>1</v>
      </c>
      <c r="V51" s="207">
        <f>IF($B$16=250,DF_250Deductible,$C$16)</f>
        <v>1</v>
      </c>
      <c r="W51" s="207">
        <f>IF($B$16=250,DF_250Deductible,$C$16)</f>
        <v>1</v>
      </c>
      <c r="Y51" s="60"/>
      <c r="Z51" s="1210" t="s">
        <v>1018</v>
      </c>
      <c r="AA51" s="207">
        <f>IF($B$16=250,DF_250Deductible,$C$16)</f>
        <v>1</v>
      </c>
      <c r="AB51" s="207">
        <f>IF($B$16=250,DF_250Deductible,$C$16)</f>
        <v>1</v>
      </c>
      <c r="AC51" s="207">
        <f>IF($B$16=250,DF_250Deductible,$C$16)</f>
        <v>1</v>
      </c>
      <c r="AD51" s="207">
        <f>IF($B$16=250,DF_250Deductible,$C$16)</f>
        <v>1</v>
      </c>
      <c r="AE51" s="207">
        <f>IF($B$16=250,DF_250Deductible,$C$16)</f>
        <v>1</v>
      </c>
      <c r="AG51" s="60"/>
      <c r="AH51" s="1210" t="s">
        <v>1018</v>
      </c>
      <c r="AI51" s="207">
        <f>IF($B$18=250,DF_250Deductible,$C$18)</f>
        <v>1</v>
      </c>
      <c r="AJ51" s="207">
        <f>IF($B$18=250,DF_250Deductible,$C$18)</f>
        <v>1</v>
      </c>
      <c r="AK51" s="207">
        <f>IF($B$18=250,DF_250Deductible,$C$18)</f>
        <v>1</v>
      </c>
      <c r="AL51" s="207">
        <f>IF($B$18=250,DF_250Deductible,$C$18)</f>
        <v>1</v>
      </c>
      <c r="AM51" s="207">
        <f>IF($B$18=250,DF_250Deductible,$C$18)</f>
        <v>1</v>
      </c>
      <c r="AO51" s="60"/>
      <c r="AP51" s="1210" t="s">
        <v>1018</v>
      </c>
      <c r="AQ51" s="207">
        <f>IF($B$18=250,DF_250Deductible,$C$18)</f>
        <v>1</v>
      </c>
      <c r="AR51" s="207">
        <f>IF($B$18=250,DF_250Deductible,$C$18)</f>
        <v>1</v>
      </c>
      <c r="AS51" s="207">
        <f>IF($B$18=250,DF_250Deductible,$C$18)</f>
        <v>1</v>
      </c>
      <c r="AT51" s="207">
        <f>IF($B$18=250,DF_250Deductible,$C$18)</f>
        <v>1</v>
      </c>
      <c r="AU51" s="207">
        <f>IF($B$18=250,DF_250Deductible,$C$18)</f>
        <v>1</v>
      </c>
    </row>
    <row r="52" spans="10:47" x14ac:dyDescent="0.2">
      <c r="J52" s="8"/>
      <c r="K52" s="146"/>
      <c r="L52" s="146"/>
      <c r="M52" s="146"/>
      <c r="N52" s="146"/>
      <c r="O52" s="146"/>
      <c r="Q52" s="185"/>
      <c r="R52" s="1226" t="s">
        <v>1019</v>
      </c>
      <c r="S52" s="208">
        <f>HLOOKUP($C$10,Table_StateRates,5,FALSE)</f>
        <v>1.38</v>
      </c>
      <c r="T52" s="208">
        <f>HLOOKUP($C$10,Table_StateRates,5,FALSE)</f>
        <v>1.38</v>
      </c>
      <c r="U52" s="208">
        <f>HLOOKUP($C$10,Table_StateRates,5,FALSE)</f>
        <v>1.38</v>
      </c>
      <c r="V52" s="208">
        <f>HLOOKUP($C$10,Table_StateRates,5,FALSE)</f>
        <v>1.38</v>
      </c>
      <c r="W52" s="208">
        <f>HLOOKUP($C$10,Table_StateRates,5,FALSE)</f>
        <v>1.38</v>
      </c>
      <c r="Y52" s="185"/>
      <c r="Z52" s="1226" t="s">
        <v>1019</v>
      </c>
      <c r="AA52" s="208">
        <f>HLOOKUP($C$10,Table_StateRates,5,FALSE)</f>
        <v>1.38</v>
      </c>
      <c r="AB52" s="208">
        <f>HLOOKUP($C$10,Table_StateRates,5,FALSE)</f>
        <v>1.38</v>
      </c>
      <c r="AC52" s="208">
        <f>HLOOKUP($C$10,Table_StateRates,5,FALSE)</f>
        <v>1.38</v>
      </c>
      <c r="AD52" s="208">
        <f>HLOOKUP($C$10,Table_StateRates,5,FALSE)</f>
        <v>1.38</v>
      </c>
      <c r="AE52" s="208">
        <f>HLOOKUP($C$10,Table_StateRates,5,FALSE)</f>
        <v>1.38</v>
      </c>
      <c r="AG52" s="185"/>
      <c r="AH52" s="1226" t="s">
        <v>1019</v>
      </c>
      <c r="AI52" s="208">
        <f>HLOOKUP($C$10,Table_StateRates,5,FALSE)</f>
        <v>1.38</v>
      </c>
      <c r="AJ52" s="208">
        <f>HLOOKUP($C$10,Table_StateRates,5,FALSE)</f>
        <v>1.38</v>
      </c>
      <c r="AK52" s="208">
        <f>HLOOKUP($C$10,Table_StateRates,5,FALSE)</f>
        <v>1.38</v>
      </c>
      <c r="AL52" s="208">
        <f>HLOOKUP($C$10,Table_StateRates,5,FALSE)</f>
        <v>1.38</v>
      </c>
      <c r="AM52" s="208">
        <f>HLOOKUP($C$10,Table_StateRates,5,FALSE)</f>
        <v>1.38</v>
      </c>
      <c r="AO52" s="185"/>
      <c r="AP52" s="1226" t="s">
        <v>1019</v>
      </c>
      <c r="AQ52" s="208">
        <f>HLOOKUP($C$10,Table_StateRates,5,FALSE)</f>
        <v>1.38</v>
      </c>
      <c r="AR52" s="208">
        <f>HLOOKUP($C$10,Table_StateRates,5,FALSE)</f>
        <v>1.38</v>
      </c>
      <c r="AS52" s="208">
        <f>HLOOKUP($C$10,Table_StateRates,5,FALSE)</f>
        <v>1.38</v>
      </c>
      <c r="AT52" s="208">
        <f>HLOOKUP($C$10,Table_StateRates,5,FALSE)</f>
        <v>1.38</v>
      </c>
      <c r="AU52" s="208">
        <f>HLOOKUP($C$10,Table_StateRates,5,FALSE)</f>
        <v>1.38</v>
      </c>
    </row>
    <row r="53" spans="10:47" x14ac:dyDescent="0.2">
      <c r="J53" s="8"/>
      <c r="K53" s="146"/>
      <c r="L53" s="146"/>
      <c r="M53" s="146"/>
      <c r="N53" s="146"/>
      <c r="O53" s="146"/>
      <c r="Q53" s="60"/>
      <c r="R53" s="83" t="s">
        <v>2281</v>
      </c>
      <c r="S53" s="1315">
        <f>ROUND(PRODUCT(S48:S52),3)</f>
        <v>0</v>
      </c>
      <c r="T53" s="1315">
        <f>ROUND(PRODUCT(T48:T52),3)</f>
        <v>0</v>
      </c>
      <c r="U53" s="1315">
        <f>ROUND(PRODUCT(U48:U52),3)</f>
        <v>0</v>
      </c>
      <c r="V53" s="1315">
        <f>ROUND(PRODUCT(V48:V52),3)</f>
        <v>0</v>
      </c>
      <c r="W53" s="1315">
        <f>ROUND(PRODUCT(W48:W52),3)</f>
        <v>0</v>
      </c>
      <c r="Y53" s="60"/>
      <c r="Z53" s="83" t="s">
        <v>2282</v>
      </c>
      <c r="AA53" s="1315">
        <f>ROUND(PRODUCT(AA49:AA52),3)</f>
        <v>0</v>
      </c>
      <c r="AB53" s="1315">
        <f>ROUND(PRODUCT(AB49:AB52),3)</f>
        <v>0</v>
      </c>
      <c r="AC53" s="1315">
        <f>ROUND(PRODUCT(AC49:AC52),3)</f>
        <v>0</v>
      </c>
      <c r="AD53" s="1315">
        <f>ROUND(PRODUCT(AD49:AD52),3)</f>
        <v>0</v>
      </c>
      <c r="AE53" s="1315">
        <f>ROUND(PRODUCT(AE49:AE52),3)</f>
        <v>0</v>
      </c>
      <c r="AG53" s="60"/>
      <c r="AH53" s="83" t="s">
        <v>2281</v>
      </c>
      <c r="AI53" s="1315">
        <f>ROUND(PRODUCT(AI49:AI52),3)</f>
        <v>0</v>
      </c>
      <c r="AJ53" s="1315">
        <f>ROUND(PRODUCT(AJ49:AJ52),3)</f>
        <v>0</v>
      </c>
      <c r="AK53" s="1315">
        <f>ROUND(PRODUCT(AK49:AK52),3)</f>
        <v>0</v>
      </c>
      <c r="AL53" s="1315">
        <f>ROUND(PRODUCT(AL49:AL52),3)</f>
        <v>0</v>
      </c>
      <c r="AM53" s="1315">
        <f>ROUND(PRODUCT(AM49:AM52),3)</f>
        <v>0</v>
      </c>
      <c r="AO53" s="60"/>
      <c r="AP53" s="83" t="s">
        <v>2282</v>
      </c>
      <c r="AQ53" s="1315">
        <f>ROUND(PRODUCT(AQ49:AQ52),3)</f>
        <v>0</v>
      </c>
      <c r="AR53" s="1315">
        <f>ROUND(PRODUCT(AR49:AR52),3)</f>
        <v>0</v>
      </c>
      <c r="AS53" s="1315">
        <f>ROUND(PRODUCT(AS49:AS52),3)</f>
        <v>0</v>
      </c>
      <c r="AT53" s="1315">
        <f>ROUND(PRODUCT(AT49:AT52),3)</f>
        <v>0</v>
      </c>
      <c r="AU53" s="1315">
        <f>ROUND(PRODUCT(AU49:AU52),3)</f>
        <v>0</v>
      </c>
    </row>
    <row r="54" spans="10:47" x14ac:dyDescent="0.2">
      <c r="J54" s="8"/>
      <c r="K54" s="146"/>
      <c r="L54" s="146"/>
      <c r="M54" s="146"/>
      <c r="N54" s="146"/>
      <c r="O54" s="146"/>
      <c r="Q54" s="60"/>
      <c r="R54" s="83"/>
      <c r="S54" s="1312"/>
      <c r="T54" s="1312"/>
      <c r="U54" s="1312"/>
      <c r="V54" s="1312"/>
      <c r="W54" s="1312"/>
      <c r="AG54" s="60"/>
      <c r="AH54" s="83"/>
      <c r="AI54" s="1312"/>
      <c r="AJ54" s="1312"/>
      <c r="AK54" s="1312"/>
      <c r="AL54" s="1312"/>
      <c r="AM54" s="1312"/>
    </row>
    <row r="55" spans="10:47" x14ac:dyDescent="0.2">
      <c r="J55" s="8"/>
      <c r="K55" s="146"/>
      <c r="L55" s="146"/>
      <c r="M55" s="146"/>
      <c r="N55" s="146"/>
      <c r="O55" s="146"/>
      <c r="Q55" s="60" t="s">
        <v>2183</v>
      </c>
      <c r="R55" s="83"/>
      <c r="S55" s="1312"/>
      <c r="T55" s="1312"/>
      <c r="U55" s="1312"/>
      <c r="V55" s="1312"/>
      <c r="W55" s="1312"/>
      <c r="Y55" s="60" t="s">
        <v>2183</v>
      </c>
      <c r="Z55" s="83"/>
      <c r="AA55" s="1312"/>
      <c r="AB55" s="1312"/>
      <c r="AC55" s="1312"/>
      <c r="AD55" s="1312"/>
      <c r="AE55" s="1312"/>
      <c r="AG55" s="60" t="s">
        <v>2183</v>
      </c>
      <c r="AH55" s="83"/>
      <c r="AI55" s="1312"/>
      <c r="AJ55" s="1312"/>
      <c r="AK55" s="1312"/>
      <c r="AL55" s="1312"/>
      <c r="AM55" s="1312"/>
      <c r="AO55" s="60" t="s">
        <v>2183</v>
      </c>
      <c r="AP55" s="83"/>
      <c r="AQ55" s="1312"/>
      <c r="AR55" s="1312"/>
      <c r="AS55" s="1312"/>
      <c r="AT55" s="1312"/>
      <c r="AU55" s="1312"/>
    </row>
    <row r="56" spans="10:47" x14ac:dyDescent="0.2">
      <c r="J56" s="8"/>
      <c r="K56" s="146"/>
      <c r="L56" s="146"/>
      <c r="M56" s="146"/>
      <c r="N56" s="146"/>
      <c r="O56" s="146"/>
      <c r="R56" s="1117" t="s">
        <v>2184</v>
      </c>
      <c r="S56" s="478">
        <f>IF(ISNUMBER($I4),$I4,0)</f>
        <v>0</v>
      </c>
      <c r="T56" s="478">
        <f>IF(ISNUMBER($I5),$I5,0)</f>
        <v>0</v>
      </c>
      <c r="U56" s="478">
        <f>IF(ISNUMBER($I6),$I6,0)</f>
        <v>0</v>
      </c>
      <c r="V56" s="478">
        <f>IF(ISNUMBER($I7),$I7,0)</f>
        <v>0</v>
      </c>
      <c r="W56" s="478">
        <f>IF(ISNUMBER($I8),$I8,0)</f>
        <v>0</v>
      </c>
      <c r="Z56" s="1117" t="s">
        <v>2184</v>
      </c>
      <c r="AA56" s="478">
        <f>IF(ISNUMBER($I$4),$I$4,0)</f>
        <v>0</v>
      </c>
      <c r="AB56" s="478">
        <f>IF(ISNUMBER($I$5),$I$5,0)</f>
        <v>0</v>
      </c>
      <c r="AC56" s="478">
        <f>IF(ISNUMBER($I$6),$I$6,0)</f>
        <v>0</v>
      </c>
      <c r="AD56" s="478">
        <f>IF(ISNUMBER($I$7),$I$7,0)</f>
        <v>0</v>
      </c>
      <c r="AE56" s="478">
        <f>IF(ISNUMBER($I$8),$I$8,0)</f>
        <v>0</v>
      </c>
      <c r="AH56" s="1117" t="s">
        <v>2184</v>
      </c>
      <c r="AI56" s="478">
        <f>IF(ISNUMBER($I13),$I13,0)</f>
        <v>0</v>
      </c>
      <c r="AJ56" s="478">
        <f>IF(ISNUMBER($I14),$I14,0)</f>
        <v>0</v>
      </c>
      <c r="AK56" s="478">
        <f>IF(ISNUMBER($I15),$I15,0)</f>
        <v>0</v>
      </c>
      <c r="AL56" s="478">
        <f>IF(ISNUMBER($I16),$I16,0)</f>
        <v>0</v>
      </c>
      <c r="AM56" s="478">
        <f>IF(ISNUMBER($I17),$I17,0)</f>
        <v>0</v>
      </c>
      <c r="AP56" s="1117" t="s">
        <v>2184</v>
      </c>
      <c r="AQ56" s="478">
        <f>IF(ISNUMBER($I$13),$I$13,0)</f>
        <v>0</v>
      </c>
      <c r="AR56" s="478">
        <f>IF(ISNUMBER($I$14),$I$14,0)</f>
        <v>0</v>
      </c>
      <c r="AS56" s="478">
        <f>IF(ISNUMBER($I$15),$I$15,0)</f>
        <v>0</v>
      </c>
      <c r="AT56" s="478">
        <f>IF(ISNUMBER($I$16),$I$16,0)</f>
        <v>0</v>
      </c>
      <c r="AU56" s="478">
        <f>IF(ISNUMBER($I$17),$I$17,0)</f>
        <v>0</v>
      </c>
    </row>
    <row r="57" spans="10:47" x14ac:dyDescent="0.2">
      <c r="J57" s="8"/>
      <c r="K57" s="146"/>
      <c r="L57" s="146"/>
      <c r="M57" s="146"/>
      <c r="N57" s="146"/>
      <c r="O57" s="146"/>
      <c r="Q57" s="185"/>
      <c r="R57" s="1226" t="s">
        <v>2185</v>
      </c>
      <c r="S57" s="238">
        <f>$I$9</f>
        <v>0</v>
      </c>
      <c r="T57" s="238">
        <f>$I$9</f>
        <v>0</v>
      </c>
      <c r="U57" s="238">
        <f>$I$9</f>
        <v>0</v>
      </c>
      <c r="V57" s="238">
        <f>$I$9</f>
        <v>0</v>
      </c>
      <c r="W57" s="238">
        <f>$I$9</f>
        <v>0</v>
      </c>
      <c r="Y57" s="185"/>
      <c r="Z57" s="1226" t="s">
        <v>2185</v>
      </c>
      <c r="AA57" s="238">
        <f>$I$9</f>
        <v>0</v>
      </c>
      <c r="AB57" s="238">
        <f t="shared" ref="AB57:AE57" si="7">$I$9</f>
        <v>0</v>
      </c>
      <c r="AC57" s="238">
        <f t="shared" si="7"/>
        <v>0</v>
      </c>
      <c r="AD57" s="238">
        <f t="shared" si="7"/>
        <v>0</v>
      </c>
      <c r="AE57" s="238">
        <f t="shared" si="7"/>
        <v>0</v>
      </c>
      <c r="AG57" s="185"/>
      <c r="AH57" s="1226" t="s">
        <v>2185</v>
      </c>
      <c r="AI57" s="238">
        <f>$I$18</f>
        <v>0</v>
      </c>
      <c r="AJ57" s="238">
        <f t="shared" ref="AJ57:AM57" si="8">$I$18</f>
        <v>0</v>
      </c>
      <c r="AK57" s="238">
        <f t="shared" si="8"/>
        <v>0</v>
      </c>
      <c r="AL57" s="238">
        <f t="shared" si="8"/>
        <v>0</v>
      </c>
      <c r="AM57" s="238">
        <f t="shared" si="8"/>
        <v>0</v>
      </c>
      <c r="AO57" s="185"/>
      <c r="AP57" s="1226" t="s">
        <v>2185</v>
      </c>
      <c r="AQ57" s="238">
        <f>$I$18</f>
        <v>0</v>
      </c>
      <c r="AR57" s="238">
        <f t="shared" ref="AR57:AU57" si="9">$I$18</f>
        <v>0</v>
      </c>
      <c r="AS57" s="238">
        <f t="shared" si="9"/>
        <v>0</v>
      </c>
      <c r="AT57" s="238">
        <f t="shared" si="9"/>
        <v>0</v>
      </c>
      <c r="AU57" s="238">
        <f t="shared" si="9"/>
        <v>0</v>
      </c>
    </row>
    <row r="58" spans="10:47" x14ac:dyDescent="0.2">
      <c r="J58" s="8"/>
      <c r="K58" s="146"/>
      <c r="L58" s="146"/>
      <c r="M58" s="146"/>
      <c r="N58" s="146"/>
      <c r="O58" s="146"/>
      <c r="Q58" s="146"/>
      <c r="R58" s="301" t="s">
        <v>2187</v>
      </c>
      <c r="S58" s="1313" t="e">
        <f>ROUND(S56/S57,2)</f>
        <v>#DIV/0!</v>
      </c>
      <c r="T58" s="1313" t="e">
        <f>ROUND(T56/T57,2)</f>
        <v>#DIV/0!</v>
      </c>
      <c r="U58" s="1313" t="e">
        <f>ROUND(U56/U57,2)</f>
        <v>#DIV/0!</v>
      </c>
      <c r="V58" s="1313" t="e">
        <f>ROUND(V56/V57,2)</f>
        <v>#DIV/0!</v>
      </c>
      <c r="W58" s="1313" t="e">
        <f>ROUND(W56/W57,2)</f>
        <v>#DIV/0!</v>
      </c>
      <c r="Y58" s="146"/>
      <c r="Z58" s="301" t="s">
        <v>2187</v>
      </c>
      <c r="AA58" s="1313" t="e">
        <f>ROUND(AA56/AA57,2)</f>
        <v>#DIV/0!</v>
      </c>
      <c r="AB58" s="1313" t="e">
        <f>ROUND(AB56/AB57,2)</f>
        <v>#DIV/0!</v>
      </c>
      <c r="AC58" s="1313" t="e">
        <f>ROUND(AC56/AC57,2)</f>
        <v>#DIV/0!</v>
      </c>
      <c r="AD58" s="1313" t="e">
        <f>ROUND(AD56/AD57,2)</f>
        <v>#DIV/0!</v>
      </c>
      <c r="AE58" s="1313" t="e">
        <f>ROUND(AE56/AE57,2)</f>
        <v>#DIV/0!</v>
      </c>
      <c r="AG58" s="146"/>
      <c r="AH58" s="301" t="s">
        <v>2187</v>
      </c>
      <c r="AI58" s="1313" t="e">
        <f>ROUND(AI56/AI57,2)</f>
        <v>#DIV/0!</v>
      </c>
      <c r="AJ58" s="1313" t="e">
        <f>ROUND(AJ56/AJ57,2)</f>
        <v>#DIV/0!</v>
      </c>
      <c r="AK58" s="1313" t="e">
        <f>ROUND(AK56/AK57,2)</f>
        <v>#DIV/0!</v>
      </c>
      <c r="AL58" s="1313" t="e">
        <f>ROUND(AL56/AL57,2)</f>
        <v>#DIV/0!</v>
      </c>
      <c r="AM58" s="1313" t="e">
        <f>ROUND(AM56/AM57,2)</f>
        <v>#DIV/0!</v>
      </c>
      <c r="AO58" s="146"/>
      <c r="AP58" s="301" t="s">
        <v>2187</v>
      </c>
      <c r="AQ58" s="1313" t="e">
        <f>ROUND(AQ56/AQ57,2)</f>
        <v>#DIV/0!</v>
      </c>
      <c r="AR58" s="1313" t="e">
        <f>ROUND(AR56/AR57,2)</f>
        <v>#DIV/0!</v>
      </c>
      <c r="AS58" s="1313" t="e">
        <f>ROUND(AS56/AS57,2)</f>
        <v>#DIV/0!</v>
      </c>
      <c r="AT58" s="1313" t="e">
        <f>ROUND(AT56/AT57,2)</f>
        <v>#DIV/0!</v>
      </c>
      <c r="AU58" s="1313" t="e">
        <f>ROUND(AU56/AU57,2)</f>
        <v>#DIV/0!</v>
      </c>
    </row>
    <row r="59" spans="10:47" x14ac:dyDescent="0.2">
      <c r="J59" s="146"/>
      <c r="K59" s="146"/>
      <c r="L59" s="146"/>
      <c r="M59" s="146"/>
      <c r="N59" s="146"/>
      <c r="O59" s="146"/>
      <c r="Q59" s="185"/>
      <c r="R59" s="1226" t="s">
        <v>2188</v>
      </c>
      <c r="S59" s="238">
        <f>PRODUCT(0.9,$I$9)</f>
        <v>0</v>
      </c>
      <c r="T59" s="238">
        <f>PRODUCT(0.9,$I$9)</f>
        <v>0</v>
      </c>
      <c r="U59" s="238">
        <f>PRODUCT(0.9,$I$9)</f>
        <v>0</v>
      </c>
      <c r="V59" s="238">
        <f>PRODUCT(0.9,$I$9)</f>
        <v>0</v>
      </c>
      <c r="W59" s="238">
        <f>PRODUCT(0.9,$I$9)</f>
        <v>0</v>
      </c>
      <c r="Y59" s="185"/>
      <c r="Z59" s="1226" t="s">
        <v>2188</v>
      </c>
      <c r="AA59" s="238">
        <f>PRODUCT(0.9,$I$9)</f>
        <v>0</v>
      </c>
      <c r="AB59" s="238">
        <f>PRODUCT(0.9,$I$9)</f>
        <v>0</v>
      </c>
      <c r="AC59" s="238">
        <f>PRODUCT(0.9,$I$9)</f>
        <v>0</v>
      </c>
      <c r="AD59" s="238">
        <f>PRODUCT(0.9,$I$9)</f>
        <v>0</v>
      </c>
      <c r="AE59" s="238">
        <f>PRODUCT(0.9,$I$9)</f>
        <v>0</v>
      </c>
      <c r="AG59" s="185"/>
      <c r="AH59" s="1226" t="s">
        <v>2188</v>
      </c>
      <c r="AI59" s="238">
        <f>PRODUCT(0.9,$I$18)</f>
        <v>0</v>
      </c>
      <c r="AJ59" s="238">
        <f>PRODUCT(0.9,$I$18)</f>
        <v>0</v>
      </c>
      <c r="AK59" s="238">
        <f>PRODUCT(0.9,$I$18)</f>
        <v>0</v>
      </c>
      <c r="AL59" s="238">
        <f>PRODUCT(0.9,$I$18)</f>
        <v>0</v>
      </c>
      <c r="AM59" s="238">
        <f>PRODUCT(0.9,$I$18)</f>
        <v>0</v>
      </c>
      <c r="AO59" s="185"/>
      <c r="AP59" s="1226" t="s">
        <v>2188</v>
      </c>
      <c r="AQ59" s="238">
        <f>PRODUCT(0.9,$I$18)</f>
        <v>0</v>
      </c>
      <c r="AR59" s="238">
        <f>PRODUCT(0.9,$I$18)</f>
        <v>0</v>
      </c>
      <c r="AS59" s="238">
        <f>PRODUCT(0.9,$I$18)</f>
        <v>0</v>
      </c>
      <c r="AT59" s="238">
        <f>PRODUCT(0.9,$I$18)</f>
        <v>0</v>
      </c>
      <c r="AU59" s="238">
        <f>PRODUCT(0.9,$I$18)</f>
        <v>0</v>
      </c>
    </row>
    <row r="60" spans="10:47" x14ac:dyDescent="0.2">
      <c r="K60" s="146"/>
      <c r="L60" s="146"/>
      <c r="M60" s="146"/>
      <c r="N60" s="146"/>
      <c r="O60" s="146"/>
      <c r="R60" s="83" t="s">
        <v>2189</v>
      </c>
      <c r="S60" s="248" t="e">
        <f>PRODUCT(S58:S59)</f>
        <v>#DIV/0!</v>
      </c>
      <c r="T60" s="248" t="e">
        <f>PRODUCT(T58:T59)</f>
        <v>#DIV/0!</v>
      </c>
      <c r="U60" s="248" t="e">
        <f>PRODUCT(U58:U59)</f>
        <v>#DIV/0!</v>
      </c>
      <c r="V60" s="248" t="e">
        <f>PRODUCT(V58:V59)</f>
        <v>#DIV/0!</v>
      </c>
      <c r="W60" s="248" t="e">
        <f>PRODUCT(W58:W59)</f>
        <v>#DIV/0!</v>
      </c>
      <c r="Z60" s="83" t="s">
        <v>2189</v>
      </c>
      <c r="AA60" s="248" t="e">
        <f>PRODUCT(AA58:AA59)</f>
        <v>#DIV/0!</v>
      </c>
      <c r="AB60" s="248" t="e">
        <f>PRODUCT(AB58:AB59)</f>
        <v>#DIV/0!</v>
      </c>
      <c r="AC60" s="248" t="e">
        <f>PRODUCT(AC58:AC59)</f>
        <v>#DIV/0!</v>
      </c>
      <c r="AD60" s="248" t="e">
        <f>PRODUCT(AD58:AD59)</f>
        <v>#DIV/0!</v>
      </c>
      <c r="AE60" s="248" t="e">
        <f>PRODUCT(AE58:AE59)</f>
        <v>#DIV/0!</v>
      </c>
      <c r="AH60" s="83" t="s">
        <v>2189</v>
      </c>
      <c r="AI60" s="248" t="e">
        <f>PRODUCT(AI58:AI59)</f>
        <v>#DIV/0!</v>
      </c>
      <c r="AJ60" s="248" t="e">
        <f>PRODUCT(AJ58:AJ59)</f>
        <v>#DIV/0!</v>
      </c>
      <c r="AK60" s="248" t="e">
        <f>PRODUCT(AK58:AK59)</f>
        <v>#DIV/0!</v>
      </c>
      <c r="AL60" s="248" t="e">
        <f>PRODUCT(AL58:AL59)</f>
        <v>#DIV/0!</v>
      </c>
      <c r="AM60" s="248" t="e">
        <f>PRODUCT(AM58:AM59)</f>
        <v>#DIV/0!</v>
      </c>
      <c r="AP60" s="83" t="s">
        <v>2189</v>
      </c>
      <c r="AQ60" s="248" t="e">
        <f>PRODUCT(AQ58:AQ59)</f>
        <v>#DIV/0!</v>
      </c>
      <c r="AR60" s="248" t="e">
        <f>PRODUCT(AR58:AR59)</f>
        <v>#DIV/0!</v>
      </c>
      <c r="AS60" s="248" t="e">
        <f>PRODUCT(AS58:AS59)</f>
        <v>#DIV/0!</v>
      </c>
      <c r="AT60" s="248" t="e">
        <f>PRODUCT(AT58:AT59)</f>
        <v>#DIV/0!</v>
      </c>
      <c r="AU60" s="248" t="e">
        <f>PRODUCT(AU58:AU59)</f>
        <v>#DIV/0!</v>
      </c>
    </row>
    <row r="61" spans="10:47" x14ac:dyDescent="0.2">
      <c r="K61" s="146"/>
      <c r="L61" s="146"/>
      <c r="M61" s="146"/>
      <c r="N61" s="146"/>
      <c r="O61" s="146"/>
      <c r="Q61" s="1332"/>
      <c r="R61" s="1333" t="s">
        <v>2193</v>
      </c>
      <c r="S61" s="1334" t="e">
        <f>IF(S60=0,"N/A",IF(ISNA(MATCH(S60,List_LOI_Bldg,0)),VLOOKUP(S60,List_LOI_Bldg,1,TRUE),"N/A"))</f>
        <v>#DIV/0!</v>
      </c>
      <c r="T61" s="1334" t="e">
        <f>IF(T60=0,"N/A",IF(ISNA(MATCH(T60,List_LOI_Bldg,0)),VLOOKUP(T60,List_LOI_Bldg,1,TRUE),"N/A"))</f>
        <v>#DIV/0!</v>
      </c>
      <c r="U61" s="1334" t="e">
        <f>IF(U60=0,"N/A",IF(ISNA(MATCH(U60,List_LOI_Bldg,0)),VLOOKUP(U60,List_LOI_Bldg,1,TRUE),"N/A"))</f>
        <v>#DIV/0!</v>
      </c>
      <c r="V61" s="1335" t="e">
        <f>IF(V60=0,"N/A",IF(ISNA(MATCH(V60,List_LOI_Bldg,0)),VLOOKUP(V60,List_LOI_Bldg,1,TRUE),"N/A"))</f>
        <v>#DIV/0!</v>
      </c>
      <c r="W61" s="1335" t="e">
        <f>IF(W60=0,"N/A",IF(ISNA(MATCH(W60,List_LOI_Bldg,0)),VLOOKUP(W60,List_LOI_Bldg,1,TRUE),"N/A"))</f>
        <v>#DIV/0!</v>
      </c>
      <c r="Y61" s="1332"/>
      <c r="Z61" s="1333" t="s">
        <v>2193</v>
      </c>
      <c r="AA61" s="1334" t="e">
        <f>IF(AA60=0,"N/A",IF(ISNA(MATCH(AA60,List_LOI_Bldg,0)),VLOOKUP(AA60,List_LOI_Bldg,1,TRUE),"N/A"))</f>
        <v>#DIV/0!</v>
      </c>
      <c r="AB61" s="1334" t="e">
        <f>IF(AB60=0,"N/A",IF(ISNA(MATCH(AB60,List_LOI_Bldg,0)),VLOOKUP(AB60,List_LOI_Bldg,1,TRUE),"N/A"))</f>
        <v>#DIV/0!</v>
      </c>
      <c r="AC61" s="1335" t="e">
        <f>IF(AC60=0,"N/A",IF(ISNA(MATCH(AC60,List_LOI_Bldg,0)),VLOOKUP(AC60,List_LOI_Bldg,1,TRUE),"N/A"))</f>
        <v>#DIV/0!</v>
      </c>
      <c r="AD61" s="1335" t="e">
        <f>IF(AD60=0,"N/A",IF(ISNA(MATCH(AD60,List_LOI_Bldg,0)),VLOOKUP(AD60,List_LOI_Bldg,1,TRUE),"N/A"))</f>
        <v>#DIV/0!</v>
      </c>
      <c r="AE61" s="1335" t="e">
        <f>IF(AE60=0,"N/A",IF(ISNA(MATCH(AE60,List_LOI_Bldg,0)),VLOOKUP(AE60,List_LOI_Bldg,1,TRUE),"N/A"))</f>
        <v>#DIV/0!</v>
      </c>
      <c r="AG61" s="1332"/>
      <c r="AH61" s="1333" t="s">
        <v>2193</v>
      </c>
      <c r="AI61" s="1334" t="e">
        <f>IF(AI60=0,"N/A",IF(ISNA(MATCH(AI60,List_LOI_PP,0)),VLOOKUP(AI60,List_LOI_PP,1,TRUE),"N/A"))</f>
        <v>#DIV/0!</v>
      </c>
      <c r="AJ61" s="1334" t="e">
        <f>IF(AJ60=0,"N/A",IF(ISNA(MATCH(AJ60,List_LOI_PP,0)),VLOOKUP(AJ60,List_LOI_PP,1,TRUE),"N/A"))</f>
        <v>#DIV/0!</v>
      </c>
      <c r="AK61" s="1334" t="e">
        <f>IF(AK60=0,"N/A",IF(ISNA(MATCH(AK60,List_LOI_PP,0)),VLOOKUP(AK60,List_LOI_PP,1,TRUE),"N/A"))</f>
        <v>#DIV/0!</v>
      </c>
      <c r="AL61" s="1335" t="e">
        <f>IF(AL60=0,"N/A",IF(ISNA(MATCH(AL60,List_LOI_PP,0)),VLOOKUP(AL60,List_LOI_PP,1,TRUE),"N/A"))</f>
        <v>#DIV/0!</v>
      </c>
      <c r="AM61" s="1335" t="e">
        <f>IF(AM60=0,"N/A",IF(ISNA(MATCH(AM60,List_LOI_PP,0)),VLOOKUP(AM60,List_LOI_PP,1,TRUE),"N/A"))</f>
        <v>#DIV/0!</v>
      </c>
      <c r="AO61" s="1332"/>
      <c r="AP61" s="1333" t="s">
        <v>2193</v>
      </c>
      <c r="AQ61" s="1334" t="e">
        <f>IF(AQ60=0,"N/A",IF(ISNA(MATCH(AQ60,List_LOI_PP,0)),VLOOKUP(AQ60,List_LOI_PP,1,TRUE),"N/A"))</f>
        <v>#DIV/0!</v>
      </c>
      <c r="AR61" s="1334" t="e">
        <f>IF(AR60=0,"N/A",IF(ISNA(MATCH(AR60,List_LOI_PP,0)),VLOOKUP(AR60,List_LOI_PP,1,TRUE),"N/A"))</f>
        <v>#DIV/0!</v>
      </c>
      <c r="AS61" s="1335" t="e">
        <f>IF(AS60=0,"N/A",IF(ISNA(MATCH(AS60,List_LOI_PP,0)),VLOOKUP(AS60,List_LOI_PP,1,TRUE),"N/A"))</f>
        <v>#DIV/0!</v>
      </c>
      <c r="AT61" s="1335" t="e">
        <f>IF(AT60=0,"N/A",IF(ISNA(MATCH(AT60,List_LOI_PP,0)),VLOOKUP(AT60,List_LOI_PP,1,TRUE),"N/A"))</f>
        <v>#DIV/0!</v>
      </c>
      <c r="AU61" s="1335" t="e">
        <f>IF(AU60=0,"N/A",IF(ISNA(MATCH(AU60,List_LOI_PP,0)),VLOOKUP(AU60,List_LOI_PP,1,TRUE),"N/A"))</f>
        <v>#DIV/0!</v>
      </c>
    </row>
    <row r="62" spans="10:47" x14ac:dyDescent="0.2">
      <c r="K62" s="146"/>
      <c r="L62" s="146"/>
      <c r="M62" s="146"/>
      <c r="N62" s="146"/>
      <c r="O62" s="146"/>
      <c r="Q62" s="1336"/>
      <c r="R62" s="1337" t="s">
        <v>2194</v>
      </c>
      <c r="S62" s="1338" t="e">
        <f>IF(S61="N/A",0,INDEX(List_LOI_Bldg,MATCH(S61,List_LOI_Bldg,0)+1,1))</f>
        <v>#DIV/0!</v>
      </c>
      <c r="T62" s="1338" t="e">
        <f>IF(T61="N/A",0,INDEX(List_LOI_Bldg,MATCH(T61,List_LOI_Bldg,0)+1,1))</f>
        <v>#DIV/0!</v>
      </c>
      <c r="U62" s="1338" t="e">
        <f>IF(U61="N/A",0,INDEX(List_LOI_Bldg,MATCH(U61,List_LOI_Bldg,0)+1,1))</f>
        <v>#DIV/0!</v>
      </c>
      <c r="V62" s="1338" t="e">
        <f>IF(V61="N/A",0,INDEX(List_LOI_Bldg,MATCH(V61,List_LOI_Bldg,0)+1,1))</f>
        <v>#DIV/0!</v>
      </c>
      <c r="W62" s="1338" t="e">
        <f>IF(W61="N/A",0,INDEX(List_LOI_Bldg,MATCH(W61,List_LOI_Bldg,0)+1,1))</f>
        <v>#DIV/0!</v>
      </c>
      <c r="Y62" s="1336"/>
      <c r="Z62" s="1337" t="s">
        <v>2194</v>
      </c>
      <c r="AA62" s="1338" t="e">
        <f>IF(AA61="N/A",0,INDEX(List_LOI_Bldg,MATCH(AA61,List_LOI_Bldg,0)+1,1))</f>
        <v>#DIV/0!</v>
      </c>
      <c r="AB62" s="1338" t="e">
        <f>IF(AB61="N/A",0,INDEX(List_LOI_Bldg,MATCH(AB61,List_LOI_Bldg,0)+1,1))</f>
        <v>#DIV/0!</v>
      </c>
      <c r="AC62" s="1338" t="e">
        <f>IF(AC61="N/A",0,INDEX(List_LOI_Bldg,MATCH(AC61,List_LOI_Bldg,0)+1,1))</f>
        <v>#DIV/0!</v>
      </c>
      <c r="AD62" s="1338" t="e">
        <f>IF(AD61="N/A",0,INDEX(List_LOI_Bldg,MATCH(AD61,List_LOI_Bldg,0)+1,1))</f>
        <v>#DIV/0!</v>
      </c>
      <c r="AE62" s="1338" t="e">
        <f>IF(AE61="N/A",0,INDEX(List_LOI_Bldg,MATCH(AE61,List_LOI_Bldg,0)+1,1))</f>
        <v>#DIV/0!</v>
      </c>
      <c r="AG62" s="1336"/>
      <c r="AH62" s="1337" t="s">
        <v>2194</v>
      </c>
      <c r="AI62" s="1338" t="e">
        <f>IF(AI61="N/A",0,INDEX(List_LOI_PP,MATCH(AI61,List_LOI_PP,0)+1,1))</f>
        <v>#DIV/0!</v>
      </c>
      <c r="AJ62" s="1338" t="e">
        <f>IF(AJ61="N/A",0,INDEX(List_LOI_PP,MATCH(AJ61,List_LOI_PP,0)+1,1))</f>
        <v>#DIV/0!</v>
      </c>
      <c r="AK62" s="1338" t="e">
        <f>IF(AK61="N/A",0,INDEX(List_LOI_PP,MATCH(AK61,List_LOI_PP,0)+1,1))</f>
        <v>#DIV/0!</v>
      </c>
      <c r="AL62" s="1338" t="e">
        <f>IF(AL61="N/A",0,INDEX(List_LOI_PP,MATCH(AL61,List_LOI_PP,0)+1,1))</f>
        <v>#DIV/0!</v>
      </c>
      <c r="AM62" s="1338" t="e">
        <f>IF(AM61="N/A",0,INDEX(List_LOI_PP,MATCH(AM61,List_LOI_PP,0)+1,1))</f>
        <v>#DIV/0!</v>
      </c>
      <c r="AO62" s="1336"/>
      <c r="AP62" s="1337" t="s">
        <v>2194</v>
      </c>
      <c r="AQ62" s="1338" t="e">
        <f>IF(AQ61="N/A",0,INDEX(List_LOI_PP,MATCH(AQ61,List_LOI_PP,0)+1,1))</f>
        <v>#DIV/0!</v>
      </c>
      <c r="AR62" s="1338" t="e">
        <f>IF(AR61="N/A",0,INDEX(List_LOI_PP,MATCH(AR61,List_LOI_PP,0)+1,1))</f>
        <v>#DIV/0!</v>
      </c>
      <c r="AS62" s="1338" t="e">
        <f>IF(AS61="N/A",0,INDEX(List_LOI_PP,MATCH(AS61,List_LOI_PP,0)+1,1))</f>
        <v>#DIV/0!</v>
      </c>
      <c r="AT62" s="1338" t="e">
        <f>IF(AT61="N/A",0,INDEX(List_LOI_PP,MATCH(AT61,List_LOI_PP,0)+1,1))</f>
        <v>#DIV/0!</v>
      </c>
      <c r="AU62" s="1338" t="e">
        <f>IF(AU61="N/A",0,INDEX(List_LOI_PP,MATCH(AU61,List_LOI_PP,0)+1,1))</f>
        <v>#DIV/0!</v>
      </c>
    </row>
    <row r="63" spans="10:47" x14ac:dyDescent="0.2">
      <c r="Q63" s="185"/>
      <c r="R63" s="1226" t="s">
        <v>2195</v>
      </c>
      <c r="S63" s="1457" t="e">
        <f>IF(S60=0,0,IF(AND(S61="N/A",S60&gt;0),VLOOKUP(S60,Table_LOI_Bldg,MATCH("SP",List_Relatives,0)+1,FALSE),
ROUND(VLOOKUP(S61,Table_LOI_Bldg,MATCH("SP",List_Relatives,0)+1,FALSE) -
ROUND(PRODUCT((VLOOKUP(S61,Table_LOI_Bldg,MATCH("SP",List_Relatives,0)+1,FALSE) - VLOOKUP(S62,Table_LOI_Bldg,MATCH("SP",List_Relatives,0)+1,FALSE)),S60-S61)/(S62-S61),4),4)))</f>
        <v>#DIV/0!</v>
      </c>
      <c r="T63" s="1457" t="e">
        <f>IF(T60=0,0,IF(AND(T61="N/A",T60&gt;0),VLOOKUP(T60,Table_LOI_Bldg,MATCH("SP",List_Relatives,0)+1,FALSE),
ROUND(VLOOKUP(T61,Table_LOI_Bldg,MATCH("SP",List_Relatives,0)+1,FALSE) -
ROUND(PRODUCT((VLOOKUP(T61,Table_LOI_Bldg,MATCH("SP",List_Relatives,0)+1,FALSE) - VLOOKUP(T62,Table_LOI_Bldg,MATCH("SP",List_Relatives,0)+1,FALSE)),T60-T61)/(T62-T61),4),4)))</f>
        <v>#DIV/0!</v>
      </c>
      <c r="U63" s="1457" t="e">
        <f>IF(U60=0,0,IF(AND(U61="N/A",U60&gt;0),VLOOKUP(U60,Table_LOI_Bldg,MATCH("SP",List_Relatives,0)+1,FALSE),
ROUND(VLOOKUP(U61,Table_LOI_Bldg,MATCH("SP",List_Relatives,0)+1,FALSE) -
ROUND(PRODUCT((VLOOKUP(U61,Table_LOI_Bldg,MATCH("SP",List_Relatives,0)+1,FALSE) - VLOOKUP(U62,Table_LOI_Bldg,MATCH("SP",List_Relatives,0)+1,FALSE)),U60-U61)/(U62-U61),4),4)))</f>
        <v>#DIV/0!</v>
      </c>
      <c r="V63" s="1457" t="e">
        <f>IF(V60=0,0,IF(AND(V61="N/A",V60&gt;0),VLOOKUP(V60,Table_LOI_Bldg,MATCH("SP",List_Relatives,0)+1,FALSE),
ROUND(VLOOKUP(V61,Table_LOI_Bldg,MATCH("SP",List_Relatives,0)+1,FALSE) -
ROUND(PRODUCT((VLOOKUP(V61,Table_LOI_Bldg,MATCH("SP",List_Relatives,0)+1,FALSE) - VLOOKUP(V62,Table_LOI_Bldg,MATCH("SP",List_Relatives,0)+1,FALSE)),V60-V61)/(V62-V61),4),4)))</f>
        <v>#DIV/0!</v>
      </c>
      <c r="W63" s="1457" t="e">
        <f>IF(W60=0,0,IF(AND(W61="N/A",W60&gt;0),VLOOKUP(W60,Table_LOI_Bldg,MATCH("SP",List_Relatives,0)+1,FALSE),
ROUND(VLOOKUP(W61,Table_LOI_Bldg,MATCH("SP",List_Relatives,0)+1,FALSE) -
ROUND(PRODUCT((VLOOKUP(W61,Table_LOI_Bldg,MATCH("SP",List_Relatives,0)+1,FALSE) - VLOOKUP(W62,Table_LOI_Bldg,MATCH("SP",List_Relatives,0)+1,FALSE)),W60-W61)/(W62-W61),4),4)))</f>
        <v>#DIV/0!</v>
      </c>
      <c r="Y63" s="185"/>
      <c r="Z63" s="1226" t="s">
        <v>2195</v>
      </c>
      <c r="AA63" s="1457" t="e">
        <f>IF(AA60=0,0,IF(AND(AA61="N/A",AA60&gt;0),VLOOKUP(AA60,Table_LOI_Bldg,MATCH("BR",List_Relatives,0)+1,FALSE),
ROUND(VLOOKUP(AA61,Table_LOI_Bldg,MATCH("BR",List_Relatives,0)+1,FALSE) -
ROUND(PRODUCT((VLOOKUP(AA61,Table_LOI_Bldg,MATCH("BR",List_Relatives,0)+1,FALSE) - VLOOKUP(AA62,Table_LOI_Bldg,MATCH("BR",List_Relatives,0)+1,FALSE)),AA60-AA61)/(AA62-AA61),4),4)))</f>
        <v>#DIV/0!</v>
      </c>
      <c r="AB63" s="1457" t="e">
        <f>IF(AB60=0,0,IF(AND(AB61="N/A",AB60&gt;0),VLOOKUP(AB60,Table_LOI_Bldg,MATCH("BR",List_Relatives,0)+1,FALSE),
ROUND(VLOOKUP(AB61,Table_LOI_Bldg,MATCH("BR",List_Relatives,0)+1,FALSE) -
ROUND(PRODUCT((VLOOKUP(AB61,Table_LOI_Bldg,MATCH("BR",List_Relatives,0)+1,FALSE) - VLOOKUP(AB62,Table_LOI_Bldg,MATCH("BR",List_Relatives,0)+1,FALSE)),AB60-AB61)/(AB62-AB61),4),4)))</f>
        <v>#DIV/0!</v>
      </c>
      <c r="AC63" s="1457" t="e">
        <f>IF(AC60=0,0,IF(AND(AC61="N/A",AC60&gt;0),VLOOKUP(AC60,Table_LOI_Bldg,MATCH("BR",List_Relatives,0)+1,FALSE),
ROUND(VLOOKUP(AC61,Table_LOI_Bldg,MATCH("BR",List_Relatives,0)+1,FALSE) -
ROUND(PRODUCT((VLOOKUP(AC61,Table_LOI_Bldg,MATCH("BR",List_Relatives,0)+1,FALSE) - VLOOKUP(AC62,Table_LOI_Bldg,MATCH("BR",List_Relatives,0)+1,FALSE)),AC60-AC61)/(AC62-AC61),4),4)))</f>
        <v>#DIV/0!</v>
      </c>
      <c r="AD63" s="1457" t="e">
        <f>IF(AD60=0,0,IF(AND(AD61="N/A",AD60&gt;0),VLOOKUP(AD60,Table_LOI_Bldg,MATCH($G41,List_Relatives,0)+1,FALSE),
ROUND(VLOOKUP(AD61,Table_LOI_Bldg,MATCH($G41,List_Relatives,0)+1,FALSE) -
ROUND(PRODUCT((VLOOKUP(AD61,Table_LOI_Bldg,MATCH($G41,List_Relatives,0)+1,FALSE) - VLOOKUP(AD62,Table_LOI_Bldg,MATCH($G41,List_Relatives,0)+1,FALSE)),AD60-AD61)/(AD62-AD61),4),4)))</f>
        <v>#DIV/0!</v>
      </c>
      <c r="AE63" s="1457" t="e">
        <f>IF(AE60=0,0,IF(AND(AE61="N/A",AE60&gt;0),VLOOKUP(AE60,Table_LOI_Bldg,MATCH($G42,List_Relatives,0)+1,FALSE),
ROUND(VLOOKUP(AE61,Table_LOI_Bldg,MATCH($G42,List_Relatives,0)+1,FALSE) -
ROUND(PRODUCT((VLOOKUP(AE61,Table_LOI_Bldg,MATCH($G42,List_Relatives,0)+1,FALSE) - VLOOKUP(AE62,Table_LOI_Bldg,MATCH($G42,List_Relatives,0)+1,FALSE)),AE60-AE61)/(AE62-AE61),4),4)))</f>
        <v>#DIV/0!</v>
      </c>
      <c r="AG63" s="185"/>
      <c r="AH63" s="1226" t="s">
        <v>2195</v>
      </c>
      <c r="AI63" s="1457" t="e">
        <f>IF(AI60=0,0,IF(AND(AI61="N/A",AI60&gt;0),VLOOKUP(AI60,Table_LOI_PP,MATCH("SP",List_Relatives,0)+1,FALSE),
ROUND(VLOOKUP(AI61,Table_LOI_PP,MATCH("SP",List_Relatives,0)+1,FALSE) -
ROUND(PRODUCT((VLOOKUP(AI61,Table_LOI_PP,MATCH("SP",List_Relatives,0)+1,FALSE) - VLOOKUP(AI62,Table_LOI_PP,MATCH("SP",List_Relatives,0)+1,FALSE)),AI60-AI61)/(AI62-AI61),4),4)))</f>
        <v>#DIV/0!</v>
      </c>
      <c r="AJ63" s="1457" t="e">
        <f>IF(AJ60=0,0,IF(AND(AJ61="N/A",AJ60&gt;0),VLOOKUP(AJ60,Table_LOI_PP,MATCH("SP",List_Relatives,0)+1,FALSE),
ROUND(VLOOKUP(AJ61,Table_LOI_PP,MATCH("SP",List_Relatives,0)+1,FALSE) -
ROUND(PRODUCT((VLOOKUP(AJ61,Table_LOI_PP,MATCH("SP",List_Relatives,0)+1,FALSE) - VLOOKUP(AJ62,Table_LOI_PP,MATCH("SP",List_Relatives,0)+1,FALSE)),AJ60-AJ61)/(AJ62-AJ61),4),4)))</f>
        <v>#DIV/0!</v>
      </c>
      <c r="AK63" s="1457" t="e">
        <f>IF(AK60=0,0,IF(AND(AK61="N/A",AK60&gt;0),VLOOKUP(AK60,Table_LOI_PP,MATCH("SP",List_Relatives,0)+1,FALSE),
ROUND(VLOOKUP(AK61,Table_LOI_PP,MATCH("SP",List_Relatives,0)+1,FALSE) -
ROUND(PRODUCT((VLOOKUP(AK61,Table_LOI_PP,MATCH("SP",List_Relatives,0)+1,FALSE) - VLOOKUP(AK62,Table_LOI_PP,MATCH("SP",List_Relatives,0)+1,FALSE)),AK60-AK61)/(AK62-AK61),4),4)))</f>
        <v>#DIV/0!</v>
      </c>
      <c r="AL63" s="1457" t="e">
        <f>IF(AL60=0,0,IF(AND(AL61="N/A",AL60&gt;0),VLOOKUP(AL60,Table_LOI_PP,MATCH("SP",List_Relatives,0)+1,FALSE),
ROUND(VLOOKUP(AL61,Table_LOI_PP,MATCH("SP",List_Relatives,0)+1,FALSE) -
ROUND(PRODUCT((VLOOKUP(AL61,Table_LOI_PP,MATCH("SP",List_Relatives,0)+1,FALSE) - VLOOKUP(AL62,Table_LOI_PP,MATCH("SP",List_Relatives,0)+1,FALSE)),AL60-AL61)/(AL62-AL61),4),4)))</f>
        <v>#DIV/0!</v>
      </c>
      <c r="AM63" s="1457" t="e">
        <f>IF(AM60=0,0,IF(AND(AM61="N/A",AM60&gt;0),VLOOKUP(AM60,Table_LOI_PP,MATCH("SP",List_Relatives,0)+1,FALSE),
ROUND(VLOOKUP(AM61,Table_LOI_PP,MATCH("SP",List_Relatives,0)+1,FALSE) -
ROUND(PRODUCT((VLOOKUP(AM61,Table_LOI_PP,MATCH("SP",List_Relatives,0)+1,FALSE) - VLOOKUP(AM62,Table_LOI_PP,MATCH("SP",List_Relatives,0)+1,FALSE)),AM60-AM61)/(AM62-AM61),4),4)))</f>
        <v>#DIV/0!</v>
      </c>
      <c r="AO63" s="185"/>
      <c r="AP63" s="1226" t="s">
        <v>2195</v>
      </c>
      <c r="AQ63" s="1457" t="e">
        <f>IF(AQ60=0,0,IF(AND(AQ61="N/A",AQ60&gt;0),VLOOKUP(AQ60,Table_LOI_PP,MATCH("BR",List_Relatives,0)+1,FALSE),
ROUND(VLOOKUP(AQ61,Table_LOI_PP,MATCH("BR",List_Relatives,0)+1,FALSE) -
ROUND(PRODUCT((VLOOKUP(AQ61,Table_LOI_PP,MATCH("BR",List_Relatives,0)+1,FALSE) - VLOOKUP(AQ62,Table_LOI_PP,MATCH("BR",List_Relatives,0)+1,FALSE)),AQ60-AQ61)/(AQ62-AQ61),4),4)))</f>
        <v>#DIV/0!</v>
      </c>
      <c r="AR63" s="1457" t="e">
        <f>IF(AR60=0,0,IF(AND(AR61="N/A",AR60&gt;0),VLOOKUP(AR60,Table_LOI_PP,MATCH("BR",List_Relatives,0)+1,FALSE),
ROUND(VLOOKUP(AR61,Table_LOI_PP,MATCH("BR",List_Relatives,0)+1,FALSE) -
ROUND(PRODUCT((VLOOKUP(AR61,Table_LOI_PP,MATCH("BR",List_Relatives,0)+1,FALSE) - VLOOKUP(AR62,Table_LOI_PP,MATCH("BR",List_Relatives,0)+1,FALSE)),AR60-AR61)/(AR62-AR61),4),4)))</f>
        <v>#DIV/0!</v>
      </c>
      <c r="AS63" s="1457" t="e">
        <f>IF(AS60=0,0,IF(AND(AS61="N/A",AS60&gt;0),VLOOKUP(AS60,Table_LOI_PP,MATCH("BR",List_Relatives,0)+1,FALSE),
ROUND(VLOOKUP(AS61,Table_LOI_PP,MATCH("BR",List_Relatives,0)+1,FALSE) -
ROUND(PRODUCT((VLOOKUP(AS61,Table_LOI_PP,MATCH("BR",List_Relatives,0)+1,FALSE) - VLOOKUP(AS62,Table_LOI_PP,MATCH("BR",List_Relatives,0)+1,FALSE)),AS60-AS61)/(AS62-AS61),4),4)))</f>
        <v>#DIV/0!</v>
      </c>
      <c r="AT63" s="1457" t="e">
        <f>IF(AT60=0,0,IF(AND(AT61="N/A",AT60&gt;0),VLOOKUP(AT60,Table_LOI_PP,MATCH($G131,List_Relatives,0)+1,FALSE),
ROUND(VLOOKUP(AT61,Table_LOI_PP,MATCH($G131,List_Relatives,0)+1,FALSE) -
ROUND(PRODUCT((VLOOKUP(AT61,Table_LOI_PP,MATCH($G131,List_Relatives,0)+1,FALSE) - VLOOKUP(AT62,Table_LOI_PP,MATCH($G131,List_Relatives,0)+1,FALSE)),AT60-AT61)/(AT62-AT61),4),4)))</f>
        <v>#DIV/0!</v>
      </c>
      <c r="AU63" s="1457" t="e">
        <f>IF(AU60=0,0,IF(AND(AU61="N/A",AU60&gt;0),VLOOKUP(AU60,Table_LOI_PP,MATCH($G132,List_Relatives,0)+1,FALSE),
ROUND(VLOOKUP(AU61,Table_LOI_PP,MATCH($G132,List_Relatives,0)+1,FALSE) -
ROUND(PRODUCT((VLOOKUP(AU61,Table_LOI_PP,MATCH($G132,List_Relatives,0)+1,FALSE) - VLOOKUP(AU62,Table_LOI_PP,MATCH($G132,List_Relatives,0)+1,FALSE)),AU60-AU61)/(AU62-AU61),4),4)))</f>
        <v>#DIV/0!</v>
      </c>
    </row>
    <row r="64" spans="10:47" x14ac:dyDescent="0.2">
      <c r="R64" s="83" t="s">
        <v>2196</v>
      </c>
      <c r="S64" s="247" t="e">
        <f>PRODUCT(S53,S63)</f>
        <v>#DIV/0!</v>
      </c>
      <c r="T64" s="247" t="e">
        <f>PRODUCT(T53,T63)</f>
        <v>#DIV/0!</v>
      </c>
      <c r="U64" s="2" t="e">
        <f>PRODUCT(U53,U63)</f>
        <v>#DIV/0!</v>
      </c>
      <c r="V64" s="2" t="e">
        <f>PRODUCT(V53,V63)</f>
        <v>#DIV/0!</v>
      </c>
      <c r="W64" s="2" t="e">
        <f>PRODUCT(W53,W63)</f>
        <v>#DIV/0!</v>
      </c>
      <c r="Z64" s="83" t="s">
        <v>2196</v>
      </c>
      <c r="AA64" s="2" t="e">
        <f>PRODUCT(AA53,AA63)</f>
        <v>#DIV/0!</v>
      </c>
      <c r="AB64" s="2" t="e">
        <f>PRODUCT(AB53,AB63)</f>
        <v>#DIV/0!</v>
      </c>
      <c r="AC64" s="2" t="e">
        <f>PRODUCT(AC53,AC63)</f>
        <v>#DIV/0!</v>
      </c>
      <c r="AD64" s="2" t="e">
        <f>PRODUCT(AD53,AD63)</f>
        <v>#DIV/0!</v>
      </c>
      <c r="AE64" s="2" t="e">
        <f>PRODUCT(AE53,AE63)</f>
        <v>#DIV/0!</v>
      </c>
      <c r="AH64" s="83" t="s">
        <v>2196</v>
      </c>
      <c r="AI64" s="247" t="e">
        <f>PRODUCT(AI53,AI63)</f>
        <v>#DIV/0!</v>
      </c>
      <c r="AJ64" s="247" t="e">
        <f>PRODUCT(AJ53,AJ63)</f>
        <v>#DIV/0!</v>
      </c>
      <c r="AK64" s="2" t="e">
        <f>PRODUCT(AK53,AK63)</f>
        <v>#DIV/0!</v>
      </c>
      <c r="AL64" s="2" t="e">
        <f>PRODUCT(AL53,AL63)</f>
        <v>#DIV/0!</v>
      </c>
      <c r="AM64" s="2" t="e">
        <f>PRODUCT(AM53,AM63)</f>
        <v>#DIV/0!</v>
      </c>
      <c r="AP64" s="83" t="s">
        <v>2196</v>
      </c>
      <c r="AQ64" s="2" t="e">
        <f>PRODUCT(AQ53,AQ63)</f>
        <v>#DIV/0!</v>
      </c>
      <c r="AR64" s="2" t="e">
        <f>PRODUCT(AR53,AR63)</f>
        <v>#DIV/0!</v>
      </c>
      <c r="AS64" s="2" t="e">
        <f>PRODUCT(AS53,AS63)</f>
        <v>#DIV/0!</v>
      </c>
      <c r="AT64" s="2" t="e">
        <f>PRODUCT(AT53,AT63)</f>
        <v>#DIV/0!</v>
      </c>
      <c r="AU64" s="2" t="e">
        <f>PRODUCT(AU53,AU63)</f>
        <v>#DIV/0!</v>
      </c>
    </row>
    <row r="65" spans="17:47" x14ac:dyDescent="0.2">
      <c r="R65" s="1117" t="s">
        <v>2330</v>
      </c>
      <c r="S65" s="247">
        <f>$C$14</f>
        <v>1</v>
      </c>
      <c r="T65" s="247">
        <f t="shared" ref="T65:W65" si="10">$C$14</f>
        <v>1</v>
      </c>
      <c r="U65" s="247">
        <f t="shared" si="10"/>
        <v>1</v>
      </c>
      <c r="V65" s="247">
        <f t="shared" si="10"/>
        <v>1</v>
      </c>
      <c r="W65" s="247">
        <f t="shared" si="10"/>
        <v>1</v>
      </c>
      <c r="Z65" s="1117" t="s">
        <v>2330</v>
      </c>
      <c r="AA65" s="247">
        <v>1</v>
      </c>
      <c r="AB65" s="247">
        <v>1</v>
      </c>
      <c r="AC65" s="247">
        <v>1</v>
      </c>
      <c r="AD65" s="247">
        <v>1</v>
      </c>
      <c r="AE65" s="247">
        <v>1</v>
      </c>
      <c r="AH65" s="1117" t="s">
        <v>2330</v>
      </c>
      <c r="AI65" s="247">
        <f>$C$14</f>
        <v>1</v>
      </c>
      <c r="AJ65" s="247">
        <f t="shared" ref="AJ65:AM65" si="11">$C$14</f>
        <v>1</v>
      </c>
      <c r="AK65" s="247">
        <f t="shared" si="11"/>
        <v>1</v>
      </c>
      <c r="AL65" s="247">
        <f t="shared" si="11"/>
        <v>1</v>
      </c>
      <c r="AM65" s="247">
        <f t="shared" si="11"/>
        <v>1</v>
      </c>
      <c r="AP65" s="1117" t="s">
        <v>2330</v>
      </c>
      <c r="AQ65" s="247">
        <v>1</v>
      </c>
      <c r="AR65" s="247">
        <v>1</v>
      </c>
      <c r="AS65" s="247">
        <v>1</v>
      </c>
      <c r="AT65" s="247">
        <v>1</v>
      </c>
      <c r="AU65" s="247">
        <v>1</v>
      </c>
    </row>
    <row r="66" spans="17:47" x14ac:dyDescent="0.2">
      <c r="Q66" s="185"/>
      <c r="R66" s="1226" t="s">
        <v>2197</v>
      </c>
      <c r="S66" s="238">
        <f>IF(ISNUMBER($I4),$I4,0)</f>
        <v>0</v>
      </c>
      <c r="T66" s="238">
        <f>IF(ISNUMBER($I5),$I5,0)</f>
        <v>0</v>
      </c>
      <c r="U66" s="238">
        <f>IF(ISNUMBER($I6),$I6,0)</f>
        <v>0</v>
      </c>
      <c r="V66" s="238">
        <f>IF(ISNUMBER($I7),$I7,0)</f>
        <v>0</v>
      </c>
      <c r="W66" s="238">
        <f>IF(ISNUMBER($I8),$I8,0)</f>
        <v>0</v>
      </c>
      <c r="Y66" s="185"/>
      <c r="Z66" s="1226" t="s">
        <v>2197</v>
      </c>
      <c r="AA66" s="238">
        <f>IF(ISNUMBER($I$4),$I$4,0)</f>
        <v>0</v>
      </c>
      <c r="AB66" s="238">
        <f>IF(ISNUMBER($I$5),$I$5,0)</f>
        <v>0</v>
      </c>
      <c r="AC66" s="238">
        <f>IF(ISNUMBER($I$6),$I$6,0)</f>
        <v>0</v>
      </c>
      <c r="AD66" s="238">
        <f>IF(ISNUMBER($I$7),$I$7,0)</f>
        <v>0</v>
      </c>
      <c r="AE66" s="238">
        <f>IF(ISNUMBER($I$8),$I$8,0)</f>
        <v>0</v>
      </c>
      <c r="AG66" s="185"/>
      <c r="AH66" s="1226" t="s">
        <v>2197</v>
      </c>
      <c r="AI66" s="238">
        <f>IF(ISNUMBER($I13),$I13,0)</f>
        <v>0</v>
      </c>
      <c r="AJ66" s="238">
        <f>IF(ISNUMBER($I14),$I14,0)</f>
        <v>0</v>
      </c>
      <c r="AK66" s="238">
        <f>IF(ISNUMBER($I15),$I15,0)</f>
        <v>0</v>
      </c>
      <c r="AL66" s="238">
        <f>IF(ISNUMBER($I16),$I16,0)</f>
        <v>0</v>
      </c>
      <c r="AM66" s="238">
        <f>IF(ISNUMBER($I17),$I17,0)</f>
        <v>0</v>
      </c>
      <c r="AO66" s="185"/>
      <c r="AP66" s="1226" t="s">
        <v>2197</v>
      </c>
      <c r="AQ66" s="238">
        <f>IF(ISNUMBER($I13),$I13,0)</f>
        <v>0</v>
      </c>
      <c r="AR66" s="238">
        <f>IF(ISNUMBER($I14),$I14,0)</f>
        <v>0</v>
      </c>
      <c r="AS66" s="238">
        <f>IF(ISNUMBER($I15),$I15,0)</f>
        <v>0</v>
      </c>
      <c r="AT66" s="238">
        <f>IF(ISNUMBER($I16),$I16,0)</f>
        <v>0</v>
      </c>
      <c r="AU66" s="238">
        <f>IF(ISNUMBER($I17),$I17,0)</f>
        <v>0</v>
      </c>
    </row>
    <row r="67" spans="17:47" x14ac:dyDescent="0.2">
      <c r="R67" s="83" t="s">
        <v>2198</v>
      </c>
      <c r="S67" s="1339" t="e">
        <f>PRODUCT(S64:S66)</f>
        <v>#DIV/0!</v>
      </c>
      <c r="T67" s="1339" t="e">
        <f>PRODUCT(T64:T66)</f>
        <v>#DIV/0!</v>
      </c>
      <c r="U67" s="1339" t="e">
        <f>PRODUCT(U64:U66)</f>
        <v>#DIV/0!</v>
      </c>
      <c r="V67" s="1339" t="e">
        <f>PRODUCT(V64:V66)</f>
        <v>#DIV/0!</v>
      </c>
      <c r="W67" s="1339" t="e">
        <f>PRODUCT(W64:W66)</f>
        <v>#DIV/0!</v>
      </c>
      <c r="Z67" s="83" t="s">
        <v>2198</v>
      </c>
      <c r="AA67" s="1339" t="e">
        <f>PRODUCT(AA64:AA66)</f>
        <v>#DIV/0!</v>
      </c>
      <c r="AB67" s="1339" t="e">
        <f>PRODUCT(AB64:AB66)</f>
        <v>#DIV/0!</v>
      </c>
      <c r="AC67" s="1339" t="e">
        <f>PRODUCT(AC64:AC66)</f>
        <v>#DIV/0!</v>
      </c>
      <c r="AD67" s="1339" t="e">
        <f>PRODUCT(AD64:AD66)</f>
        <v>#DIV/0!</v>
      </c>
      <c r="AE67" s="1339" t="e">
        <f>PRODUCT(AE64:AE66)</f>
        <v>#DIV/0!</v>
      </c>
      <c r="AH67" s="83" t="s">
        <v>2198</v>
      </c>
      <c r="AI67" s="1339" t="e">
        <f>PRODUCT(AI64:AI66)</f>
        <v>#DIV/0!</v>
      </c>
      <c r="AJ67" s="1339" t="e">
        <f>PRODUCT(AJ64:AJ66)</f>
        <v>#DIV/0!</v>
      </c>
      <c r="AK67" s="1339" t="e">
        <f>PRODUCT(AK64:AK66)</f>
        <v>#DIV/0!</v>
      </c>
      <c r="AL67" s="1339" t="e">
        <f>PRODUCT(AL64:AL66)</f>
        <v>#DIV/0!</v>
      </c>
      <c r="AM67" s="1339" t="e">
        <f>PRODUCT(AM64:AM66)</f>
        <v>#DIV/0!</v>
      </c>
      <c r="AP67" s="83" t="s">
        <v>2198</v>
      </c>
      <c r="AQ67" s="1339" t="e">
        <f>PRODUCT(AQ64:AQ66)</f>
        <v>#DIV/0!</v>
      </c>
      <c r="AR67" s="1339" t="e">
        <f>PRODUCT(AR64:AR66)</f>
        <v>#DIV/0!</v>
      </c>
      <c r="AS67" s="1339" t="e">
        <f>PRODUCT(AS64:AS66)</f>
        <v>#DIV/0!</v>
      </c>
      <c r="AT67" s="1339" t="e">
        <f>PRODUCT(AT64:AT66)</f>
        <v>#DIV/0!</v>
      </c>
      <c r="AU67" s="1339" t="e">
        <f>PRODUCT(AU64:AU66)</f>
        <v>#DIV/0!</v>
      </c>
    </row>
    <row r="69" spans="17:47" x14ac:dyDescent="0.2">
      <c r="Q69" s="60" t="s">
        <v>2199</v>
      </c>
      <c r="Y69" s="60" t="s">
        <v>2199</v>
      </c>
      <c r="AG69" s="60" t="s">
        <v>2199</v>
      </c>
      <c r="AO69" s="60" t="s">
        <v>2199</v>
      </c>
    </row>
    <row r="70" spans="17:47" x14ac:dyDescent="0.2">
      <c r="R70" s="1117" t="s">
        <v>2200</v>
      </c>
      <c r="S70" s="1339" t="e">
        <f>SUM(S67:W67)</f>
        <v>#DIV/0!</v>
      </c>
      <c r="Z70" s="1117" t="s">
        <v>2200</v>
      </c>
      <c r="AA70" s="1339" t="e">
        <f>SUM(AA67:AE67)</f>
        <v>#DIV/0!</v>
      </c>
      <c r="AH70" s="1117" t="s">
        <v>2200</v>
      </c>
      <c r="AI70" s="1339" t="e">
        <f>SUM(AI67:AM67)</f>
        <v>#DIV/0!</v>
      </c>
      <c r="AP70" s="1117" t="s">
        <v>2200</v>
      </c>
      <c r="AQ70" s="1339" t="e">
        <f>SUM(AQ67:AU67)</f>
        <v>#DIV/0!</v>
      </c>
    </row>
    <row r="71" spans="17:47" x14ac:dyDescent="0.2">
      <c r="Q71" s="185"/>
      <c r="R71" s="1226" t="s">
        <v>2186</v>
      </c>
      <c r="S71" s="238">
        <f>$I$9</f>
        <v>0</v>
      </c>
      <c r="Y71" s="185"/>
      <c r="Z71" s="1226" t="s">
        <v>2186</v>
      </c>
      <c r="AA71" s="238">
        <f>$I$9</f>
        <v>0</v>
      </c>
      <c r="AG71" s="185"/>
      <c r="AH71" s="1226" t="s">
        <v>2186</v>
      </c>
      <c r="AI71" s="238">
        <f>$I$18</f>
        <v>0</v>
      </c>
      <c r="AO71" s="185"/>
      <c r="AP71" s="1226" t="s">
        <v>2186</v>
      </c>
      <c r="AQ71" s="238">
        <f>$I$18</f>
        <v>0</v>
      </c>
    </row>
    <row r="72" spans="17:47" x14ac:dyDescent="0.2">
      <c r="R72" s="1117" t="s">
        <v>2201</v>
      </c>
      <c r="S72" s="2" t="e">
        <f>ROUND(S70/S71,3)</f>
        <v>#DIV/0!</v>
      </c>
      <c r="Z72" s="1117" t="s">
        <v>2229</v>
      </c>
      <c r="AA72" s="2" t="e">
        <f>ROUND(AA70/AA71,4)</f>
        <v>#DIV/0!</v>
      </c>
      <c r="AH72" s="1117" t="s">
        <v>2201</v>
      </c>
      <c r="AI72" s="2" t="e">
        <f>ROUND(AI70/AI71,3)</f>
        <v>#DIV/0!</v>
      </c>
      <c r="AP72" s="1117" t="s">
        <v>2229</v>
      </c>
      <c r="AQ72" s="2" t="e">
        <f>ROUND(AQ70/AQ71,4)</f>
        <v>#DIV/0!</v>
      </c>
    </row>
    <row r="73" spans="17:47" x14ac:dyDescent="0.2">
      <c r="Q73" s="146"/>
      <c r="R73" s="1210" t="s">
        <v>2202</v>
      </c>
      <c r="S73" s="299">
        <f>VLOOKUP($C$15,Table_CoIns_Blanket,2,0)</f>
        <v>0.95</v>
      </c>
      <c r="Y73" s="146"/>
      <c r="Z73" s="1210" t="s">
        <v>2202</v>
      </c>
      <c r="AA73" s="299">
        <f>VLOOKUP($C$15,Table_CoIns_Blanket,2,0)</f>
        <v>0.95</v>
      </c>
      <c r="AG73" s="146"/>
      <c r="AH73" s="1210" t="s">
        <v>2202</v>
      </c>
      <c r="AI73" s="299">
        <f>VLOOKUP($C$15,Table_CoIns_Blanket,2,0)</f>
        <v>0.95</v>
      </c>
      <c r="AO73" s="146"/>
      <c r="AP73" s="1210" t="s">
        <v>2202</v>
      </c>
      <c r="AQ73" s="299">
        <f>VLOOKUP($C$15,Table_CoIns_Blanket,2,0)</f>
        <v>0.95</v>
      </c>
    </row>
    <row r="74" spans="17:47" x14ac:dyDescent="0.2">
      <c r="Q74" s="185"/>
      <c r="R74" s="1226" t="s">
        <v>1020</v>
      </c>
      <c r="S74" s="208">
        <f>IF($C$6="PAC",VLOOKUP(B7,Table_PakMods,MATCH($C$10,List_Company,0)+1,FALSE),1)</f>
        <v>1</v>
      </c>
      <c r="Y74" s="185"/>
      <c r="Z74" s="1226" t="s">
        <v>1020</v>
      </c>
      <c r="AA74" s="208">
        <f>IF($C$6="PAC",VLOOKUP(B7,Table_PakMods,MATCH($C$10,List_Company,0)+1,FALSE),1)</f>
        <v>1</v>
      </c>
      <c r="AG74" s="185"/>
      <c r="AH74" s="1226" t="s">
        <v>1020</v>
      </c>
      <c r="AI74" s="208">
        <f>IF($C$6="PAC",VLOOKUP(B7,Table_PakMods,MATCH($C$10,List_Company,0)+1,FALSE),1)</f>
        <v>1</v>
      </c>
      <c r="AO74" s="185"/>
      <c r="AP74" s="1226" t="s">
        <v>1020</v>
      </c>
      <c r="AQ74" s="208">
        <f>IF($C$6="PAC",VLOOKUP(B7,Table_PakMods,MATCH($C$10,List_Company,0)+1,FALSE),1)</f>
        <v>1</v>
      </c>
    </row>
    <row r="75" spans="17:47" x14ac:dyDescent="0.2">
      <c r="R75" s="83" t="s">
        <v>2203</v>
      </c>
      <c r="S75" s="60" t="e">
        <f>ROUND(PRODUCT(S72:S74),3)</f>
        <v>#DIV/0!</v>
      </c>
      <c r="Z75" s="83" t="s">
        <v>2230</v>
      </c>
      <c r="AA75" s="60" t="e">
        <f>ROUND(PRODUCT(AA72:AA74),3)</f>
        <v>#DIV/0!</v>
      </c>
      <c r="AH75" s="83" t="s">
        <v>2203</v>
      </c>
      <c r="AI75" s="60" t="e">
        <f>ROUND(PRODUCT(AI72:AI74),3)</f>
        <v>#DIV/0!</v>
      </c>
      <c r="AP75" s="83" t="s">
        <v>2230</v>
      </c>
      <c r="AQ75" s="60" t="e">
        <f>ROUND(PRODUCT(AQ72:AQ74),3)</f>
        <v>#DIV/0!</v>
      </c>
    </row>
    <row r="77" spans="17:47" x14ac:dyDescent="0.2">
      <c r="Q77" s="60" t="s">
        <v>2209</v>
      </c>
      <c r="S77" s="235" t="s">
        <v>2176</v>
      </c>
      <c r="T77" s="235" t="s">
        <v>2177</v>
      </c>
      <c r="U77" s="235" t="s">
        <v>2178</v>
      </c>
      <c r="V77" s="235" t="s">
        <v>2179</v>
      </c>
      <c r="W77" s="235" t="s">
        <v>2180</v>
      </c>
      <c r="Y77" s="60" t="s">
        <v>2209</v>
      </c>
      <c r="AA77" s="235" t="s">
        <v>2176</v>
      </c>
      <c r="AB77" s="235" t="s">
        <v>2177</v>
      </c>
      <c r="AC77" s="235" t="s">
        <v>2178</v>
      </c>
      <c r="AD77" s="235" t="s">
        <v>2179</v>
      </c>
      <c r="AE77" s="235" t="s">
        <v>2180</v>
      </c>
      <c r="AG77" s="60" t="s">
        <v>2209</v>
      </c>
      <c r="AI77" s="235" t="s">
        <v>2176</v>
      </c>
      <c r="AJ77" s="235" t="s">
        <v>2177</v>
      </c>
      <c r="AK77" s="235" t="s">
        <v>2178</v>
      </c>
      <c r="AL77" s="235" t="s">
        <v>2179</v>
      </c>
      <c r="AM77" s="235" t="s">
        <v>2180</v>
      </c>
      <c r="AO77" s="60" t="s">
        <v>2209</v>
      </c>
      <c r="AQ77" s="235" t="s">
        <v>2176</v>
      </c>
      <c r="AR77" s="235" t="s">
        <v>2177</v>
      </c>
      <c r="AS77" s="235" t="s">
        <v>2178</v>
      </c>
      <c r="AT77" s="235" t="s">
        <v>2179</v>
      </c>
      <c r="AU77" s="235" t="s">
        <v>2180</v>
      </c>
    </row>
    <row r="78" spans="17:47" x14ac:dyDescent="0.2">
      <c r="Q78" s="1227"/>
      <c r="R78" s="1117" t="s">
        <v>2212</v>
      </c>
      <c r="S78" s="478">
        <f>IF(ISNUMBER($I$4),$I$4/100,0)</f>
        <v>0</v>
      </c>
      <c r="T78" s="478">
        <f>IF(ISNUMBER($I$5),$I$5/100,0)</f>
        <v>0</v>
      </c>
      <c r="U78" s="478">
        <f>IF(ISNUMBER($I$6),$I$6/100,0)</f>
        <v>0</v>
      </c>
      <c r="V78" s="478">
        <f>IF(ISNUMBER($I$7),$I$7/100,0)</f>
        <v>0</v>
      </c>
      <c r="W78" s="478">
        <f>IF(ISNUMBER($I$8),$I$8/100,0)</f>
        <v>0</v>
      </c>
      <c r="Y78" s="1227"/>
      <c r="Z78" s="1117" t="s">
        <v>2212</v>
      </c>
      <c r="AA78" s="478">
        <f>IF(ISNUMBER($I$4),$I$4/100,0)</f>
        <v>0</v>
      </c>
      <c r="AB78" s="478">
        <f>IF(ISNUMBER($I$5),$I$5/100,0)</f>
        <v>0</v>
      </c>
      <c r="AC78" s="478">
        <f>IF(ISNUMBER($I$6),$I$6/100,0)</f>
        <v>0</v>
      </c>
      <c r="AD78" s="478">
        <f>IF(ISNUMBER($I$7),$I$7/100,0)</f>
        <v>0</v>
      </c>
      <c r="AE78" s="478">
        <f>IF(ISNUMBER($I$8),$I$8/100,0)</f>
        <v>0</v>
      </c>
      <c r="AG78" s="1227"/>
      <c r="AH78" s="1117" t="s">
        <v>2212</v>
      </c>
      <c r="AI78" s="478">
        <f>IF(ISNUMBER($I$13),$I$13/100,0)</f>
        <v>0</v>
      </c>
      <c r="AJ78" s="478">
        <f>IF(ISNUMBER($I$14),$I$14/100,0)</f>
        <v>0</v>
      </c>
      <c r="AK78" s="478">
        <f>IF(ISNUMBER($I$15),$I$15/100,0)</f>
        <v>0</v>
      </c>
      <c r="AL78" s="478">
        <f>IF(ISNUMBER($I$16),$I$16/100,0)</f>
        <v>0</v>
      </c>
      <c r="AM78" s="478">
        <f>IF(ISNUMBER($I$17),$I$17/100,0)</f>
        <v>0</v>
      </c>
      <c r="AO78" s="1227"/>
      <c r="AP78" s="1117" t="s">
        <v>2212</v>
      </c>
      <c r="AQ78" s="478">
        <f>IF(ISNUMBER($I$13),$I$13/100,0)</f>
        <v>0</v>
      </c>
      <c r="AR78" s="478">
        <f>IF(ISNUMBER($I$14),$I$14/100,0)</f>
        <v>0</v>
      </c>
      <c r="AS78" s="478">
        <f>IF(ISNUMBER($I$15),$I$15/100,0)</f>
        <v>0</v>
      </c>
      <c r="AT78" s="478">
        <f>IF(ISNUMBER($I$16),$I$16/100,0)</f>
        <v>0</v>
      </c>
      <c r="AU78" s="478">
        <f>IF(ISNUMBER($I$17),$I$17/100,0)</f>
        <v>0</v>
      </c>
    </row>
    <row r="79" spans="17:47" x14ac:dyDescent="0.2">
      <c r="Q79" s="185"/>
      <c r="R79" s="1226" t="s">
        <v>2210</v>
      </c>
      <c r="S79" s="185" t="e">
        <f>$S$75</f>
        <v>#DIV/0!</v>
      </c>
      <c r="T79" s="185" t="e">
        <f t="shared" ref="T79:W79" si="12">$S$75</f>
        <v>#DIV/0!</v>
      </c>
      <c r="U79" s="185" t="e">
        <f t="shared" si="12"/>
        <v>#DIV/0!</v>
      </c>
      <c r="V79" s="185" t="e">
        <f t="shared" si="12"/>
        <v>#DIV/0!</v>
      </c>
      <c r="W79" s="185" t="e">
        <f t="shared" si="12"/>
        <v>#DIV/0!</v>
      </c>
      <c r="Y79" s="185"/>
      <c r="Z79" s="1226" t="s">
        <v>2210</v>
      </c>
      <c r="AA79" s="455" t="e">
        <f>$AA$75</f>
        <v>#DIV/0!</v>
      </c>
      <c r="AB79" s="455" t="e">
        <f t="shared" ref="AB79:AE79" si="13">$AA$75</f>
        <v>#DIV/0!</v>
      </c>
      <c r="AC79" s="455" t="e">
        <f t="shared" si="13"/>
        <v>#DIV/0!</v>
      </c>
      <c r="AD79" s="455" t="e">
        <f t="shared" si="13"/>
        <v>#DIV/0!</v>
      </c>
      <c r="AE79" s="455" t="e">
        <f t="shared" si="13"/>
        <v>#DIV/0!</v>
      </c>
      <c r="AG79" s="185"/>
      <c r="AH79" s="1226" t="s">
        <v>2210</v>
      </c>
      <c r="AI79" s="185" t="e">
        <f>$AI$75</f>
        <v>#DIV/0!</v>
      </c>
      <c r="AJ79" s="185" t="e">
        <f t="shared" ref="AJ79:AM79" si="14">$AI$75</f>
        <v>#DIV/0!</v>
      </c>
      <c r="AK79" s="185" t="e">
        <f t="shared" si="14"/>
        <v>#DIV/0!</v>
      </c>
      <c r="AL79" s="185" t="e">
        <f t="shared" si="14"/>
        <v>#DIV/0!</v>
      </c>
      <c r="AM79" s="185" t="e">
        <f t="shared" si="14"/>
        <v>#DIV/0!</v>
      </c>
      <c r="AO79" s="185"/>
      <c r="AP79" s="1226" t="s">
        <v>2210</v>
      </c>
      <c r="AQ79" s="455" t="e">
        <f>$AQ$75</f>
        <v>#DIV/0!</v>
      </c>
      <c r="AR79" s="455" t="e">
        <f t="shared" ref="AR79:AU79" si="15">$AQ$75</f>
        <v>#DIV/0!</v>
      </c>
      <c r="AS79" s="455" t="e">
        <f t="shared" si="15"/>
        <v>#DIV/0!</v>
      </c>
      <c r="AT79" s="455" t="e">
        <f t="shared" si="15"/>
        <v>#DIV/0!</v>
      </c>
      <c r="AU79" s="455" t="e">
        <f t="shared" si="15"/>
        <v>#DIV/0!</v>
      </c>
    </row>
    <row r="80" spans="17:47" x14ac:dyDescent="0.2">
      <c r="R80" s="83" t="s">
        <v>2211</v>
      </c>
      <c r="S80" s="248" t="e">
        <f>ROUND(PRODUCT(S78:S79),0)</f>
        <v>#DIV/0!</v>
      </c>
      <c r="T80" s="248" t="e">
        <f>ROUND(PRODUCT(T78:T79),0)</f>
        <v>#DIV/0!</v>
      </c>
      <c r="U80" s="248" t="e">
        <f>ROUND(PRODUCT(U78:U79),0)</f>
        <v>#DIV/0!</v>
      </c>
      <c r="V80" s="248" t="e">
        <f>ROUND(PRODUCT(V78:V79),0)</f>
        <v>#DIV/0!</v>
      </c>
      <c r="W80" s="248" t="e">
        <f>ROUND(PRODUCT(W78:W79),0)</f>
        <v>#DIV/0!</v>
      </c>
      <c r="Z80" s="83" t="s">
        <v>2231</v>
      </c>
      <c r="AA80" s="248" t="e">
        <f>ROUND(PRODUCT(AA78:AA79),0)</f>
        <v>#DIV/0!</v>
      </c>
      <c r="AB80" s="248" t="e">
        <f>ROUND(PRODUCT(AB78:AB79),0)</f>
        <v>#DIV/0!</v>
      </c>
      <c r="AC80" s="248" t="e">
        <f>ROUND(PRODUCT(AC78:AC79),0)</f>
        <v>#DIV/0!</v>
      </c>
      <c r="AD80" s="248" t="e">
        <f>ROUND(PRODUCT(AD78:AD79),0)</f>
        <v>#DIV/0!</v>
      </c>
      <c r="AE80" s="248" t="e">
        <f>ROUND(PRODUCT(AE78:AE79),0)</f>
        <v>#DIV/0!</v>
      </c>
      <c r="AH80" s="83" t="s">
        <v>2211</v>
      </c>
      <c r="AI80" s="248" t="e">
        <f>ROUND(PRODUCT(AI78:AI79),0)</f>
        <v>#DIV/0!</v>
      </c>
      <c r="AJ80" s="248" t="e">
        <f>ROUND(PRODUCT(AJ78:AJ79),0)</f>
        <v>#DIV/0!</v>
      </c>
      <c r="AK80" s="248" t="e">
        <f>ROUND(PRODUCT(AK78:AK79),0)</f>
        <v>#DIV/0!</v>
      </c>
      <c r="AL80" s="248" t="e">
        <f>ROUND(PRODUCT(AL78:AL79),0)</f>
        <v>#DIV/0!</v>
      </c>
      <c r="AM80" s="248" t="e">
        <f>ROUND(PRODUCT(AM78:AM79),0)</f>
        <v>#DIV/0!</v>
      </c>
      <c r="AP80" s="83" t="s">
        <v>2231</v>
      </c>
      <c r="AQ80" s="248" t="e">
        <f>ROUND(PRODUCT(AQ78:AQ79),0)</f>
        <v>#DIV/0!</v>
      </c>
      <c r="AR80" s="248" t="e">
        <f>ROUND(PRODUCT(AR78:AR79),0)</f>
        <v>#DIV/0!</v>
      </c>
      <c r="AS80" s="248" t="e">
        <f>ROUND(PRODUCT(AS78:AS79),0)</f>
        <v>#DIV/0!</v>
      </c>
      <c r="AT80" s="248" t="e">
        <f>ROUND(PRODUCT(AT78:AT79),0)</f>
        <v>#DIV/0!</v>
      </c>
      <c r="AU80" s="248" t="e">
        <f>ROUND(PRODUCT(AU78:AU79),0)</f>
        <v>#DIV/0!</v>
      </c>
    </row>
  </sheetData>
  <mergeCells count="9">
    <mergeCell ref="Q46:W46"/>
    <mergeCell ref="Y46:AE46"/>
    <mergeCell ref="AG46:AM46"/>
    <mergeCell ref="AO46:AU46"/>
    <mergeCell ref="K1:O1"/>
    <mergeCell ref="Q1:W1"/>
    <mergeCell ref="Y1:AE1"/>
    <mergeCell ref="AG1:AM1"/>
    <mergeCell ref="AO1:AU1"/>
  </mergeCells>
  <conditionalFormatting sqref="E22:I26">
    <cfRule type="expression" dxfId="3" priority="4">
      <formula>IF($C$23="Yes",TRUE,FALSE)</formula>
    </cfRule>
  </conditionalFormatting>
  <conditionalFormatting sqref="E31:I35">
    <cfRule type="expression" dxfId="2" priority="3">
      <formula>IF($C$24="Yes",TRUE,FALSE)</formula>
    </cfRule>
  </conditionalFormatting>
  <conditionalFormatting sqref="E13:I17">
    <cfRule type="expression" dxfId="1" priority="2">
      <formula>IF($C$22="Yes",TRUE,FALSE)</formula>
    </cfRule>
  </conditionalFormatting>
  <conditionalFormatting sqref="E4:I8">
    <cfRule type="expression" dxfId="0" priority="1">
      <formula>IF($C$21="Yes",TRUE,FALSE)</formula>
    </cfRule>
  </conditionalFormatting>
  <dataValidations count="15">
    <dataValidation type="list" allowBlank="1" showInputMessage="1" showErrorMessage="1" promptTitle="Protection Class" prompt="Please Select from drop down" sqref="F4:F8">
      <formula1>OFFSET(Table_ProtClass,0,0,,1)</formula1>
    </dataValidation>
    <dataValidation type="list" allowBlank="1" showInputMessage="1" showErrorMessage="1" promptTitle="Group II - Construction Symbol" prompt="This designation is based upon the Construction classification chosen for the Group I - Construction Type._x000a__x000a_Please selectr the Group II Symbol desired:_x000a_{ A | AA | AB | B }" sqref="H4:H8 H13:H17 H22:H26 H31:H35">
      <formula1>OFFSET(Table_G2SymLC,0,0,,1)</formula1>
    </dataValidation>
    <dataValidation type="list" allowBlank="1" showInputMessage="1" showErrorMessage="1" promptTitle="Group 1 - Construction Codes:" prompt="Please Select:_x000a_1 - Frame_x000a_2 - Joint Masonry_x000a_3 - Non-Combustible_x000a_4 - Masonry Non-Combustible_x000a_5 - Modified Fire Resistive_x000a_6 - Fire Resistive" sqref="G4:G8 G13:G17 G22:G26 G31:G35">
      <formula1>List_ConstrNum</formula1>
    </dataValidation>
    <dataValidation type="list" allowBlank="1" showInputMessage="1" showErrorMessage="1" promptTitle="Class Code Selection" prompt="Please select your building class code" sqref="E4:E8 E13:E17 E22:F26 E31:F35">
      <formula1>OFFSET(Table_G1_LC,0,0,,1)</formula1>
    </dataValidation>
    <dataValidation type="list" allowBlank="1" showInputMessage="1" showErrorMessage="1" promptTitle="Protection Class:" prompt="Please select a number (1 - 10)" sqref="F13:F17">
      <formula1>OFFSET(Table_ProtClass,0,0,,1)</formula1>
    </dataValidation>
    <dataValidation type="list" allowBlank="1" showInputMessage="1" showErrorMessage="1" promptTitle="Special - Cause of Loss" prompt="Please select:_x000a_1 - Including Theft_x000a_2 - Excluding Theft" sqref="C12">
      <formula1>IF($C$11="SP",List_SPTheft,List_No)</formula1>
    </dataValidation>
    <dataValidation type="list" allowBlank="1" showInputMessage="1" showErrorMessage="1" promptTitle="Select Company:" prompt="GAAL, GAAS, GAIC, GANY" sqref="C10">
      <formula1>List_Company</formula1>
    </dataValidation>
    <dataValidation type="list" allowBlank="1" showInputMessage="1" showErrorMessage="1" promptTitle="Select Policy Symbol:" prompt="CPP   - Monoline Property Only_x000a_MAC  - Monoline Account_x000a_PAC   - Package Mod*_x000a__x000a_* If PAC is chosen please specify Package Type below." sqref="C6">
      <formula1>List_PolSymbols</formula1>
    </dataValidation>
    <dataValidation type="list" allowBlank="1" showInputMessage="1" showErrorMessage="1" promptTitle="Please Select Cause of Loss:" prompt="BA  = Basic_x000a_BR  = Broad_x000a_SP  = Special" sqref="C11">
      <formula1>List_CauseBldg</formula1>
    </dataValidation>
    <dataValidation type="custom" allowBlank="1" showInputMessage="1" showErrorMessage="1" promptTitle="BROAD Form - Column Ref." prompt="This factor is used to determine the which column to use in the Broad Form - Loss Cost table." sqref="B11">
      <formula1>FALSE</formula1>
    </dataValidation>
    <dataValidation type="custom" allowBlank="1" showInputMessage="1" showErrorMessage="1" promptTitle="Automatic Field" prompt="Enter the 2-letter state abbreviation on the Index1_Rules tab." sqref="C3">
      <formula1>FALSE</formula1>
    </dataValidation>
    <dataValidation type="list" allowBlank="1" showInputMessage="1" showErrorMessage="1" promptTitle="Select Type:" prompt="A = Apartments_x000a_CH = Church_x000a_C = Contractor_x000a_IP = Industrial Processing_x000a_I = Institutional_x000a_M = Mercantile_x000a_MH  = Motel/Hotel_x000a_O = Offices_x000a_P = Printer_x000a_R = Restaurant_x000a_S = Service" sqref="B7">
      <formula1>IF($C$6="PAC",OFFSET(Table_PakMods,0,0,,1),List_No)</formula1>
    </dataValidation>
    <dataValidation type="list" allowBlank="1" showInputMessage="1" showErrorMessage="1" promptTitle="Coverage Selection" prompt="Please Select:_x000a_{ Yes or No }" sqref="C21:C24">
      <formula1>List_YN</formula1>
    </dataValidation>
    <dataValidation type="list" allowBlank="1" showInputMessage="1" showErrorMessage="1" promptTitle="Coinsurance Percent" prompt="Please Select:_x000a_{ 80, 90, 100 }" sqref="C15 C17">
      <formula1>OFFSET(Table_CoIns_Blanket,0,0,,1)</formula1>
    </dataValidation>
    <dataValidation type="list" allowBlank="1" showInputMessage="1" showErrorMessage="1" promptTitle="Deductible Amount:" prompt="Please Select from list:_x000a_(250 - 75,000)" sqref="B16 B18">
      <formula1>List_DedSelect</formula1>
    </dataValidation>
  </dataValidations>
  <printOptions horizontalCentered="1"/>
  <pageMargins left="0.25" right="0.25" top="0.5" bottom="0.5" header="0.25" footer="0.25"/>
  <pageSetup scale="85" fitToHeight="0" orientation="portrait" r:id="rId1"/>
  <headerFooter alignWithMargins="0">
    <oddHeader>&amp;R&amp;F</oddHeader>
    <oddFooter>&amp;L&amp;"Arial,Bold"&amp;8Printed: &amp;"Arial,Regular"&amp;D, &amp;T&amp;C&amp;8&amp;A&amp;R&amp;8&amp;P/&amp;N</oddFooter>
  </headerFooter>
  <rowBreaks count="1" manualBreakCount="1">
    <brk id="45" max="46" man="1"/>
  </rowBreaks>
  <colBreaks count="6" manualBreakCount="6">
    <brk id="9" max="1048575" man="1"/>
    <brk id="16" max="44" man="1"/>
    <brk id="24" max="44" man="1"/>
    <brk id="24" min="45" max="81" man="1"/>
    <brk id="40" max="44" man="1"/>
    <brk id="40" min="45" max="81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213</vt:i4>
      </vt:variant>
    </vt:vector>
  </HeadingPairs>
  <TitlesOfParts>
    <vt:vector size="281" baseType="lpstr">
      <vt:lpstr>Analysis</vt:lpstr>
      <vt:lpstr>Index1_Rules</vt:lpstr>
      <vt:lpstr>Index2_Ded</vt:lpstr>
      <vt:lpstr>Index3_Classes</vt:lpstr>
      <vt:lpstr>Index4_EQ</vt:lpstr>
      <vt:lpstr>TC1_Summary</vt:lpstr>
      <vt:lpstr>TC1_BLDG1</vt:lpstr>
      <vt:lpstr>TC1_PP1</vt:lpstr>
      <vt:lpstr>TC1_BLDG2</vt:lpstr>
      <vt:lpstr>TC1_PP2</vt:lpstr>
      <vt:lpstr>TC1_BLDG3</vt:lpstr>
      <vt:lpstr>TC1_PP3</vt:lpstr>
      <vt:lpstr>TC1_Blanket1</vt:lpstr>
      <vt:lpstr>TC2_Summary</vt:lpstr>
      <vt:lpstr>TC2_PP1</vt:lpstr>
      <vt:lpstr>TC2_PP2</vt:lpstr>
      <vt:lpstr>TC2_PP3</vt:lpstr>
      <vt:lpstr>TC3_Summary</vt:lpstr>
      <vt:lpstr>TC3_BLDG1</vt:lpstr>
      <vt:lpstr>TC3_PP1</vt:lpstr>
      <vt:lpstr>TC3_BLDG2</vt:lpstr>
      <vt:lpstr>TC3_PP2</vt:lpstr>
      <vt:lpstr>TC3_BLDG3</vt:lpstr>
      <vt:lpstr>TC3_PP3</vt:lpstr>
      <vt:lpstr>TC3_Blanket1</vt:lpstr>
      <vt:lpstr>TC4_Summary</vt:lpstr>
      <vt:lpstr>TC4_BLDG1</vt:lpstr>
      <vt:lpstr>TC4_PP1</vt:lpstr>
      <vt:lpstr>TC5_Summary</vt:lpstr>
      <vt:lpstr>TC5_BLDG1</vt:lpstr>
      <vt:lpstr>TC5_PP1</vt:lpstr>
      <vt:lpstr>TC5_BI1</vt:lpstr>
      <vt:lpstr>TC5_EE1</vt:lpstr>
      <vt:lpstr>TC5_EQ1</vt:lpstr>
      <vt:lpstr>TC5_Blanket1</vt:lpstr>
      <vt:lpstr>TC6_Summary</vt:lpstr>
      <vt:lpstr>TC6_BLDG1</vt:lpstr>
      <vt:lpstr>TC6_PP1</vt:lpstr>
      <vt:lpstr>TC6_BI1</vt:lpstr>
      <vt:lpstr>TC6_EE1</vt:lpstr>
      <vt:lpstr>TC6_EQ1</vt:lpstr>
      <vt:lpstr>TC6_Blanket1</vt:lpstr>
      <vt:lpstr>TC7_Summary</vt:lpstr>
      <vt:lpstr>TC7_BLDG1</vt:lpstr>
      <vt:lpstr>TC7_PP1</vt:lpstr>
      <vt:lpstr>TC7_BI1</vt:lpstr>
      <vt:lpstr>TC7_EE1</vt:lpstr>
      <vt:lpstr>TC7_EQ1</vt:lpstr>
      <vt:lpstr>TC8_Summary</vt:lpstr>
      <vt:lpstr>TC8_BLDG1</vt:lpstr>
      <vt:lpstr>TC8_PP1</vt:lpstr>
      <vt:lpstr>TC8_BI1</vt:lpstr>
      <vt:lpstr>TC8_EE1</vt:lpstr>
      <vt:lpstr>TC8_EQ1</vt:lpstr>
      <vt:lpstr>TC9_Summary</vt:lpstr>
      <vt:lpstr>TC9_BLDG1</vt:lpstr>
      <vt:lpstr>TC9_PP1</vt:lpstr>
      <vt:lpstr>TC9_BI1</vt:lpstr>
      <vt:lpstr>TC9_EE1</vt:lpstr>
      <vt:lpstr>TC9_EQ1</vt:lpstr>
      <vt:lpstr>TC9_Blanket1</vt:lpstr>
      <vt:lpstr>TC10_Summary</vt:lpstr>
      <vt:lpstr>TC10_BLDG1</vt:lpstr>
      <vt:lpstr>TC10_PP1</vt:lpstr>
      <vt:lpstr>TC10_BI1</vt:lpstr>
      <vt:lpstr>TC10_EE1</vt:lpstr>
      <vt:lpstr>TC10_EQ1</vt:lpstr>
      <vt:lpstr>TC10_Blanket1</vt:lpstr>
      <vt:lpstr>DF_250Deductible</vt:lpstr>
      <vt:lpstr>DF_AgreedFctr</vt:lpstr>
      <vt:lpstr>DF_BI_AV</vt:lpstr>
      <vt:lpstr>DF_BI_BRF1</vt:lpstr>
      <vt:lpstr>DF_BI_BRF2</vt:lpstr>
      <vt:lpstr>DF_BI_Power</vt:lpstr>
      <vt:lpstr>DF_BL_Max</vt:lpstr>
      <vt:lpstr>DF_BrandLabel</vt:lpstr>
      <vt:lpstr>DF_CCUO_MiscPty</vt:lpstr>
      <vt:lpstr>DF_DebrisRem</vt:lpstr>
      <vt:lpstr>DF_EQ_OrdLaw</vt:lpstr>
      <vt:lpstr>DF_FBldgValue</vt:lpstr>
      <vt:lpstr>DF_FireVault</vt:lpstr>
      <vt:lpstr>DF_FPPValue</vt:lpstr>
      <vt:lpstr>DF_LL_AddInsured</vt:lpstr>
      <vt:lpstr>DF_LL_CIBldg</vt:lpstr>
      <vt:lpstr>DF_LL_CIPty</vt:lpstr>
      <vt:lpstr>DF_MoltenMaterial</vt:lpstr>
      <vt:lpstr>DF_MRPCredit</vt:lpstr>
      <vt:lpstr>DF_OrdLaw</vt:lpstr>
      <vt:lpstr>DF_SellPrice</vt:lpstr>
      <vt:lpstr>DF_SepHeatCredit</vt:lpstr>
      <vt:lpstr>DF_Sprinkler50</vt:lpstr>
      <vt:lpstr>DF_SprLkg</vt:lpstr>
      <vt:lpstr>DF_State</vt:lpstr>
      <vt:lpstr>DF_TerrorDT</vt:lpstr>
      <vt:lpstr>DF_TerrorDTnbc</vt:lpstr>
      <vt:lpstr>DF_Time_Law</vt:lpstr>
      <vt:lpstr>DF_Time_LawEQ</vt:lpstr>
      <vt:lpstr>List_AddtlClass</vt:lpstr>
      <vt:lpstr>List_BCEG99</vt:lpstr>
      <vt:lpstr>List_BI_Educ</vt:lpstr>
      <vt:lpstr>List_BI_Mining</vt:lpstr>
      <vt:lpstr>List_BI_OccType</vt:lpstr>
      <vt:lpstr>List_Blank</vt:lpstr>
      <vt:lpstr>List_BlanketCoIns</vt:lpstr>
      <vt:lpstr>List_CauseBldg</vt:lpstr>
      <vt:lpstr>List_CCUO_Cause</vt:lpstr>
      <vt:lpstr>List_ClassLC</vt:lpstr>
      <vt:lpstr>List_Company</vt:lpstr>
      <vt:lpstr>List_ConstrNum</vt:lpstr>
      <vt:lpstr>List_ContentSP</vt:lpstr>
      <vt:lpstr>List_ContentYd</vt:lpstr>
      <vt:lpstr>List_DedSelect</vt:lpstr>
      <vt:lpstr>List_Deductibles</vt:lpstr>
      <vt:lpstr>List_EQBldgClass</vt:lpstr>
      <vt:lpstr>List_EQDeductibles</vt:lpstr>
      <vt:lpstr>List_IGyr</vt:lpstr>
      <vt:lpstr>List_LOI_Bldg</vt:lpstr>
      <vt:lpstr>List_LOI_PP</vt:lpstr>
      <vt:lpstr>List_MHCol</vt:lpstr>
      <vt:lpstr>List_MosLimit</vt:lpstr>
      <vt:lpstr>List_NA</vt:lpstr>
      <vt:lpstr>List_NBC</vt:lpstr>
      <vt:lpstr>List_No</vt:lpstr>
      <vt:lpstr>List_Occupancy</vt:lpstr>
      <vt:lpstr>List_PolicyFormTypes</vt:lpstr>
      <vt:lpstr>List_PolSymbols</vt:lpstr>
      <vt:lpstr>List_PP_Types</vt:lpstr>
      <vt:lpstr>List_PP_Types2</vt:lpstr>
      <vt:lpstr>List_PPGrade</vt:lpstr>
      <vt:lpstr>List_PPSeverity</vt:lpstr>
      <vt:lpstr>List_Ratings</vt:lpstr>
      <vt:lpstr>List_RatingType</vt:lpstr>
      <vt:lpstr>List_Relatives</vt:lpstr>
      <vt:lpstr>List_SpecialClass</vt:lpstr>
      <vt:lpstr>List_SpecialRisk</vt:lpstr>
      <vt:lpstr>List_SpoilClass</vt:lpstr>
      <vt:lpstr>List_SPTheft</vt:lpstr>
      <vt:lpstr>List_VacantClasses</vt:lpstr>
      <vt:lpstr>List_WHDed</vt:lpstr>
      <vt:lpstr>List_YN</vt:lpstr>
      <vt:lpstr>Index2_Ded!Print_Area</vt:lpstr>
      <vt:lpstr>Index3_Classes!Print_Area</vt:lpstr>
      <vt:lpstr>Index4_EQ!Print_Area</vt:lpstr>
      <vt:lpstr>TC1_Blanket1!Print_Area</vt:lpstr>
      <vt:lpstr>TC1_BLDG1!Print_Area</vt:lpstr>
      <vt:lpstr>TC1_BLDG2!Print_Area</vt:lpstr>
      <vt:lpstr>TC1_BLDG3!Print_Area</vt:lpstr>
      <vt:lpstr>TC10_BI1!Print_Area</vt:lpstr>
      <vt:lpstr>TC10_Blanket1!Print_Area</vt:lpstr>
      <vt:lpstr>TC10_BLDG1!Print_Area</vt:lpstr>
      <vt:lpstr>TC10_EE1!Print_Area</vt:lpstr>
      <vt:lpstr>TC10_EQ1!Print_Area</vt:lpstr>
      <vt:lpstr>TC3_Blanket1!Print_Area</vt:lpstr>
      <vt:lpstr>TC3_BLDG1!Print_Area</vt:lpstr>
      <vt:lpstr>TC3_BLDG2!Print_Area</vt:lpstr>
      <vt:lpstr>TC3_BLDG3!Print_Area</vt:lpstr>
      <vt:lpstr>TC4_BLDG1!Print_Area</vt:lpstr>
      <vt:lpstr>TC5_BI1!Print_Area</vt:lpstr>
      <vt:lpstr>TC5_Blanket1!Print_Area</vt:lpstr>
      <vt:lpstr>TC5_BLDG1!Print_Area</vt:lpstr>
      <vt:lpstr>TC5_EE1!Print_Area</vt:lpstr>
      <vt:lpstr>TC5_EQ1!Print_Area</vt:lpstr>
      <vt:lpstr>TC6_BI1!Print_Area</vt:lpstr>
      <vt:lpstr>TC6_Blanket1!Print_Area</vt:lpstr>
      <vt:lpstr>TC6_BLDG1!Print_Area</vt:lpstr>
      <vt:lpstr>TC6_EE1!Print_Area</vt:lpstr>
      <vt:lpstr>TC6_EQ1!Print_Area</vt:lpstr>
      <vt:lpstr>TC7_BI1!Print_Area</vt:lpstr>
      <vt:lpstr>TC7_BLDG1!Print_Area</vt:lpstr>
      <vt:lpstr>TC7_EE1!Print_Area</vt:lpstr>
      <vt:lpstr>TC7_EQ1!Print_Area</vt:lpstr>
      <vt:lpstr>TC8_BI1!Print_Area</vt:lpstr>
      <vt:lpstr>TC8_BLDG1!Print_Area</vt:lpstr>
      <vt:lpstr>TC8_EE1!Print_Area</vt:lpstr>
      <vt:lpstr>TC8_EQ1!Print_Area</vt:lpstr>
      <vt:lpstr>TC9_BI1!Print_Area</vt:lpstr>
      <vt:lpstr>TC9_Blanket1!Print_Area</vt:lpstr>
      <vt:lpstr>TC9_BLDG1!Print_Area</vt:lpstr>
      <vt:lpstr>TC9_EE1!Print_Area</vt:lpstr>
      <vt:lpstr>TC9_EQ1!Print_Area</vt:lpstr>
      <vt:lpstr>Summary1</vt:lpstr>
      <vt:lpstr>Summary10</vt:lpstr>
      <vt:lpstr>Summary2</vt:lpstr>
      <vt:lpstr>Summary3</vt:lpstr>
      <vt:lpstr>Summary4</vt:lpstr>
      <vt:lpstr>Summary5</vt:lpstr>
      <vt:lpstr>Summary6</vt:lpstr>
      <vt:lpstr>Summary7</vt:lpstr>
      <vt:lpstr>Summary8</vt:lpstr>
      <vt:lpstr>Summary9</vt:lpstr>
      <vt:lpstr>Table_AddtlClass</vt:lpstr>
      <vt:lpstr>Index4_EQ!Table_BCEG</vt:lpstr>
      <vt:lpstr>Table_BCEG</vt:lpstr>
      <vt:lpstr>Index4_EQ!Table_BCEG_EQ</vt:lpstr>
      <vt:lpstr>Table_BCEG_EQ</vt:lpstr>
      <vt:lpstr>Table_BI_CoIns</vt:lpstr>
      <vt:lpstr>Table_BI_CoIns_EE</vt:lpstr>
      <vt:lpstr>Table_BI_Educ</vt:lpstr>
      <vt:lpstr>Table_BI_EMR</vt:lpstr>
      <vt:lpstr>Table_BI_IndDays</vt:lpstr>
      <vt:lpstr>Table_BI_MaxInd</vt:lpstr>
      <vt:lpstr>Table_BI_Mining</vt:lpstr>
      <vt:lpstr>Table_BI_Mos1</vt:lpstr>
      <vt:lpstr>Table_BI_Mos2</vt:lpstr>
      <vt:lpstr>Table_BI_Mos3</vt:lpstr>
      <vt:lpstr>Table_BI_OrdPR</vt:lpstr>
      <vt:lpstr>Table_BI_Seasonal</vt:lpstr>
      <vt:lpstr>Table_BI_Wait</vt:lpstr>
      <vt:lpstr>Table_BroadLC</vt:lpstr>
      <vt:lpstr>Table_BroadTime</vt:lpstr>
      <vt:lpstr>Table_CCUO_Loss</vt:lpstr>
      <vt:lpstr>Table_CCUO_LossPer5K</vt:lpstr>
      <vt:lpstr>Table_CIdesc</vt:lpstr>
      <vt:lpstr>Table_CIUnder80</vt:lpstr>
      <vt:lpstr>Table_CivilAuth</vt:lpstr>
      <vt:lpstr>Table_CoIns_Blanket</vt:lpstr>
      <vt:lpstr>Table_CoIns1</vt:lpstr>
      <vt:lpstr>Table_CoIns2</vt:lpstr>
      <vt:lpstr>Table_Construction</vt:lpstr>
      <vt:lpstr>Table_ContentA</vt:lpstr>
      <vt:lpstr>Table_ContentB</vt:lpstr>
      <vt:lpstr>Table_ContentC</vt:lpstr>
      <vt:lpstr>Table_ContentYd</vt:lpstr>
      <vt:lpstr>Table_DebrisRemoval</vt:lpstr>
      <vt:lpstr>Table_Ded250</vt:lpstr>
      <vt:lpstr>Table_DedMax</vt:lpstr>
      <vt:lpstr>Table_DedMin</vt:lpstr>
      <vt:lpstr>Table_EE_CoIns</vt:lpstr>
      <vt:lpstr>Table_EQ_BCEG</vt:lpstr>
      <vt:lpstr>Table_EQ_BldgClass</vt:lpstr>
      <vt:lpstr>Table_EQ_Class7</vt:lpstr>
      <vt:lpstr>Table_EQ_CoIns</vt:lpstr>
      <vt:lpstr>Table_EQ_Deductible</vt:lpstr>
      <vt:lpstr>Table_EQ_LC</vt:lpstr>
      <vt:lpstr>Table_EQ_Masonry</vt:lpstr>
      <vt:lpstr>Table_EQ_OptStory</vt:lpstr>
      <vt:lpstr>Table_EQ_PPGrade</vt:lpstr>
      <vt:lpstr>Table_EQ_SprLkg</vt:lpstr>
      <vt:lpstr>Table_EQ_SprLkgExt</vt:lpstr>
      <vt:lpstr>Table_EQ_Tiers</vt:lpstr>
      <vt:lpstr>Table_G1_LC</vt:lpstr>
      <vt:lpstr>Table_G2SymLC</vt:lpstr>
      <vt:lpstr>Table_InflationGd</vt:lpstr>
      <vt:lpstr>Table_LOI_Bldg</vt:lpstr>
      <vt:lpstr>Table_LOI_PP</vt:lpstr>
      <vt:lpstr>Table_MortgageHolder</vt:lpstr>
      <vt:lpstr>Table_Other_PierWharf</vt:lpstr>
      <vt:lpstr>Table_Other_WaterBuyback</vt:lpstr>
      <vt:lpstr>Table_PakMods</vt:lpstr>
      <vt:lpstr>Table_PCR_Ded</vt:lpstr>
      <vt:lpstr>Table_PlusEnd</vt:lpstr>
      <vt:lpstr>Table_PolRemoval</vt:lpstr>
      <vt:lpstr>Table_ProtClass</vt:lpstr>
      <vt:lpstr>Table_PtyEnd</vt:lpstr>
      <vt:lpstr>Table_Special_Bldg</vt:lpstr>
      <vt:lpstr>Table_Special_PP</vt:lpstr>
      <vt:lpstr>Table_SpecialCR</vt:lpstr>
      <vt:lpstr>Table_SpecialLC</vt:lpstr>
      <vt:lpstr>Table_SpoilCOL</vt:lpstr>
      <vt:lpstr>Table_SpoilColRef</vt:lpstr>
      <vt:lpstr>Table_SpoilLC</vt:lpstr>
      <vt:lpstr>Table_SpoilTypes</vt:lpstr>
      <vt:lpstr>Table_SprLkg</vt:lpstr>
      <vt:lpstr>Table_StateRates</vt:lpstr>
      <vt:lpstr>Table_TerrMult</vt:lpstr>
      <vt:lpstr>Table_TerrMult_SP</vt:lpstr>
      <vt:lpstr>Table_TerrorFire</vt:lpstr>
      <vt:lpstr>Table_Terrorism</vt:lpstr>
      <vt:lpstr>Table_TerrorNBC</vt:lpstr>
      <vt:lpstr>Table_Time_Special</vt:lpstr>
      <vt:lpstr>Table_Time_Utility</vt:lpstr>
      <vt:lpstr>Table_Utility_OHLines</vt:lpstr>
      <vt:lpstr>Table_Utility_Svcs</vt:lpstr>
      <vt:lpstr>Table_UtilityCol</vt:lpstr>
      <vt:lpstr>Table_VacancyBasic</vt:lpstr>
      <vt:lpstr>Table_VacancyOther</vt:lpstr>
      <vt:lpstr>Table_VandalExcl</vt:lpstr>
      <vt:lpstr>Table_VPFactors</vt:lpstr>
      <vt:lpstr>Table_Watchman</vt:lpstr>
      <vt:lpstr>Table_WHDed</vt:lpstr>
      <vt:lpstr>UI_CustNumber</vt:lpstr>
    </vt:vector>
  </TitlesOfParts>
  <Company>AFG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Great American Insurance</dc:creator>
  <cp:lastModifiedBy>Dale, Anand</cp:lastModifiedBy>
  <cp:lastPrinted>2010-12-21T14:01:41Z</cp:lastPrinted>
  <dcterms:created xsi:type="dcterms:W3CDTF">2008-02-20T20:12:20Z</dcterms:created>
  <dcterms:modified xsi:type="dcterms:W3CDTF">2015-05-14T05:19:29Z</dcterms:modified>
</cp:coreProperties>
</file>