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mal Qamar DATA\Data\Extra working\Jamal\Book\Valuation\Valuation\McKinsey\"/>
    </mc:Choice>
  </mc:AlternateContent>
  <bookViews>
    <workbookView xWindow="120" yWindow="60" windowWidth="15180" windowHeight="7812" activeTab="1"/>
  </bookViews>
  <sheets>
    <sheet name="Assumptions" sheetId="4" r:id="rId1"/>
    <sheet name="Economic Profit" sheetId="7" r:id="rId2"/>
    <sheet name="Financial Statement" sheetId="1" r:id="rId3"/>
    <sheet name="NOPLAT and IC" sheetId="9" r:id="rId4"/>
    <sheet name="Operating ratios" sheetId="8" r:id="rId5"/>
    <sheet name="Sheet2" sheetId="2" state="hidden" r:id="rId6"/>
    <sheet name="Sheet3" sheetId="3" state="hidden" r:id="rId7"/>
    <sheet name="Sheet5" sheetId="5" state="hidden" r:id="rId8"/>
    <sheet name="Sheet6" sheetId="6" state="hidden" r:id="rId9"/>
  </sheets>
  <definedNames>
    <definedName name="_xlnm.Print_Area" localSheetId="2">'Financial Statement'!$A$3:$H$122</definedName>
    <definedName name="_xlnm.Print_Titles" localSheetId="2">'Financial Statement'!$1:$2</definedName>
  </definedNames>
  <calcPr calcId="162913"/>
</workbook>
</file>

<file path=xl/calcChain.xml><?xml version="1.0" encoding="utf-8"?>
<calcChain xmlns="http://schemas.openxmlformats.org/spreadsheetml/2006/main">
  <c r="B1" i="4" l="1"/>
  <c r="M56" i="9"/>
  <c r="L56" i="9"/>
  <c r="K56" i="9"/>
  <c r="J56" i="9"/>
  <c r="I56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M52" i="9"/>
  <c r="L52" i="9"/>
  <c r="K52" i="9"/>
  <c r="J52" i="9"/>
  <c r="I52" i="9"/>
  <c r="H52" i="9"/>
  <c r="G52" i="9"/>
  <c r="F52" i="9"/>
  <c r="E52" i="9"/>
  <c r="D52" i="9"/>
  <c r="C52" i="9"/>
  <c r="H51" i="9"/>
  <c r="G51" i="9"/>
  <c r="F51" i="9"/>
  <c r="E51" i="9"/>
  <c r="D51" i="9"/>
  <c r="C51" i="9"/>
  <c r="M50" i="9"/>
  <c r="L50" i="9"/>
  <c r="K50" i="9"/>
  <c r="J50" i="9"/>
  <c r="I50" i="9"/>
  <c r="H50" i="9"/>
  <c r="G50" i="9"/>
  <c r="F50" i="9"/>
  <c r="E50" i="9"/>
  <c r="D50" i="9"/>
  <c r="C50" i="9"/>
  <c r="M49" i="9"/>
  <c r="L49" i="9"/>
  <c r="K49" i="9"/>
  <c r="J49" i="9"/>
  <c r="I49" i="9"/>
  <c r="H49" i="9"/>
  <c r="G49" i="9"/>
  <c r="F49" i="9"/>
  <c r="E49" i="9"/>
  <c r="D49" i="9"/>
  <c r="C49" i="9"/>
  <c r="D48" i="9"/>
  <c r="M47" i="9"/>
  <c r="L47" i="9"/>
  <c r="K47" i="9"/>
  <c r="J47" i="9"/>
  <c r="I47" i="9"/>
  <c r="H47" i="9"/>
  <c r="G47" i="9"/>
  <c r="F47" i="9"/>
  <c r="E47" i="9"/>
  <c r="D47" i="9"/>
  <c r="C47" i="9"/>
  <c r="H45" i="9"/>
  <c r="G45" i="9"/>
  <c r="F45" i="9"/>
  <c r="E45" i="9"/>
  <c r="D45" i="9"/>
  <c r="C45" i="9"/>
  <c r="M44" i="9"/>
  <c r="L44" i="9"/>
  <c r="K44" i="9"/>
  <c r="J44" i="9"/>
  <c r="I44" i="9"/>
  <c r="H44" i="9"/>
  <c r="G44" i="9"/>
  <c r="F44" i="9"/>
  <c r="E44" i="9"/>
  <c r="D44" i="9"/>
  <c r="C44" i="9"/>
  <c r="M43" i="9"/>
  <c r="L43" i="9"/>
  <c r="K43" i="9"/>
  <c r="J43" i="9"/>
  <c r="I43" i="9"/>
  <c r="H43" i="9"/>
  <c r="G43" i="9"/>
  <c r="F43" i="9"/>
  <c r="E43" i="9"/>
  <c r="D43" i="9"/>
  <c r="C43" i="9"/>
  <c r="D41" i="9"/>
  <c r="E48" i="9" s="1"/>
  <c r="M40" i="9"/>
  <c r="L40" i="9"/>
  <c r="K40" i="9"/>
  <c r="J40" i="9"/>
  <c r="I40" i="9"/>
  <c r="H40" i="9"/>
  <c r="G40" i="9"/>
  <c r="F40" i="9"/>
  <c r="E40" i="9"/>
  <c r="D40" i="9"/>
  <c r="C40" i="9"/>
  <c r="H38" i="9"/>
  <c r="G38" i="9"/>
  <c r="F38" i="9"/>
  <c r="E38" i="9"/>
  <c r="D38" i="9"/>
  <c r="C38" i="9"/>
  <c r="H28" i="9"/>
  <c r="G28" i="9"/>
  <c r="F28" i="9"/>
  <c r="E28" i="9"/>
  <c r="D28" i="9"/>
  <c r="H25" i="9"/>
  <c r="G25" i="9"/>
  <c r="F25" i="9"/>
  <c r="E25" i="9"/>
  <c r="D25" i="9"/>
  <c r="M24" i="9"/>
  <c r="L24" i="9"/>
  <c r="K24" i="9"/>
  <c r="J24" i="9"/>
  <c r="I24" i="9"/>
  <c r="H24" i="9"/>
  <c r="G24" i="9"/>
  <c r="F24" i="9"/>
  <c r="E24" i="9"/>
  <c r="D24" i="9"/>
  <c r="M23" i="9"/>
  <c r="L23" i="9"/>
  <c r="K23" i="9"/>
  <c r="J23" i="9"/>
  <c r="I23" i="9"/>
  <c r="H23" i="9"/>
  <c r="G23" i="9"/>
  <c r="F23" i="9"/>
  <c r="E23" i="9"/>
  <c r="D23" i="9"/>
  <c r="M22" i="9"/>
  <c r="L22" i="9"/>
  <c r="K22" i="9"/>
  <c r="J22" i="9"/>
  <c r="I22" i="9"/>
  <c r="H22" i="9"/>
  <c r="G22" i="9"/>
  <c r="F22" i="9"/>
  <c r="E22" i="9"/>
  <c r="D22" i="9"/>
  <c r="H16" i="9"/>
  <c r="G16" i="9"/>
  <c r="F16" i="9"/>
  <c r="E16" i="9"/>
  <c r="D16" i="9"/>
  <c r="M15" i="9"/>
  <c r="M30" i="9" s="1"/>
  <c r="L15" i="9"/>
  <c r="L30" i="9" s="1"/>
  <c r="K15" i="9"/>
  <c r="K30" i="9" s="1"/>
  <c r="J15" i="9"/>
  <c r="J30" i="9" s="1"/>
  <c r="I15" i="9"/>
  <c r="I30" i="9" s="1"/>
  <c r="H15" i="9"/>
  <c r="H30" i="9" s="1"/>
  <c r="G15" i="9"/>
  <c r="G30" i="9" s="1"/>
  <c r="F15" i="9"/>
  <c r="F30" i="9" s="1"/>
  <c r="E15" i="9"/>
  <c r="E30" i="9" s="1"/>
  <c r="D15" i="9"/>
  <c r="D30" i="9" s="1"/>
  <c r="M14" i="9"/>
  <c r="M27" i="9" s="1"/>
  <c r="L14" i="9"/>
  <c r="L27" i="9" s="1"/>
  <c r="K14" i="9"/>
  <c r="K27" i="9" s="1"/>
  <c r="J14" i="9"/>
  <c r="J27" i="9" s="1"/>
  <c r="I14" i="9"/>
  <c r="I27" i="9" s="1"/>
  <c r="H14" i="9"/>
  <c r="H27" i="9" s="1"/>
  <c r="G14" i="9"/>
  <c r="G27" i="9" s="1"/>
  <c r="F14" i="9"/>
  <c r="F27" i="9" s="1"/>
  <c r="E14" i="9"/>
  <c r="E27" i="9" s="1"/>
  <c r="D14" i="9"/>
  <c r="D27" i="9" s="1"/>
  <c r="M13" i="9"/>
  <c r="L13" i="9"/>
  <c r="K13" i="9"/>
  <c r="J13" i="9"/>
  <c r="I13" i="9"/>
  <c r="H13" i="9"/>
  <c r="G13" i="9"/>
  <c r="G17" i="9" s="1"/>
  <c r="G9" i="9" s="1"/>
  <c r="F13" i="9"/>
  <c r="F17" i="9" s="1"/>
  <c r="F9" i="9" s="1"/>
  <c r="E13" i="9"/>
  <c r="D13" i="9"/>
  <c r="H10" i="9"/>
  <c r="H21" i="9" s="1"/>
  <c r="G10" i="9"/>
  <c r="G21" i="9" s="1"/>
  <c r="F10" i="9"/>
  <c r="F21" i="9" s="1"/>
  <c r="E10" i="9"/>
  <c r="E21" i="9" s="1"/>
  <c r="D10" i="9"/>
  <c r="D21" i="9" s="1"/>
  <c r="M7" i="9"/>
  <c r="M20" i="9" s="1"/>
  <c r="L7" i="9"/>
  <c r="L20" i="9" s="1"/>
  <c r="K7" i="9"/>
  <c r="K20" i="9" s="1"/>
  <c r="J7" i="9"/>
  <c r="J20" i="9" s="1"/>
  <c r="I7" i="9"/>
  <c r="I20" i="9" s="1"/>
  <c r="H7" i="9"/>
  <c r="H20" i="9" s="1"/>
  <c r="G7" i="9"/>
  <c r="G20" i="9" s="1"/>
  <c r="F7" i="9"/>
  <c r="F20" i="9" s="1"/>
  <c r="E7" i="9"/>
  <c r="E20" i="9" s="1"/>
  <c r="D7" i="9"/>
  <c r="D20" i="9" s="1"/>
  <c r="I6" i="9"/>
  <c r="I28" i="9" s="1"/>
  <c r="M4" i="9"/>
  <c r="L4" i="9"/>
  <c r="K4" i="9"/>
  <c r="J4" i="9"/>
  <c r="I4" i="9"/>
  <c r="B1" i="8"/>
  <c r="B1" i="9" s="1"/>
  <c r="H26" i="8"/>
  <c r="G26" i="8"/>
  <c r="F26" i="8"/>
  <c r="E26" i="8"/>
  <c r="D26" i="8"/>
  <c r="H19" i="8"/>
  <c r="G19" i="8"/>
  <c r="F19" i="8"/>
  <c r="E19" i="8"/>
  <c r="D19" i="8"/>
  <c r="H11" i="8"/>
  <c r="G11" i="8"/>
  <c r="F11" i="8"/>
  <c r="E11" i="8"/>
  <c r="D11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B1" i="7"/>
  <c r="M16" i="7"/>
  <c r="L16" i="7"/>
  <c r="K16" i="7"/>
  <c r="J16" i="7"/>
  <c r="I16" i="7"/>
  <c r="H16" i="7"/>
  <c r="G16" i="7"/>
  <c r="F16" i="7"/>
  <c r="E16" i="7"/>
  <c r="D16" i="7"/>
  <c r="D53" i="9" l="1"/>
  <c r="D17" i="9"/>
  <c r="D9" i="9" s="1"/>
  <c r="H17" i="9"/>
  <c r="H9" i="9" s="1"/>
  <c r="E17" i="9"/>
  <c r="E9" i="9" s="1"/>
  <c r="C53" i="9"/>
  <c r="C57" i="9" s="1"/>
  <c r="D57" i="9"/>
  <c r="E41" i="9"/>
  <c r="F48" i="9" s="1"/>
  <c r="F53" i="9" s="1"/>
  <c r="F57" i="9" s="1"/>
  <c r="J6" i="9"/>
  <c r="I16" i="9"/>
  <c r="I17" i="9" s="1"/>
  <c r="I9" i="9" s="1"/>
  <c r="E53" i="9"/>
  <c r="E57" i="9" s="1"/>
  <c r="J17" i="9"/>
  <c r="J9" i="9" s="1"/>
  <c r="J16" i="9"/>
  <c r="F41" i="9"/>
  <c r="I31" i="1"/>
  <c r="J31" i="1" s="1"/>
  <c r="K31" i="1" s="1"/>
  <c r="L31" i="1" s="1"/>
  <c r="M31" i="1" s="1"/>
  <c r="I45" i="1"/>
  <c r="I46" i="1"/>
  <c r="I45" i="9" s="1"/>
  <c r="B156" i="2"/>
  <c r="H155" i="2"/>
  <c r="G155" i="2"/>
  <c r="F155" i="2"/>
  <c r="E155" i="2"/>
  <c r="D155" i="2"/>
  <c r="C155" i="2"/>
  <c r="F150" i="2"/>
  <c r="F152" i="2" s="1"/>
  <c r="C150" i="2"/>
  <c r="C152" i="2" s="1"/>
  <c r="H98" i="2"/>
  <c r="G98" i="2"/>
  <c r="H129" i="2" s="1"/>
  <c r="F98" i="2"/>
  <c r="G129" i="2" s="1"/>
  <c r="E98" i="2"/>
  <c r="D98" i="2"/>
  <c r="C98" i="2"/>
  <c r="D129" i="2" s="1"/>
  <c r="H68" i="2"/>
  <c r="G68" i="2"/>
  <c r="F68" i="2"/>
  <c r="E68" i="2"/>
  <c r="D68" i="2"/>
  <c r="C68" i="2"/>
  <c r="H37" i="2"/>
  <c r="G37" i="2"/>
  <c r="F37" i="2"/>
  <c r="E37" i="2"/>
  <c r="D37" i="2"/>
  <c r="C37" i="2"/>
  <c r="F36" i="2"/>
  <c r="C36" i="2"/>
  <c r="E129" i="2"/>
  <c r="H128" i="2"/>
  <c r="G128" i="2"/>
  <c r="F128" i="2"/>
  <c r="E128" i="2"/>
  <c r="D128" i="2"/>
  <c r="C128" i="2"/>
  <c r="C28" i="2"/>
  <c r="I28" i="2" s="1"/>
  <c r="F126" i="2"/>
  <c r="C126" i="2"/>
  <c r="H125" i="2"/>
  <c r="G125" i="2"/>
  <c r="E125" i="2"/>
  <c r="D125" i="2"/>
  <c r="H123" i="2"/>
  <c r="G123" i="2"/>
  <c r="E123" i="2"/>
  <c r="D123" i="2"/>
  <c r="H122" i="2"/>
  <c r="G122" i="2"/>
  <c r="E122" i="2"/>
  <c r="D122" i="2"/>
  <c r="H121" i="2"/>
  <c r="H126" i="2" s="1"/>
  <c r="G121" i="2"/>
  <c r="G126" i="2" s="1"/>
  <c r="E121" i="2"/>
  <c r="D121" i="2"/>
  <c r="C30" i="2"/>
  <c r="C40" i="2" s="1"/>
  <c r="D30" i="2"/>
  <c r="D40" i="2" s="1"/>
  <c r="E30" i="2"/>
  <c r="E40" i="2" s="1"/>
  <c r="F30" i="2"/>
  <c r="F40" i="2" s="1"/>
  <c r="G30" i="2"/>
  <c r="G40" i="2" s="1"/>
  <c r="H30" i="2"/>
  <c r="H40" i="2" s="1"/>
  <c r="H32" i="2"/>
  <c r="H36" i="2" s="1"/>
  <c r="G32" i="2"/>
  <c r="G36" i="2" s="1"/>
  <c r="E32" i="2"/>
  <c r="E36" i="2" s="1"/>
  <c r="D32" i="2"/>
  <c r="D36" i="2" s="1"/>
  <c r="G96" i="2"/>
  <c r="H96" i="2" s="1"/>
  <c r="H107" i="2" s="1"/>
  <c r="D96" i="2"/>
  <c r="E96" i="2" s="1"/>
  <c r="E107" i="2" s="1"/>
  <c r="H93" i="2"/>
  <c r="G93" i="2"/>
  <c r="F93" i="2"/>
  <c r="E93" i="2"/>
  <c r="D93" i="2"/>
  <c r="C93" i="2"/>
  <c r="H91" i="2"/>
  <c r="G91" i="2"/>
  <c r="F91" i="2"/>
  <c r="E91" i="2"/>
  <c r="D91" i="2"/>
  <c r="H88" i="2"/>
  <c r="G88" i="2"/>
  <c r="F88" i="2"/>
  <c r="F89" i="2" s="1"/>
  <c r="E88" i="2"/>
  <c r="D88" i="2"/>
  <c r="H85" i="2"/>
  <c r="G85" i="2"/>
  <c r="G89" i="2" s="1"/>
  <c r="F85" i="2"/>
  <c r="E85" i="2"/>
  <c r="D85" i="2"/>
  <c r="H86" i="2"/>
  <c r="H89" i="2" s="1"/>
  <c r="G86" i="2"/>
  <c r="F86" i="2"/>
  <c r="E86" i="2"/>
  <c r="D86" i="2"/>
  <c r="D89" i="2" s="1"/>
  <c r="H87" i="2"/>
  <c r="G87" i="2"/>
  <c r="F87" i="2"/>
  <c r="E87" i="2"/>
  <c r="D87" i="2"/>
  <c r="H103" i="2"/>
  <c r="G103" i="2"/>
  <c r="F103" i="2"/>
  <c r="E103" i="2"/>
  <c r="D103" i="2"/>
  <c r="H102" i="2"/>
  <c r="G102" i="2"/>
  <c r="F102" i="2"/>
  <c r="E102" i="2"/>
  <c r="D102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H108" i="2"/>
  <c r="G108" i="2"/>
  <c r="F108" i="2"/>
  <c r="E108" i="2"/>
  <c r="D108" i="2"/>
  <c r="C108" i="2"/>
  <c r="H106" i="2"/>
  <c r="G106" i="2"/>
  <c r="F106" i="2"/>
  <c r="E106" i="2"/>
  <c r="D106" i="2"/>
  <c r="C106" i="2"/>
  <c r="G107" i="2"/>
  <c r="G111" i="2" s="1"/>
  <c r="F107" i="2"/>
  <c r="D107" i="2"/>
  <c r="C107" i="2"/>
  <c r="H104" i="2"/>
  <c r="H105" i="2" s="1"/>
  <c r="G104" i="2"/>
  <c r="F104" i="2"/>
  <c r="E104" i="2"/>
  <c r="E105" i="2" s="1"/>
  <c r="D104" i="2"/>
  <c r="D105" i="2" s="1"/>
  <c r="C104" i="2"/>
  <c r="H99" i="2"/>
  <c r="G99" i="2"/>
  <c r="F99" i="2"/>
  <c r="E99" i="2"/>
  <c r="D99" i="2"/>
  <c r="C99" i="2"/>
  <c r="H95" i="2"/>
  <c r="G95" i="2"/>
  <c r="F95" i="2"/>
  <c r="E95" i="2"/>
  <c r="D95" i="2"/>
  <c r="C95" i="2"/>
  <c r="C103" i="2"/>
  <c r="C102" i="2"/>
  <c r="C91" i="2"/>
  <c r="E89" i="2"/>
  <c r="C88" i="2"/>
  <c r="C87" i="2"/>
  <c r="C86" i="2"/>
  <c r="C85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F84" i="2" s="1"/>
  <c r="E81" i="2"/>
  <c r="E84" i="2" s="1"/>
  <c r="D81" i="2"/>
  <c r="C81" i="2"/>
  <c r="H75" i="2"/>
  <c r="G75" i="2"/>
  <c r="F75" i="2"/>
  <c r="E75" i="2"/>
  <c r="D75" i="2"/>
  <c r="C75" i="2"/>
  <c r="H55" i="2"/>
  <c r="H60" i="2" s="1"/>
  <c r="G55" i="2"/>
  <c r="G60" i="2" s="1"/>
  <c r="F55" i="2"/>
  <c r="F60" i="2" s="1"/>
  <c r="E55" i="2"/>
  <c r="E60" i="2" s="1"/>
  <c r="D55" i="2"/>
  <c r="D60" i="2" s="1"/>
  <c r="C55" i="2"/>
  <c r="C60" i="2" s="1"/>
  <c r="I10" i="9" l="1"/>
  <c r="I21" i="9" s="1"/>
  <c r="I51" i="9"/>
  <c r="J28" i="9"/>
  <c r="K6" i="9"/>
  <c r="G48" i="9"/>
  <c r="G53" i="9" s="1"/>
  <c r="G57" i="9" s="1"/>
  <c r="G41" i="9"/>
  <c r="J46" i="1"/>
  <c r="J45" i="9" s="1"/>
  <c r="J45" i="1"/>
  <c r="C84" i="2"/>
  <c r="C105" i="2"/>
  <c r="G84" i="2"/>
  <c r="D84" i="2"/>
  <c r="H84" i="2"/>
  <c r="F105" i="2"/>
  <c r="D111" i="2"/>
  <c r="C89" i="2"/>
  <c r="G105" i="2"/>
  <c r="C43" i="2"/>
  <c r="A91" i="2"/>
  <c r="C111" i="2"/>
  <c r="C112" i="2" s="1"/>
  <c r="F111" i="2"/>
  <c r="F112" i="2" s="1"/>
  <c r="E111" i="2"/>
  <c r="H111" i="2"/>
  <c r="C90" i="2"/>
  <c r="D90" i="2"/>
  <c r="E90" i="2"/>
  <c r="E94" i="2" s="1"/>
  <c r="E97" i="2" s="1"/>
  <c r="E100" i="2" s="1"/>
  <c r="F90" i="2"/>
  <c r="G90" i="2"/>
  <c r="H90" i="2"/>
  <c r="H94" i="2" s="1"/>
  <c r="H97" i="2" s="1"/>
  <c r="H100" i="2" s="1"/>
  <c r="H112" i="2"/>
  <c r="G112" i="2"/>
  <c r="E112" i="2"/>
  <c r="D112" i="2"/>
  <c r="J51" i="9" l="1"/>
  <c r="J10" i="9"/>
  <c r="J21" i="9" s="1"/>
  <c r="K16" i="9"/>
  <c r="K17" i="9" s="1"/>
  <c r="K9" i="9" s="1"/>
  <c r="L6" i="9"/>
  <c r="K28" i="9"/>
  <c r="H48" i="9"/>
  <c r="H53" i="9" s="1"/>
  <c r="H57" i="9" s="1"/>
  <c r="H41" i="9"/>
  <c r="K45" i="1"/>
  <c r="K46" i="1"/>
  <c r="K45" i="9" s="1"/>
  <c r="G94" i="2"/>
  <c r="G97" i="2" s="1"/>
  <c r="I90" i="2"/>
  <c r="F94" i="2"/>
  <c r="F97" i="2" s="1"/>
  <c r="J90" i="2"/>
  <c r="E120" i="2"/>
  <c r="D94" i="2"/>
  <c r="D97" i="2" s="1"/>
  <c r="E126" i="2"/>
  <c r="C94" i="2"/>
  <c r="C97" i="2" s="1"/>
  <c r="D120" i="2"/>
  <c r="D126" i="2" s="1"/>
  <c r="K10" i="9" l="1"/>
  <c r="K21" i="9" s="1"/>
  <c r="K51" i="9"/>
  <c r="L16" i="9"/>
  <c r="L17" i="9" s="1"/>
  <c r="L9" i="9" s="1"/>
  <c r="M6" i="9"/>
  <c r="L28" i="9"/>
  <c r="L46" i="1"/>
  <c r="L45" i="9" s="1"/>
  <c r="L45" i="1"/>
  <c r="F100" i="2"/>
  <c r="G148" i="2"/>
  <c r="G150" i="2" s="1"/>
  <c r="G152" i="2" s="1"/>
  <c r="C100" i="2"/>
  <c r="D148" i="2"/>
  <c r="D150" i="2" s="1"/>
  <c r="D152" i="2" s="1"/>
  <c r="D100" i="2"/>
  <c r="E148" i="2"/>
  <c r="E150" i="2" s="1"/>
  <c r="E152" i="2" s="1"/>
  <c r="G100" i="2"/>
  <c r="H148" i="2"/>
  <c r="H150" i="2" s="1"/>
  <c r="H152" i="2" s="1"/>
  <c r="E6" i="6"/>
  <c r="E7" i="6"/>
  <c r="E4" i="6"/>
  <c r="K8" i="6"/>
  <c r="E8" i="6" s="1"/>
  <c r="E10" i="6" s="1"/>
  <c r="C10" i="6"/>
  <c r="C11" i="6" s="1"/>
  <c r="C7" i="6"/>
  <c r="D7" i="6" s="1"/>
  <c r="L10" i="9" l="1"/>
  <c r="L21" i="9" s="1"/>
  <c r="L51" i="9"/>
  <c r="M28" i="9"/>
  <c r="M16" i="9"/>
  <c r="M17" i="9" s="1"/>
  <c r="M9" i="9" s="1"/>
  <c r="M45" i="1"/>
  <c r="M46" i="1"/>
  <c r="M45" i="9" s="1"/>
  <c r="D9" i="6"/>
  <c r="D5" i="6"/>
  <c r="D8" i="6"/>
  <c r="D11" i="6"/>
  <c r="D6" i="6"/>
  <c r="D4" i="6"/>
  <c r="D10" i="6"/>
  <c r="E11" i="6"/>
  <c r="F11" i="6" s="1"/>
  <c r="F5" i="6"/>
  <c r="F6" i="6"/>
  <c r="F7" i="6"/>
  <c r="F9" i="6"/>
  <c r="F10" i="6"/>
  <c r="L120" i="1"/>
  <c r="K120" i="1"/>
  <c r="J120" i="1"/>
  <c r="I120" i="1"/>
  <c r="M119" i="1"/>
  <c r="L119" i="1"/>
  <c r="K119" i="1"/>
  <c r="J119" i="1"/>
  <c r="I119" i="1"/>
  <c r="I121" i="1" s="1"/>
  <c r="M115" i="1"/>
  <c r="L115" i="1"/>
  <c r="K115" i="1"/>
  <c r="J115" i="1"/>
  <c r="I115" i="1"/>
  <c r="M112" i="1"/>
  <c r="L112" i="1"/>
  <c r="K112" i="1"/>
  <c r="J112" i="1"/>
  <c r="I112" i="1"/>
  <c r="M111" i="1"/>
  <c r="L111" i="1"/>
  <c r="K111" i="1"/>
  <c r="J111" i="1"/>
  <c r="I111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0" i="1"/>
  <c r="L100" i="1"/>
  <c r="K100" i="1"/>
  <c r="J100" i="1"/>
  <c r="I100" i="1"/>
  <c r="H120" i="1"/>
  <c r="G120" i="1"/>
  <c r="F120" i="1"/>
  <c r="E120" i="1"/>
  <c r="D120" i="1"/>
  <c r="H119" i="1"/>
  <c r="G119" i="1"/>
  <c r="G121" i="1" s="1"/>
  <c r="F119" i="1"/>
  <c r="E119" i="1"/>
  <c r="D119" i="1"/>
  <c r="H116" i="1"/>
  <c r="G116" i="1"/>
  <c r="F116" i="1"/>
  <c r="E116" i="1"/>
  <c r="D116" i="1"/>
  <c r="H115" i="1"/>
  <c r="G115" i="1"/>
  <c r="F115" i="1"/>
  <c r="E115" i="1"/>
  <c r="E117" i="1" s="1"/>
  <c r="D115" i="1"/>
  <c r="H111" i="1"/>
  <c r="G111" i="1"/>
  <c r="F111" i="1"/>
  <c r="E111" i="1"/>
  <c r="D111" i="1"/>
  <c r="H112" i="1"/>
  <c r="G112" i="1"/>
  <c r="F112" i="1"/>
  <c r="E112" i="1"/>
  <c r="D112" i="1"/>
  <c r="H110" i="1"/>
  <c r="G110" i="1"/>
  <c r="F110" i="1"/>
  <c r="E110" i="1"/>
  <c r="D110" i="1"/>
  <c r="H109" i="1"/>
  <c r="G109" i="1"/>
  <c r="F109" i="1"/>
  <c r="E109" i="1"/>
  <c r="D109" i="1"/>
  <c r="H106" i="1"/>
  <c r="G106" i="1"/>
  <c r="F106" i="1"/>
  <c r="E106" i="1"/>
  <c r="D106" i="1"/>
  <c r="H105" i="1"/>
  <c r="G105" i="1"/>
  <c r="F105" i="1"/>
  <c r="E105" i="1"/>
  <c r="D105" i="1"/>
  <c r="H104" i="1"/>
  <c r="G104" i="1"/>
  <c r="F104" i="1"/>
  <c r="E104" i="1"/>
  <c r="D104" i="1"/>
  <c r="H103" i="1"/>
  <c r="G103" i="1"/>
  <c r="F103" i="1"/>
  <c r="E103" i="1"/>
  <c r="D103" i="1"/>
  <c r="H102" i="1"/>
  <c r="G102" i="1"/>
  <c r="F102" i="1"/>
  <c r="E102" i="1"/>
  <c r="D102" i="1"/>
  <c r="H101" i="1"/>
  <c r="G101" i="1"/>
  <c r="F101" i="1"/>
  <c r="E101" i="1"/>
  <c r="D101" i="1"/>
  <c r="H100" i="1"/>
  <c r="G100" i="1"/>
  <c r="F100" i="1"/>
  <c r="E100" i="1"/>
  <c r="D100" i="1"/>
  <c r="F149" i="5"/>
  <c r="F151" i="5" s="1"/>
  <c r="C149" i="5"/>
  <c r="C151" i="5" s="1"/>
  <c r="H128" i="5"/>
  <c r="G128" i="5"/>
  <c r="E128" i="5"/>
  <c r="D128" i="5"/>
  <c r="H123" i="5"/>
  <c r="H127" i="5" s="1"/>
  <c r="H129" i="5" s="1"/>
  <c r="H120" i="5" s="1"/>
  <c r="H121" i="5" s="1"/>
  <c r="H150" i="5" s="1"/>
  <c r="G123" i="5"/>
  <c r="G127" i="5" s="1"/>
  <c r="G129" i="5" s="1"/>
  <c r="G120" i="5" s="1"/>
  <c r="G121" i="5" s="1"/>
  <c r="G150" i="5" s="1"/>
  <c r="F123" i="5"/>
  <c r="F127" i="5" s="1"/>
  <c r="F129" i="5" s="1"/>
  <c r="F120" i="5" s="1"/>
  <c r="F121" i="5" s="1"/>
  <c r="F150" i="5" s="1"/>
  <c r="F152" i="5" s="1"/>
  <c r="E123" i="5"/>
  <c r="E127" i="5" s="1"/>
  <c r="E129" i="5" s="1"/>
  <c r="E120" i="5" s="1"/>
  <c r="E121" i="5" s="1"/>
  <c r="E150" i="5" s="1"/>
  <c r="D123" i="5"/>
  <c r="D127" i="5" s="1"/>
  <c r="D129" i="5" s="1"/>
  <c r="D120" i="5" s="1"/>
  <c r="D121" i="5" s="1"/>
  <c r="D150" i="5" s="1"/>
  <c r="C123" i="5"/>
  <c r="C127" i="5" s="1"/>
  <c r="C129" i="5" s="1"/>
  <c r="C120" i="5" s="1"/>
  <c r="C121" i="5" s="1"/>
  <c r="C150" i="5" s="1"/>
  <c r="C152" i="5" s="1"/>
  <c r="H117" i="5"/>
  <c r="G117" i="5"/>
  <c r="F117" i="5"/>
  <c r="E117" i="5"/>
  <c r="D117" i="5"/>
  <c r="H116" i="5"/>
  <c r="G116" i="5"/>
  <c r="F116" i="5"/>
  <c r="E116" i="5"/>
  <c r="D116" i="5"/>
  <c r="H115" i="5"/>
  <c r="G115" i="5"/>
  <c r="F115" i="5"/>
  <c r="E115" i="5"/>
  <c r="D115" i="5"/>
  <c r="H114" i="5"/>
  <c r="H119" i="5" s="1"/>
  <c r="G114" i="5"/>
  <c r="G119" i="5" s="1"/>
  <c r="F114" i="5"/>
  <c r="F119" i="5" s="1"/>
  <c r="E114" i="5"/>
  <c r="E119" i="5" s="1"/>
  <c r="D114" i="5"/>
  <c r="D119" i="5" s="1"/>
  <c r="C117" i="5"/>
  <c r="C116" i="5"/>
  <c r="C115" i="5"/>
  <c r="C114" i="5"/>
  <c r="C119" i="5" s="1"/>
  <c r="H88" i="5"/>
  <c r="G88" i="5"/>
  <c r="F88" i="5"/>
  <c r="E88" i="5"/>
  <c r="D88" i="5"/>
  <c r="C88" i="5"/>
  <c r="H87" i="5"/>
  <c r="G87" i="5"/>
  <c r="F87" i="5"/>
  <c r="E87" i="5"/>
  <c r="D87" i="5"/>
  <c r="H86" i="5"/>
  <c r="G86" i="5"/>
  <c r="F86" i="5"/>
  <c r="E86" i="5"/>
  <c r="D86" i="5"/>
  <c r="C87" i="5"/>
  <c r="C86" i="5"/>
  <c r="H85" i="5"/>
  <c r="G85" i="5"/>
  <c r="F85" i="5"/>
  <c r="E85" i="5"/>
  <c r="D85" i="5"/>
  <c r="C85" i="5"/>
  <c r="H84" i="5"/>
  <c r="H89" i="5" s="1"/>
  <c r="G84" i="5"/>
  <c r="G89" i="5" s="1"/>
  <c r="G90" i="5" s="1"/>
  <c r="F84" i="5"/>
  <c r="F89" i="5" s="1"/>
  <c r="E84" i="5"/>
  <c r="E89" i="5" s="1"/>
  <c r="E90" i="5" s="1"/>
  <c r="D84" i="5"/>
  <c r="D89" i="5" s="1"/>
  <c r="C84" i="5"/>
  <c r="C89" i="5" s="1"/>
  <c r="H82" i="5"/>
  <c r="G82" i="5"/>
  <c r="F82" i="5"/>
  <c r="E82" i="5"/>
  <c r="D82" i="5"/>
  <c r="C82" i="5"/>
  <c r="H81" i="5"/>
  <c r="G81" i="5"/>
  <c r="F81" i="5"/>
  <c r="E81" i="5"/>
  <c r="D81" i="5"/>
  <c r="H80" i="5"/>
  <c r="H83" i="5" s="1"/>
  <c r="G80" i="5"/>
  <c r="G83" i="5" s="1"/>
  <c r="F80" i="5"/>
  <c r="F83" i="5" s="1"/>
  <c r="E80" i="5"/>
  <c r="E83" i="5" s="1"/>
  <c r="D80" i="5"/>
  <c r="D83" i="5" s="1"/>
  <c r="C81" i="5"/>
  <c r="C80" i="5"/>
  <c r="C83" i="5" s="1"/>
  <c r="H77" i="5"/>
  <c r="G77" i="5"/>
  <c r="F77" i="5"/>
  <c r="E77" i="5"/>
  <c r="D77" i="5"/>
  <c r="C77" i="5"/>
  <c r="H73" i="5"/>
  <c r="G73" i="5"/>
  <c r="F73" i="5"/>
  <c r="E73" i="5"/>
  <c r="D73" i="5"/>
  <c r="C73" i="5"/>
  <c r="H71" i="5"/>
  <c r="G71" i="5"/>
  <c r="F71" i="5"/>
  <c r="E71" i="5"/>
  <c r="D71" i="5"/>
  <c r="C71" i="5"/>
  <c r="H69" i="5"/>
  <c r="G69" i="5"/>
  <c r="F69" i="5"/>
  <c r="E69" i="5"/>
  <c r="D69" i="5"/>
  <c r="C69" i="5"/>
  <c r="H66" i="5"/>
  <c r="G66" i="5"/>
  <c r="F66" i="5"/>
  <c r="E66" i="5"/>
  <c r="D66" i="5"/>
  <c r="C66" i="5"/>
  <c r="H65" i="5"/>
  <c r="G65" i="5"/>
  <c r="F65" i="5"/>
  <c r="E65" i="5"/>
  <c r="D65" i="5"/>
  <c r="C65" i="5"/>
  <c r="H64" i="5"/>
  <c r="G64" i="5"/>
  <c r="F64" i="5"/>
  <c r="E64" i="5"/>
  <c r="D64" i="5"/>
  <c r="C64" i="5"/>
  <c r="H63" i="5"/>
  <c r="H67" i="5" s="1"/>
  <c r="G63" i="5"/>
  <c r="G67" i="5" s="1"/>
  <c r="F63" i="5"/>
  <c r="F67" i="5" s="1"/>
  <c r="E63" i="5"/>
  <c r="E67" i="5" s="1"/>
  <c r="D63" i="5"/>
  <c r="D67" i="5" s="1"/>
  <c r="C63" i="5"/>
  <c r="C67" i="5" s="1"/>
  <c r="H62" i="5"/>
  <c r="H68" i="5" s="1"/>
  <c r="H72" i="5" s="1"/>
  <c r="H75" i="5" s="1"/>
  <c r="H78" i="5" s="1"/>
  <c r="H61" i="5"/>
  <c r="G61" i="5"/>
  <c r="F61" i="5"/>
  <c r="E61" i="5"/>
  <c r="D61" i="5"/>
  <c r="C61" i="5"/>
  <c r="G30" i="5"/>
  <c r="G60" i="5" s="1"/>
  <c r="H60" i="5"/>
  <c r="F60" i="5"/>
  <c r="E60" i="5"/>
  <c r="D60" i="5"/>
  <c r="D62" i="5" s="1"/>
  <c r="D68" i="5" s="1"/>
  <c r="D72" i="5" s="1"/>
  <c r="D75" i="5" s="1"/>
  <c r="C60" i="5"/>
  <c r="H59" i="5"/>
  <c r="G59" i="5"/>
  <c r="F59" i="5"/>
  <c r="F62" i="5" s="1"/>
  <c r="F68" i="5" s="1"/>
  <c r="F72" i="5" s="1"/>
  <c r="F75" i="5" s="1"/>
  <c r="E59" i="5"/>
  <c r="E62" i="5" s="1"/>
  <c r="D59" i="5"/>
  <c r="C59" i="5"/>
  <c r="C62" i="5" s="1"/>
  <c r="F51" i="5"/>
  <c r="E51" i="5"/>
  <c r="E52" i="5" s="1"/>
  <c r="H44" i="5"/>
  <c r="H51" i="5" s="1"/>
  <c r="G44" i="5"/>
  <c r="G51" i="5" s="1"/>
  <c r="F44" i="5"/>
  <c r="E44" i="5"/>
  <c r="D44" i="5"/>
  <c r="D51" i="5" s="1"/>
  <c r="D52" i="5" s="1"/>
  <c r="C44" i="5"/>
  <c r="C51" i="5" s="1"/>
  <c r="E37" i="5"/>
  <c r="D37" i="5"/>
  <c r="H32" i="5"/>
  <c r="H37" i="5" s="1"/>
  <c r="G32" i="5"/>
  <c r="G37" i="5" s="1"/>
  <c r="F32" i="5"/>
  <c r="F37" i="5" s="1"/>
  <c r="E32" i="5"/>
  <c r="D32" i="5"/>
  <c r="C32" i="5"/>
  <c r="C37" i="5" s="1"/>
  <c r="G18" i="5"/>
  <c r="F18" i="5"/>
  <c r="G17" i="5"/>
  <c r="F17" i="5"/>
  <c r="G16" i="5"/>
  <c r="G19" i="5" s="1"/>
  <c r="F16" i="5"/>
  <c r="G12" i="5"/>
  <c r="F12" i="5"/>
  <c r="G10" i="5"/>
  <c r="F10" i="5"/>
  <c r="G8" i="5"/>
  <c r="G7" i="5"/>
  <c r="G9" i="5" s="1"/>
  <c r="F8" i="5"/>
  <c r="F7" i="5"/>
  <c r="D16" i="5"/>
  <c r="C16" i="5"/>
  <c r="C10" i="5"/>
  <c r="H90" i="1"/>
  <c r="G90" i="1"/>
  <c r="F90" i="1"/>
  <c r="E90" i="1"/>
  <c r="D90" i="1"/>
  <c r="I92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M89" i="1"/>
  <c r="L89" i="1"/>
  <c r="K89" i="1"/>
  <c r="J89" i="1"/>
  <c r="I89" i="1"/>
  <c r="M88" i="1"/>
  <c r="L88" i="1"/>
  <c r="K88" i="1"/>
  <c r="J88" i="1"/>
  <c r="I88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I87" i="1"/>
  <c r="M79" i="1"/>
  <c r="L79" i="1"/>
  <c r="K79" i="1"/>
  <c r="J79" i="1"/>
  <c r="I79" i="1"/>
  <c r="M86" i="1"/>
  <c r="L86" i="1"/>
  <c r="K86" i="1"/>
  <c r="J86" i="1"/>
  <c r="I86" i="1"/>
  <c r="M53" i="1"/>
  <c r="M36" i="9" s="1"/>
  <c r="L53" i="1"/>
  <c r="L36" i="9" s="1"/>
  <c r="K53" i="1"/>
  <c r="K36" i="9" s="1"/>
  <c r="J53" i="1"/>
  <c r="J36" i="9" s="1"/>
  <c r="I53" i="1"/>
  <c r="I36" i="9" s="1"/>
  <c r="I54" i="1"/>
  <c r="I54" i="9" s="1"/>
  <c r="I57" i="1"/>
  <c r="I55" i="9" s="1"/>
  <c r="M12" i="1"/>
  <c r="M25" i="9" s="1"/>
  <c r="L12" i="1"/>
  <c r="L25" i="9" s="1"/>
  <c r="K12" i="1"/>
  <c r="K25" i="9" s="1"/>
  <c r="J12" i="1"/>
  <c r="J25" i="9" s="1"/>
  <c r="I12" i="1"/>
  <c r="I5" i="1"/>
  <c r="G32" i="4"/>
  <c r="F32" i="4"/>
  <c r="E32" i="4"/>
  <c r="D32" i="4"/>
  <c r="C32" i="4"/>
  <c r="G33" i="4"/>
  <c r="F33" i="4"/>
  <c r="E33" i="4"/>
  <c r="D33" i="4"/>
  <c r="C33" i="4"/>
  <c r="G30" i="4"/>
  <c r="H30" i="4" s="1"/>
  <c r="I30" i="4" s="1"/>
  <c r="J30" i="4" s="1"/>
  <c r="K30" i="4" s="1"/>
  <c r="L30" i="4" s="1"/>
  <c r="F30" i="4"/>
  <c r="E30" i="4"/>
  <c r="D30" i="4"/>
  <c r="C30" i="4"/>
  <c r="G23" i="4"/>
  <c r="F23" i="4"/>
  <c r="E23" i="4"/>
  <c r="D23" i="4"/>
  <c r="C23" i="4"/>
  <c r="G20" i="4"/>
  <c r="F20" i="4"/>
  <c r="E20" i="4"/>
  <c r="D20" i="4"/>
  <c r="C20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3" i="4"/>
  <c r="F13" i="4"/>
  <c r="E13" i="4"/>
  <c r="D13" i="4"/>
  <c r="C13" i="4"/>
  <c r="G74" i="1"/>
  <c r="F74" i="1"/>
  <c r="E74" i="1"/>
  <c r="D74" i="1"/>
  <c r="H74" i="1"/>
  <c r="H93" i="1"/>
  <c r="H94" i="1"/>
  <c r="G94" i="1"/>
  <c r="F94" i="1"/>
  <c r="E94" i="1"/>
  <c r="D94" i="1"/>
  <c r="G93" i="1"/>
  <c r="F93" i="1"/>
  <c r="E93" i="1"/>
  <c r="D93" i="1"/>
  <c r="H92" i="1"/>
  <c r="G92" i="1"/>
  <c r="F92" i="1"/>
  <c r="E92" i="1"/>
  <c r="D92" i="1"/>
  <c r="H91" i="1"/>
  <c r="G91" i="1"/>
  <c r="F91" i="1"/>
  <c r="E91" i="1"/>
  <c r="D91" i="1"/>
  <c r="H89" i="1"/>
  <c r="G89" i="1"/>
  <c r="F89" i="1"/>
  <c r="E89" i="1"/>
  <c r="D89" i="1"/>
  <c r="H88" i="1"/>
  <c r="G88" i="1"/>
  <c r="F88" i="1"/>
  <c r="E88" i="1"/>
  <c r="D88" i="1"/>
  <c r="H87" i="1"/>
  <c r="G87" i="1"/>
  <c r="F87" i="1"/>
  <c r="E87" i="1"/>
  <c r="D87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D77" i="1"/>
  <c r="E77" i="1"/>
  <c r="F77" i="1"/>
  <c r="G77" i="1"/>
  <c r="H77" i="1"/>
  <c r="H71" i="1"/>
  <c r="G71" i="1"/>
  <c r="F71" i="1"/>
  <c r="E71" i="1"/>
  <c r="D71" i="1"/>
  <c r="H79" i="1"/>
  <c r="G79" i="1"/>
  <c r="F79" i="1"/>
  <c r="E79" i="1"/>
  <c r="D79" i="1"/>
  <c r="H86" i="1"/>
  <c r="G86" i="1"/>
  <c r="F86" i="1"/>
  <c r="E86" i="1"/>
  <c r="D86" i="1"/>
  <c r="H63" i="1"/>
  <c r="G63" i="1"/>
  <c r="F63" i="1"/>
  <c r="E63" i="1"/>
  <c r="D63" i="1"/>
  <c r="C63" i="1"/>
  <c r="H60" i="1"/>
  <c r="G60" i="1"/>
  <c r="F60" i="1"/>
  <c r="E60" i="1"/>
  <c r="D60" i="1"/>
  <c r="C60" i="1"/>
  <c r="H53" i="1"/>
  <c r="H36" i="9" s="1"/>
  <c r="G53" i="1"/>
  <c r="G36" i="9" s="1"/>
  <c r="F53" i="1"/>
  <c r="F36" i="9" s="1"/>
  <c r="E53" i="1"/>
  <c r="E36" i="9" s="1"/>
  <c r="D53" i="1"/>
  <c r="D36" i="9" s="1"/>
  <c r="C53" i="1"/>
  <c r="C36" i="9" s="1"/>
  <c r="H41" i="1"/>
  <c r="H35" i="9" s="1"/>
  <c r="H37" i="9" s="1"/>
  <c r="H39" i="9" s="1"/>
  <c r="H42" i="9" s="1"/>
  <c r="H46" i="9" s="1"/>
  <c r="G41" i="1"/>
  <c r="G35" i="9" s="1"/>
  <c r="F41" i="1"/>
  <c r="F35" i="9" s="1"/>
  <c r="E41" i="1"/>
  <c r="E35" i="9" s="1"/>
  <c r="E37" i="9" s="1"/>
  <c r="E39" i="9" s="1"/>
  <c r="E42" i="9" s="1"/>
  <c r="E46" i="9" s="1"/>
  <c r="D41" i="1"/>
  <c r="D35" i="9" s="1"/>
  <c r="D37" i="9" s="1"/>
  <c r="D39" i="9" s="1"/>
  <c r="D42" i="9" s="1"/>
  <c r="D46" i="9" s="1"/>
  <c r="C41" i="1"/>
  <c r="C35" i="9" s="1"/>
  <c r="H9" i="1"/>
  <c r="H11" i="1" s="1"/>
  <c r="H5" i="9" s="1"/>
  <c r="H8" i="9" s="1"/>
  <c r="H11" i="9" s="1"/>
  <c r="G9" i="1"/>
  <c r="G11" i="1" s="1"/>
  <c r="G5" i="9" s="1"/>
  <c r="G8" i="9" s="1"/>
  <c r="G11" i="9" s="1"/>
  <c r="F9" i="1"/>
  <c r="F11" i="1" s="1"/>
  <c r="F5" i="9" s="1"/>
  <c r="F8" i="9" s="1"/>
  <c r="F11" i="9" s="1"/>
  <c r="E9" i="1"/>
  <c r="E11" i="1" s="1"/>
  <c r="E5" i="9" s="1"/>
  <c r="E8" i="9" s="1"/>
  <c r="E11" i="9" s="1"/>
  <c r="D9" i="1"/>
  <c r="D11" i="1" s="1"/>
  <c r="D5" i="9" s="1"/>
  <c r="D8" i="9" s="1"/>
  <c r="D11" i="9" s="1"/>
  <c r="C9" i="1"/>
  <c r="C11" i="1" s="1"/>
  <c r="C13" i="1" s="1"/>
  <c r="C16" i="1" s="1"/>
  <c r="C20" i="1" s="1"/>
  <c r="C22" i="1" s="1"/>
  <c r="C30" i="1" s="1"/>
  <c r="C32" i="1" s="1"/>
  <c r="D25" i="1" s="1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40" i="3"/>
  <c r="G40" i="3"/>
  <c r="F40" i="3"/>
  <c r="E40" i="3"/>
  <c r="D40" i="3"/>
  <c r="C40" i="3"/>
  <c r="H38" i="3"/>
  <c r="G38" i="3"/>
  <c r="F38" i="3"/>
  <c r="E38" i="3"/>
  <c r="D38" i="3"/>
  <c r="C38" i="3"/>
  <c r="H33" i="3"/>
  <c r="H39" i="3" s="1"/>
  <c r="H43" i="3" s="1"/>
  <c r="H46" i="3" s="1"/>
  <c r="G33" i="3"/>
  <c r="G39" i="3" s="1"/>
  <c r="G43" i="3" s="1"/>
  <c r="G46" i="3" s="1"/>
  <c r="F33" i="3"/>
  <c r="F39" i="3" s="1"/>
  <c r="F43" i="3" s="1"/>
  <c r="F46" i="3" s="1"/>
  <c r="E33" i="3"/>
  <c r="E39" i="3" s="1"/>
  <c r="E43" i="3" s="1"/>
  <c r="E46" i="3" s="1"/>
  <c r="D33" i="3"/>
  <c r="D39" i="3" s="1"/>
  <c r="D43" i="3" s="1"/>
  <c r="D46" i="3" s="1"/>
  <c r="C33" i="3"/>
  <c r="C39" i="3" s="1"/>
  <c r="C43" i="3" s="1"/>
  <c r="C46" i="3" s="1"/>
  <c r="F27" i="3"/>
  <c r="H20" i="3"/>
  <c r="H27" i="3" s="1"/>
  <c r="G20" i="3"/>
  <c r="G27" i="3" s="1"/>
  <c r="F20" i="3"/>
  <c r="E20" i="3"/>
  <c r="E27" i="3" s="1"/>
  <c r="D20" i="3"/>
  <c r="D27" i="3" s="1"/>
  <c r="C20" i="3"/>
  <c r="C27" i="3" s="1"/>
  <c r="F13" i="3"/>
  <c r="H8" i="3"/>
  <c r="H13" i="3" s="1"/>
  <c r="G8" i="3"/>
  <c r="G13" i="3" s="1"/>
  <c r="F8" i="3"/>
  <c r="E8" i="3"/>
  <c r="E13" i="3" s="1"/>
  <c r="D8" i="3"/>
  <c r="D13" i="3" s="1"/>
  <c r="C8" i="3"/>
  <c r="C13" i="3" s="1"/>
  <c r="H29" i="2"/>
  <c r="H39" i="2" s="1"/>
  <c r="G29" i="2"/>
  <c r="G39" i="2" s="1"/>
  <c r="F29" i="2"/>
  <c r="F39" i="2" s="1"/>
  <c r="E29" i="2"/>
  <c r="E39" i="2" s="1"/>
  <c r="D29" i="2"/>
  <c r="D39" i="2" s="1"/>
  <c r="C29" i="2"/>
  <c r="C39" i="2" s="1"/>
  <c r="H28" i="2"/>
  <c r="H43" i="2" s="1"/>
  <c r="G28" i="2"/>
  <c r="G43" i="2" s="1"/>
  <c r="F28" i="2"/>
  <c r="F43" i="2" s="1"/>
  <c r="E28" i="2"/>
  <c r="E43" i="2" s="1"/>
  <c r="D28" i="2"/>
  <c r="D43" i="2" s="1"/>
  <c r="H27" i="2"/>
  <c r="H31" i="2" s="1"/>
  <c r="H33" i="2" s="1"/>
  <c r="G27" i="2"/>
  <c r="F27" i="2"/>
  <c r="F31" i="2" s="1"/>
  <c r="F33" i="2" s="1"/>
  <c r="E27" i="2"/>
  <c r="D27" i="2"/>
  <c r="D31" i="2" s="1"/>
  <c r="D33" i="2" s="1"/>
  <c r="D24" i="2" s="1"/>
  <c r="C27" i="2"/>
  <c r="H24" i="2"/>
  <c r="F24" i="2"/>
  <c r="H21" i="2"/>
  <c r="H118" i="2" s="1"/>
  <c r="G21" i="2"/>
  <c r="G118" i="2" s="1"/>
  <c r="F21" i="2"/>
  <c r="F118" i="2" s="1"/>
  <c r="E21" i="2"/>
  <c r="E118" i="2" s="1"/>
  <c r="D21" i="2"/>
  <c r="D118" i="2" s="1"/>
  <c r="H20" i="2"/>
  <c r="G20" i="2"/>
  <c r="F20" i="2"/>
  <c r="E20" i="2"/>
  <c r="D20" i="2"/>
  <c r="H19" i="2"/>
  <c r="G19" i="2"/>
  <c r="F19" i="2"/>
  <c r="E19" i="2"/>
  <c r="D19" i="2"/>
  <c r="H18" i="2"/>
  <c r="G18" i="2"/>
  <c r="G23" i="2" s="1"/>
  <c r="F18" i="2"/>
  <c r="E18" i="2"/>
  <c r="E23" i="2" s="1"/>
  <c r="D18" i="2"/>
  <c r="C21" i="2"/>
  <c r="C118" i="2" s="1"/>
  <c r="C20" i="2"/>
  <c r="C19" i="2"/>
  <c r="C18" i="2"/>
  <c r="H9" i="2"/>
  <c r="H13" i="2" s="1"/>
  <c r="H15" i="2" s="1"/>
  <c r="H35" i="2" s="1"/>
  <c r="H38" i="2" s="1"/>
  <c r="H42" i="2" s="1"/>
  <c r="H44" i="2" s="1"/>
  <c r="G9" i="2"/>
  <c r="G13" i="2" s="1"/>
  <c r="G15" i="2" s="1"/>
  <c r="G35" i="2" s="1"/>
  <c r="G38" i="2" s="1"/>
  <c r="F9" i="2"/>
  <c r="F13" i="2" s="1"/>
  <c r="F15" i="2" s="1"/>
  <c r="F35" i="2" s="1"/>
  <c r="F38" i="2" s="1"/>
  <c r="F42" i="2" s="1"/>
  <c r="F44" i="2" s="1"/>
  <c r="E9" i="2"/>
  <c r="E13" i="2" s="1"/>
  <c r="E15" i="2" s="1"/>
  <c r="E35" i="2" s="1"/>
  <c r="E38" i="2" s="1"/>
  <c r="D9" i="2"/>
  <c r="D13" i="2" s="1"/>
  <c r="D15" i="2" s="1"/>
  <c r="D35" i="2" s="1"/>
  <c r="D38" i="2" s="1"/>
  <c r="D42" i="2" s="1"/>
  <c r="D44" i="2" s="1"/>
  <c r="C9" i="2"/>
  <c r="C13" i="2" s="1"/>
  <c r="C15" i="2" s="1"/>
  <c r="C35" i="2" s="1"/>
  <c r="C38" i="2" s="1"/>
  <c r="K121" i="1" l="1"/>
  <c r="I25" i="9"/>
  <c r="I41" i="9"/>
  <c r="I48" i="9"/>
  <c r="I53" i="9" s="1"/>
  <c r="I57" i="9" s="1"/>
  <c r="F37" i="9"/>
  <c r="F39" i="9" s="1"/>
  <c r="F42" i="9" s="1"/>
  <c r="F46" i="9" s="1"/>
  <c r="C37" i="9"/>
  <c r="C39" i="9" s="1"/>
  <c r="C42" i="9" s="1"/>
  <c r="C46" i="9" s="1"/>
  <c r="G37" i="9"/>
  <c r="G39" i="9" s="1"/>
  <c r="G42" i="9" s="1"/>
  <c r="G46" i="9" s="1"/>
  <c r="F107" i="1"/>
  <c r="G113" i="1"/>
  <c r="G117" i="1"/>
  <c r="E121" i="1"/>
  <c r="M10" i="9"/>
  <c r="M21" i="9" s="1"/>
  <c r="M51" i="9"/>
  <c r="M120" i="1"/>
  <c r="M121" i="1" s="1"/>
  <c r="K77" i="1"/>
  <c r="E28" i="4"/>
  <c r="D47" i="1"/>
  <c r="H47" i="1"/>
  <c r="I42" i="1"/>
  <c r="I38" i="9" s="1"/>
  <c r="I26" i="8"/>
  <c r="L77" i="1"/>
  <c r="G107" i="1"/>
  <c r="D113" i="1"/>
  <c r="H113" i="1"/>
  <c r="D117" i="1"/>
  <c r="H117" i="1"/>
  <c r="F121" i="1"/>
  <c r="J121" i="1"/>
  <c r="D28" i="4"/>
  <c r="I90" i="1"/>
  <c r="I77" i="1"/>
  <c r="M77" i="1"/>
  <c r="D107" i="1"/>
  <c r="H107" i="1"/>
  <c r="E113" i="1"/>
  <c r="C47" i="1"/>
  <c r="G47" i="1"/>
  <c r="F28" i="4"/>
  <c r="E47" i="1"/>
  <c r="C28" i="4"/>
  <c r="H5" i="8"/>
  <c r="H35" i="8"/>
  <c r="H15" i="8"/>
  <c r="F47" i="1"/>
  <c r="G95" i="1"/>
  <c r="J77" i="1"/>
  <c r="F117" i="1"/>
  <c r="D121" i="1"/>
  <c r="L121" i="1"/>
  <c r="D95" i="1"/>
  <c r="H95" i="1"/>
  <c r="E95" i="1"/>
  <c r="F95" i="1"/>
  <c r="H52" i="5"/>
  <c r="E68" i="5"/>
  <c r="E72" i="5" s="1"/>
  <c r="E75" i="5" s="1"/>
  <c r="E78" i="5" s="1"/>
  <c r="D90" i="5"/>
  <c r="H90" i="5"/>
  <c r="E147" i="5"/>
  <c r="E149" i="5" s="1"/>
  <c r="E151" i="5" s="1"/>
  <c r="D78" i="5"/>
  <c r="F52" i="5"/>
  <c r="G147" i="5"/>
  <c r="G149" i="5" s="1"/>
  <c r="G151" i="5" s="1"/>
  <c r="G152" i="5" s="1"/>
  <c r="F78" i="5"/>
  <c r="C52" i="5"/>
  <c r="C68" i="5"/>
  <c r="C72" i="5" s="1"/>
  <c r="C75" i="5" s="1"/>
  <c r="G62" i="5"/>
  <c r="G68" i="5" s="1"/>
  <c r="G72" i="5" s="1"/>
  <c r="G75" i="5" s="1"/>
  <c r="F90" i="5"/>
  <c r="C90" i="5"/>
  <c r="E152" i="5"/>
  <c r="C42" i="2"/>
  <c r="C44" i="2" s="1"/>
  <c r="G42" i="2"/>
  <c r="G44" i="2" s="1"/>
  <c r="F23" i="2"/>
  <c r="F25" i="2" s="1"/>
  <c r="C31" i="2"/>
  <c r="C33" i="2" s="1"/>
  <c r="C24" i="2" s="1"/>
  <c r="G31" i="2"/>
  <c r="G33" i="2" s="1"/>
  <c r="G24" i="2" s="1"/>
  <c r="E107" i="1"/>
  <c r="F113" i="1"/>
  <c r="H121" i="1"/>
  <c r="G25" i="2"/>
  <c r="F9" i="5"/>
  <c r="F19" i="5"/>
  <c r="E42" i="2"/>
  <c r="E44" i="2" s="1"/>
  <c r="C23" i="2"/>
  <c r="C25" i="2" s="1"/>
  <c r="D23" i="2"/>
  <c r="D25" i="2" s="1"/>
  <c r="H23" i="2"/>
  <c r="H25" i="2" s="1"/>
  <c r="E31" i="2"/>
  <c r="E33" i="2" s="1"/>
  <c r="E24" i="2" s="1"/>
  <c r="G11" i="5"/>
  <c r="G13" i="5" s="1"/>
  <c r="E25" i="2"/>
  <c r="G52" i="5"/>
  <c r="F8" i="6"/>
  <c r="F4" i="6"/>
  <c r="I116" i="1"/>
  <c r="I117" i="1" s="1"/>
  <c r="J116" i="1"/>
  <c r="J117" i="1" s="1"/>
  <c r="K116" i="1"/>
  <c r="K117" i="1" s="1"/>
  <c r="L116" i="1"/>
  <c r="L117" i="1" s="1"/>
  <c r="M116" i="1"/>
  <c r="M117" i="1" s="1"/>
  <c r="K87" i="1"/>
  <c r="J87" i="1"/>
  <c r="I60" i="1"/>
  <c r="I91" i="1"/>
  <c r="I95" i="1" s="1"/>
  <c r="F11" i="5"/>
  <c r="F13" i="5" s="1"/>
  <c r="J57" i="1"/>
  <c r="J55" i="9" s="1"/>
  <c r="I63" i="1"/>
  <c r="I38" i="1"/>
  <c r="I101" i="1" s="1"/>
  <c r="I39" i="1"/>
  <c r="I102" i="1" s="1"/>
  <c r="I40" i="1"/>
  <c r="I103" i="1" s="1"/>
  <c r="J54" i="1"/>
  <c r="J54" i="9" s="1"/>
  <c r="J5" i="1"/>
  <c r="I6" i="1"/>
  <c r="I6" i="8" s="1"/>
  <c r="I7" i="1"/>
  <c r="I7" i="8" s="1"/>
  <c r="I8" i="1"/>
  <c r="I8" i="8" s="1"/>
  <c r="C64" i="1"/>
  <c r="D64" i="1"/>
  <c r="E64" i="1"/>
  <c r="F64" i="1"/>
  <c r="G64" i="1"/>
  <c r="H64" i="1"/>
  <c r="D13" i="1"/>
  <c r="E13" i="1"/>
  <c r="E16" i="1" s="1"/>
  <c r="E20" i="1" s="1"/>
  <c r="E22" i="1" s="1"/>
  <c r="E19" i="9" s="1"/>
  <c r="E26" i="9" s="1"/>
  <c r="E29" i="9" s="1"/>
  <c r="E31" i="9" s="1"/>
  <c r="F13" i="1"/>
  <c r="F16" i="1" s="1"/>
  <c r="F20" i="1" s="1"/>
  <c r="F22" i="1" s="1"/>
  <c r="F19" i="9" s="1"/>
  <c r="F26" i="9" s="1"/>
  <c r="F29" i="9" s="1"/>
  <c r="F31" i="9" s="1"/>
  <c r="G13" i="1"/>
  <c r="G16" i="1" s="1"/>
  <c r="G20" i="1" s="1"/>
  <c r="G22" i="1" s="1"/>
  <c r="G19" i="9" s="1"/>
  <c r="G26" i="9" s="1"/>
  <c r="G29" i="9" s="1"/>
  <c r="G31" i="9" s="1"/>
  <c r="H13" i="1"/>
  <c r="H16" i="1" s="1"/>
  <c r="H20" i="1" s="1"/>
  <c r="H22" i="1" s="1"/>
  <c r="H19" i="9" s="1"/>
  <c r="H26" i="9" s="1"/>
  <c r="H29" i="9" s="1"/>
  <c r="H31" i="9" s="1"/>
  <c r="I109" i="1" l="1"/>
  <c r="I9" i="1"/>
  <c r="J48" i="9"/>
  <c r="J53" i="9" s="1"/>
  <c r="J57" i="9" s="1"/>
  <c r="J41" i="9"/>
  <c r="F14" i="8"/>
  <c r="F12" i="8"/>
  <c r="F20" i="8"/>
  <c r="I12" i="8"/>
  <c r="F5" i="8"/>
  <c r="F35" i="8"/>
  <c r="F15" i="8"/>
  <c r="F27" i="8"/>
  <c r="H30" i="1"/>
  <c r="H30" i="8"/>
  <c r="F22" i="8"/>
  <c r="G20" i="8"/>
  <c r="G12" i="8"/>
  <c r="H10" i="7"/>
  <c r="J26" i="8"/>
  <c r="G30" i="1"/>
  <c r="G30" i="8"/>
  <c r="D5" i="8"/>
  <c r="D35" i="8"/>
  <c r="D15" i="8"/>
  <c r="G5" i="8"/>
  <c r="G15" i="8"/>
  <c r="G35" i="8"/>
  <c r="G27" i="8"/>
  <c r="D22" i="8"/>
  <c r="D20" i="8"/>
  <c r="D12" i="8"/>
  <c r="E12" i="8"/>
  <c r="E14" i="8"/>
  <c r="E20" i="8"/>
  <c r="E30" i="1"/>
  <c r="H20" i="8"/>
  <c r="H12" i="8"/>
  <c r="F30" i="1"/>
  <c r="F30" i="8"/>
  <c r="H27" i="8"/>
  <c r="E27" i="8"/>
  <c r="E35" i="8"/>
  <c r="E5" i="8"/>
  <c r="E15" i="8"/>
  <c r="E22" i="8"/>
  <c r="I10" i="1"/>
  <c r="I19" i="8"/>
  <c r="I11" i="8"/>
  <c r="I64" i="1"/>
  <c r="E117" i="2"/>
  <c r="E119" i="2" s="1"/>
  <c r="E127" i="2" s="1"/>
  <c r="E132" i="2" s="1"/>
  <c r="E151" i="2"/>
  <c r="D147" i="5"/>
  <c r="D149" i="5" s="1"/>
  <c r="D151" i="5" s="1"/>
  <c r="D152" i="5" s="1"/>
  <c r="C78" i="5"/>
  <c r="H117" i="2"/>
  <c r="H119" i="2" s="1"/>
  <c r="H127" i="2" s="1"/>
  <c r="H132" i="2" s="1"/>
  <c r="H151" i="2"/>
  <c r="D117" i="2"/>
  <c r="D119" i="2" s="1"/>
  <c r="D127" i="2" s="1"/>
  <c r="D132" i="2" s="1"/>
  <c r="D151" i="2"/>
  <c r="C117" i="2"/>
  <c r="C119" i="2" s="1"/>
  <c r="C127" i="2" s="1"/>
  <c r="C132" i="2" s="1"/>
  <c r="C151" i="2"/>
  <c r="G117" i="2"/>
  <c r="G119" i="2" s="1"/>
  <c r="G127" i="2" s="1"/>
  <c r="G132" i="2" s="1"/>
  <c r="G151" i="2"/>
  <c r="F117" i="2"/>
  <c r="F119" i="2" s="1"/>
  <c r="F127" i="2" s="1"/>
  <c r="F132" i="2" s="1"/>
  <c r="F151" i="2"/>
  <c r="H147" i="5"/>
  <c r="H149" i="5" s="1"/>
  <c r="H151" i="5" s="1"/>
  <c r="H152" i="5" s="1"/>
  <c r="G78" i="5"/>
  <c r="I107" i="1"/>
  <c r="D73" i="1"/>
  <c r="D75" i="1" s="1"/>
  <c r="J60" i="1"/>
  <c r="J90" i="1"/>
  <c r="J91" i="1"/>
  <c r="L87" i="1"/>
  <c r="J40" i="1"/>
  <c r="J103" i="1" s="1"/>
  <c r="J39" i="1"/>
  <c r="J102" i="1" s="1"/>
  <c r="J38" i="1"/>
  <c r="K57" i="1"/>
  <c r="K55" i="9" s="1"/>
  <c r="I41" i="1"/>
  <c r="K54" i="1"/>
  <c r="K54" i="9" s="1"/>
  <c r="J63" i="1"/>
  <c r="K5" i="1"/>
  <c r="J42" i="1"/>
  <c r="J38" i="9" s="1"/>
  <c r="J8" i="1"/>
  <c r="J8" i="8" s="1"/>
  <c r="J7" i="1"/>
  <c r="J7" i="8" s="1"/>
  <c r="J6" i="1"/>
  <c r="J6" i="8" s="1"/>
  <c r="D16" i="1"/>
  <c r="D20" i="1" s="1"/>
  <c r="D22" i="1" s="1"/>
  <c r="D19" i="9" s="1"/>
  <c r="D26" i="9" s="1"/>
  <c r="D29" i="9" s="1"/>
  <c r="D31" i="9" s="1"/>
  <c r="H73" i="1"/>
  <c r="H75" i="1" s="1"/>
  <c r="G73" i="1"/>
  <c r="G75" i="1" s="1"/>
  <c r="F73" i="1"/>
  <c r="F75" i="1" s="1"/>
  <c r="E73" i="1"/>
  <c r="E75" i="1" s="1"/>
  <c r="K41" i="9" l="1"/>
  <c r="K48" i="9"/>
  <c r="K53" i="9" s="1"/>
  <c r="K57" i="9" s="1"/>
  <c r="I35" i="9"/>
  <c r="I37" i="9" s="1"/>
  <c r="I39" i="9" s="1"/>
  <c r="I42" i="9" s="1"/>
  <c r="I46" i="9" s="1"/>
  <c r="D30" i="1"/>
  <c r="D32" i="1" s="1"/>
  <c r="E25" i="1" s="1"/>
  <c r="E32" i="1" s="1"/>
  <c r="F25" i="1" s="1"/>
  <c r="F32" i="1" s="1"/>
  <c r="G25" i="1" s="1"/>
  <c r="G32" i="1" s="1"/>
  <c r="H25" i="1" s="1"/>
  <c r="H32" i="1" s="1"/>
  <c r="I25" i="1" s="1"/>
  <c r="D30" i="8"/>
  <c r="J11" i="8"/>
  <c r="J19" i="8"/>
  <c r="F10" i="7"/>
  <c r="F23" i="8"/>
  <c r="K26" i="8"/>
  <c r="E10" i="7"/>
  <c r="E23" i="8"/>
  <c r="E24" i="8"/>
  <c r="H21" i="8"/>
  <c r="H22" i="8"/>
  <c r="H14" i="8"/>
  <c r="G22" i="8"/>
  <c r="D23" i="8"/>
  <c r="D10" i="7"/>
  <c r="H23" i="8"/>
  <c r="J12" i="8"/>
  <c r="D18" i="7"/>
  <c r="D21" i="7" s="1"/>
  <c r="D8" i="7"/>
  <c r="D21" i="8"/>
  <c r="H16" i="8"/>
  <c r="H20" i="7"/>
  <c r="E30" i="8"/>
  <c r="E8" i="7"/>
  <c r="E18" i="7"/>
  <c r="E21" i="7" s="1"/>
  <c r="E21" i="8"/>
  <c r="G14" i="8"/>
  <c r="D14" i="8"/>
  <c r="I8" i="7"/>
  <c r="H8" i="7"/>
  <c r="H5" i="7" s="1"/>
  <c r="H7" i="7" s="1"/>
  <c r="H9" i="7" s="1"/>
  <c r="I18" i="7"/>
  <c r="I21" i="7" s="1"/>
  <c r="H18" i="7"/>
  <c r="H21" i="7" s="1"/>
  <c r="H22" i="7" s="1"/>
  <c r="I21" i="8"/>
  <c r="F18" i="7"/>
  <c r="F21" i="7" s="1"/>
  <c r="F8" i="7"/>
  <c r="F21" i="8"/>
  <c r="G21" i="8"/>
  <c r="G18" i="7"/>
  <c r="G21" i="7" s="1"/>
  <c r="G8" i="7"/>
  <c r="I71" i="1"/>
  <c r="I110" i="1"/>
  <c r="I113" i="1" s="1"/>
  <c r="I74" i="1"/>
  <c r="G10" i="7"/>
  <c r="G23" i="8"/>
  <c r="I11" i="1"/>
  <c r="I5" i="9" s="1"/>
  <c r="I8" i="9" s="1"/>
  <c r="I11" i="9" s="1"/>
  <c r="F153" i="2"/>
  <c r="F154" i="2"/>
  <c r="F156" i="2" s="1"/>
  <c r="J64" i="1"/>
  <c r="G154" i="2"/>
  <c r="G156" i="2" s="1"/>
  <c r="G153" i="2"/>
  <c r="D154" i="2"/>
  <c r="D156" i="2" s="1"/>
  <c r="D153" i="2"/>
  <c r="H154" i="2"/>
  <c r="H156" i="2" s="1"/>
  <c r="H153" i="2"/>
  <c r="E153" i="2"/>
  <c r="E154" i="2"/>
  <c r="E156" i="2" s="1"/>
  <c r="C154" i="2"/>
  <c r="C156" i="2" s="1"/>
  <c r="C153" i="2"/>
  <c r="J9" i="1"/>
  <c r="J109" i="1"/>
  <c r="J41" i="1"/>
  <c r="J35" i="9" s="1"/>
  <c r="J37" i="9" s="1"/>
  <c r="J39" i="9" s="1"/>
  <c r="J42" i="9" s="1"/>
  <c r="J46" i="9" s="1"/>
  <c r="J101" i="1"/>
  <c r="J107" i="1" s="1"/>
  <c r="J10" i="1"/>
  <c r="J74" i="1" s="1"/>
  <c r="K60" i="1"/>
  <c r="I47" i="1"/>
  <c r="J95" i="1"/>
  <c r="K91" i="1"/>
  <c r="K90" i="1"/>
  <c r="K40" i="1"/>
  <c r="K103" i="1" s="1"/>
  <c r="K39" i="1"/>
  <c r="K102" i="1" s="1"/>
  <c r="K38" i="1"/>
  <c r="L57" i="1"/>
  <c r="L55" i="9" s="1"/>
  <c r="J47" i="1"/>
  <c r="L54" i="1"/>
  <c r="L54" i="9" s="1"/>
  <c r="K63" i="1"/>
  <c r="L5" i="1"/>
  <c r="K42" i="1"/>
  <c r="K38" i="9" s="1"/>
  <c r="K8" i="1"/>
  <c r="K8" i="8" s="1"/>
  <c r="K7" i="1"/>
  <c r="K7" i="8" s="1"/>
  <c r="K6" i="1"/>
  <c r="K6" i="8" s="1"/>
  <c r="D70" i="1"/>
  <c r="D72" i="1" s="1"/>
  <c r="D36" i="8" s="1"/>
  <c r="E70" i="1"/>
  <c r="E72" i="1" s="1"/>
  <c r="E36" i="8" s="1"/>
  <c r="F70" i="1"/>
  <c r="F72" i="1" s="1"/>
  <c r="F36" i="8" s="1"/>
  <c r="G70" i="1"/>
  <c r="G72" i="1" s="1"/>
  <c r="G36" i="8" s="1"/>
  <c r="H70" i="1"/>
  <c r="H72" i="1" s="1"/>
  <c r="H36" i="8" s="1"/>
  <c r="I20" i="8" l="1"/>
  <c r="L41" i="9"/>
  <c r="L48" i="9"/>
  <c r="L53" i="9" s="1"/>
  <c r="L57" i="9" s="1"/>
  <c r="K12" i="8"/>
  <c r="G5" i="7"/>
  <c r="G7" i="7" s="1"/>
  <c r="G9" i="7" s="1"/>
  <c r="G28" i="8"/>
  <c r="G16" i="8"/>
  <c r="G20" i="7"/>
  <c r="G15" i="7" s="1"/>
  <c r="G17" i="7" s="1"/>
  <c r="G19" i="7" s="1"/>
  <c r="G17" i="8"/>
  <c r="I29" i="8"/>
  <c r="I11" i="7"/>
  <c r="I13" i="8"/>
  <c r="D13" i="8"/>
  <c r="D11" i="7"/>
  <c r="F28" i="8"/>
  <c r="F5" i="7"/>
  <c r="F7" i="7" s="1"/>
  <c r="F9" i="7" s="1"/>
  <c r="F20" i="7"/>
  <c r="F17" i="8"/>
  <c r="F16" i="8"/>
  <c r="K64" i="1"/>
  <c r="J73" i="1"/>
  <c r="G24" i="8"/>
  <c r="E11" i="7"/>
  <c r="E12" i="7" s="1"/>
  <c r="E13" i="8"/>
  <c r="E29" i="8"/>
  <c r="H15" i="7"/>
  <c r="H17" i="7" s="1"/>
  <c r="H19" i="7" s="1"/>
  <c r="K11" i="8"/>
  <c r="K19" i="8"/>
  <c r="G29" i="8"/>
  <c r="G13" i="8"/>
  <c r="G11" i="7"/>
  <c r="G12" i="7" s="1"/>
  <c r="H28" i="8"/>
  <c r="D16" i="8"/>
  <c r="D12" i="7"/>
  <c r="D20" i="7"/>
  <c r="D5" i="7"/>
  <c r="D7" i="7" s="1"/>
  <c r="D9" i="7" s="1"/>
  <c r="D17" i="8"/>
  <c r="H24" i="8"/>
  <c r="L26" i="8"/>
  <c r="I13" i="1"/>
  <c r="I16" i="1" s="1"/>
  <c r="I20" i="1" s="1"/>
  <c r="I22" i="1" s="1"/>
  <c r="I19" i="9" s="1"/>
  <c r="I26" i="9" s="1"/>
  <c r="I29" i="9" s="1"/>
  <c r="I31" i="9" s="1"/>
  <c r="F29" i="8"/>
  <c r="F13" i="8"/>
  <c r="F11" i="7"/>
  <c r="F12" i="7" s="1"/>
  <c r="H17" i="8"/>
  <c r="J8" i="7"/>
  <c r="J18" i="7"/>
  <c r="J21" i="7" s="1"/>
  <c r="J21" i="8"/>
  <c r="H11" i="7"/>
  <c r="H12" i="7" s="1"/>
  <c r="H13" i="8"/>
  <c r="H29" i="8"/>
  <c r="J20" i="8"/>
  <c r="D24" i="8"/>
  <c r="E17" i="8"/>
  <c r="E20" i="7"/>
  <c r="E16" i="8"/>
  <c r="E5" i="7"/>
  <c r="E7" i="7" s="1"/>
  <c r="E9" i="7" s="1"/>
  <c r="E28" i="8"/>
  <c r="F24" i="8"/>
  <c r="G32" i="8"/>
  <c r="E32" i="8"/>
  <c r="H32" i="8"/>
  <c r="D32" i="8"/>
  <c r="F32" i="8"/>
  <c r="J75" i="1"/>
  <c r="K95" i="1"/>
  <c r="J11" i="1"/>
  <c r="J5" i="9" s="1"/>
  <c r="J8" i="9" s="1"/>
  <c r="J11" i="9" s="1"/>
  <c r="K9" i="1"/>
  <c r="K109" i="1"/>
  <c r="K41" i="1"/>
  <c r="K101" i="1"/>
  <c r="K107" i="1" s="1"/>
  <c r="J71" i="1"/>
  <c r="J110" i="1"/>
  <c r="J113" i="1" s="1"/>
  <c r="H76" i="1"/>
  <c r="H78" i="1" s="1"/>
  <c r="H84" i="1" s="1"/>
  <c r="G76" i="1"/>
  <c r="G78" i="1" s="1"/>
  <c r="G84" i="1" s="1"/>
  <c r="F76" i="1"/>
  <c r="F78" i="1" s="1"/>
  <c r="F84" i="1" s="1"/>
  <c r="E76" i="1"/>
  <c r="E78" i="1" s="1"/>
  <c r="E84" i="1" s="1"/>
  <c r="D76" i="1"/>
  <c r="D78" i="1" s="1"/>
  <c r="D84" i="1" s="1"/>
  <c r="K10" i="1"/>
  <c r="K74" i="1" s="1"/>
  <c r="L60" i="1"/>
  <c r="J13" i="1"/>
  <c r="J16" i="1" s="1"/>
  <c r="J20" i="1" s="1"/>
  <c r="J22" i="1" s="1"/>
  <c r="J19" i="9" s="1"/>
  <c r="J26" i="9" s="1"/>
  <c r="J29" i="9" s="1"/>
  <c r="J31" i="9" s="1"/>
  <c r="I73" i="1"/>
  <c r="I75" i="1" s="1"/>
  <c r="L91" i="1"/>
  <c r="L90" i="1"/>
  <c r="M87" i="1"/>
  <c r="L40" i="1"/>
  <c r="L103" i="1" s="1"/>
  <c r="L39" i="1"/>
  <c r="L102" i="1" s="1"/>
  <c r="L38" i="1"/>
  <c r="M57" i="1"/>
  <c r="M55" i="9" s="1"/>
  <c r="M54" i="1"/>
  <c r="M54" i="9" s="1"/>
  <c r="L63" i="1"/>
  <c r="M5" i="1"/>
  <c r="L42" i="1"/>
  <c r="L38" i="9" s="1"/>
  <c r="L8" i="1"/>
  <c r="L8" i="8" s="1"/>
  <c r="L7" i="1"/>
  <c r="L7" i="8" s="1"/>
  <c r="L6" i="1"/>
  <c r="L6" i="8" s="1"/>
  <c r="K11" i="1" l="1"/>
  <c r="K5" i="9" s="1"/>
  <c r="K8" i="9" s="1"/>
  <c r="K11" i="9" s="1"/>
  <c r="K35" i="9"/>
  <c r="K37" i="9" s="1"/>
  <c r="M41" i="9"/>
  <c r="M48" i="9"/>
  <c r="M53" i="9" s="1"/>
  <c r="M57" i="9" s="1"/>
  <c r="G22" i="7"/>
  <c r="K47" i="1"/>
  <c r="K35" i="8"/>
  <c r="K27" i="8"/>
  <c r="K5" i="8"/>
  <c r="K14" i="8"/>
  <c r="K15" i="8"/>
  <c r="I30" i="8"/>
  <c r="I30" i="1"/>
  <c r="I32" i="1" s="1"/>
  <c r="J25" i="1" s="1"/>
  <c r="M26" i="8"/>
  <c r="J29" i="8"/>
  <c r="J11" i="7"/>
  <c r="J13" i="8"/>
  <c r="I27" i="8"/>
  <c r="I22" i="8"/>
  <c r="I5" i="8"/>
  <c r="I35" i="8"/>
  <c r="I14" i="8"/>
  <c r="I15" i="8"/>
  <c r="D15" i="7"/>
  <c r="D17" i="7" s="1"/>
  <c r="D19" i="7" s="1"/>
  <c r="D22" i="7"/>
  <c r="F15" i="7"/>
  <c r="F17" i="7" s="1"/>
  <c r="F19" i="7" s="1"/>
  <c r="F22" i="7"/>
  <c r="L12" i="8"/>
  <c r="L19" i="8"/>
  <c r="L11" i="8"/>
  <c r="E15" i="7"/>
  <c r="E17" i="7" s="1"/>
  <c r="E19" i="7" s="1"/>
  <c r="E22" i="7"/>
  <c r="L64" i="1"/>
  <c r="J30" i="8"/>
  <c r="J35" i="8"/>
  <c r="J5" i="8"/>
  <c r="J27" i="8"/>
  <c r="J22" i="8"/>
  <c r="J14" i="8"/>
  <c r="J15" i="8"/>
  <c r="K8" i="7"/>
  <c r="K18" i="7"/>
  <c r="K21" i="7" s="1"/>
  <c r="L95" i="1"/>
  <c r="L9" i="1"/>
  <c r="L109" i="1"/>
  <c r="L41" i="1"/>
  <c r="L101" i="1"/>
  <c r="L107" i="1" s="1"/>
  <c r="J70" i="1"/>
  <c r="J72" i="1" s="1"/>
  <c r="J36" i="8" s="1"/>
  <c r="K71" i="1"/>
  <c r="K110" i="1"/>
  <c r="K113" i="1" s="1"/>
  <c r="L10" i="1"/>
  <c r="L74" i="1"/>
  <c r="M63" i="1"/>
  <c r="M60" i="1"/>
  <c r="K13" i="1"/>
  <c r="K16" i="1" s="1"/>
  <c r="K20" i="1" s="1"/>
  <c r="K22" i="1" s="1"/>
  <c r="K19" i="9" s="1"/>
  <c r="K26" i="9" s="1"/>
  <c r="K29" i="9" s="1"/>
  <c r="K31" i="9" s="1"/>
  <c r="J30" i="1"/>
  <c r="M91" i="1"/>
  <c r="M90" i="1"/>
  <c r="M40" i="1"/>
  <c r="M103" i="1" s="1"/>
  <c r="M39" i="1"/>
  <c r="M102" i="1" s="1"/>
  <c r="M38" i="1"/>
  <c r="M42" i="1"/>
  <c r="M38" i="9" s="1"/>
  <c r="M8" i="1"/>
  <c r="M8" i="8" s="1"/>
  <c r="M7" i="1"/>
  <c r="M7" i="8" s="1"/>
  <c r="M6" i="1"/>
  <c r="M6" i="8" s="1"/>
  <c r="J32" i="1" l="1"/>
  <c r="K25" i="1" s="1"/>
  <c r="L11" i="1"/>
  <c r="L5" i="9" s="1"/>
  <c r="L8" i="9" s="1"/>
  <c r="L11" i="9" s="1"/>
  <c r="K39" i="9"/>
  <c r="K73" i="1"/>
  <c r="K75" i="1" s="1"/>
  <c r="L35" i="9"/>
  <c r="L37" i="9" s="1"/>
  <c r="L39" i="9" s="1"/>
  <c r="L42" i="9" s="1"/>
  <c r="L46" i="9" s="1"/>
  <c r="K20" i="8"/>
  <c r="M19" i="8"/>
  <c r="M11" i="8"/>
  <c r="I23" i="8"/>
  <c r="I10" i="7"/>
  <c r="I24" i="8"/>
  <c r="I70" i="1"/>
  <c r="I72" i="1" s="1"/>
  <c r="M12" i="8"/>
  <c r="L47" i="1"/>
  <c r="K30" i="8"/>
  <c r="L20" i="8"/>
  <c r="K23" i="8"/>
  <c r="K10" i="7"/>
  <c r="K11" i="7"/>
  <c r="K29" i="8"/>
  <c r="K13" i="8"/>
  <c r="J10" i="7"/>
  <c r="J23" i="8"/>
  <c r="J24" i="8"/>
  <c r="L8" i="7"/>
  <c r="L18" i="7"/>
  <c r="L21" i="7" s="1"/>
  <c r="L21" i="8"/>
  <c r="J32" i="8"/>
  <c r="M95" i="1"/>
  <c r="M9" i="1"/>
  <c r="M109" i="1"/>
  <c r="M41" i="1"/>
  <c r="M35" i="9" s="1"/>
  <c r="M37" i="9" s="1"/>
  <c r="M39" i="9" s="1"/>
  <c r="M42" i="9" s="1"/>
  <c r="M46" i="9" s="1"/>
  <c r="M101" i="1"/>
  <c r="M107" i="1" s="1"/>
  <c r="J76" i="1"/>
  <c r="L71" i="1"/>
  <c r="L110" i="1"/>
  <c r="L113" i="1" s="1"/>
  <c r="M10" i="1"/>
  <c r="M74" i="1" s="1"/>
  <c r="L13" i="1"/>
  <c r="L16" i="1" s="1"/>
  <c r="L20" i="1" s="1"/>
  <c r="L22" i="1" s="1"/>
  <c r="L19" i="9" s="1"/>
  <c r="L26" i="9" s="1"/>
  <c r="L29" i="9" s="1"/>
  <c r="L31" i="9" s="1"/>
  <c r="K70" i="1"/>
  <c r="K72" i="1" s="1"/>
  <c r="K30" i="1"/>
  <c r="K32" i="1" s="1"/>
  <c r="L25" i="1" s="1"/>
  <c r="M64" i="1"/>
  <c r="L27" i="8" l="1"/>
  <c r="L22" i="8"/>
  <c r="L15" i="8"/>
  <c r="L35" i="8"/>
  <c r="M47" i="1"/>
  <c r="L14" i="8"/>
  <c r="L5" i="8"/>
  <c r="M73" i="1"/>
  <c r="K42" i="9"/>
  <c r="K46" i="9" s="1"/>
  <c r="K21" i="8"/>
  <c r="K22" i="8"/>
  <c r="M11" i="1"/>
  <c r="M5" i="9" s="1"/>
  <c r="M8" i="9" s="1"/>
  <c r="M11" i="9" s="1"/>
  <c r="L73" i="1"/>
  <c r="L75" i="1" s="1"/>
  <c r="M15" i="8"/>
  <c r="K5" i="7"/>
  <c r="K7" i="7" s="1"/>
  <c r="K9" i="7" s="1"/>
  <c r="K16" i="8"/>
  <c r="K20" i="7"/>
  <c r="K12" i="7"/>
  <c r="K28" i="8"/>
  <c r="K17" i="8"/>
  <c r="I12" i="7"/>
  <c r="I20" i="7"/>
  <c r="I28" i="8"/>
  <c r="I16" i="8"/>
  <c r="I5" i="7"/>
  <c r="I7" i="7" s="1"/>
  <c r="I9" i="7" s="1"/>
  <c r="I17" i="8"/>
  <c r="M20" i="8"/>
  <c r="I36" i="8"/>
  <c r="I32" i="8"/>
  <c r="I76" i="1"/>
  <c r="L11" i="7"/>
  <c r="L29" i="8"/>
  <c r="L13" i="8"/>
  <c r="L30" i="8"/>
  <c r="J16" i="8"/>
  <c r="J20" i="7"/>
  <c r="J12" i="7"/>
  <c r="J5" i="7"/>
  <c r="J7" i="7" s="1"/>
  <c r="J9" i="7" s="1"/>
  <c r="J28" i="8"/>
  <c r="J17" i="8"/>
  <c r="K24" i="8"/>
  <c r="M8" i="7"/>
  <c r="M18" i="7"/>
  <c r="M21" i="7" s="1"/>
  <c r="M21" i="8"/>
  <c r="L10" i="7"/>
  <c r="L23" i="8"/>
  <c r="L24" i="8"/>
  <c r="K36" i="8"/>
  <c r="K32" i="8"/>
  <c r="J78" i="1"/>
  <c r="J84" i="1" s="1"/>
  <c r="M75" i="1"/>
  <c r="K76" i="1"/>
  <c r="M71" i="1"/>
  <c r="M110" i="1"/>
  <c r="M113" i="1" s="1"/>
  <c r="M13" i="1"/>
  <c r="M16" i="1" s="1"/>
  <c r="M20" i="1" s="1"/>
  <c r="M22" i="1" s="1"/>
  <c r="M19" i="9" s="1"/>
  <c r="M26" i="9" s="1"/>
  <c r="M29" i="9" s="1"/>
  <c r="M31" i="9" s="1"/>
  <c r="L70" i="1"/>
  <c r="L72" i="1" s="1"/>
  <c r="L36" i="8" s="1"/>
  <c r="L30" i="1"/>
  <c r="L32" i="1" s="1"/>
  <c r="M25" i="1" s="1"/>
  <c r="M14" i="8" l="1"/>
  <c r="M35" i="8"/>
  <c r="M22" i="8"/>
  <c r="M27" i="8"/>
  <c r="M5" i="8"/>
  <c r="I78" i="1"/>
  <c r="I84" i="1" s="1"/>
  <c r="M30" i="8"/>
  <c r="J15" i="7"/>
  <c r="J17" i="7" s="1"/>
  <c r="J19" i="7" s="1"/>
  <c r="J22" i="7"/>
  <c r="I15" i="7"/>
  <c r="I17" i="7" s="1"/>
  <c r="I19" i="7" s="1"/>
  <c r="I22" i="7"/>
  <c r="M29" i="8"/>
  <c r="M11" i="7"/>
  <c r="M13" i="8"/>
  <c r="K15" i="7"/>
  <c r="K17" i="7" s="1"/>
  <c r="K19" i="7" s="1"/>
  <c r="K22" i="7"/>
  <c r="L28" i="8"/>
  <c r="L20" i="7"/>
  <c r="L5" i="7"/>
  <c r="L7" i="7" s="1"/>
  <c r="L9" i="7" s="1"/>
  <c r="L12" i="7"/>
  <c r="L16" i="8"/>
  <c r="L17" i="8"/>
  <c r="M23" i="8"/>
  <c r="M10" i="7"/>
  <c r="M24" i="8"/>
  <c r="L32" i="8"/>
  <c r="K78" i="1"/>
  <c r="K84" i="1" s="1"/>
  <c r="L76" i="1"/>
  <c r="M70" i="1"/>
  <c r="M30" i="1"/>
  <c r="M32" i="1" s="1"/>
  <c r="M12" i="7" l="1"/>
  <c r="M20" i="7"/>
  <c r="M5" i="7"/>
  <c r="M7" i="7" s="1"/>
  <c r="M9" i="7" s="1"/>
  <c r="M28" i="8"/>
  <c r="M16" i="8"/>
  <c r="M17" i="8"/>
  <c r="L15" i="7"/>
  <c r="L17" i="7" s="1"/>
  <c r="L19" i="7" s="1"/>
  <c r="L22" i="7"/>
  <c r="M72" i="1"/>
  <c r="N70" i="1"/>
  <c r="O70" i="1"/>
  <c r="L78" i="1"/>
  <c r="L84" i="1" s="1"/>
  <c r="M15" i="7" l="1"/>
  <c r="M17" i="7" s="1"/>
  <c r="M19" i="7" s="1"/>
  <c r="M22" i="7"/>
  <c r="M76" i="1"/>
  <c r="M36" i="8"/>
  <c r="M32" i="8"/>
  <c r="M78" i="1" l="1"/>
  <c r="M84" i="1" s="1"/>
</calcChain>
</file>

<file path=xl/sharedStrings.xml><?xml version="1.0" encoding="utf-8"?>
<sst xmlns="http://schemas.openxmlformats.org/spreadsheetml/2006/main" count="737" uniqueCount="553">
  <si>
    <r>
      <t xml:space="preserve"> </t>
    </r>
    <r>
      <rPr>
        <b/>
        <sz val="7"/>
        <color indexed="63"/>
        <rFont val="Calibri"/>
        <family val="2"/>
        <scheme val="minor"/>
      </rPr>
      <t xml:space="preserve">2001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</si>
  <si>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2002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</si>
  <si>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2003 </t>
    </r>
    <r>
      <rPr>
        <sz val="11"/>
        <rFont val="Calibri"/>
        <family val="2"/>
        <scheme val="minor"/>
      </rPr>
      <t xml:space="preserve"> </t>
    </r>
  </si>
  <si>
    <t xml:space="preserve"> </t>
  </si>
  <si>
    <t xml:space="preserve">Depreciation </t>
  </si>
  <si>
    <t xml:space="preserve">Amortization of goodwill </t>
  </si>
  <si>
    <t xml:space="preserve">EBITDA  </t>
  </si>
  <si>
    <t xml:space="preserve">Income before extraordinary items  </t>
  </si>
  <si>
    <t xml:space="preserve"> Net profit  </t>
  </si>
  <si>
    <t xml:space="preserve"> Position as of 31 December  </t>
  </si>
  <si>
    <t xml:space="preserve"> Total long-term liabilities  </t>
  </si>
  <si>
    <t xml:space="preserve"> Total equity  </t>
  </si>
  <si>
    <r>
      <t xml:space="preserve"> </t>
    </r>
    <r>
      <rPr>
        <sz val="7"/>
        <color indexed="63"/>
        <rFont val="Calibri"/>
        <family val="2"/>
        <scheme val="minor"/>
      </rPr>
      <t xml:space="preserve">Net sales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</si>
  <si>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Cost of merchandise sold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</si>
  <si>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Selling, general and administrative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</si>
  <si>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Depreciation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</si>
  <si>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Amortization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</si>
  <si>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EBIT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</si>
  <si>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Interest and investment income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</si>
  <si>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Interest expense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</si>
  <si>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Discontinued operations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</si>
  <si>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Earnings before taxes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</si>
  <si>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>Income taxes</t>
    </r>
  </si>
  <si>
    <t xml:space="preserve"> Net earnings  </t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</si>
  <si>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Home Depot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</si>
  <si>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Lowe’s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</si>
  <si>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Operating lease interest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</si>
  <si>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Adjusted EBITA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</si>
  <si>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Operating cash taxes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</si>
  <si>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NOPLAT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</si>
  <si>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Operating taxes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</si>
  <si>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Reported taxes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</si>
  <si>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Taxes on interest income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</si>
  <si>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Tax shield on interest expense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</si>
  <si>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Tax shield on lease interest expense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</si>
  <si>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Operating taxes on EBITA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</si>
  <si>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Decrease (increase) in deferred taxes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</si>
  <si>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Operating cash taxes on EBITA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</si>
  <si>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Reconciliation with net income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</si>
  <si>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Net earnings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</si>
  <si>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Increase in deferred taxes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</si>
  <si>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Goodwill amortization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</si>
  <si>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Adjusted net income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</si>
  <si>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After-tax interest expense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</si>
  <si>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After-tax lease interest expense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</si>
  <si>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Loss (gain) from discontinued operations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</si>
  <si>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Total income available to investors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</si>
  <si>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>After-tax interest income</t>
    </r>
  </si>
  <si>
    <t xml:space="preserve"> NOPLAT  </t>
  </si>
  <si>
    <r>
      <t xml:space="preserve"> </t>
    </r>
    <r>
      <rPr>
        <sz val="7"/>
        <color indexed="63"/>
        <rFont val="Calibri"/>
        <family val="2"/>
        <scheme val="minor"/>
      </rPr>
      <t xml:space="preserve">Cash and cash equivalents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</si>
  <si>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Short-term investments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</si>
  <si>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Receivables, net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</si>
  <si>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Merchandise inventories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</si>
  <si>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Other current assets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</si>
  <si>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Total current assets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</si>
  <si>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Net property and equipment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</si>
  <si>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Long-term investments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</si>
  <si>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Acquired intangibles and goodwill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</si>
  <si>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Other assets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</si>
  <si>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Total assets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</si>
  <si>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Liabilities and equity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</si>
  <si>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Short-term debt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</si>
  <si>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Accounts payable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</si>
  <si>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Accrued salaries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</si>
  <si>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Deferred revenue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</si>
  <si>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Other accrued expenses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</si>
  <si>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Long-term debt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</si>
  <si>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Deferred income taxes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</si>
  <si>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Other long-term liabilities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</si>
  <si>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Net common stock and paid-in capital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</si>
  <si>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Retained earnings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</si>
  <si>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Accumulated other comp income </t>
    </r>
  </si>
  <si>
    <t xml:space="preserve">Total liabilities and equity  </t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</si>
  <si>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Total current liabilities </t>
    </r>
    <r>
      <rPr>
        <b/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</si>
  <si>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Working cash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</si>
  <si>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Operating current assets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</si>
  <si>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Operating current liabilities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</si>
  <si>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Operating working capital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</si>
  <si>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>Capitalized operating leases</t>
    </r>
    <r>
      <rPr>
        <sz val="4"/>
        <color indexed="63"/>
        <rFont val="Calibri"/>
        <family val="2"/>
        <scheme val="minor"/>
      </rPr>
      <t xml:space="preserve">1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</si>
  <si>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Net other assets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</si>
  <si>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Invested capital (excluding goodwill)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</si>
  <si>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Cumulative amortization and pooled goodwill </t>
    </r>
    <r>
      <rPr>
        <sz val="4.0999999999999996"/>
        <color indexed="63"/>
        <rFont val="Calibri"/>
        <family val="2"/>
        <scheme val="minor"/>
      </rPr>
      <t xml:space="preserve">2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</si>
  <si>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Invested capital (including goodwill)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</si>
  <si>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Excess cash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</si>
  <si>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Total funds invested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</si>
  <si>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Debt and debt equivalents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</si>
  <si>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Net common stock and paid-in-capital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</si>
  <si>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Accumulated other comp income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</si>
  <si>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Equity and equity equivalents </t>
    </r>
    <r>
      <rPr>
        <sz val="11"/>
        <rFont val="Calibri"/>
        <family val="2"/>
        <scheme val="minor"/>
      </rPr>
      <t xml:space="preserve"> </t>
    </r>
  </si>
  <si>
    <t xml:space="preserve">NOPLAT  </t>
  </si>
  <si>
    <t xml:space="preserve">Operating working capital  </t>
  </si>
  <si>
    <t xml:space="preserve">Operating invested capital   (before goodwill)  </t>
  </si>
  <si>
    <t xml:space="preserve">Adjusted equity  </t>
  </si>
  <si>
    <t xml:space="preserve">Total investor funds  </t>
  </si>
  <si>
    <t xml:space="preserve">Economic profit  </t>
  </si>
  <si>
    <r>
      <t xml:space="preserve"> </t>
    </r>
    <r>
      <rPr>
        <sz val="8"/>
        <color indexed="63"/>
        <rFont val="Arial"/>
        <family val="2"/>
      </rPr>
      <t xml:space="preserve">Net turnover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</si>
  <si>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Raw materials and consumables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</si>
  <si>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Marketing and selling expenses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</si>
  <si>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>Staff costs</t>
    </r>
  </si>
  <si>
    <r>
      <t xml:space="preserve"> </t>
    </r>
    <r>
      <rPr>
        <sz val="8"/>
        <color indexed="63"/>
        <rFont val="Arial"/>
        <family val="2"/>
      </rPr>
      <t xml:space="preserve">Interest paid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</si>
  <si>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Interest received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</si>
  <si>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Taxation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</si>
  <si>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>Minority interest</t>
    </r>
  </si>
  <si>
    <r>
      <t xml:space="preserve"> </t>
    </r>
    <r>
      <rPr>
        <sz val="8"/>
        <color indexed="63"/>
        <rFont val="Arial"/>
        <family val="2"/>
      </rPr>
      <t>Extraordinary items (after tax)</t>
    </r>
  </si>
  <si>
    <r>
      <t xml:space="preserve"> </t>
    </r>
    <r>
      <rPr>
        <b/>
        <sz val="8"/>
        <color indexed="63"/>
        <rFont val="Arial"/>
        <family val="2"/>
      </rPr>
      <t xml:space="preserve">Shareholders’ equity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</si>
  <si>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Position as of 1 January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</si>
  <si>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Exchange differences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</si>
  <si>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Reclassification of dividend payable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</si>
  <si>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Revaluations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</si>
  <si>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Goodwill written off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</si>
  <si>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>Dividends</t>
    </r>
  </si>
  <si>
    <r>
      <t xml:space="preserve"> </t>
    </r>
    <r>
      <rPr>
        <sz val="8"/>
        <color indexed="63"/>
        <rFont val="Arial"/>
        <family val="2"/>
      </rPr>
      <t xml:space="preserve">Operating cash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</si>
  <si>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Excess cash and marketable securities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</si>
  <si>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Accounts receivable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</si>
  <si>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Stocks (inventory)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</si>
  <si>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Other current assets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</si>
  <si>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Total current assets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</si>
  <si>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Tangible fixed assets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</si>
  <si>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Goodwill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</si>
  <si>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Nonconsolidated participating interests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</si>
  <si>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Deferred tax assets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</si>
  <si>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Other financial fixed assets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</si>
  <si>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Total assets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</si>
  <si>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Short-term debt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</si>
  <si>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Accounts payable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</si>
  <si>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Tax payable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</si>
  <si>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Dividend payable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</si>
  <si>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Other current liabilities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</si>
  <si>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Total current liabilities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</si>
  <si>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Long-term debt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</si>
  <si>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Deferred tax liabilities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</si>
  <si>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Retirement liabilities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</si>
  <si>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Other provisions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</si>
  <si>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>Restructuring provision</t>
    </r>
  </si>
  <si>
    <r>
      <t xml:space="preserve"> </t>
    </r>
    <r>
      <rPr>
        <sz val="8"/>
        <color indexed="63"/>
        <rFont val="Arial"/>
        <family val="2"/>
      </rPr>
      <t xml:space="preserve">Shareholders’ equity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</si>
  <si>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Total liabilities and shareholders’ equity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</si>
  <si>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EBITA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</si>
  <si>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Taxes on EBITA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</si>
  <si>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Taxes on EBITA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</si>
  <si>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Reported taxes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</si>
  <si>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Tax shield on interest paid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</si>
  <si>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Taxes on interest received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</si>
  <si>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Reconciliation to net profit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</si>
  <si>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Net profit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</si>
  <si>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Extraordinary items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</si>
  <si>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Minority interest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</si>
  <si>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Amortization of goodwill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</si>
  <si>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Interest paid after tax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</si>
  <si>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Interest received after tax </t>
    </r>
    <r>
      <rPr>
        <b/>
        <sz val="7"/>
        <color indexed="63"/>
        <rFont val="Calibri"/>
        <family val="2"/>
        <scheme val="minor"/>
      </rPr>
      <t/>
    </r>
  </si>
  <si>
    <r>
      <t xml:space="preserve"> </t>
    </r>
    <r>
      <rPr>
        <sz val="8"/>
        <color indexed="8"/>
        <rFont val="Arial"/>
        <family val="2"/>
      </rPr>
      <t xml:space="preserve">Operating current assets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</si>
  <si>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Operating current liabilities </t>
    </r>
  </si>
  <si>
    <r>
      <t xml:space="preserve"> </t>
    </r>
    <r>
      <rPr>
        <sz val="8"/>
        <color indexed="8"/>
        <rFont val="Arial"/>
        <family val="2"/>
      </rPr>
      <t xml:space="preserve">Tangible fixed assets </t>
    </r>
  </si>
  <si>
    <r>
      <t xml:space="preserve"> </t>
    </r>
    <r>
      <rPr>
        <sz val="8"/>
        <color indexed="8"/>
        <rFont val="Arial"/>
        <family val="2"/>
      </rPr>
      <t xml:space="preserve">Goodwill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</si>
  <si>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Cumulative goodwill written </t>
    </r>
    <r>
      <rPr>
        <sz val="8"/>
        <rFont val="Arial"/>
        <family val="2"/>
      </rPr>
      <t xml:space="preserve">  off and amortized  </t>
    </r>
  </si>
  <si>
    <r>
      <t xml:space="preserve"> </t>
    </r>
    <r>
      <rPr>
        <sz val="8"/>
        <color indexed="8"/>
        <rFont val="Arial"/>
        <family val="2"/>
      </rPr>
      <t xml:space="preserve">Excess cash and marketable securities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</si>
  <si>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Other financial fixed assets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</si>
  <si>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Shareholders’ equity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</si>
  <si>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Minority interest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</si>
  <si>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Other provisions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</si>
  <si>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Net deferred taxes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</si>
  <si>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Dividend payable </t>
    </r>
  </si>
  <si>
    <r>
      <t xml:space="preserve"> </t>
    </r>
    <r>
      <rPr>
        <sz val="8"/>
        <color indexed="8"/>
        <rFont val="Arial"/>
        <family val="2"/>
      </rPr>
      <t xml:space="preserve">Debt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</si>
  <si>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Retirement liabilities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</si>
  <si>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Restructuring provision </t>
    </r>
    <r>
      <rPr>
        <b/>
        <sz val="7"/>
        <color indexed="8"/>
        <rFont val="Calibri"/>
        <family val="2"/>
        <scheme val="minor"/>
      </rPr>
      <t/>
    </r>
  </si>
  <si>
    <r>
      <t xml:space="preserve"> </t>
    </r>
    <r>
      <rPr>
        <sz val="8"/>
        <color indexed="8"/>
        <rFont val="Arial"/>
        <family val="2"/>
      </rPr>
      <t xml:space="preserve">After-tax ROIC (on beginning of year invested capital)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</si>
  <si>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WACC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</si>
  <si>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Spread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</si>
  <si>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Invested capital (beginning of year) </t>
    </r>
    <r>
      <rPr>
        <b/>
        <sz val="7"/>
        <color indexed="8"/>
        <rFont val="Calibri"/>
        <family val="2"/>
        <scheme val="minor"/>
      </rPr>
      <t/>
    </r>
  </si>
  <si>
    <r>
      <t xml:space="preserve"> </t>
    </r>
    <r>
      <rPr>
        <sz val="8"/>
        <color indexed="8"/>
        <rFont val="Arial"/>
        <family val="2"/>
      </rPr>
      <t xml:space="preserve">NOPLAT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</si>
  <si>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Capital charge </t>
    </r>
    <r>
      <rPr>
        <b/>
        <sz val="7"/>
        <color indexed="8"/>
        <rFont val="Calibri"/>
        <family val="2"/>
        <scheme val="minor"/>
      </rPr>
      <t/>
    </r>
  </si>
  <si>
    <r>
      <t xml:space="preserve"> </t>
    </r>
    <r>
      <rPr>
        <b/>
        <sz val="8"/>
        <color indexed="8"/>
        <rFont val="Arial"/>
        <family val="2"/>
      </rPr>
      <t xml:space="preserve">After goodwill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</si>
  <si>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Adjusted EBITA/net turnover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</si>
  <si>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Staff costs/net turnover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</si>
  <si>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Depreciation1/net turnover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</si>
  <si>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Return on invested capital (beginning)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</si>
  <si>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Tangible fixed assets/net turnover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</si>
  <si>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Working capital/net turnover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</si>
  <si>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Net turnover/invested capital (times)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</si>
  <si>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Pre-tax ROIC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</si>
  <si>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Cash tax rate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</si>
  <si>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After-tax ROIC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</si>
  <si>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After-tax ROIC (including goodwill)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</si>
  <si>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Return on invested capital (average)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</si>
  <si>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Net turnover/invested capital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</si>
  <si>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Growth rates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</si>
  <si>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Revenue growth rate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</si>
  <si>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Adjusted EBITA growth rate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</si>
  <si>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NOPLAT growth rate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</si>
  <si>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Invested capital growth rate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</si>
  <si>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Net Income growth rate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</si>
  <si>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Investment rates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</si>
  <si>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Gross investment rate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</si>
  <si>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Net investment rate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</si>
  <si>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Financing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</si>
  <si>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Coverage (adjusted EBITA/interest)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</si>
  <si>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Cash coverage (gross CF/interest)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</si>
  <si>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Debt/total book capitalization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</si>
  <si>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Debt/total market capitalization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</si>
  <si>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Change in working capital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</si>
  <si>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Increase (decrease) in operating cash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</si>
  <si>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Increase (decrease) in accounts receivable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</si>
  <si>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Increase (decrease) in stocks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</si>
  <si>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Increase (decrease) in other current assets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</si>
  <si>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(Increase) in accounts payable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</si>
  <si>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(Increase) decrease in tax payable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</si>
  <si>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>Net change in working capital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</si>
  <si>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Capital expenditures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</si>
  <si>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Depreciation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</si>
  <si>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Investment in goodwill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</si>
  <si>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Increase (decrease) in goodwill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</si>
  <si>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Other nonoperating cash flows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</si>
  <si>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Extraordinary items </t>
    </r>
    <r>
      <rPr>
        <sz val="8"/>
        <rFont val="Arial"/>
        <family val="2"/>
      </rPr>
      <t xml:space="preserve"> </t>
    </r>
  </si>
  <si>
    <r>
      <rPr>
        <b/>
        <sz val="8"/>
        <color indexed="63"/>
        <rFont val="Arial"/>
        <family val="2"/>
      </rPr>
      <t xml:space="preserve">EBITA </t>
    </r>
    <r>
      <rPr>
        <b/>
        <sz val="8"/>
        <rFont val="Arial"/>
        <family val="2"/>
      </rPr>
      <t xml:space="preserve"> </t>
    </r>
  </si>
  <si>
    <r>
      <rPr>
        <b/>
        <sz val="8"/>
        <color indexed="63"/>
        <rFont val="Arial"/>
        <family val="2"/>
      </rPr>
      <t xml:space="preserve">Operating profit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</si>
  <si>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Profit before tax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</si>
  <si>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Results of nonconsolidated </t>
    </r>
    <r>
      <rPr>
        <sz val="8"/>
        <rFont val="Arial"/>
        <family val="2"/>
      </rPr>
      <t xml:space="preserve">participating interest (after tax)  </t>
    </r>
  </si>
  <si>
    <r>
      <t xml:space="preserve"> </t>
    </r>
    <r>
      <rPr>
        <b/>
        <sz val="8"/>
        <color indexed="63"/>
        <rFont val="Arial"/>
        <family val="2"/>
      </rPr>
      <t xml:space="preserve">Net profit for the year </t>
    </r>
    <r>
      <rPr>
        <b/>
        <sz val="8"/>
        <rFont val="Arial"/>
        <family val="2"/>
      </rPr>
      <t xml:space="preserve"> </t>
    </r>
  </si>
  <si>
    <t>Profit and loss statement</t>
  </si>
  <si>
    <t>Heineken company</t>
  </si>
  <si>
    <t>Balance sheet</t>
  </si>
  <si>
    <r>
      <t xml:space="preserve"> </t>
    </r>
    <r>
      <rPr>
        <b/>
        <sz val="8"/>
        <color indexed="63"/>
        <rFont val="Arial"/>
        <family val="2"/>
      </rPr>
      <t xml:space="preserve">NOPLAT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</si>
  <si>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Taxes on EBITA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</si>
  <si>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Tax shield on retirement related liabilities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</si>
  <si>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>Increase/(decrease) in other provisions</t>
    </r>
  </si>
  <si>
    <r>
      <t xml:space="preserve"> </t>
    </r>
    <r>
      <rPr>
        <sz val="8"/>
        <color indexed="63"/>
        <rFont val="Arial"/>
        <family val="2"/>
      </rPr>
      <t xml:space="preserve">Increase/(decrease) in deferred tax liability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</si>
  <si>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Results of nonconsolidated  participating interests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</si>
  <si>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Interest expense on retirement related liabilities </t>
    </r>
    <r>
      <rPr>
        <sz val="8"/>
        <rFont val="Arial"/>
        <family val="2"/>
      </rPr>
      <t xml:space="preserve"> </t>
    </r>
  </si>
  <si>
    <r>
      <rPr>
        <b/>
        <sz val="8"/>
        <color indexed="63"/>
        <rFont val="Arial"/>
        <family val="2"/>
      </rPr>
      <t xml:space="preserve">Historical Invested Capital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</si>
  <si>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Adjustment for retirement </t>
    </r>
    <r>
      <rPr>
        <sz val="8"/>
        <rFont val="Arial"/>
        <family val="2"/>
      </rPr>
      <t xml:space="preserve">related liability  </t>
    </r>
  </si>
  <si>
    <r>
      <t xml:space="preserve"> </t>
    </r>
    <r>
      <rPr>
        <sz val="8"/>
        <color indexed="63"/>
        <rFont val="Arial"/>
        <family val="2"/>
      </rPr>
      <t xml:space="preserve">Increase/(decrease) </t>
    </r>
    <r>
      <rPr>
        <sz val="8"/>
        <rFont val="Arial"/>
        <family val="2"/>
      </rPr>
      <t xml:space="preserve">in other provisions  </t>
    </r>
  </si>
  <si>
    <r>
      <t xml:space="preserve"> </t>
    </r>
    <r>
      <rPr>
        <b/>
        <sz val="8"/>
        <color indexed="63"/>
        <rFont val="Arial"/>
        <family val="2"/>
      </rPr>
      <t xml:space="preserve">Adjusted net profit </t>
    </r>
    <r>
      <rPr>
        <b/>
        <sz val="8"/>
        <rFont val="Arial"/>
        <family val="2"/>
      </rPr>
      <t xml:space="preserve"> </t>
    </r>
  </si>
  <si>
    <r>
      <rPr>
        <b/>
        <sz val="8"/>
        <color indexed="63"/>
        <rFont val="Arial"/>
        <family val="2"/>
      </rPr>
      <t xml:space="preserve">Supporting Calculations </t>
    </r>
    <r>
      <rPr>
        <sz val="8"/>
        <rFont val="Arial"/>
        <family val="2"/>
      </rPr>
      <t xml:space="preserve"> </t>
    </r>
  </si>
  <si>
    <r>
      <rPr>
        <b/>
        <sz val="8"/>
        <color indexed="63"/>
        <rFont val="Arial"/>
        <family val="2"/>
      </rPr>
      <t xml:space="preserve">Historical Economic Profit </t>
    </r>
    <r>
      <rPr>
        <sz val="8"/>
        <rFont val="Arial"/>
        <family val="2"/>
      </rPr>
      <t xml:space="preserve">Befor  </t>
    </r>
  </si>
  <si>
    <r>
      <t xml:space="preserve"> </t>
    </r>
    <r>
      <rPr>
        <b/>
        <sz val="8"/>
        <color theme="0"/>
        <rFont val="Arial"/>
        <family val="2"/>
      </rPr>
      <t xml:space="preserve">Operating ratios </t>
    </r>
    <r>
      <rPr>
        <sz val="8"/>
        <color theme="0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</si>
  <si>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Total income available to investors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</si>
  <si>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Total investor funds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</si>
  <si>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Cumulative goodwill written </t>
    </r>
    <r>
      <rPr>
        <sz val="8"/>
        <rFont val="Arial"/>
        <family val="2"/>
      </rPr>
      <t xml:space="preserve">off and amortized  </t>
    </r>
  </si>
  <si>
    <r>
      <t xml:space="preserve"> </t>
    </r>
    <r>
      <rPr>
        <b/>
        <sz val="8"/>
        <color indexed="8"/>
        <rFont val="Arial"/>
        <family val="2"/>
      </rPr>
      <t xml:space="preserve">Operating invested capital </t>
    </r>
    <r>
      <rPr>
        <b/>
        <sz val="8"/>
        <rFont val="Arial"/>
        <family val="2"/>
      </rPr>
      <t xml:space="preserve">  (after goodwill)  </t>
    </r>
  </si>
  <si>
    <r>
      <t xml:space="preserve"> </t>
    </r>
    <r>
      <rPr>
        <sz val="8"/>
        <color indexed="8"/>
        <rFont val="Arial"/>
        <family val="2"/>
      </rPr>
      <t xml:space="preserve">Raw materials, consumables and services/net turnover </t>
    </r>
  </si>
  <si>
    <r>
      <t xml:space="preserve"> </t>
    </r>
    <r>
      <rPr>
        <sz val="8"/>
        <color indexed="8"/>
        <rFont val="Arial"/>
        <family val="2"/>
      </rPr>
      <t xml:space="preserve">Marketing and selling </t>
    </r>
    <r>
      <rPr>
        <sz val="8"/>
        <rFont val="Arial"/>
        <family val="2"/>
      </rPr>
      <t xml:space="preserve">  expenses/net turnover  </t>
    </r>
  </si>
  <si>
    <r>
      <t xml:space="preserve"> </t>
    </r>
    <r>
      <rPr>
        <sz val="8"/>
        <color indexed="8"/>
        <rFont val="Arial"/>
        <family val="2"/>
      </rPr>
      <t xml:space="preserve">Non-consolidated participating </t>
    </r>
    <r>
      <rPr>
        <sz val="8"/>
        <rFont val="Arial"/>
        <family val="2"/>
      </rPr>
      <t xml:space="preserve">interests  </t>
    </r>
  </si>
  <si>
    <r>
      <t xml:space="preserve"> </t>
    </r>
    <r>
      <rPr>
        <sz val="8"/>
        <color indexed="63"/>
        <rFont val="Arial"/>
        <family val="2"/>
      </rPr>
      <t xml:space="preserve">Market value of operating invested capital/adjusted EBITA  </t>
    </r>
  </si>
  <si>
    <r>
      <t xml:space="preserve"> </t>
    </r>
    <r>
      <rPr>
        <sz val="8"/>
        <color indexed="63"/>
        <rFont val="Arial"/>
        <family val="2"/>
      </rPr>
      <t xml:space="preserve">Market value of operating invested </t>
    </r>
    <r>
      <rPr>
        <sz val="8"/>
        <rFont val="Arial"/>
        <family val="2"/>
      </rPr>
      <t xml:space="preserve">  capital/book value on invested capital  </t>
    </r>
  </si>
  <si>
    <t xml:space="preserve">Gross cash flow  </t>
  </si>
  <si>
    <t xml:space="preserve">Gross investment  </t>
  </si>
  <si>
    <t xml:space="preserve">Free cash flow after goodwill  </t>
  </si>
  <si>
    <t xml:space="preserve">Cash flow to investors  </t>
  </si>
  <si>
    <t xml:space="preserve">Total financing flows  </t>
  </si>
  <si>
    <r>
      <t xml:space="preserve"> </t>
    </r>
    <r>
      <rPr>
        <b/>
        <sz val="8"/>
        <color indexed="8"/>
        <rFont val="Arial"/>
        <family val="2"/>
      </rPr>
      <t xml:space="preserve">Operating cash flows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</si>
  <si>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Depreciation </t>
    </r>
  </si>
  <si>
    <r>
      <t xml:space="preserve"> </t>
    </r>
    <r>
      <rPr>
        <sz val="8"/>
        <color indexed="8"/>
        <rFont val="Arial"/>
        <family val="2"/>
      </rPr>
      <t xml:space="preserve">(Increase) decrease  in working capital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</si>
  <si>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Capital expenditures </t>
    </r>
  </si>
  <si>
    <r>
      <t xml:space="preserve"> </t>
    </r>
    <r>
      <rPr>
        <sz val="8"/>
        <color indexed="8"/>
        <rFont val="Arial"/>
        <family val="2"/>
      </rPr>
      <t xml:space="preserve">Investment in goodwill </t>
    </r>
  </si>
  <si>
    <r>
      <t xml:space="preserve"> </t>
    </r>
    <r>
      <rPr>
        <sz val="8"/>
        <color indexed="8"/>
        <rFont val="Arial"/>
        <family val="2"/>
      </rPr>
      <t xml:space="preserve">After tax interest received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</si>
  <si>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(Increase) decrease in </t>
    </r>
    <r>
      <rPr>
        <sz val="8"/>
        <rFont val="Arial"/>
        <family val="2"/>
      </rPr>
      <t xml:space="preserve">  excess marketable securities  </t>
    </r>
  </si>
  <si>
    <r>
      <t xml:space="preserve"> </t>
    </r>
    <r>
      <rPr>
        <sz val="8"/>
        <color indexed="8"/>
        <rFont val="Arial"/>
        <family val="2"/>
      </rPr>
      <t xml:space="preserve">Results of nonconsolidated </t>
    </r>
    <r>
      <rPr>
        <sz val="8"/>
        <rFont val="Arial"/>
        <family val="2"/>
      </rPr>
      <t xml:space="preserve">  participating interests  </t>
    </r>
  </si>
  <si>
    <r>
      <t xml:space="preserve"> </t>
    </r>
    <r>
      <rPr>
        <sz val="8"/>
        <color indexed="8"/>
        <rFont val="Arial"/>
        <family val="2"/>
      </rPr>
      <t xml:space="preserve">(Increase) decrease in non- </t>
    </r>
    <r>
      <rPr>
        <sz val="8"/>
        <rFont val="Arial"/>
        <family val="2"/>
      </rPr>
      <t xml:space="preserve">  consolidated participating interests  </t>
    </r>
  </si>
  <si>
    <r>
      <t xml:space="preserve"> </t>
    </r>
    <r>
      <rPr>
        <sz val="8"/>
        <color indexed="8"/>
        <rFont val="Arial"/>
        <family val="2"/>
      </rPr>
      <t xml:space="preserve">Other nonoperating cash flows </t>
    </r>
    <r>
      <rPr>
        <b/>
        <sz val="7"/>
        <color indexed="8"/>
        <rFont val="Calibri"/>
        <family val="2"/>
        <scheme val="minor"/>
      </rPr>
      <t/>
    </r>
  </si>
  <si>
    <r>
      <t xml:space="preserve"> </t>
    </r>
    <r>
      <rPr>
        <b/>
        <sz val="8"/>
        <color indexed="8"/>
        <rFont val="Arial"/>
        <family val="2"/>
      </rPr>
      <t xml:space="preserve">Financing flows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</si>
  <si>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After tax interest paid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</si>
  <si>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Interest on retirement liabilities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</si>
  <si>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Minority interest (income statement)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</si>
  <si>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(Increase) decrease in minority interest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</si>
  <si>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(Increase) decrease in debt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</si>
  <si>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(Increase) decrease </t>
    </r>
    <r>
      <rPr>
        <sz val="8"/>
        <rFont val="Arial"/>
        <family val="2"/>
      </rPr>
      <t xml:space="preserve">  in retirement liabilities  </t>
    </r>
  </si>
  <si>
    <r>
      <t xml:space="preserve"> </t>
    </r>
    <r>
      <rPr>
        <sz val="8"/>
        <color indexed="8"/>
        <rFont val="Arial"/>
        <family val="2"/>
      </rPr>
      <t xml:space="preserve">(Increase) decrease  in restructuring provisions  </t>
    </r>
  </si>
  <si>
    <r>
      <t xml:space="preserve"> </t>
    </r>
    <r>
      <rPr>
        <sz val="8"/>
        <color indexed="8"/>
        <rFont val="Arial"/>
        <family val="2"/>
      </rPr>
      <t xml:space="preserve">(Increase) decrease </t>
    </r>
    <r>
      <rPr>
        <sz val="8"/>
        <rFont val="Arial"/>
        <family val="2"/>
      </rPr>
      <t xml:space="preserve">  in dividends payable </t>
    </r>
  </si>
  <si>
    <r>
      <t xml:space="preserve"> </t>
    </r>
    <r>
      <rPr>
        <sz val="8"/>
        <color indexed="8"/>
        <rFont val="Arial"/>
        <family val="2"/>
      </rPr>
      <t xml:space="preserve">Dividends </t>
    </r>
    <r>
      <rPr>
        <b/>
        <sz val="7"/>
        <color indexed="8"/>
        <rFont val="Calibri"/>
        <family val="2"/>
        <scheme val="minor"/>
      </rPr>
      <t/>
    </r>
  </si>
  <si>
    <r>
      <t xml:space="preserve"> </t>
    </r>
    <r>
      <rPr>
        <b/>
        <sz val="8"/>
        <color indexed="63"/>
        <rFont val="Arial"/>
        <family val="2"/>
      </rPr>
      <t xml:space="preserve">Adjusted EBITA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</si>
  <si>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Free cash flow before goodwill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</si>
  <si>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2001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</si>
  <si>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2002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</si>
  <si>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2003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</si>
  <si>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2006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</si>
  <si>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2007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</si>
  <si>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2008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</si>
  <si>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1999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</si>
  <si>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2000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</si>
  <si>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2004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</si>
  <si>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2005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</si>
  <si>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Working capital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</si>
  <si>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Accounts receivable (days)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</si>
  <si>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Stocks (days)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</si>
  <si>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Other current assets (days)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</si>
  <si>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Accounts payable (days)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</si>
  <si>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Tax payable (days)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</si>
  <si>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Other current liabilities (days)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</si>
  <si>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Capital expenditure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</si>
  <si>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Other assets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</si>
  <si>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Other liabilities </t>
    </r>
    <r>
      <rPr>
        <sz val="7"/>
        <color indexed="8"/>
        <rFont val="Calibri"/>
        <family val="2"/>
        <scheme val="minor"/>
      </rPr>
      <t xml:space="preserve">(€ million)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</si>
  <si>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Retirement related liability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</si>
  <si>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Short-tem debt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</si>
  <si>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Long-term debt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</si>
  <si>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Deferred tax liabilities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</si>
  <si>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Other provisions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</si>
  <si>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Minority interest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</si>
  <si>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Operating cash </t>
    </r>
    <r>
      <rPr>
        <sz val="11"/>
        <rFont val="Calibri"/>
        <family val="2"/>
        <scheme val="minor"/>
      </rPr>
      <t xml:space="preserve">  (percent of net turnover) 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</si>
  <si>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Tangible fixed assets </t>
    </r>
    <r>
      <rPr>
        <sz val="11"/>
        <rFont val="Calibri"/>
        <family val="2"/>
        <scheme val="minor"/>
      </rPr>
      <t xml:space="preserve">  (percent of net turnover) 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</si>
  <si>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Nonconsolidated participating </t>
    </r>
    <r>
      <rPr>
        <sz val="11"/>
        <rFont val="Calibri"/>
        <family val="2"/>
        <scheme val="minor"/>
      </rPr>
      <t xml:space="preserve">  interests (shares and loans,  percent of net turnover) 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</si>
  <si>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Deferred tax assets </t>
    </r>
    <r>
      <rPr>
        <sz val="11"/>
        <rFont val="Calibri"/>
        <family val="2"/>
        <scheme val="minor"/>
      </rPr>
      <t xml:space="preserve">  (percent of turnover)  </t>
    </r>
  </si>
  <si>
    <r>
      <t xml:space="preserve"> </t>
    </r>
    <r>
      <rPr>
        <sz val="7"/>
        <color indexed="8"/>
        <rFont val="Calibri"/>
        <family val="2"/>
        <scheme val="minor"/>
      </rPr>
      <t xml:space="preserve">Other financial fixed </t>
    </r>
    <r>
      <rPr>
        <sz val="11"/>
        <rFont val="Calibri"/>
        <family val="2"/>
        <scheme val="minor"/>
      </rPr>
      <t xml:space="preserve">  assets (€ million)  </t>
    </r>
  </si>
  <si>
    <r>
      <t xml:space="preserve"> </t>
    </r>
    <r>
      <rPr>
        <sz val="8"/>
        <color indexed="8"/>
        <rFont val="Arial"/>
        <family val="2"/>
      </rPr>
      <t xml:space="preserve">Organic volume growth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</si>
  <si>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Price increase/mix change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</si>
  <si>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Underlying organic growth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</si>
  <si>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Acquisitions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</si>
  <si>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Currency changes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</si>
  <si>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Accounting change/other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</si>
  <si>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Raw materials, consumables </t>
    </r>
    <r>
      <rPr>
        <sz val="8"/>
        <rFont val="Arial"/>
        <family val="2"/>
      </rPr>
      <t xml:space="preserve">  and services (of net turnover)  </t>
    </r>
  </si>
  <si>
    <r>
      <t xml:space="preserve"> </t>
    </r>
    <r>
      <rPr>
        <sz val="8"/>
        <color indexed="8"/>
        <rFont val="Arial"/>
        <family val="2"/>
      </rPr>
      <t xml:space="preserve">Marketing and selling expenses </t>
    </r>
    <r>
      <rPr>
        <sz val="8"/>
        <rFont val="Arial"/>
        <family val="2"/>
      </rPr>
      <t xml:space="preserve">  (of net turnover)  </t>
    </r>
  </si>
  <si>
    <r>
      <t xml:space="preserve"> </t>
    </r>
    <r>
      <rPr>
        <sz val="8"/>
        <color indexed="8"/>
        <rFont val="Arial"/>
        <family val="2"/>
      </rPr>
      <t xml:space="preserve">Staff costs (of net turnover)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</si>
  <si>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Depreciation (of fixed assets)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</si>
  <si>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Interest rates </t>
    </r>
    <r>
      <rPr>
        <sz val="8"/>
        <color indexed="8"/>
        <rFont val="Arial"/>
        <family val="2"/>
      </rPr>
      <t xml:space="preserve">(percent)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</si>
  <si>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Interest rate on existing debt </t>
    </r>
    <r>
      <rPr>
        <sz val="8"/>
        <rFont val="Arial"/>
        <family val="2"/>
      </rPr>
      <t xml:space="preserve">  (on beginning of year balance)  </t>
    </r>
  </si>
  <si>
    <r>
      <t xml:space="preserve"> </t>
    </r>
    <r>
      <rPr>
        <sz val="8"/>
        <color indexed="8"/>
        <rFont val="Arial"/>
        <family val="2"/>
      </rPr>
      <t xml:space="preserve">Interest rate on new debt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</si>
  <si>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Interest rate on retirement </t>
    </r>
    <r>
      <rPr>
        <sz val="8"/>
        <rFont val="Arial"/>
        <family val="2"/>
      </rPr>
      <t xml:space="preserve">  related liabilities  </t>
    </r>
  </si>
  <si>
    <r>
      <t xml:space="preserve"> </t>
    </r>
    <r>
      <rPr>
        <sz val="8"/>
        <color indexed="8"/>
        <rFont val="Arial"/>
        <family val="2"/>
      </rPr>
      <t xml:space="preserve">Interest rate on excess cash </t>
    </r>
    <r>
      <rPr>
        <sz val="8"/>
        <rFont val="Arial"/>
        <family val="2"/>
      </rPr>
      <t xml:space="preserve">  (on beginning of year balance)  </t>
    </r>
  </si>
  <si>
    <r>
      <t xml:space="preserve"> </t>
    </r>
    <r>
      <rPr>
        <b/>
        <sz val="8"/>
        <color indexed="8"/>
        <rFont val="Arial"/>
        <family val="2"/>
      </rPr>
      <t xml:space="preserve">Taxes </t>
    </r>
    <r>
      <rPr>
        <sz val="8"/>
        <color indexed="8"/>
        <rFont val="Arial"/>
        <family val="2"/>
      </rPr>
      <t xml:space="preserve">(percent)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</si>
  <si>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Statutory tax rate in Netherlands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</si>
  <si>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Operating tax rate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</si>
  <si>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Minority interest </t>
    </r>
    <r>
      <rPr>
        <sz val="8"/>
        <color indexed="8"/>
        <rFont val="Arial"/>
        <family val="2"/>
      </rPr>
      <t xml:space="preserve">(percent)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</si>
  <si>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Minority interest </t>
    </r>
    <r>
      <rPr>
        <sz val="8"/>
        <rFont val="Arial"/>
        <family val="2"/>
      </rPr>
      <t xml:space="preserve">  (of profit before tax and  goodwill amortization) </t>
    </r>
  </si>
  <si>
    <r>
      <t xml:space="preserve"> </t>
    </r>
    <r>
      <rPr>
        <b/>
        <sz val="8"/>
        <color indexed="8"/>
        <rFont val="Arial"/>
        <family val="2"/>
      </rPr>
      <t>Dividends</t>
    </r>
    <r>
      <rPr>
        <sz val="8"/>
        <color indexed="8"/>
        <rFont val="Arial"/>
        <family val="2"/>
      </rPr>
      <t xml:space="preserve">(€ millions)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</si>
  <si>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Dividends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</si>
  <si>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Other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</si>
  <si>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Amortization of goodwill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</si>
  <si>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Results of nonconsolidated </t>
    </r>
    <r>
      <rPr>
        <sz val="8"/>
        <rFont val="Arial"/>
        <family val="2"/>
      </rPr>
      <t xml:space="preserve">  participating interests (€ millions)  </t>
    </r>
  </si>
  <si>
    <r>
      <t xml:space="preserve"> Historical </t>
    </r>
    <r>
      <rPr>
        <sz val="8"/>
        <color theme="0"/>
        <rFont val="Arial"/>
        <family val="2"/>
      </rPr>
      <t xml:space="preserve"> </t>
    </r>
  </si>
  <si>
    <r>
      <t xml:space="preserve"> Forecast </t>
    </r>
    <r>
      <rPr>
        <sz val="8"/>
        <color theme="0"/>
        <rFont val="Arial"/>
        <family val="2"/>
      </rPr>
      <t xml:space="preserve"> </t>
    </r>
  </si>
  <si>
    <r>
      <t xml:space="preserve"> 1999 </t>
    </r>
    <r>
      <rPr>
        <sz val="8"/>
        <color theme="0"/>
        <rFont val="Arial"/>
        <family val="2"/>
      </rPr>
      <t xml:space="preserve"> </t>
    </r>
  </si>
  <si>
    <r>
      <t xml:space="preserve"> 2000 </t>
    </r>
    <r>
      <rPr>
        <sz val="8"/>
        <color theme="0"/>
        <rFont val="Arial"/>
        <family val="2"/>
      </rPr>
      <t xml:space="preserve"> </t>
    </r>
  </si>
  <si>
    <r>
      <t xml:space="preserve"> 2001 </t>
    </r>
    <r>
      <rPr>
        <sz val="8"/>
        <color theme="0"/>
        <rFont val="Arial"/>
        <family val="2"/>
      </rPr>
      <t xml:space="preserve"> </t>
    </r>
  </si>
  <si>
    <r>
      <t xml:space="preserve"> 2002 </t>
    </r>
    <r>
      <rPr>
        <sz val="8"/>
        <color theme="0"/>
        <rFont val="Arial"/>
        <family val="2"/>
      </rPr>
      <t xml:space="preserve"> </t>
    </r>
  </si>
  <si>
    <r>
      <t xml:space="preserve"> 2003 </t>
    </r>
    <r>
      <rPr>
        <sz val="8"/>
        <color theme="0"/>
        <rFont val="Arial"/>
        <family val="2"/>
      </rPr>
      <t xml:space="preserve"> </t>
    </r>
  </si>
  <si>
    <r>
      <t xml:space="preserve"> 2004 </t>
    </r>
    <r>
      <rPr>
        <sz val="8"/>
        <color theme="0"/>
        <rFont val="Arial"/>
        <family val="2"/>
      </rPr>
      <t xml:space="preserve"> </t>
    </r>
  </si>
  <si>
    <r>
      <t xml:space="preserve"> 2005 </t>
    </r>
    <r>
      <rPr>
        <sz val="8"/>
        <color theme="0"/>
        <rFont val="Arial"/>
        <family val="2"/>
      </rPr>
      <t xml:space="preserve"> </t>
    </r>
  </si>
  <si>
    <r>
      <t xml:space="preserve"> 2006 </t>
    </r>
    <r>
      <rPr>
        <sz val="8"/>
        <color theme="0"/>
        <rFont val="Arial"/>
        <family val="2"/>
      </rPr>
      <t xml:space="preserve"> </t>
    </r>
  </si>
  <si>
    <r>
      <t xml:space="preserve"> 2007 </t>
    </r>
    <r>
      <rPr>
        <sz val="8"/>
        <color theme="0"/>
        <rFont val="Arial"/>
        <family val="2"/>
      </rPr>
      <t xml:space="preserve"> </t>
    </r>
  </si>
  <si>
    <r>
      <t xml:space="preserve"> 2008 </t>
    </r>
    <r>
      <rPr>
        <sz val="8"/>
        <color theme="0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</si>
  <si>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Turnover growth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</si>
  <si>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Operating expense ratios (percent)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</si>
  <si>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8"/>
        <rFont val="Arial"/>
        <family val="2"/>
      </rPr>
      <t xml:space="preserve">Turnover growth (percent) </t>
    </r>
    <r>
      <rPr>
        <b/>
        <sz val="8"/>
        <rFont val="Arial"/>
        <family val="2"/>
      </rPr>
      <t xml:space="preserve"> </t>
    </r>
  </si>
  <si>
    <t>New debt</t>
  </si>
  <si>
    <r>
      <t xml:space="preserve"> </t>
    </r>
    <r>
      <rPr>
        <b/>
        <sz val="7"/>
        <color indexed="63"/>
        <rFont val="Calibri"/>
        <family val="2"/>
        <scheme val="minor"/>
      </rPr>
      <t>Total funds invested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</si>
  <si>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$ million </t>
    </r>
    <r>
      <rPr>
        <sz val="11"/>
        <rFont val="Calibri"/>
        <family val="2"/>
        <scheme val="minor"/>
      </rPr>
      <t xml:space="preserve"> </t>
    </r>
  </si>
  <si>
    <t>Accountant’sBalanceSheet</t>
  </si>
  <si>
    <t>InvestedCapital</t>
  </si>
  <si>
    <t>PriorCurrent</t>
  </si>
  <si>
    <t>Prior</t>
  </si>
  <si>
    <t>Current</t>
  </si>
  <si>
    <t>Assets</t>
  </si>
  <si>
    <t>yearyear</t>
  </si>
  <si>
    <t>year</t>
  </si>
  <si>
    <t>Inventory</t>
  </si>
  <si>
    <t>Operatingliabilities</t>
  </si>
  <si>
    <t>NetPP&amp;E</t>
  </si>
  <si>
    <t>Accountspayable</t>
  </si>
  <si>
    <t>arenettedagainst</t>
  </si>
  <si>
    <t>Equityinvestments</t>
  </si>
  <si>
    <t>Operatingworkingcapital</t>
  </si>
  <si>
    <t>operatingassets.</t>
  </si>
  <si>
    <t>Totalassets</t>
  </si>
  <si>
    <t>Liabilitiesandequity</t>
  </si>
  <si>
    <t>Investedcapital</t>
  </si>
  <si>
    <t>Nonoperatingassets</t>
  </si>
  <si>
    <t>arenotincludedin</t>
  </si>
  <si>
    <t>Interest-bearingdebt</t>
  </si>
  <si>
    <t>Totalfundsinvested</t>
  </si>
  <si>
    <t>investedcapital.</t>
  </si>
  <si>
    <t>Commonstock</t>
  </si>
  <si>
    <t>Retainedearnings</t>
  </si>
  <si>
    <t>Totalliabilitiesandequity</t>
  </si>
  <si>
    <t>Exhibit7.4HomeDepotandLowe’s:HistoricalBalanceSheet</t>
  </si>
  <si>
    <t>$million</t>
  </si>
  <si>
    <t>HomeDepot</t>
  </si>
  <si>
    <t>Lowe’s</t>
  </si>
  <si>
    <t>Cashandcashequivalents</t>
  </si>
  <si>
    <t>Short-terminvestments</t>
  </si>
  <si>
    <t>Receivables,net</t>
  </si>
  <si>
    <t>Merchandiseinventories</t>
  </si>
  <si>
    <t>Othercurrentassets</t>
  </si>
  <si>
    <t>Totalcurrentassets</t>
  </si>
  <si>
    <t>Netpropertyandequipment</t>
  </si>
  <si>
    <t>Long-terminvestments</t>
  </si>
  <si>
    <t>Acquiredintangiblesandgoodwill</t>
  </si>
  <si>
    <t>Otherassets</t>
  </si>
  <si>
    <t>Short-termdebt</t>
  </si>
  <si>
    <t>Accruedsalaries</t>
  </si>
  <si>
    <t>Deferredrevenue</t>
  </si>
  <si>
    <t>Otheraccruedexpenses</t>
  </si>
  <si>
    <t>Totalcurrentliabilities</t>
  </si>
  <si>
    <t>Long-termdebt</t>
  </si>
  <si>
    <t>Deferredincometaxes</t>
  </si>
  <si>
    <t>Otherlong-termliabilities</t>
  </si>
  <si>
    <t>Netcommonstockandpaid-incapital</t>
  </si>
  <si>
    <t>Accumulated other comp income</t>
  </si>
  <si>
    <r>
      <t xml:space="preserve"> </t>
    </r>
    <r>
      <rPr>
        <b/>
        <sz val="11"/>
        <color indexed="63"/>
        <rFont val="Calibri"/>
        <family val="2"/>
        <scheme val="minor"/>
      </rPr>
      <t xml:space="preserve">Exhibit 7.5 Home Depot and Lowe’s: Invested Capital Calculation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</si>
  <si>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Home Depot Lowe’s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</si>
  <si>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2001 2002 2003 2001 2002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</si>
  <si>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4"/>
        <color indexed="63"/>
        <rFont val="Calibri"/>
        <family val="2"/>
        <scheme val="minor"/>
      </rPr>
      <t>1</t>
    </r>
    <r>
      <rPr>
        <sz val="6"/>
        <color indexed="63"/>
        <rFont val="Calibri"/>
        <family val="2"/>
        <scheme val="minor"/>
      </rPr>
      <t xml:space="preserve">Capitalized operating lease adjustments are detailed in Exhibit 7.21. </t>
    </r>
    <r>
      <rPr>
        <sz val="4"/>
        <color indexed="63"/>
        <rFont val="Calibri"/>
        <family val="2"/>
        <scheme val="minor"/>
      </rPr>
      <t>2</t>
    </r>
    <r>
      <rPr>
        <sz val="6"/>
        <color indexed="63"/>
        <rFont val="Calibri"/>
        <family val="2"/>
        <scheme val="minor"/>
      </rPr>
      <t xml:space="preserve">Goodwill and cumulative amortization adjustments are detailed in Exhibit 7.6.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</si>
  <si>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Operating current assets </t>
    </r>
    <r>
      <rPr>
        <b/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</si>
  <si>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Operating current liabilities </t>
    </r>
    <r>
      <rPr>
        <b/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</si>
  <si>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Invested capital (excluding goodwill) </t>
    </r>
    <r>
      <rPr>
        <b/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</si>
  <si>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Total funds invested </t>
    </r>
    <r>
      <rPr>
        <b/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</si>
  <si>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>Deferred income taxes</t>
    </r>
  </si>
  <si>
    <r>
      <t xml:space="preserve"> </t>
    </r>
    <r>
      <rPr>
        <sz val="7"/>
        <color indexed="63"/>
        <rFont val="Calibri"/>
        <family val="2"/>
        <scheme val="minor"/>
      </rPr>
      <t>Debt and debt equivalents</t>
    </r>
  </si>
  <si>
    <r>
      <t xml:space="preserve"> </t>
    </r>
    <r>
      <rPr>
        <sz val="7"/>
        <color indexed="63"/>
        <rFont val="Calibri"/>
        <family val="2"/>
        <scheme val="minor"/>
      </rPr>
      <t>Capitalized operating leases</t>
    </r>
    <r>
      <rPr>
        <sz val="4"/>
        <color indexed="63"/>
        <rFont val="Calibri"/>
        <family val="2"/>
        <scheme val="minor"/>
      </rPr>
      <t/>
    </r>
  </si>
  <si>
    <r>
      <t xml:space="preserve"> </t>
    </r>
    <r>
      <rPr>
        <sz val="7"/>
        <color indexed="63"/>
        <rFont val="Calibri"/>
        <family val="2"/>
        <scheme val="minor"/>
      </rPr>
      <t>Long-term debt</t>
    </r>
  </si>
  <si>
    <r>
      <t xml:space="preserve"> </t>
    </r>
    <r>
      <rPr>
        <sz val="7"/>
        <color indexed="63"/>
        <rFont val="Calibri"/>
        <family val="2"/>
        <scheme val="minor"/>
      </rPr>
      <t>Short-term debt</t>
    </r>
  </si>
  <si>
    <r>
      <t xml:space="preserve"> </t>
    </r>
    <r>
      <rPr>
        <sz val="7"/>
        <color indexed="63"/>
        <rFont val="Calibri"/>
        <family val="2"/>
        <scheme val="minor"/>
      </rPr>
      <t>Equity and equity equivalents</t>
    </r>
  </si>
  <si>
    <r>
      <t xml:space="preserve"> </t>
    </r>
    <r>
      <rPr>
        <sz val="7"/>
        <color indexed="63"/>
        <rFont val="Calibri"/>
        <family val="2"/>
        <scheme val="minor"/>
      </rPr>
      <t>Accumulated other comp income</t>
    </r>
  </si>
  <si>
    <r>
      <t xml:space="preserve"> </t>
    </r>
    <r>
      <rPr>
        <sz val="7"/>
        <color indexed="63"/>
        <rFont val="Calibri"/>
        <family val="2"/>
        <scheme val="minor"/>
      </rPr>
      <t>Retained earnings</t>
    </r>
  </si>
  <si>
    <r>
      <t xml:space="preserve"> </t>
    </r>
    <r>
      <rPr>
        <sz val="7"/>
        <color indexed="63"/>
        <rFont val="Calibri"/>
        <family val="2"/>
        <scheme val="minor"/>
      </rPr>
      <t>Net common stock and paid-in-capital</t>
    </r>
  </si>
  <si>
    <r>
      <t xml:space="preserve"> </t>
    </r>
    <r>
      <rPr>
        <sz val="7"/>
        <color indexed="63"/>
        <rFont val="Calibri"/>
        <family val="2"/>
        <scheme val="minor"/>
      </rPr>
      <t>Cumulative amortization and pooled goodwill</t>
    </r>
  </si>
  <si>
    <r>
      <t xml:space="preserve"> </t>
    </r>
    <r>
      <rPr>
        <b/>
        <sz val="11"/>
        <color indexed="63"/>
        <rFont val="Calibri"/>
        <family val="2"/>
        <scheme val="minor"/>
      </rPr>
      <t xml:space="preserve">Exhibit 7.7 Home Depot and Lowe’s: Historical Income Statement </t>
    </r>
    <r>
      <rPr>
        <sz val="7"/>
        <color indexed="63"/>
        <rFont val="Calibri"/>
        <family val="2"/>
        <scheme val="minor"/>
      </rPr>
      <t xml:space="preserve">$ million </t>
    </r>
    <r>
      <rPr>
        <b/>
        <sz val="7"/>
        <color indexed="63"/>
        <rFont val="Calibri"/>
        <family val="2"/>
        <scheme val="minor"/>
      </rPr>
      <t xml:space="preserve">Home Depot 2001 2002 2003 Lowe’s 2001 2002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</si>
  <si>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63"/>
        <rFont val="Calibri"/>
        <family val="2"/>
        <scheme val="minor"/>
      </rPr>
      <t xml:space="preserve">Exhibit 7.8 Home Depot and Lowe’s: NOPLAT Calculation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</si>
  <si>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2001 2002 2003 2001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</si>
  <si>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63"/>
        <rFont val="Calibri"/>
        <family val="2"/>
        <scheme val="minor"/>
      </rPr>
      <t xml:space="preserve">Exhibit 7.11 Home Depot and Lowe’s: Economic Profit Calculation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</si>
  <si>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>Invested capital</t>
    </r>
    <r>
      <rPr>
        <sz val="4"/>
        <color indexed="63"/>
        <rFont val="Calibri"/>
        <family val="2"/>
        <scheme val="minor"/>
      </rPr>
      <t xml:space="preserve">1 </t>
    </r>
    <r>
      <rPr>
        <sz val="7"/>
        <color indexed="63"/>
        <rFont val="Calibri"/>
        <family val="2"/>
        <scheme val="minor"/>
      </rPr>
      <t xml:space="preserve">21,379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</si>
  <si>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Weighted average cost of capital 10.1%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</si>
  <si>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Capital charge 2,159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</si>
  <si>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NOPLAT 3,208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</si>
  <si>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Capital charge (2,159)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</si>
  <si>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4"/>
        <color indexed="63"/>
        <rFont val="Calibri"/>
        <family val="2"/>
        <scheme val="minor"/>
      </rPr>
      <t>1</t>
    </r>
    <r>
      <rPr>
        <sz val="6"/>
        <color indexed="63"/>
        <rFont val="Calibri"/>
        <family val="2"/>
        <scheme val="minor"/>
      </rPr>
      <t>Invested capital is measured at the beginning of the year.</t>
    </r>
  </si>
  <si>
    <t xml:space="preserve"> Economic profit</t>
  </si>
  <si>
    <r>
      <t xml:space="preserve"> </t>
    </r>
    <r>
      <rPr>
        <sz val="8"/>
        <color indexed="8"/>
        <rFont val="Arial"/>
        <family val="2"/>
      </rPr>
      <t xml:space="preserve">Average tangible fixed </t>
    </r>
    <r>
      <rPr>
        <sz val="8"/>
        <rFont val="Arial"/>
        <family val="2"/>
      </rPr>
      <t xml:space="preserve">assets/net turnover  </t>
    </r>
  </si>
  <si>
    <r>
      <t xml:space="preserve"> </t>
    </r>
    <r>
      <rPr>
        <sz val="8"/>
        <color indexed="8"/>
        <rFont val="Arial"/>
        <family val="2"/>
      </rPr>
      <t xml:space="preserve">(Increase) decrease in other </t>
    </r>
    <r>
      <rPr>
        <sz val="8"/>
        <rFont val="Arial"/>
        <family val="2"/>
      </rPr>
      <t xml:space="preserve">current liabilities  </t>
    </r>
  </si>
  <si>
    <r>
      <t xml:space="preserve"> </t>
    </r>
    <r>
      <rPr>
        <sz val="8"/>
        <color indexed="8"/>
        <rFont val="Arial"/>
        <family val="2"/>
      </rPr>
      <t xml:space="preserve">Increase (decrease) in tangible  fixed assets   </t>
    </r>
    <r>
      <rPr>
        <sz val="8"/>
        <rFont val="Arial"/>
        <family val="2"/>
      </rPr>
      <t xml:space="preserve"> </t>
    </r>
  </si>
  <si>
    <r>
      <rPr>
        <sz val="8"/>
        <color indexed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 xml:space="preserve">Capital expenditures (net of disposals)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</si>
  <si>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Exchange differences</t>
    </r>
  </si>
  <si>
    <t xml:space="preserve"> Revaluation  </t>
  </si>
  <si>
    <r>
      <rPr>
        <sz val="8"/>
        <color indexed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 xml:space="preserve">Investment in goodwill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</si>
  <si>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Increase (decrease) in cumulative goodwill written off and amortized </t>
    </r>
    <r>
      <rPr>
        <sz val="8"/>
        <rFont val="Arial"/>
        <family val="2"/>
      </rPr>
      <t xml:space="preserve"> </t>
    </r>
  </si>
  <si>
    <r>
      <rPr>
        <b/>
        <sz val="8"/>
        <color indexed="8"/>
        <rFont val="Arial"/>
        <family val="2"/>
      </rPr>
      <t xml:space="preserve">Nonoperating cash flows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</si>
  <si>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(Increase) decrease in other financial fixed assets 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</si>
  <si>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Increase/(decrease) </t>
    </r>
    <r>
      <rPr>
        <sz val="8"/>
        <rFont val="Arial"/>
        <family val="2"/>
      </rPr>
      <t xml:space="preserve">in deferred tax liability 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</si>
  <si>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Short term debt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</si>
  <si>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Long term debt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</si>
  <si>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Retirement related lia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</si>
  <si>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Total debt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</si>
  <si>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Common equity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</si>
  <si>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Minority interest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</si>
  <si>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Total equity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</si>
  <si>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Total capitalization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</si>
  <si>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63"/>
        <rFont val="Calibri"/>
        <family val="2"/>
        <scheme val="minor"/>
      </rPr>
      <t xml:space="preserve">Book value </t>
    </r>
    <r>
      <rPr>
        <sz val="7"/>
        <color indexed="63"/>
        <rFont val="Calibri"/>
        <family val="2"/>
        <scheme val="minor"/>
      </rPr>
      <t xml:space="preserve">€ million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</si>
  <si>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Net sales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</si>
  <si>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Cost of merchandise sold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</si>
  <si>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Selling, general and administrative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</si>
  <si>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Depreciation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</si>
  <si>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Amortization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</si>
  <si>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Interest and investment income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</si>
  <si>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Interest expense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</si>
  <si>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Discontinued operations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</si>
  <si>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>Income taxes</t>
    </r>
  </si>
  <si>
    <r>
      <t xml:space="preserve"> </t>
    </r>
    <r>
      <rPr>
        <sz val="8"/>
        <color indexed="63"/>
        <rFont val="Arial"/>
        <family val="2"/>
      </rPr>
      <t xml:space="preserve">Operating lease interest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</si>
  <si>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Operating cash taxes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</si>
  <si>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NOPLAT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</si>
  <si>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Operating taxes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</si>
  <si>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Taxes on interest income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</si>
  <si>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Tax shield on interest expense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</si>
  <si>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Tax shield on lease interest expense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</si>
  <si>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Decrease (increase) in deferred taxes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</si>
  <si>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Reconciliation with net income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</si>
  <si>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Net earnings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</si>
  <si>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Increase in deferred taxes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</si>
  <si>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Goodwill amortization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</si>
  <si>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After-tax interest expense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</si>
  <si>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After-tax lease interest expense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</si>
  <si>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Loss (gain) from discontinued operations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</si>
  <si>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Total income available to investors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</si>
  <si>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>After-tax interest income</t>
    </r>
  </si>
  <si>
    <r>
      <t xml:space="preserve"> </t>
    </r>
    <r>
      <rPr>
        <sz val="8"/>
        <color indexed="63"/>
        <rFont val="Arial"/>
        <family val="2"/>
      </rPr>
      <t xml:space="preserve">Investment in operating working capital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</si>
  <si>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Net capital expenditures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</si>
  <si>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Investment in capitalized operating leases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</si>
  <si>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Investments in intangibles and goodwill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</si>
  <si>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Increase (decrease) in other operating assets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</si>
  <si>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Free cash flow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</si>
  <si>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After-tax interest income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</si>
  <si>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Decrease (increase) in excess cash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</si>
  <si>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Decrease (increase) in nonoperating assets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</si>
  <si>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Cash flow available to investors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</si>
  <si>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Decrease (increase) in debt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</si>
  <si>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Decrease (increase) in capitalized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</si>
  <si>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operating leases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</si>
  <si>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Flows to debt holders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</si>
  <si>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Dividends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</si>
  <si>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Net shares repurchased (issued)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</si>
  <si>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Flows to equity holders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</si>
  <si>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Cash and cash equivalents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</si>
  <si>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Short-term investments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</si>
  <si>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Receivables, net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</si>
  <si>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Merchandise inventories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</si>
  <si>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Net property and equipment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</si>
  <si>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Long-term investments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</si>
  <si>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Acquired intangibles and goodwill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</si>
  <si>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Other assets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</si>
  <si>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Liabilities and equity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</si>
  <si>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Accrued salaries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</si>
  <si>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Deferred revenue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</si>
  <si>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Other accrued expenses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</si>
  <si>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Deferred income taxes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</si>
  <si>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Other long-term liabilities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</si>
  <si>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Net common stock and paid-in capital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</si>
  <si>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Retained earnings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</si>
  <si>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Accumulated other comp income </t>
    </r>
  </si>
  <si>
    <r>
      <t xml:space="preserve"> </t>
    </r>
    <r>
      <rPr>
        <sz val="8"/>
        <color indexed="63"/>
        <rFont val="Arial"/>
        <family val="2"/>
      </rPr>
      <t xml:space="preserve">Working cash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</si>
  <si>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Capitalized operating leases1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</si>
  <si>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Net other assets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</si>
  <si>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Cumulative amortization and pooled goodwill 2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</si>
  <si>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Excess cash </t>
    </r>
    <r>
      <rPr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</si>
  <si>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Total funds invested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</si>
  <si>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Debt and debt equivalents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</si>
  <si>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Net common stock and paid-in-capital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</si>
  <si>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Accumulated other comp income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</si>
  <si>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Equity and equity equivalents </t>
    </r>
    <r>
      <rPr>
        <sz val="8"/>
        <rFont val="Arial"/>
        <family val="2"/>
      </rPr>
      <t xml:space="preserve"> </t>
    </r>
  </si>
  <si>
    <t xml:space="preserve">  Home Depot  </t>
  </si>
  <si>
    <t xml:space="preserve">  Lowe’s  </t>
  </si>
  <si>
    <r>
      <t xml:space="preserve"> </t>
    </r>
    <r>
      <rPr>
        <b/>
        <sz val="8"/>
        <color indexed="63"/>
        <rFont val="Arial"/>
        <family val="2"/>
      </rPr>
      <t xml:space="preserve">EBIT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</si>
  <si>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Earnings before taxes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</si>
  <si>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Operating taxes on EBITA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</si>
  <si>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Operating cash taxes on EBITA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</si>
  <si>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Adjusted net income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</si>
  <si>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Total current liabilities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</si>
  <si>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Operating current assets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</si>
  <si>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Operating current liabilities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</si>
  <si>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Operating working capital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</si>
  <si>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Invested capital (excluding goodwill)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</si>
  <si>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Invested capital (including goodwill)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</si>
  <si>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Total funds invested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</si>
  <si>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b/>
        <sz val="8"/>
        <color indexed="63"/>
        <rFont val="Arial"/>
        <family val="2"/>
      </rPr>
      <t xml:space="preserve">Gross cash flow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</si>
  <si>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sz val="8"/>
        <color indexed="63"/>
        <rFont val="Arial"/>
        <family val="2"/>
      </rPr>
      <t xml:space="preserve">Increase (decrease) in accumulated other </t>
    </r>
    <r>
      <rPr>
        <sz val="8"/>
        <rFont val="Arial"/>
        <family val="2"/>
      </rPr>
      <t xml:space="preserve">  comprehensive income  </t>
    </r>
  </si>
  <si>
    <r>
      <t xml:space="preserve"> </t>
    </r>
    <r>
      <rPr>
        <b/>
        <sz val="8"/>
        <color indexed="63"/>
        <rFont val="Arial"/>
        <family val="2"/>
      </rPr>
      <t xml:space="preserve">Gross investment </t>
    </r>
    <r>
      <rPr>
        <b/>
        <sz val="8"/>
        <rFont val="Arial"/>
        <family val="2"/>
      </rPr>
      <t xml:space="preserve"> </t>
    </r>
  </si>
  <si>
    <r>
      <t xml:space="preserve"> </t>
    </r>
    <r>
      <rPr>
        <sz val="7"/>
        <color indexed="63"/>
        <rFont val="Calibri"/>
        <family val="2"/>
        <scheme val="minor"/>
      </rPr>
      <t>Invested capital</t>
    </r>
    <r>
      <rPr>
        <sz val="4"/>
        <color indexed="63"/>
        <rFont val="Calibri"/>
        <family val="2"/>
        <scheme val="minor"/>
      </rPr>
      <t xml:space="preserve">1 </t>
    </r>
    <r>
      <rPr>
        <sz val="7"/>
        <color indexed="63"/>
        <rFont val="Calibri"/>
        <family val="2"/>
        <scheme val="minor"/>
      </rPr>
      <t/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</si>
  <si>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Weighted average cost of capital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</si>
  <si>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Capital charge </t>
    </r>
  </si>
  <si>
    <r>
      <t xml:space="preserve"> </t>
    </r>
    <r>
      <rPr>
        <sz val="7"/>
        <color indexed="63"/>
        <rFont val="Calibri"/>
        <family val="2"/>
        <scheme val="minor"/>
      </rPr>
      <t xml:space="preserve">NOPLAT </t>
    </r>
  </si>
  <si>
    <t xml:space="preserve">  1Invested capital is measured at the beginning of the year. </t>
  </si>
  <si>
    <t>Economic profit</t>
  </si>
  <si>
    <t>ROIC</t>
  </si>
  <si>
    <t>WACC</t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</si>
  <si>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2009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</si>
  <si>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2010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</si>
  <si>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2011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</si>
  <si>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2012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</si>
  <si>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2013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</si>
  <si>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2014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</si>
  <si>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2015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</si>
  <si>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2016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</si>
  <si>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2017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</si>
  <si>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7"/>
        <color indexed="8"/>
        <rFont val="Calibri"/>
        <family val="2"/>
        <scheme val="minor"/>
      </rPr>
      <t xml:space="preserve">2018 </t>
    </r>
    <r>
      <rPr>
        <sz val="11"/>
        <rFont val="Calibri"/>
        <family val="2"/>
        <scheme val="minor"/>
      </rPr>
      <t xml:space="preserve"> </t>
    </r>
  </si>
  <si>
    <r>
      <rPr>
        <b/>
        <sz val="8"/>
        <color indexed="63"/>
        <rFont val="Arial"/>
        <family val="2"/>
      </rPr>
      <t xml:space="preserve">Operating Ratios </t>
    </r>
    <r>
      <rPr>
        <sz val="8"/>
        <rFont val="Arial"/>
        <family val="2"/>
      </rPr>
      <t xml:space="preserve"> </t>
    </r>
  </si>
  <si>
    <r>
      <rPr>
        <b/>
        <sz val="8"/>
        <color indexed="63"/>
        <rFont val="Arial"/>
        <family val="2"/>
      </rPr>
      <t xml:space="preserve">NOPLAT </t>
    </r>
    <r>
      <rPr>
        <sz val="8"/>
        <rFont val="Arial"/>
        <family val="2"/>
      </rPr>
      <t xml:space="preserve"> </t>
    </r>
  </si>
  <si>
    <r>
      <rPr>
        <b/>
        <sz val="8"/>
        <color indexed="63"/>
        <rFont val="Arial"/>
        <family val="2"/>
      </rPr>
      <t xml:space="preserve">Cash Flow </t>
    </r>
    <r>
      <rPr>
        <sz val="8"/>
        <rFont val="Arial"/>
        <family val="2"/>
      </rPr>
      <t xml:space="preserve"> </t>
    </r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</si>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</sst>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#,##0.0"/>
    <numFmt numFmtId="168" formatCode="_(* #,##0.0_);_(* \(#,##0.0\);_(* &quot;-&quot;??_);_(@_)"/>
    <numFmt numFmtId="170" formatCode="0.0%"/>
  </numFmts>
  <fonts count="25" x14ac:knownFonts="1">
    <font>
      <sz val="11"/>
      <color theme="1"/>
      <name val="Calibri"/>
      <family val="2"/>
      <scheme val="minor"/>
    </font>
    <font>
      <b/>
      <sz val="7"/>
      <color indexed="63"/>
      <name val="Calibri"/>
      <family val="2"/>
      <scheme val="minor"/>
    </font>
    <font>
      <sz val="11"/>
      <name val="Calibri"/>
      <family val="2"/>
      <scheme val="minor"/>
    </font>
    <font>
      <sz val="7"/>
      <color indexed="6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4"/>
      <color indexed="63"/>
      <name val="Calibri"/>
      <family val="2"/>
      <scheme val="minor"/>
    </font>
    <font>
      <sz val="4.0999999999999996"/>
      <color indexed="63"/>
      <name val="Calibri"/>
      <family val="2"/>
      <scheme val="minor"/>
    </font>
    <font>
      <b/>
      <sz val="7"/>
      <color indexed="8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indexed="63"/>
      <name val="Arial"/>
      <family val="2"/>
    </font>
    <font>
      <b/>
      <sz val="8"/>
      <color indexed="63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1"/>
      <name val="Arial"/>
      <family val="2"/>
    </font>
    <font>
      <sz val="7"/>
      <color indexed="8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6"/>
      <color indexed="63"/>
      <name val="Calibri"/>
      <family val="2"/>
      <scheme val="minor"/>
    </font>
    <font>
      <sz val="8"/>
      <color rgb="FF0000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Fill="1"/>
    <xf numFmtId="0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3" fontId="6" fillId="0" borderId="0" xfId="0" applyNumberFormat="1" applyFont="1" applyFill="1" applyBorder="1" applyAlignment="1" applyProtection="1"/>
    <xf numFmtId="3" fontId="0" fillId="0" borderId="0" xfId="0" applyNumberFormat="1"/>
    <xf numFmtId="3" fontId="5" fillId="0" borderId="0" xfId="0" applyNumberFormat="1" applyFont="1"/>
    <xf numFmtId="0" fontId="6" fillId="0" borderId="1" xfId="0" applyNumberFormat="1" applyFont="1" applyFill="1" applyBorder="1" applyAlignment="1" applyProtection="1"/>
    <xf numFmtId="0" fontId="10" fillId="0" borderId="0" xfId="0" applyFont="1"/>
    <xf numFmtId="0" fontId="11" fillId="0" borderId="2" xfId="0" applyNumberFormat="1" applyFont="1" applyFill="1" applyBorder="1" applyAlignment="1" applyProtection="1"/>
    <xf numFmtId="0" fontId="10" fillId="0" borderId="2" xfId="0" applyFont="1" applyFill="1" applyBorder="1"/>
    <xf numFmtId="0" fontId="10" fillId="0" borderId="2" xfId="0" applyFont="1" applyBorder="1"/>
    <xf numFmtId="0" fontId="18" fillId="2" borderId="2" xfId="0" applyNumberFormat="1" applyFont="1" applyFill="1" applyBorder="1" applyAlignment="1" applyProtection="1"/>
    <xf numFmtId="0" fontId="10" fillId="0" borderId="0" xfId="0" applyFont="1" applyAlignment="1">
      <alignment wrapText="1"/>
    </xf>
    <xf numFmtId="0" fontId="18" fillId="2" borderId="2" xfId="0" applyFont="1" applyFill="1" applyBorder="1" applyAlignment="1">
      <alignment wrapText="1"/>
    </xf>
    <xf numFmtId="0" fontId="11" fillId="0" borderId="2" xfId="0" applyNumberFormat="1" applyFont="1" applyFill="1" applyBorder="1" applyAlignment="1" applyProtection="1">
      <alignment wrapText="1"/>
    </xf>
    <xf numFmtId="0" fontId="14" fillId="0" borderId="2" xfId="0" applyNumberFormat="1" applyFont="1" applyFill="1" applyBorder="1" applyAlignment="1" applyProtection="1">
      <alignment wrapText="1"/>
    </xf>
    <xf numFmtId="0" fontId="10" fillId="0" borderId="2" xfId="0" applyFont="1" applyFill="1" applyBorder="1" applyAlignment="1">
      <alignment wrapText="1"/>
    </xf>
    <xf numFmtId="0" fontId="11" fillId="0" borderId="0" xfId="0" applyNumberFormat="1" applyFont="1" applyFill="1" applyBorder="1" applyAlignment="1" applyProtection="1">
      <alignment wrapText="1"/>
    </xf>
    <xf numFmtId="0" fontId="10" fillId="0" borderId="0" xfId="0" applyFont="1" applyFill="1" applyAlignment="1">
      <alignment wrapText="1"/>
    </xf>
    <xf numFmtId="3" fontId="11" fillId="0" borderId="2" xfId="0" applyNumberFormat="1" applyFont="1" applyFill="1" applyBorder="1" applyAlignment="1" applyProtection="1"/>
    <xf numFmtId="3" fontId="14" fillId="0" borderId="2" xfId="0" applyNumberFormat="1" applyFont="1" applyFill="1" applyBorder="1" applyAlignment="1" applyProtection="1"/>
    <xf numFmtId="3" fontId="15" fillId="0" borderId="2" xfId="0" applyNumberFormat="1" applyFont="1" applyFill="1" applyBorder="1"/>
    <xf numFmtId="0" fontId="19" fillId="2" borderId="2" xfId="0" applyFont="1" applyFill="1" applyBorder="1" applyAlignment="1">
      <alignment wrapText="1"/>
    </xf>
    <xf numFmtId="0" fontId="19" fillId="2" borderId="2" xfId="0" applyNumberFormat="1" applyFont="1" applyFill="1" applyBorder="1" applyAlignment="1" applyProtection="1"/>
    <xf numFmtId="0" fontId="15" fillId="0" borderId="0" xfId="0" applyFont="1" applyAlignment="1">
      <alignment wrapText="1"/>
    </xf>
    <xf numFmtId="165" fontId="11" fillId="0" borderId="2" xfId="0" applyNumberFormat="1" applyFont="1" applyFill="1" applyBorder="1" applyAlignment="1" applyProtection="1"/>
    <xf numFmtId="0" fontId="19" fillId="2" borderId="2" xfId="0" applyFont="1" applyFill="1" applyBorder="1"/>
    <xf numFmtId="165" fontId="14" fillId="0" borderId="2" xfId="0" applyNumberFormat="1" applyFont="1" applyFill="1" applyBorder="1" applyAlignment="1" applyProtection="1"/>
    <xf numFmtId="3" fontId="11" fillId="0" borderId="2" xfId="1" applyNumberFormat="1" applyFont="1" applyFill="1" applyBorder="1" applyAlignment="1" applyProtection="1"/>
    <xf numFmtId="3" fontId="14" fillId="0" borderId="2" xfId="1" applyNumberFormat="1" applyFont="1" applyFill="1" applyBorder="1" applyAlignment="1" applyProtection="1"/>
    <xf numFmtId="3" fontId="10" fillId="0" borderId="2" xfId="1" applyNumberFormat="1" applyFont="1" applyFill="1" applyBorder="1"/>
    <xf numFmtId="166" fontId="11" fillId="0" borderId="2" xfId="0" applyNumberFormat="1" applyFont="1" applyFill="1" applyBorder="1" applyAlignment="1" applyProtection="1"/>
    <xf numFmtId="1" fontId="11" fillId="0" borderId="2" xfId="0" applyNumberFormat="1" applyFont="1" applyFill="1" applyBorder="1" applyAlignment="1" applyProtection="1"/>
    <xf numFmtId="0" fontId="20" fillId="0" borderId="0" xfId="0" applyFont="1" applyAlignment="1">
      <alignment wrapText="1"/>
    </xf>
    <xf numFmtId="10" fontId="11" fillId="0" borderId="2" xfId="0" applyNumberFormat="1" applyFont="1" applyFill="1" applyBorder="1" applyAlignment="1" applyProtection="1"/>
    <xf numFmtId="0" fontId="18" fillId="3" borderId="2" xfId="0" applyNumberFormat="1" applyFont="1" applyFill="1" applyBorder="1" applyAlignment="1" applyProtection="1">
      <alignment wrapText="1"/>
    </xf>
    <xf numFmtId="0" fontId="18" fillId="3" borderId="2" xfId="0" applyFont="1" applyFill="1" applyBorder="1"/>
    <xf numFmtId="0" fontId="18" fillId="3" borderId="2" xfId="0" applyNumberFormat="1" applyFont="1" applyFill="1" applyBorder="1" applyAlignment="1" applyProtection="1"/>
    <xf numFmtId="3" fontId="10" fillId="0" borderId="0" xfId="0" applyNumberFormat="1" applyFont="1"/>
    <xf numFmtId="10" fontId="14" fillId="0" borderId="2" xfId="0" applyNumberFormat="1" applyFont="1" applyFill="1" applyBorder="1" applyAlignment="1" applyProtection="1"/>
    <xf numFmtId="3" fontId="10" fillId="0" borderId="2" xfId="0" applyNumberFormat="1" applyFont="1" applyFill="1" applyBorder="1"/>
    <xf numFmtId="0" fontId="10" fillId="0" borderId="2" xfId="0" applyFont="1" applyBorder="1" applyAlignment="1">
      <alignment wrapText="1"/>
    </xf>
    <xf numFmtId="0" fontId="18" fillId="3" borderId="2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1" fontId="10" fillId="0" borderId="0" xfId="0" applyNumberFormat="1" applyFont="1"/>
    <xf numFmtId="37" fontId="14" fillId="0" borderId="2" xfId="1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4" fillId="0" borderId="2" xfId="0" applyNumberFormat="1" applyFont="1" applyFill="1" applyBorder="1" applyAlignment="1" applyProtection="1"/>
    <xf numFmtId="166" fontId="14" fillId="0" borderId="2" xfId="0" applyNumberFormat="1" applyFont="1" applyFill="1" applyBorder="1" applyAlignment="1" applyProtection="1"/>
    <xf numFmtId="37" fontId="10" fillId="0" borderId="2" xfId="1" applyNumberFormat="1" applyFont="1" applyBorder="1"/>
    <xf numFmtId="3" fontId="10" fillId="0" borderId="2" xfId="1" applyNumberFormat="1" applyFont="1" applyBorder="1"/>
    <xf numFmtId="0" fontId="2" fillId="0" borderId="2" xfId="0" applyNumberFormat="1" applyFont="1" applyFill="1" applyBorder="1" applyAlignment="1" applyProtection="1"/>
    <xf numFmtId="0" fontId="0" fillId="0" borderId="2" xfId="0" applyFill="1" applyBorder="1"/>
    <xf numFmtId="3" fontId="11" fillId="4" borderId="2" xfId="1" applyNumberFormat="1" applyFont="1" applyFill="1" applyBorder="1" applyAlignment="1" applyProtection="1"/>
    <xf numFmtId="3" fontId="14" fillId="4" borderId="2" xfId="1" applyNumberFormat="1" applyFont="1" applyFill="1" applyBorder="1" applyAlignment="1" applyProtection="1"/>
    <xf numFmtId="3" fontId="10" fillId="4" borderId="2" xfId="1" applyNumberFormat="1" applyFont="1" applyFill="1" applyBorder="1"/>
    <xf numFmtId="0" fontId="11" fillId="4" borderId="2" xfId="0" applyNumberFormat="1" applyFont="1" applyFill="1" applyBorder="1" applyAlignment="1" applyProtection="1"/>
    <xf numFmtId="3" fontId="11" fillId="4" borderId="2" xfId="0" applyNumberFormat="1" applyFont="1" applyFill="1" applyBorder="1" applyAlignment="1" applyProtection="1"/>
    <xf numFmtId="3" fontId="14" fillId="4" borderId="2" xfId="0" applyNumberFormat="1" applyFont="1" applyFill="1" applyBorder="1" applyAlignment="1" applyProtection="1"/>
    <xf numFmtId="3" fontId="15" fillId="4" borderId="2" xfId="0" applyNumberFormat="1" applyFont="1" applyFill="1" applyBorder="1"/>
    <xf numFmtId="0" fontId="10" fillId="4" borderId="2" xfId="0" applyFont="1" applyFill="1" applyBorder="1"/>
    <xf numFmtId="0" fontId="15" fillId="4" borderId="2" xfId="0" applyFont="1" applyFill="1" applyBorder="1"/>
    <xf numFmtId="3" fontId="10" fillId="4" borderId="2" xfId="0" applyNumberFormat="1" applyFont="1" applyFill="1" applyBorder="1"/>
    <xf numFmtId="10" fontId="11" fillId="4" borderId="2" xfId="0" applyNumberFormat="1" applyFont="1" applyFill="1" applyBorder="1" applyAlignment="1" applyProtection="1"/>
    <xf numFmtId="10" fontId="14" fillId="4" borderId="2" xfId="0" applyNumberFormat="1" applyFont="1" applyFill="1" applyBorder="1" applyAlignment="1" applyProtection="1"/>
    <xf numFmtId="37" fontId="14" fillId="4" borderId="2" xfId="1" applyNumberFormat="1" applyFont="1" applyFill="1" applyBorder="1" applyAlignment="1" applyProtection="1"/>
    <xf numFmtId="165" fontId="11" fillId="4" borderId="2" xfId="0" applyNumberFormat="1" applyFont="1" applyFill="1" applyBorder="1" applyAlignment="1" applyProtection="1"/>
    <xf numFmtId="1" fontId="11" fillId="4" borderId="2" xfId="0" applyNumberFormat="1" applyFont="1" applyFill="1" applyBorder="1" applyAlignment="1" applyProtection="1"/>
    <xf numFmtId="165" fontId="14" fillId="4" borderId="2" xfId="0" applyNumberFormat="1" applyFont="1" applyFill="1" applyBorder="1" applyAlignment="1" applyProtection="1"/>
    <xf numFmtId="164" fontId="10" fillId="4" borderId="2" xfId="0" applyNumberFormat="1" applyFont="1" applyFill="1" applyBorder="1"/>
    <xf numFmtId="168" fontId="11" fillId="4" borderId="2" xfId="0" applyNumberFormat="1" applyFont="1" applyFill="1" applyBorder="1" applyAlignment="1" applyProtection="1"/>
    <xf numFmtId="166" fontId="11" fillId="4" borderId="2" xfId="0" applyNumberFormat="1" applyFont="1" applyFill="1" applyBorder="1" applyAlignment="1" applyProtection="1"/>
    <xf numFmtId="167" fontId="11" fillId="4" borderId="2" xfId="0" applyNumberFormat="1" applyFont="1" applyFill="1" applyBorder="1" applyAlignment="1" applyProtection="1"/>
    <xf numFmtId="10" fontId="0" fillId="0" borderId="0" xfId="0" applyNumberFormat="1"/>
    <xf numFmtId="10" fontId="2" fillId="0" borderId="0" xfId="0" applyNumberFormat="1" applyFont="1" applyFill="1" applyBorder="1" applyAlignment="1" applyProtection="1"/>
    <xf numFmtId="3" fontId="24" fillId="4" borderId="2" xfId="0" applyNumberFormat="1" applyFont="1" applyFill="1" applyBorder="1" applyAlignment="1" applyProtection="1"/>
    <xf numFmtId="168" fontId="11" fillId="4" borderId="2" xfId="1" applyNumberFormat="1" applyFont="1" applyFill="1" applyBorder="1" applyAlignment="1" applyProtection="1"/>
    <xf numFmtId="0" fontId="24" fillId="4" borderId="2" xfId="0" applyNumberFormat="1" applyFont="1" applyFill="1" applyBorder="1" applyAlignment="1" applyProtection="1"/>
    <xf numFmtId="3" fontId="14" fillId="0" borderId="2" xfId="0" applyNumberFormat="1" applyFont="1" applyFill="1" applyBorder="1" applyAlignment="1" applyProtection="1">
      <alignment horizontal="right"/>
    </xf>
    <xf numFmtId="0" fontId="15" fillId="0" borderId="2" xfId="0" applyFont="1" applyFill="1" applyBorder="1"/>
    <xf numFmtId="168" fontId="11" fillId="0" borderId="2" xfId="0" applyNumberFormat="1" applyFont="1" applyFill="1" applyBorder="1" applyAlignment="1" applyProtection="1"/>
    <xf numFmtId="168" fontId="11" fillId="0" borderId="2" xfId="1" applyNumberFormat="1" applyFont="1" applyFill="1" applyBorder="1" applyAlignment="1" applyProtection="1"/>
    <xf numFmtId="167" fontId="11" fillId="0" borderId="2" xfId="0" applyNumberFormat="1" applyFont="1" applyFill="1" applyBorder="1" applyAlignment="1" applyProtection="1"/>
    <xf numFmtId="0" fontId="24" fillId="0" borderId="2" xfId="0" applyNumberFormat="1" applyFont="1" applyFill="1" applyBorder="1" applyAlignment="1" applyProtection="1"/>
    <xf numFmtId="3" fontId="14" fillId="4" borderId="2" xfId="0" applyNumberFormat="1" applyFont="1" applyFill="1" applyBorder="1" applyAlignment="1" applyProtection="1">
      <alignment horizontal="right"/>
    </xf>
    <xf numFmtId="0" fontId="11" fillId="4" borderId="2" xfId="0" applyNumberFormat="1" applyFont="1" applyFill="1" applyBorder="1" applyAlignment="1" applyProtection="1">
      <alignment wrapText="1"/>
    </xf>
    <xf numFmtId="1" fontId="10" fillId="0" borderId="2" xfId="0" applyNumberFormat="1" applyFont="1" applyFill="1" applyBorder="1"/>
    <xf numFmtId="3" fontId="14" fillId="4" borderId="2" xfId="0" applyNumberFormat="1" applyFont="1" applyFill="1" applyBorder="1" applyAlignment="1" applyProtection="1">
      <alignment wrapText="1"/>
    </xf>
    <xf numFmtId="3" fontId="14" fillId="0" borderId="2" xfId="0" applyNumberFormat="1" applyFont="1" applyFill="1" applyBorder="1" applyAlignment="1" applyProtection="1">
      <alignment wrapText="1"/>
    </xf>
    <xf numFmtId="9" fontId="0" fillId="0" borderId="0" xfId="2" applyFont="1"/>
    <xf numFmtId="165" fontId="0" fillId="0" borderId="0" xfId="1" applyNumberFormat="1" applyFont="1"/>
    <xf numFmtId="165" fontId="6" fillId="0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9" fontId="10" fillId="0" borderId="0" xfId="0" applyNumberFormat="1" applyFont="1"/>
    <xf numFmtId="10" fontId="11" fillId="0" borderId="0" xfId="2" applyNumberFormat="1" applyFont="1" applyFill="1" applyBorder="1" applyAlignment="1" applyProtection="1"/>
    <xf numFmtId="0" fontId="10" fillId="5" borderId="2" xfId="0" applyFont="1" applyFill="1" applyBorder="1"/>
    <xf numFmtId="0" fontId="11" fillId="5" borderId="2" xfId="0" applyNumberFormat="1" applyFont="1" applyFill="1" applyBorder="1" applyAlignment="1" applyProtection="1"/>
    <xf numFmtId="0" fontId="11" fillId="6" borderId="2" xfId="0" applyNumberFormat="1" applyFont="1" applyFill="1" applyBorder="1" applyAlignment="1" applyProtection="1"/>
    <xf numFmtId="0" fontId="14" fillId="7" borderId="2" xfId="0" applyNumberFormat="1" applyFont="1" applyFill="1" applyBorder="1" applyAlignment="1" applyProtection="1"/>
    <xf numFmtId="3" fontId="14" fillId="7" borderId="2" xfId="0" applyNumberFormat="1" applyFont="1" applyFill="1" applyBorder="1" applyAlignment="1" applyProtection="1"/>
    <xf numFmtId="3" fontId="24" fillId="0" borderId="2" xfId="0" applyNumberFormat="1" applyFont="1" applyFill="1" applyBorder="1" applyAlignment="1" applyProtection="1"/>
    <xf numFmtId="0" fontId="14" fillId="8" borderId="2" xfId="0" applyNumberFormat="1" applyFont="1" applyFill="1" applyBorder="1" applyAlignment="1" applyProtection="1"/>
    <xf numFmtId="3" fontId="14" fillId="8" borderId="2" xfId="0" applyNumberFormat="1" applyFont="1" applyFill="1" applyBorder="1" applyAlignment="1" applyProtection="1"/>
    <xf numFmtId="165" fontId="11" fillId="0" borderId="2" xfId="1" applyNumberFormat="1" applyFont="1" applyFill="1" applyBorder="1" applyAlignment="1" applyProtection="1"/>
    <xf numFmtId="10" fontId="10" fillId="0" borderId="0" xfId="0" applyNumberFormat="1" applyFont="1"/>
    <xf numFmtId="0" fontId="3" fillId="0" borderId="0" xfId="0" applyNumberFormat="1" applyFont="1" applyFill="1" applyBorder="1" applyAlignment="1" applyProtection="1"/>
    <xf numFmtId="9" fontId="0" fillId="0" borderId="0" xfId="2" applyFont="1" applyFill="1"/>
    <xf numFmtId="170" fontId="10" fillId="0" borderId="0" xfId="0" applyNumberFormat="1" applyFont="1"/>
    <xf numFmtId="0" fontId="10" fillId="0" borderId="2" xfId="0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7"/>
  <sheetViews>
    <sheetView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D52" sqref="D52"/>
    </sheetView>
  </sheetViews>
  <sheetFormatPr defaultRowHeight="14.4" x14ac:dyDescent="0.3"/>
  <cols>
    <col min="1" max="1" width="1.77734375" customWidth="1"/>
    <col min="2" max="2" width="30.33203125" style="49" customWidth="1"/>
  </cols>
  <sheetData>
    <row r="1" spans="2:22" x14ac:dyDescent="0.3">
      <c r="B1" s="49" t="str">
        <f>'Economic Profit'!B1</f>
        <v>Heineken company</v>
      </c>
    </row>
    <row r="2" spans="2:22" x14ac:dyDescent="0.3">
      <c r="B2" s="116" t="s">
        <v>552</v>
      </c>
    </row>
    <row r="4" spans="2:22" x14ac:dyDescent="0.3">
      <c r="B4" s="24"/>
      <c r="C4" s="24" t="s">
        <v>326</v>
      </c>
      <c r="D4" s="24"/>
      <c r="E4" s="24"/>
      <c r="F4" s="24"/>
      <c r="G4" s="24"/>
      <c r="H4" s="24" t="s">
        <v>327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2:22" x14ac:dyDescent="0.3">
      <c r="B5" s="24"/>
      <c r="C5" s="24" t="s">
        <v>328</v>
      </c>
      <c r="D5" s="24" t="s">
        <v>329</v>
      </c>
      <c r="E5" s="24" t="s">
        <v>330</v>
      </c>
      <c r="F5" s="24" t="s">
        <v>331</v>
      </c>
      <c r="G5" s="24" t="s">
        <v>332</v>
      </c>
      <c r="H5" s="24" t="s">
        <v>333</v>
      </c>
      <c r="I5" s="24" t="s">
        <v>334</v>
      </c>
      <c r="J5" s="24" t="s">
        <v>335</v>
      </c>
      <c r="K5" s="24" t="s">
        <v>336</v>
      </c>
      <c r="L5" s="24" t="s">
        <v>337</v>
      </c>
      <c r="M5" s="24" t="s">
        <v>539</v>
      </c>
      <c r="N5" s="24" t="s">
        <v>540</v>
      </c>
      <c r="O5" s="24" t="s">
        <v>541</v>
      </c>
      <c r="P5" s="24" t="s">
        <v>542</v>
      </c>
      <c r="Q5" s="24" t="s">
        <v>543</v>
      </c>
      <c r="R5" s="24" t="s">
        <v>544</v>
      </c>
      <c r="S5" s="24" t="s">
        <v>545</v>
      </c>
      <c r="T5" s="24" t="s">
        <v>546</v>
      </c>
      <c r="U5" s="24" t="s">
        <v>547</v>
      </c>
      <c r="V5" s="24" t="s">
        <v>548</v>
      </c>
    </row>
    <row r="6" spans="2:22" x14ac:dyDescent="0.3">
      <c r="B6" s="17" t="s">
        <v>340</v>
      </c>
      <c r="C6" s="11" t="s">
        <v>3</v>
      </c>
      <c r="D6" s="11" t="s">
        <v>3</v>
      </c>
      <c r="E6" s="11" t="s">
        <v>3</v>
      </c>
      <c r="F6" s="11" t="s">
        <v>3</v>
      </c>
      <c r="G6" s="11" t="s">
        <v>3</v>
      </c>
      <c r="H6" s="11" t="s">
        <v>3</v>
      </c>
      <c r="I6" s="11" t="s">
        <v>3</v>
      </c>
      <c r="J6" s="11" t="s">
        <v>3</v>
      </c>
      <c r="K6" s="11" t="s">
        <v>3</v>
      </c>
      <c r="L6" s="11" t="s">
        <v>3</v>
      </c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2:22" x14ac:dyDescent="0.3">
      <c r="B7" s="16" t="s">
        <v>301</v>
      </c>
      <c r="C7" s="10">
        <v>0</v>
      </c>
      <c r="D7" s="10">
        <v>2</v>
      </c>
      <c r="E7" s="10">
        <v>1</v>
      </c>
      <c r="F7" s="10">
        <v>2</v>
      </c>
      <c r="G7" s="10">
        <v>1.5</v>
      </c>
      <c r="H7" s="10">
        <v>1.5</v>
      </c>
      <c r="I7" s="10">
        <v>1.5</v>
      </c>
      <c r="J7" s="10">
        <v>1.5</v>
      </c>
      <c r="K7" s="10">
        <v>1.5</v>
      </c>
      <c r="L7" s="10">
        <v>1.5</v>
      </c>
      <c r="M7" s="10">
        <v>1.5</v>
      </c>
      <c r="N7" s="10">
        <v>1.5</v>
      </c>
      <c r="O7" s="10">
        <v>1.5</v>
      </c>
      <c r="P7" s="10">
        <v>1.5</v>
      </c>
      <c r="Q7" s="10">
        <v>1.5</v>
      </c>
      <c r="R7" s="10">
        <v>1.5</v>
      </c>
      <c r="S7" s="10">
        <v>1.5</v>
      </c>
      <c r="T7" s="10">
        <v>1.5</v>
      </c>
      <c r="U7" s="10">
        <v>1.5</v>
      </c>
      <c r="V7" s="10">
        <v>1.5</v>
      </c>
    </row>
    <row r="8" spans="2:22" x14ac:dyDescent="0.3">
      <c r="B8" s="16" t="s">
        <v>302</v>
      </c>
      <c r="C8" s="10">
        <v>2</v>
      </c>
      <c r="D8" s="10">
        <v>3</v>
      </c>
      <c r="E8" s="10">
        <v>4</v>
      </c>
      <c r="F8" s="10">
        <v>4</v>
      </c>
      <c r="G8" s="10">
        <v>3.5</v>
      </c>
      <c r="H8" s="10">
        <v>1.5</v>
      </c>
      <c r="I8" s="10">
        <v>1.5</v>
      </c>
      <c r="J8" s="10">
        <v>1.5</v>
      </c>
      <c r="K8" s="10">
        <v>1.5</v>
      </c>
      <c r="L8" s="10">
        <v>1.5</v>
      </c>
      <c r="M8" s="10">
        <v>1.5</v>
      </c>
      <c r="N8" s="10">
        <v>1.5</v>
      </c>
      <c r="O8" s="10">
        <v>1.5</v>
      </c>
      <c r="P8" s="10">
        <v>1.5</v>
      </c>
      <c r="Q8" s="10">
        <v>1.5</v>
      </c>
      <c r="R8" s="10">
        <v>1.5</v>
      </c>
      <c r="S8" s="10">
        <v>1.5</v>
      </c>
      <c r="T8" s="10">
        <v>1.5</v>
      </c>
      <c r="U8" s="10">
        <v>1.5</v>
      </c>
      <c r="V8" s="10">
        <v>1.5</v>
      </c>
    </row>
    <row r="9" spans="2:22" x14ac:dyDescent="0.3">
      <c r="B9" s="16" t="s">
        <v>303</v>
      </c>
      <c r="C9" s="10">
        <v>2</v>
      </c>
      <c r="D9" s="10">
        <v>5</v>
      </c>
      <c r="E9" s="10">
        <v>5</v>
      </c>
      <c r="F9" s="10">
        <v>6</v>
      </c>
      <c r="G9" s="10">
        <v>5</v>
      </c>
      <c r="H9" s="10">
        <v>3</v>
      </c>
      <c r="I9" s="10">
        <v>3</v>
      </c>
      <c r="J9" s="10">
        <v>3</v>
      </c>
      <c r="K9" s="10">
        <v>3</v>
      </c>
      <c r="L9" s="10">
        <v>3</v>
      </c>
      <c r="M9" s="10">
        <v>3</v>
      </c>
      <c r="N9" s="10">
        <v>3</v>
      </c>
      <c r="O9" s="10">
        <v>3</v>
      </c>
      <c r="P9" s="10">
        <v>3</v>
      </c>
      <c r="Q9" s="10">
        <v>3</v>
      </c>
      <c r="R9" s="10">
        <v>3</v>
      </c>
      <c r="S9" s="10">
        <v>3</v>
      </c>
      <c r="T9" s="10">
        <v>3</v>
      </c>
      <c r="U9" s="10">
        <v>3</v>
      </c>
      <c r="V9" s="10">
        <v>3</v>
      </c>
    </row>
    <row r="10" spans="2:22" x14ac:dyDescent="0.3">
      <c r="B10" s="16" t="s">
        <v>304</v>
      </c>
      <c r="C10" s="10">
        <v>8</v>
      </c>
      <c r="D10" s="10">
        <v>7</v>
      </c>
      <c r="E10" s="10">
        <v>6</v>
      </c>
      <c r="F10" s="10">
        <v>7</v>
      </c>
      <c r="G10" s="10">
        <v>8</v>
      </c>
      <c r="H10" s="10">
        <v>8</v>
      </c>
      <c r="I10" s="10">
        <v>5</v>
      </c>
      <c r="J10" s="10">
        <v>4</v>
      </c>
      <c r="K10" s="10">
        <v>3</v>
      </c>
      <c r="L10" s="10">
        <v>2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</row>
    <row r="11" spans="2:22" x14ac:dyDescent="0.3">
      <c r="B11" s="16" t="s">
        <v>305</v>
      </c>
      <c r="C11" s="10">
        <v>2</v>
      </c>
      <c r="D11" s="10">
        <v>1</v>
      </c>
      <c r="E11" s="10">
        <v>2</v>
      </c>
      <c r="F11" s="10">
        <v>-1</v>
      </c>
      <c r="G11" s="10">
        <v>-4</v>
      </c>
      <c r="H11" s="10">
        <v>-1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</row>
    <row r="12" spans="2:22" x14ac:dyDescent="0.3">
      <c r="B12" s="16" t="s">
        <v>306</v>
      </c>
      <c r="C12" s="10">
        <v>1</v>
      </c>
      <c r="D12" s="10">
        <v>0.8</v>
      </c>
      <c r="E12" s="10">
        <v>0.2</v>
      </c>
      <c r="F12" s="10">
        <v>1.5</v>
      </c>
      <c r="G12" s="10">
        <v>-6.3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</row>
    <row r="13" spans="2:22" x14ac:dyDescent="0.3">
      <c r="B13" s="17" t="s">
        <v>338</v>
      </c>
      <c r="C13" s="51">
        <f>('Financial Statement'!D5/'Financial Statement'!C5-1)*100</f>
        <v>13.038694296717402</v>
      </c>
      <c r="D13" s="51">
        <f>('Financial Statement'!E5/'Financial Statement'!D5-1)*100</f>
        <v>13.789746917585987</v>
      </c>
      <c r="E13" s="51">
        <f>('Financial Statement'!F5/'Financial Statement'!E5-1)*100</f>
        <v>13.159395494724846</v>
      </c>
      <c r="F13" s="51">
        <f>('Financial Statement'!G5/'Financial Statement'!F5-1)*100</f>
        <v>13.531561043215312</v>
      </c>
      <c r="G13" s="51">
        <f>('Financial Statement'!H5/'Financial Statement'!G5-1)*100</f>
        <v>2.7078015758517315</v>
      </c>
      <c r="H13" s="50">
        <v>10</v>
      </c>
      <c r="I13" s="50">
        <v>8</v>
      </c>
      <c r="J13" s="50">
        <v>7</v>
      </c>
      <c r="K13" s="50">
        <v>6</v>
      </c>
      <c r="L13" s="50">
        <v>5</v>
      </c>
      <c r="M13" s="50">
        <v>3</v>
      </c>
      <c r="N13" s="50">
        <v>3</v>
      </c>
      <c r="O13" s="50">
        <v>3</v>
      </c>
      <c r="P13" s="50">
        <v>3</v>
      </c>
      <c r="Q13" s="50">
        <v>3</v>
      </c>
      <c r="R13" s="50">
        <v>3</v>
      </c>
      <c r="S13" s="50">
        <v>3</v>
      </c>
      <c r="T13" s="50">
        <v>3</v>
      </c>
      <c r="U13" s="50">
        <v>3</v>
      </c>
      <c r="V13" s="50">
        <v>3</v>
      </c>
    </row>
    <row r="14" spans="2:22" x14ac:dyDescent="0.3">
      <c r="B14" s="17" t="s">
        <v>339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2:22" ht="21.6" x14ac:dyDescent="0.3">
      <c r="B15" s="16" t="s">
        <v>307</v>
      </c>
      <c r="C15" s="33">
        <f>(-'Financial Statement'!D6/'Financial Statement'!D5)*100</f>
        <v>46.88513951979234</v>
      </c>
      <c r="D15" s="33">
        <f>(-'Financial Statement'!E6/'Financial Statement'!E5)*100</f>
        <v>46.278870829769033</v>
      </c>
      <c r="E15" s="33">
        <f>(-'Financial Statement'!F6/'Financial Statement'!F5)*100</f>
        <v>45.924152702532446</v>
      </c>
      <c r="F15" s="33">
        <f>(-'Financial Statement'!G6/'Financial Statement'!G5)*100</f>
        <v>44.512262789923426</v>
      </c>
      <c r="G15" s="33">
        <f>(-'Financial Statement'!H6/'Financial Statement'!H5)*100</f>
        <v>48.200972447325768</v>
      </c>
      <c r="H15" s="10">
        <v>48.9</v>
      </c>
      <c r="I15" s="10">
        <v>48.9</v>
      </c>
      <c r="J15" s="10">
        <v>48.9</v>
      </c>
      <c r="K15" s="10">
        <v>48.9</v>
      </c>
      <c r="L15" s="10">
        <v>48.9</v>
      </c>
    </row>
    <row r="16" spans="2:22" ht="21.6" x14ac:dyDescent="0.3">
      <c r="B16" s="16" t="s">
        <v>308</v>
      </c>
      <c r="C16" s="33">
        <f>(-'Financial Statement'!D7/'Financial Statement'!D5)*100</f>
        <v>15.639195327709279</v>
      </c>
      <c r="D16" s="33">
        <f>(-'Financial Statement'!E7/'Financial Statement'!E5)*100</f>
        <v>15.782720273738239</v>
      </c>
      <c r="E16" s="33">
        <f>(-'Financial Statement'!F7/'Financial Statement'!F5)*100</f>
        <v>16.139599344840619</v>
      </c>
      <c r="F16" s="33">
        <f>(-'Financial Statement'!G7/'Financial Statement'!G5)*100</f>
        <v>17.589612695594273</v>
      </c>
      <c r="G16" s="33">
        <f>(-'Financial Statement'!H7/'Financial Statement'!H5)*100</f>
        <v>12.220421393841168</v>
      </c>
      <c r="H16" s="10">
        <v>12.8</v>
      </c>
      <c r="I16" s="10">
        <v>12.8</v>
      </c>
      <c r="J16" s="10">
        <v>12.8</v>
      </c>
      <c r="K16" s="10">
        <v>12.8</v>
      </c>
      <c r="L16" s="10">
        <v>12.8</v>
      </c>
    </row>
    <row r="17" spans="2:12" x14ac:dyDescent="0.3">
      <c r="B17" s="16" t="s">
        <v>309</v>
      </c>
      <c r="C17" s="33">
        <f>-('Financial Statement'!D8/'Financial Statement'!D5)*100</f>
        <v>18.364698247890978</v>
      </c>
      <c r="D17" s="33">
        <f>-('Financial Statement'!E8/'Financial Statement'!E5)*100</f>
        <v>18.548617051611064</v>
      </c>
      <c r="E17" s="33">
        <f>-('Financial Statement'!F8/'Financial Statement'!F5)*100</f>
        <v>17.853093108227288</v>
      </c>
      <c r="F17" s="33">
        <f>-('Financial Statement'!G8/'Financial Statement'!G5)*100</f>
        <v>18.222172899789147</v>
      </c>
      <c r="G17" s="33">
        <f>-('Financial Statement'!H8/'Financial Statement'!H5)*100</f>
        <v>19.794705564559699</v>
      </c>
      <c r="H17" s="10">
        <v>19.8</v>
      </c>
      <c r="I17" s="10">
        <v>19.8</v>
      </c>
      <c r="J17" s="10">
        <v>19.8</v>
      </c>
      <c r="K17" s="10">
        <v>19.8</v>
      </c>
      <c r="L17" s="10">
        <v>19.8</v>
      </c>
    </row>
    <row r="18" spans="2:12" x14ac:dyDescent="0.3">
      <c r="B18" s="16" t="s">
        <v>310</v>
      </c>
      <c r="C18" s="33">
        <f>(-'Financial Statement'!D10/'Financial Statement'!D42)*100</f>
        <v>12.786774628879893</v>
      </c>
      <c r="D18" s="33">
        <f>(-'Financial Statement'!E10/'Financial Statement'!E42)*100</f>
        <v>13.507692307692306</v>
      </c>
      <c r="E18" s="33">
        <f>(-'Financial Statement'!F10/'Financial Statement'!F42)*100</f>
        <v>13.009708737864079</v>
      </c>
      <c r="F18" s="33">
        <f>(-'Financial Statement'!G10/'Financial Statement'!G42)*100</f>
        <v>11.879990321800145</v>
      </c>
      <c r="G18" s="33">
        <f>(-'Financial Statement'!H10/'Financial Statement'!H42)*100</f>
        <v>11.438749257866613</v>
      </c>
      <c r="H18" s="10">
        <v>11.3</v>
      </c>
      <c r="I18" s="10">
        <v>11.3</v>
      </c>
      <c r="J18" s="10">
        <v>11.3</v>
      </c>
      <c r="K18" s="10">
        <v>11.3</v>
      </c>
      <c r="L18" s="10">
        <v>11.3</v>
      </c>
    </row>
    <row r="19" spans="2:12" x14ac:dyDescent="0.3">
      <c r="B19" s="16" t="s">
        <v>311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2" ht="21.6" x14ac:dyDescent="0.3">
      <c r="B20" s="16" t="s">
        <v>312</v>
      </c>
      <c r="C20" s="33">
        <f>(-'Financial Statement'!D14/('Financial Statement'!D54+'Financial Statement'!D48))*100</f>
        <v>8.1799591002044991</v>
      </c>
      <c r="D20" s="33">
        <f>(-'Financial Statement'!E14/('Financial Statement'!E54+'Financial Statement'!E48))*100</f>
        <v>8.3653108211818878</v>
      </c>
      <c r="E20" s="33">
        <f>(-'Financial Statement'!F14/('Financial Statement'!F54+'Financial Statement'!F48))*100</f>
        <v>8.6320409656181418</v>
      </c>
      <c r="F20" s="33">
        <f>(-'Financial Statement'!G14/('Financial Statement'!G54+'Financial Statement'!G48))*100</f>
        <v>6.4773735581188996</v>
      </c>
      <c r="G20" s="33">
        <f>(-'Financial Statement'!H14/('Financial Statement'!H54+'Financial Statement'!H48))*100</f>
        <v>4.6948356807511731</v>
      </c>
      <c r="H20" s="10">
        <v>4.5</v>
      </c>
      <c r="I20" s="10">
        <v>4.5</v>
      </c>
      <c r="J20" s="10">
        <v>4.5</v>
      </c>
      <c r="K20" s="10">
        <v>4.5</v>
      </c>
      <c r="L20" s="10">
        <v>4.5</v>
      </c>
    </row>
    <row r="21" spans="2:12" x14ac:dyDescent="0.3">
      <c r="B21" s="16" t="s">
        <v>313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4.5</v>
      </c>
      <c r="I21" s="10">
        <v>4.5</v>
      </c>
      <c r="J21" s="10">
        <v>4.5</v>
      </c>
      <c r="K21" s="10">
        <v>4.5</v>
      </c>
      <c r="L21" s="10">
        <v>4.5</v>
      </c>
    </row>
    <row r="22" spans="2:12" x14ac:dyDescent="0.3">
      <c r="B22" s="16" t="s">
        <v>314</v>
      </c>
      <c r="C22" s="10">
        <v>4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  <c r="I22" s="10">
        <v>4</v>
      </c>
      <c r="J22" s="10">
        <v>4</v>
      </c>
      <c r="K22" s="10">
        <v>4</v>
      </c>
      <c r="L22" s="10">
        <v>4</v>
      </c>
    </row>
    <row r="23" spans="2:12" ht="21.6" x14ac:dyDescent="0.3">
      <c r="B23" s="16" t="s">
        <v>315</v>
      </c>
      <c r="C23" s="33">
        <f>'Financial Statement'!D15/'Financial Statement'!C37*100</f>
        <v>4.6483909415971389</v>
      </c>
      <c r="D23" s="33">
        <f>'Financial Statement'!E15/'Financial Statement'!D37*100</f>
        <v>3.9667896678966788</v>
      </c>
      <c r="E23" s="33">
        <f>'Financial Statement'!F15/'Financial Statement'!E37*100</f>
        <v>6.871345029239766</v>
      </c>
      <c r="F23" s="33">
        <f>'Financial Statement'!G15/'Financial Statement'!F37*100</f>
        <v>3.6417322834645667</v>
      </c>
      <c r="G23" s="33">
        <f>'Financial Statement'!H15/'Financial Statement'!G37*100</f>
        <v>6.6889632107023411</v>
      </c>
      <c r="H23" s="10">
        <v>1.9</v>
      </c>
      <c r="I23" s="10">
        <v>1.9</v>
      </c>
      <c r="J23" s="10">
        <v>1.9</v>
      </c>
      <c r="K23" s="10">
        <v>1.9</v>
      </c>
      <c r="L23" s="10">
        <v>1.9</v>
      </c>
    </row>
    <row r="24" spans="2:12" x14ac:dyDescent="0.3">
      <c r="B24" s="16" t="s">
        <v>316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2:12" x14ac:dyDescent="0.3">
      <c r="B25" s="16" t="s">
        <v>317</v>
      </c>
      <c r="C25" s="10">
        <v>34.9</v>
      </c>
      <c r="D25" s="10">
        <v>35</v>
      </c>
      <c r="E25" s="10">
        <v>35</v>
      </c>
      <c r="F25" s="10">
        <v>34.5</v>
      </c>
      <c r="G25" s="10">
        <v>34.5</v>
      </c>
      <c r="H25" s="10">
        <v>34.5</v>
      </c>
      <c r="I25" s="10">
        <v>34.5</v>
      </c>
      <c r="J25" s="10">
        <v>34.5</v>
      </c>
      <c r="K25" s="10">
        <v>34.5</v>
      </c>
      <c r="L25" s="10">
        <v>34.5</v>
      </c>
    </row>
    <row r="26" spans="2:12" x14ac:dyDescent="0.3">
      <c r="B26" s="16" t="s">
        <v>318</v>
      </c>
      <c r="C26" s="10">
        <v>33.200000000000003</v>
      </c>
      <c r="D26" s="10">
        <v>31.8</v>
      </c>
      <c r="E26" s="10">
        <v>31.2</v>
      </c>
      <c r="F26" s="10">
        <v>30.4</v>
      </c>
      <c r="G26" s="10">
        <v>28.5</v>
      </c>
      <c r="H26" s="10">
        <v>28.5</v>
      </c>
      <c r="I26" s="10">
        <v>28.5</v>
      </c>
      <c r="J26" s="10">
        <v>28.5</v>
      </c>
      <c r="K26" s="10">
        <v>28.5</v>
      </c>
      <c r="L26" s="10">
        <v>28.5</v>
      </c>
    </row>
    <row r="27" spans="2:12" x14ac:dyDescent="0.3">
      <c r="B27" s="16" t="s">
        <v>319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2:12" ht="21.6" x14ac:dyDescent="0.3">
      <c r="B28" s="16" t="s">
        <v>320</v>
      </c>
      <c r="C28" s="33">
        <f>-('Financial Statement'!D19/('Financial Statement'!D11+'Financial Statement'!D14+'Financial Statement'!D15))*100</f>
        <v>3.6939313984168867</v>
      </c>
      <c r="D28" s="33">
        <f>-('Financial Statement'!E19/('Financial Statement'!E11+'Financial Statement'!E14+'Financial Statement'!E15))*100</f>
        <v>1.8713450292397662</v>
      </c>
      <c r="E28" s="33">
        <f>-('Financial Statement'!F19/('Financial Statement'!F11+'Financial Statement'!F14+'Financial Statement'!F15))*100</f>
        <v>5.4079696394686909</v>
      </c>
      <c r="F28" s="33">
        <f>-('Financial Statement'!G19/('Financial Statement'!G11+'Financial Statement'!G14+'Financial Statement'!G15))*100</f>
        <v>5.2855924978687128</v>
      </c>
      <c r="G28" s="10">
        <v>6.3</v>
      </c>
      <c r="H28" s="10">
        <v>6.3</v>
      </c>
      <c r="I28" s="10">
        <v>6.3</v>
      </c>
      <c r="J28" s="10">
        <v>6.3</v>
      </c>
      <c r="K28" s="10">
        <v>6.3</v>
      </c>
      <c r="L28" s="10">
        <v>6.3</v>
      </c>
    </row>
    <row r="29" spans="2:12" x14ac:dyDescent="0.3">
      <c r="B29" s="16" t="s">
        <v>321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2:12" x14ac:dyDescent="0.3">
      <c r="B30" s="16" t="s">
        <v>322</v>
      </c>
      <c r="C30" s="21">
        <f>-'Financial Statement'!D31</f>
        <v>125</v>
      </c>
      <c r="D30" s="21">
        <f>-'Financial Statement'!E31</f>
        <v>125</v>
      </c>
      <c r="E30" s="21">
        <f>-'Financial Statement'!F31</f>
        <v>157</v>
      </c>
      <c r="F30" s="21">
        <f>-'Financial Statement'!G31</f>
        <v>157</v>
      </c>
      <c r="G30" s="21">
        <f>-'Financial Statement'!H31</f>
        <v>157</v>
      </c>
      <c r="H30" s="21">
        <f>G30</f>
        <v>157</v>
      </c>
      <c r="I30" s="21">
        <f t="shared" ref="I30:L30" si="0">H30</f>
        <v>157</v>
      </c>
      <c r="J30" s="21">
        <f t="shared" si="0"/>
        <v>157</v>
      </c>
      <c r="K30" s="21">
        <f t="shared" si="0"/>
        <v>157</v>
      </c>
      <c r="L30" s="21">
        <f t="shared" si="0"/>
        <v>157</v>
      </c>
    </row>
    <row r="31" spans="2:12" x14ac:dyDescent="0.3">
      <c r="B31" s="16" t="s">
        <v>323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2:12" x14ac:dyDescent="0.3">
      <c r="B32" s="16" t="s">
        <v>324</v>
      </c>
      <c r="C32" s="21">
        <f>-'Financial Statement'!D12</f>
        <v>0</v>
      </c>
      <c r="D32" s="21">
        <f>-'Financial Statement'!E12</f>
        <v>0</v>
      </c>
      <c r="E32" s="21">
        <f>-'Financial Statement'!F12</f>
        <v>0</v>
      </c>
      <c r="F32" s="21">
        <f>-'Financial Statement'!G12</f>
        <v>0</v>
      </c>
      <c r="G32" s="21">
        <f>-'Financial Statement'!H12</f>
        <v>31</v>
      </c>
      <c r="H32" s="10">
        <v>55</v>
      </c>
      <c r="I32" s="10">
        <v>79</v>
      </c>
      <c r="J32" s="10">
        <v>95</v>
      </c>
      <c r="K32" s="10">
        <v>109</v>
      </c>
      <c r="L32" s="10">
        <v>121</v>
      </c>
    </row>
    <row r="33" spans="2:12" ht="21.6" x14ac:dyDescent="0.3">
      <c r="B33" s="16" t="s">
        <v>325</v>
      </c>
      <c r="C33" s="21">
        <f>'Financial Statement'!D18</f>
        <v>51</v>
      </c>
      <c r="D33" s="21">
        <f>'Financial Statement'!E18</f>
        <v>59</v>
      </c>
      <c r="E33" s="21">
        <f>'Financial Statement'!F18</f>
        <v>45</v>
      </c>
      <c r="F33" s="21">
        <f>'Financial Statement'!G18</f>
        <v>48</v>
      </c>
      <c r="G33" s="21">
        <f>'Financial Statement'!H18</f>
        <v>101</v>
      </c>
      <c r="H33" s="10">
        <v>31</v>
      </c>
      <c r="I33" s="10">
        <v>33</v>
      </c>
      <c r="J33" s="10">
        <v>36</v>
      </c>
      <c r="K33" s="10">
        <v>38</v>
      </c>
      <c r="L33" s="10">
        <v>40</v>
      </c>
    </row>
    <row r="34" spans="2:12" x14ac:dyDescent="0.3">
      <c r="B34" s="48"/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</row>
    <row r="36" spans="2:12" x14ac:dyDescent="0.3">
      <c r="C36" s="2" t="s">
        <v>276</v>
      </c>
      <c r="D36" s="2" t="s">
        <v>277</v>
      </c>
      <c r="E36" s="2" t="s">
        <v>270</v>
      </c>
      <c r="F36" s="2" t="s">
        <v>271</v>
      </c>
      <c r="G36" s="2" t="s">
        <v>272</v>
      </c>
      <c r="H36" s="2" t="s">
        <v>278</v>
      </c>
      <c r="I36" s="2" t="s">
        <v>279</v>
      </c>
      <c r="J36" s="2" t="s">
        <v>273</v>
      </c>
      <c r="K36" s="2" t="s">
        <v>274</v>
      </c>
      <c r="L36" s="2" t="s">
        <v>275</v>
      </c>
    </row>
    <row r="37" spans="2:12" x14ac:dyDescent="0.3">
      <c r="B37" s="48" t="s">
        <v>280</v>
      </c>
      <c r="C37" s="1" t="s">
        <v>3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</row>
    <row r="38" spans="2:12" ht="28.8" x14ac:dyDescent="0.3">
      <c r="B38" s="48" t="s">
        <v>296</v>
      </c>
      <c r="C38" s="2">
        <v>2</v>
      </c>
      <c r="D38" s="2">
        <v>2</v>
      </c>
      <c r="E38" s="2">
        <v>2</v>
      </c>
      <c r="F38" s="2">
        <v>2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</row>
    <row r="39" spans="2:12" x14ac:dyDescent="0.3">
      <c r="B39" s="48" t="s">
        <v>281</v>
      </c>
      <c r="C39" s="2">
        <v>44.1</v>
      </c>
      <c r="D39" s="2">
        <v>44.6</v>
      </c>
      <c r="E39" s="2">
        <v>45.3</v>
      </c>
      <c r="F39" s="2">
        <v>43.2</v>
      </c>
      <c r="G39" s="2">
        <v>47.5</v>
      </c>
      <c r="H39" s="2">
        <v>47.5</v>
      </c>
      <c r="I39" s="2">
        <v>47.5</v>
      </c>
      <c r="J39" s="2">
        <v>47.5</v>
      </c>
      <c r="K39" s="2">
        <v>47.5</v>
      </c>
      <c r="L39" s="2">
        <v>47.5</v>
      </c>
    </row>
    <row r="40" spans="2:12" x14ac:dyDescent="0.3">
      <c r="B40" s="48" t="s">
        <v>282</v>
      </c>
      <c r="C40" s="2">
        <v>29</v>
      </c>
      <c r="D40" s="2">
        <v>28.6</v>
      </c>
      <c r="E40" s="2">
        <v>31.8</v>
      </c>
      <c r="F40" s="2">
        <v>31</v>
      </c>
      <c r="G40" s="2">
        <v>32.9</v>
      </c>
      <c r="H40" s="2">
        <v>32.9</v>
      </c>
      <c r="I40" s="2">
        <v>32.9</v>
      </c>
      <c r="J40" s="2">
        <v>32.9</v>
      </c>
      <c r="K40" s="2">
        <v>32.9</v>
      </c>
      <c r="L40" s="2">
        <v>32.9</v>
      </c>
    </row>
    <row r="41" spans="2:12" x14ac:dyDescent="0.3">
      <c r="B41" s="48" t="s">
        <v>283</v>
      </c>
      <c r="C41" s="2">
        <v>9.3000000000000007</v>
      </c>
      <c r="D41" s="2">
        <v>8.6</v>
      </c>
      <c r="E41" s="2">
        <v>9.5</v>
      </c>
      <c r="F41" s="2">
        <v>8.3000000000000007</v>
      </c>
      <c r="G41" s="2">
        <v>6.9</v>
      </c>
      <c r="H41" s="2">
        <v>6.9</v>
      </c>
      <c r="I41" s="2">
        <v>6.9</v>
      </c>
      <c r="J41" s="2">
        <v>6.9</v>
      </c>
      <c r="K41" s="2">
        <v>6.9</v>
      </c>
      <c r="L41" s="2">
        <v>6.9</v>
      </c>
    </row>
    <row r="42" spans="2:12" x14ac:dyDescent="0.3">
      <c r="B42" s="48" t="s">
        <v>284</v>
      </c>
      <c r="C42" s="2">
        <v>27.1</v>
      </c>
      <c r="D42" s="2">
        <v>27.5</v>
      </c>
      <c r="E42" s="2">
        <v>28.5</v>
      </c>
      <c r="F42" s="2">
        <v>25.5</v>
      </c>
      <c r="G42" s="2">
        <v>29.4</v>
      </c>
      <c r="H42" s="2">
        <v>29.4</v>
      </c>
      <c r="I42" s="2">
        <v>29.4</v>
      </c>
      <c r="J42" s="2">
        <v>29.4</v>
      </c>
      <c r="K42" s="2">
        <v>29.4</v>
      </c>
      <c r="L42" s="2">
        <v>29.4</v>
      </c>
    </row>
    <row r="43" spans="2:12" x14ac:dyDescent="0.3">
      <c r="B43" s="48" t="s">
        <v>285</v>
      </c>
      <c r="C43" s="2">
        <v>17.100000000000001</v>
      </c>
      <c r="D43" s="2">
        <v>15</v>
      </c>
      <c r="E43" s="2">
        <v>15.4</v>
      </c>
      <c r="F43" s="2">
        <v>13</v>
      </c>
      <c r="G43" s="2">
        <v>15.5</v>
      </c>
      <c r="H43" s="2">
        <v>15.5</v>
      </c>
      <c r="I43" s="2">
        <v>15.5</v>
      </c>
      <c r="J43" s="2">
        <v>15.5</v>
      </c>
      <c r="K43" s="2">
        <v>15.5</v>
      </c>
      <c r="L43" s="2">
        <v>15.5</v>
      </c>
    </row>
    <row r="44" spans="2:12" x14ac:dyDescent="0.3">
      <c r="B44" s="48" t="s">
        <v>286</v>
      </c>
      <c r="C44" s="2">
        <v>31.8</v>
      </c>
      <c r="D44" s="2">
        <v>29.6</v>
      </c>
      <c r="E44" s="2">
        <v>27.7</v>
      </c>
      <c r="F44" s="2">
        <v>22.4</v>
      </c>
      <c r="G44" s="2">
        <v>25.4</v>
      </c>
      <c r="H44" s="2">
        <v>25.4</v>
      </c>
      <c r="I44" s="2">
        <v>25.4</v>
      </c>
      <c r="J44" s="2">
        <v>25.4</v>
      </c>
      <c r="K44" s="2">
        <v>25.4</v>
      </c>
      <c r="L44" s="2">
        <v>25.4</v>
      </c>
    </row>
    <row r="45" spans="2:12" x14ac:dyDescent="0.3">
      <c r="B45" s="48" t="s">
        <v>287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ht="28.8" x14ac:dyDescent="0.3">
      <c r="B46" s="48" t="s">
        <v>297</v>
      </c>
      <c r="C46" s="2">
        <v>48.1</v>
      </c>
      <c r="D46" s="2">
        <v>46.3</v>
      </c>
      <c r="E46" s="2">
        <v>45.4</v>
      </c>
      <c r="F46" s="2">
        <v>45.9</v>
      </c>
      <c r="G46" s="2">
        <v>54.6</v>
      </c>
      <c r="H46" s="2">
        <v>54.6</v>
      </c>
      <c r="I46" s="2">
        <v>54.6</v>
      </c>
      <c r="J46" s="2">
        <v>54.6</v>
      </c>
      <c r="K46" s="2">
        <v>54.6</v>
      </c>
      <c r="L46" s="2">
        <v>54.6</v>
      </c>
    </row>
    <row r="47" spans="2:12" x14ac:dyDescent="0.3">
      <c r="B47" s="48" t="s">
        <v>288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ht="43.2" x14ac:dyDescent="0.3">
      <c r="B48" s="48" t="s">
        <v>298</v>
      </c>
      <c r="C48" s="2">
        <v>3.1</v>
      </c>
      <c r="D48" s="2">
        <v>4</v>
      </c>
      <c r="E48" s="2">
        <v>2.2999999999999998</v>
      </c>
      <c r="F48" s="2">
        <v>4.5999999999999996</v>
      </c>
      <c r="G48" s="2">
        <v>4.7</v>
      </c>
      <c r="H48" s="2">
        <v>4.7</v>
      </c>
      <c r="I48" s="2">
        <v>4.7</v>
      </c>
      <c r="J48" s="2">
        <v>4.7</v>
      </c>
      <c r="K48" s="2">
        <v>4.7</v>
      </c>
      <c r="L48" s="2">
        <v>4.7</v>
      </c>
    </row>
    <row r="49" spans="2:12" ht="28.8" x14ac:dyDescent="0.3">
      <c r="B49" s="48" t="s">
        <v>299</v>
      </c>
      <c r="C49" s="2">
        <v>0</v>
      </c>
      <c r="D49" s="2">
        <v>35</v>
      </c>
      <c r="E49" s="2">
        <v>30</v>
      </c>
      <c r="F49" s="2">
        <v>22</v>
      </c>
      <c r="G49" s="2">
        <v>18</v>
      </c>
      <c r="H49" s="2">
        <v>18</v>
      </c>
      <c r="I49" s="2">
        <v>18</v>
      </c>
      <c r="J49" s="2">
        <v>18</v>
      </c>
      <c r="K49" s="2">
        <v>18</v>
      </c>
      <c r="L49" s="2">
        <v>18</v>
      </c>
    </row>
    <row r="50" spans="2:12" x14ac:dyDescent="0.3">
      <c r="B50" s="48" t="s">
        <v>300</v>
      </c>
      <c r="C50" s="2">
        <v>233</v>
      </c>
      <c r="D50" s="2">
        <v>301</v>
      </c>
      <c r="E50" s="2">
        <v>318</v>
      </c>
      <c r="F50" s="2">
        <v>401</v>
      </c>
      <c r="G50" s="2">
        <v>671</v>
      </c>
      <c r="H50" s="2">
        <v>671</v>
      </c>
      <c r="I50" s="2">
        <v>671</v>
      </c>
      <c r="J50" s="2">
        <v>671</v>
      </c>
      <c r="K50" s="2">
        <v>671</v>
      </c>
      <c r="L50" s="2">
        <v>671</v>
      </c>
    </row>
    <row r="51" spans="2:12" x14ac:dyDescent="0.3">
      <c r="B51" s="48" t="s">
        <v>289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3">
      <c r="B52" s="48" t="s">
        <v>290</v>
      </c>
      <c r="C52" s="2">
        <v>48</v>
      </c>
      <c r="D52" s="2">
        <v>100</v>
      </c>
      <c r="E52" s="2">
        <v>112</v>
      </c>
      <c r="F52" s="2">
        <v>352</v>
      </c>
      <c r="G52" s="2">
        <v>526</v>
      </c>
      <c r="H52" s="2">
        <v>526</v>
      </c>
      <c r="I52" s="2">
        <v>526</v>
      </c>
      <c r="J52" s="2">
        <v>526</v>
      </c>
      <c r="K52" s="2">
        <v>526</v>
      </c>
      <c r="L52" s="2">
        <v>526</v>
      </c>
    </row>
    <row r="53" spans="2:12" x14ac:dyDescent="0.3">
      <c r="B53" s="48" t="s">
        <v>291</v>
      </c>
      <c r="C53" s="2">
        <v>488</v>
      </c>
      <c r="D53" s="2">
        <v>428</v>
      </c>
      <c r="E53" s="2">
        <v>570</v>
      </c>
      <c r="F53" s="3">
        <v>1039</v>
      </c>
      <c r="G53" s="3">
        <v>1113</v>
      </c>
      <c r="H53" s="2">
        <v>283</v>
      </c>
      <c r="I53" s="2">
        <v>283</v>
      </c>
      <c r="J53" s="2">
        <v>283</v>
      </c>
      <c r="K53" s="2">
        <v>283</v>
      </c>
      <c r="L53" s="2">
        <v>283</v>
      </c>
    </row>
    <row r="54" spans="2:12" x14ac:dyDescent="0.3">
      <c r="B54" s="48" t="s">
        <v>292</v>
      </c>
      <c r="C54" s="2">
        <v>490</v>
      </c>
      <c r="D54" s="2">
        <v>875</v>
      </c>
      <c r="E54" s="2">
        <v>797</v>
      </c>
      <c r="F54" s="3">
        <v>1215</v>
      </c>
      <c r="G54" s="3">
        <v>2721</v>
      </c>
      <c r="H54" s="3">
        <v>2438</v>
      </c>
      <c r="I54" s="3">
        <v>2154</v>
      </c>
      <c r="J54" s="3">
        <v>1871</v>
      </c>
      <c r="K54" s="3">
        <v>1587</v>
      </c>
      <c r="L54" s="3">
        <v>1304</v>
      </c>
    </row>
    <row r="55" spans="2:12" x14ac:dyDescent="0.3">
      <c r="B55" s="48" t="s">
        <v>293</v>
      </c>
      <c r="C55" s="2">
        <v>295</v>
      </c>
      <c r="D55" s="2">
        <v>312</v>
      </c>
      <c r="E55" s="2">
        <v>357</v>
      </c>
      <c r="F55" s="2">
        <v>381</v>
      </c>
      <c r="G55" s="2">
        <v>415</v>
      </c>
      <c r="H55" s="2">
        <v>427</v>
      </c>
      <c r="I55" s="2">
        <v>440</v>
      </c>
      <c r="J55" s="2">
        <v>453</v>
      </c>
      <c r="K55" s="2">
        <v>467</v>
      </c>
      <c r="L55" s="2">
        <v>481</v>
      </c>
    </row>
    <row r="56" spans="2:12" x14ac:dyDescent="0.3">
      <c r="B56" s="48" t="s">
        <v>294</v>
      </c>
      <c r="C56" s="2">
        <v>158</v>
      </c>
      <c r="D56" s="2">
        <v>158</v>
      </c>
      <c r="E56" s="2">
        <v>133</v>
      </c>
      <c r="F56" s="2">
        <v>133</v>
      </c>
      <c r="G56" s="2">
        <v>133</v>
      </c>
      <c r="H56" s="2">
        <v>146</v>
      </c>
      <c r="I56" s="2">
        <v>158</v>
      </c>
      <c r="J56" s="2">
        <v>169</v>
      </c>
      <c r="K56" s="2">
        <v>179</v>
      </c>
      <c r="L56" s="2">
        <v>188</v>
      </c>
    </row>
    <row r="57" spans="2:12" x14ac:dyDescent="0.3">
      <c r="B57" s="48" t="s">
        <v>295</v>
      </c>
      <c r="C57" s="2">
        <v>248</v>
      </c>
      <c r="D57" s="2">
        <v>124</v>
      </c>
      <c r="E57" s="2">
        <v>381</v>
      </c>
      <c r="F57" s="2">
        <v>393</v>
      </c>
      <c r="G57" s="2">
        <v>732</v>
      </c>
      <c r="H57" s="2">
        <v>763</v>
      </c>
      <c r="I57" s="2">
        <v>798</v>
      </c>
      <c r="J57" s="2">
        <v>835</v>
      </c>
      <c r="K57" s="2">
        <v>876</v>
      </c>
      <c r="L57" s="2">
        <v>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workbookViewId="0">
      <selection activeCell="B25" sqref="B25"/>
    </sheetView>
  </sheetViews>
  <sheetFormatPr defaultRowHeight="14.4" x14ac:dyDescent="0.3"/>
  <cols>
    <col min="1" max="1" width="1.6640625" customWidth="1"/>
    <col min="2" max="2" width="32.88671875" customWidth="1"/>
  </cols>
  <sheetData>
    <row r="1" spans="2:14" x14ac:dyDescent="0.3">
      <c r="B1" s="115" t="str">
        <f>'Financial Statement'!B1</f>
        <v>Heineken company</v>
      </c>
    </row>
    <row r="3" spans="2:14" x14ac:dyDescent="0.3">
      <c r="B3" s="19" t="s">
        <v>232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x14ac:dyDescent="0.3">
      <c r="B4" s="15"/>
      <c r="C4" s="15"/>
      <c r="D4" s="15">
        <v>1999</v>
      </c>
      <c r="E4" s="15">
        <v>2000</v>
      </c>
      <c r="F4" s="15">
        <v>2001</v>
      </c>
      <c r="G4" s="15">
        <v>2002</v>
      </c>
      <c r="H4" s="15">
        <v>2003</v>
      </c>
      <c r="I4" s="25">
        <v>2004</v>
      </c>
      <c r="J4" s="25">
        <v>2005</v>
      </c>
      <c r="K4" s="25">
        <v>2006</v>
      </c>
      <c r="L4" s="25">
        <v>2007</v>
      </c>
      <c r="M4" s="25">
        <v>2008</v>
      </c>
      <c r="N4" s="9"/>
    </row>
    <row r="5" spans="2:14" ht="21.6" x14ac:dyDescent="0.3">
      <c r="B5" s="16" t="s">
        <v>164</v>
      </c>
      <c r="C5" s="63"/>
      <c r="D5" s="66">
        <f>D10/D8</f>
        <v>0.19956687456687458</v>
      </c>
      <c r="E5" s="66">
        <f>E10/E8</f>
        <v>0.18945556946182729</v>
      </c>
      <c r="F5" s="66">
        <f>F10/F8</f>
        <v>0.22379821129122415</v>
      </c>
      <c r="G5" s="66">
        <f>G10/G8</f>
        <v>0.22517114914425429</v>
      </c>
      <c r="H5" s="66">
        <f>H10/H8</f>
        <v>0.16519400352733685</v>
      </c>
      <c r="I5" s="36">
        <f>I10/I8</f>
        <v>0.16486349400352723</v>
      </c>
      <c r="J5" s="36">
        <f>J10/J8</f>
        <v>0.16137648630855447</v>
      </c>
      <c r="K5" s="36">
        <f>K10/K8</f>
        <v>0.15944028587488857</v>
      </c>
      <c r="L5" s="36">
        <f>L10/L8</f>
        <v>0.15757995323604412</v>
      </c>
      <c r="M5" s="36">
        <f>M10/M8</f>
        <v>0.15575019113938454</v>
      </c>
      <c r="N5" s="9"/>
    </row>
    <row r="6" spans="2:14" x14ac:dyDescent="0.3">
      <c r="B6" s="16" t="s">
        <v>165</v>
      </c>
      <c r="C6" s="63"/>
      <c r="D6" s="66">
        <v>8.6999999999999994E-2</v>
      </c>
      <c r="E6" s="66">
        <v>8.3000000000000004E-2</v>
      </c>
      <c r="F6" s="66">
        <v>8.4000000000000005E-2</v>
      </c>
      <c r="G6" s="66">
        <v>7.6999999999999999E-2</v>
      </c>
      <c r="H6" s="66">
        <v>7.6999999999999999E-2</v>
      </c>
      <c r="I6" s="36">
        <v>7.4999999999999997E-2</v>
      </c>
      <c r="J6" s="36">
        <v>7.4999999999999997E-2</v>
      </c>
      <c r="K6" s="36">
        <v>7.4999999999999997E-2</v>
      </c>
      <c r="L6" s="36">
        <v>7.4999999999999997E-2</v>
      </c>
      <c r="M6" s="36">
        <v>7.4999999999999997E-2</v>
      </c>
      <c r="N6" s="9"/>
    </row>
    <row r="7" spans="2:14" x14ac:dyDescent="0.3">
      <c r="B7" s="16" t="s">
        <v>166</v>
      </c>
      <c r="C7" s="63"/>
      <c r="D7" s="67">
        <f>D5-D6</f>
        <v>0.11256687456687459</v>
      </c>
      <c r="E7" s="67">
        <f>E5-E6</f>
        <v>0.10645556946182728</v>
      </c>
      <c r="F7" s="67">
        <f>F5-F6</f>
        <v>0.13979821129122416</v>
      </c>
      <c r="G7" s="67">
        <f>G5-G6</f>
        <v>0.14817114914425428</v>
      </c>
      <c r="H7" s="67">
        <f>H5-H6</f>
        <v>8.8194003527336848E-2</v>
      </c>
      <c r="I7" s="41">
        <f>I5-I6</f>
        <v>8.9863494003527236E-2</v>
      </c>
      <c r="J7" s="41">
        <f>J5-J6</f>
        <v>8.6376486308554476E-2</v>
      </c>
      <c r="K7" s="41">
        <f>K5-K6</f>
        <v>8.4440285874888568E-2</v>
      </c>
      <c r="L7" s="41">
        <f>L5-L6</f>
        <v>8.2579953236044126E-2</v>
      </c>
      <c r="M7" s="41">
        <f>M5-M6</f>
        <v>8.0750191139384545E-2</v>
      </c>
      <c r="N7" s="9"/>
    </row>
    <row r="8" spans="2:14" x14ac:dyDescent="0.3">
      <c r="B8" s="16" t="s">
        <v>167</v>
      </c>
      <c r="C8" s="63"/>
      <c r="D8" s="60">
        <f>'NOPLAT and IC'!C39</f>
        <v>2886</v>
      </c>
      <c r="E8" s="60">
        <f>'NOPLAT and IC'!D39</f>
        <v>3196</v>
      </c>
      <c r="F8" s="60">
        <f>'NOPLAT and IC'!E39</f>
        <v>3578</v>
      </c>
      <c r="G8" s="60">
        <f>'NOPLAT and IC'!F39</f>
        <v>4090</v>
      </c>
      <c r="H8" s="60">
        <f>'NOPLAT and IC'!H39</f>
        <v>5670</v>
      </c>
      <c r="I8" s="21">
        <f>'NOPLAT and IC'!H39</f>
        <v>5670</v>
      </c>
      <c r="J8" s="21">
        <f>'NOPLAT and IC'!I39</f>
        <v>6238.5054657534256</v>
      </c>
      <c r="K8" s="21">
        <f>'NOPLAT and IC'!J39</f>
        <v>6736.9859030136995</v>
      </c>
      <c r="L8" s="21">
        <f>'NOPLAT and IC'!K39</f>
        <v>7208.2949162246578</v>
      </c>
      <c r="M8" s="21">
        <f>'NOPLAT and IC'!L39</f>
        <v>7640.5326111981385</v>
      </c>
      <c r="N8" s="9"/>
    </row>
    <row r="9" spans="2:14" x14ac:dyDescent="0.3">
      <c r="B9" s="17" t="s">
        <v>94</v>
      </c>
      <c r="C9" s="64"/>
      <c r="D9" s="68">
        <f>D7*D8</f>
        <v>324.86800000000005</v>
      </c>
      <c r="E9" s="68">
        <f>E7*E8</f>
        <v>340.23200000000003</v>
      </c>
      <c r="F9" s="68">
        <f>F7*F8</f>
        <v>500.19800000000004</v>
      </c>
      <c r="G9" s="68">
        <f>G7*G8</f>
        <v>606.02</v>
      </c>
      <c r="H9" s="68">
        <f>H7*H8</f>
        <v>500.05999999999995</v>
      </c>
      <c r="I9" s="47">
        <f>I7*I8</f>
        <v>509.52601099999941</v>
      </c>
      <c r="J9" s="47">
        <f>J7*J8</f>
        <v>538.86018194849305</v>
      </c>
      <c r="K9" s="47">
        <f>K7*K8</f>
        <v>568.87301558557112</v>
      </c>
      <c r="L9" s="47">
        <f>L7*L8</f>
        <v>595.26065709344687</v>
      </c>
      <c r="M9" s="47">
        <f>M7*M8</f>
        <v>616.97446876095057</v>
      </c>
      <c r="N9" s="9"/>
    </row>
    <row r="10" spans="2:14" x14ac:dyDescent="0.3">
      <c r="B10" s="16" t="s">
        <v>168</v>
      </c>
      <c r="C10" s="63"/>
      <c r="D10" s="69">
        <f>'NOPLAT and IC'!D11</f>
        <v>575.95000000000005</v>
      </c>
      <c r="E10" s="69">
        <f>'NOPLAT and IC'!E11</f>
        <v>605.5</v>
      </c>
      <c r="F10" s="69">
        <f>'NOPLAT and IC'!F11</f>
        <v>800.75</v>
      </c>
      <c r="G10" s="69">
        <f>'NOPLAT and IC'!G11</f>
        <v>920.95</v>
      </c>
      <c r="H10" s="69">
        <f>'NOPLAT and IC'!H11</f>
        <v>936.65</v>
      </c>
      <c r="I10" s="27">
        <f>'NOPLAT and IC'!I11</f>
        <v>934.77601099999947</v>
      </c>
      <c r="J10" s="27">
        <f>'NOPLAT and IC'!J11</f>
        <v>1006.7480918799999</v>
      </c>
      <c r="K10" s="27">
        <f>'NOPLAT and IC'!K11</f>
        <v>1074.1469583115986</v>
      </c>
      <c r="L10" s="27">
        <f>'NOPLAT and IC'!L11</f>
        <v>1135.8827758102962</v>
      </c>
      <c r="M10" s="27">
        <f>'NOPLAT and IC'!M11</f>
        <v>1190.0144146008111</v>
      </c>
      <c r="N10" s="9"/>
    </row>
    <row r="11" spans="2:14" x14ac:dyDescent="0.3">
      <c r="B11" s="16" t="s">
        <v>169</v>
      </c>
      <c r="C11" s="63"/>
      <c r="D11" s="70">
        <f>-D8*D6</f>
        <v>-251.08199999999999</v>
      </c>
      <c r="E11" s="70">
        <f>-E8*E6</f>
        <v>-265.26800000000003</v>
      </c>
      <c r="F11" s="70">
        <f>-F8*F6</f>
        <v>-300.55200000000002</v>
      </c>
      <c r="G11" s="70">
        <f>-G8*G6</f>
        <v>-314.93</v>
      </c>
      <c r="H11" s="70">
        <f>-H8*H6</f>
        <v>-436.59</v>
      </c>
      <c r="I11" s="34">
        <f>-I8*I6</f>
        <v>-425.25</v>
      </c>
      <c r="J11" s="34">
        <f>-J8*J6</f>
        <v>-467.8879099315069</v>
      </c>
      <c r="K11" s="34">
        <f>-K8*K6</f>
        <v>-505.27394272602743</v>
      </c>
      <c r="L11" s="34">
        <f>-L8*L6</f>
        <v>-540.62211871684929</v>
      </c>
      <c r="M11" s="34">
        <f>-M8*M6</f>
        <v>-573.03994583986037</v>
      </c>
      <c r="N11" s="9"/>
    </row>
    <row r="12" spans="2:14" x14ac:dyDescent="0.3">
      <c r="B12" s="17" t="s">
        <v>94</v>
      </c>
      <c r="C12" s="64"/>
      <c r="D12" s="71">
        <f>D10+D11</f>
        <v>324.86800000000005</v>
      </c>
      <c r="E12" s="71">
        <f>E10+E11</f>
        <v>340.23199999999997</v>
      </c>
      <c r="F12" s="71">
        <f>F10+F11</f>
        <v>500.19799999999998</v>
      </c>
      <c r="G12" s="71">
        <f>G10+G11</f>
        <v>606.02</v>
      </c>
      <c r="H12" s="71">
        <f>H10+H11</f>
        <v>500.06</v>
      </c>
      <c r="I12" s="29">
        <f>I10+I11</f>
        <v>509.52601099999947</v>
      </c>
      <c r="J12" s="29">
        <f>J10+J11</f>
        <v>538.86018194849305</v>
      </c>
      <c r="K12" s="29">
        <f>K10+K11</f>
        <v>568.87301558557124</v>
      </c>
      <c r="L12" s="29">
        <f>L10+L11</f>
        <v>595.26065709344687</v>
      </c>
      <c r="M12" s="29">
        <f>M10+M11</f>
        <v>616.97446876095069</v>
      </c>
      <c r="N12" s="9"/>
    </row>
    <row r="13" spans="2:14" x14ac:dyDescent="0.3">
      <c r="B13" s="18" t="s">
        <v>3</v>
      </c>
      <c r="C13" s="63"/>
      <c r="D13" s="63"/>
      <c r="E13" s="63"/>
      <c r="F13" s="63"/>
      <c r="G13" s="63"/>
      <c r="H13" s="63"/>
      <c r="I13" s="11"/>
      <c r="J13" s="11"/>
      <c r="K13" s="11"/>
      <c r="L13" s="11"/>
      <c r="M13" s="11"/>
      <c r="N13" s="9"/>
    </row>
    <row r="14" spans="2:14" x14ac:dyDescent="0.3">
      <c r="B14" s="16" t="s">
        <v>170</v>
      </c>
      <c r="C14" s="63"/>
      <c r="D14" s="72"/>
      <c r="E14" s="63"/>
      <c r="F14" s="63"/>
      <c r="G14" s="63"/>
      <c r="H14" s="63"/>
      <c r="I14" s="11"/>
      <c r="J14" s="11"/>
      <c r="K14" s="11"/>
      <c r="L14" s="11"/>
      <c r="M14" s="11"/>
      <c r="N14" s="9"/>
    </row>
    <row r="15" spans="2:14" ht="21.6" x14ac:dyDescent="0.3">
      <c r="B15" s="16" t="s">
        <v>164</v>
      </c>
      <c r="C15" s="63"/>
      <c r="D15" s="66">
        <f>D20/D18</f>
        <v>0.14647761953204477</v>
      </c>
      <c r="E15" s="66">
        <f>E20/E18</f>
        <v>0.1392594296228151</v>
      </c>
      <c r="F15" s="66">
        <f>F20/F18</f>
        <v>0.1453794480755265</v>
      </c>
      <c r="G15" s="66">
        <f>G20/G18</f>
        <v>0.1452602523659306</v>
      </c>
      <c r="H15" s="66">
        <f>H20/H18</f>
        <v>9.5362451639177351E-2</v>
      </c>
      <c r="I15" s="36">
        <f>I20/I18</f>
        <v>9.5171656587253045E-2</v>
      </c>
      <c r="J15" s="36">
        <f>J20/J18</f>
        <v>9.2629855599949337E-2</v>
      </c>
      <c r="K15" s="36">
        <f>K20/K18</f>
        <v>9.1838940916885312E-2</v>
      </c>
      <c r="L15" s="36">
        <f>L20/L18</f>
        <v>9.1233403180680114E-2</v>
      </c>
      <c r="M15" s="36">
        <f>M20/M18</f>
        <v>9.0767816220096248E-2</v>
      </c>
      <c r="N15" s="9"/>
    </row>
    <row r="16" spans="2:14" x14ac:dyDescent="0.3">
      <c r="B16" s="16" t="s">
        <v>165</v>
      </c>
      <c r="C16" s="63"/>
      <c r="D16" s="66">
        <f>D6</f>
        <v>8.6999999999999994E-2</v>
      </c>
      <c r="E16" s="66">
        <f>E6</f>
        <v>8.3000000000000004E-2</v>
      </c>
      <c r="F16" s="66">
        <f>F6</f>
        <v>8.4000000000000005E-2</v>
      </c>
      <c r="G16" s="66">
        <f>G6</f>
        <v>7.6999999999999999E-2</v>
      </c>
      <c r="H16" s="66">
        <f>H6</f>
        <v>7.6999999999999999E-2</v>
      </c>
      <c r="I16" s="36">
        <f>I6</f>
        <v>7.4999999999999997E-2</v>
      </c>
      <c r="J16" s="36">
        <f>J6</f>
        <v>7.4999999999999997E-2</v>
      </c>
      <c r="K16" s="36">
        <f>K6</f>
        <v>7.4999999999999997E-2</v>
      </c>
      <c r="L16" s="36">
        <f>L6</f>
        <v>7.4999999999999997E-2</v>
      </c>
      <c r="M16" s="36">
        <f>M6</f>
        <v>7.4999999999999997E-2</v>
      </c>
      <c r="N16" s="9"/>
    </row>
    <row r="17" spans="2:14" x14ac:dyDescent="0.3">
      <c r="B17" s="16" t="s">
        <v>166</v>
      </c>
      <c r="C17" s="63"/>
      <c r="D17" s="67">
        <f>D15-D16</f>
        <v>5.9477619532044779E-2</v>
      </c>
      <c r="E17" s="67">
        <f>E15-E16</f>
        <v>5.6259429622815091E-2</v>
      </c>
      <c r="F17" s="67">
        <f>F15-F16</f>
        <v>6.1379448075526491E-2</v>
      </c>
      <c r="G17" s="67">
        <f>G15-G16</f>
        <v>6.8260252365930599E-2</v>
      </c>
      <c r="H17" s="67">
        <f>H15-H16</f>
        <v>1.8362451639177352E-2</v>
      </c>
      <c r="I17" s="41">
        <f>I15-I16</f>
        <v>2.0171656587253048E-2</v>
      </c>
      <c r="J17" s="41">
        <f>J15-J16</f>
        <v>1.762985559994934E-2</v>
      </c>
      <c r="K17" s="41">
        <f>K15-K16</f>
        <v>1.6838940916885314E-2</v>
      </c>
      <c r="L17" s="41">
        <f>L15-L16</f>
        <v>1.6233403180680117E-2</v>
      </c>
      <c r="M17" s="41">
        <f>M15-M16</f>
        <v>1.5767816220096251E-2</v>
      </c>
      <c r="N17" s="9"/>
    </row>
    <row r="18" spans="2:14" x14ac:dyDescent="0.3">
      <c r="B18" s="16" t="s">
        <v>167</v>
      </c>
      <c r="C18" s="63"/>
      <c r="D18" s="60">
        <f>'NOPLAT and IC'!C39+'NOPLAT and IC'!C48+'NOPLAT and IC'!C40</f>
        <v>3932</v>
      </c>
      <c r="E18" s="60">
        <f>'NOPLAT and IC'!D39+'NOPLAT and IC'!D48+'NOPLAT and IC'!D40</f>
        <v>4348</v>
      </c>
      <c r="F18" s="60">
        <f>'NOPLAT and IC'!E39+'NOPLAT and IC'!E48+'NOPLAT and IC'!E40</f>
        <v>5508</v>
      </c>
      <c r="G18" s="60">
        <f>'NOPLAT and IC'!F39+'NOPLAT and IC'!F48+'NOPLAT and IC'!F40</f>
        <v>6340</v>
      </c>
      <c r="H18" s="60">
        <f>'NOPLAT and IC'!H39+'NOPLAT and IC'!H48+'NOPLAT and IC'!H40</f>
        <v>9822</v>
      </c>
      <c r="I18" s="21">
        <f>'NOPLAT and IC'!H39+'NOPLAT and IC'!H48+'NOPLAT and IC'!H40</f>
        <v>9822</v>
      </c>
      <c r="J18" s="21">
        <f>'NOPLAT and IC'!I39+'NOPLAT and IC'!I48+'NOPLAT and IC'!I40</f>
        <v>10868.505465753426</v>
      </c>
      <c r="K18" s="21">
        <f>'NOPLAT and IC'!J39+'NOPLAT and IC'!J48+'NOPLAT and IC'!J40</f>
        <v>11695.985903013699</v>
      </c>
      <c r="L18" s="21">
        <f>'NOPLAT and IC'!K39+'NOPLAT and IC'!K48+'NOPLAT and IC'!K40</f>
        <v>12450.294916224659</v>
      </c>
      <c r="M18" s="21">
        <f>'NOPLAT and IC'!L39+'NOPLAT and IC'!L48+'NOPLAT and IC'!L40</f>
        <v>13110.532611198138</v>
      </c>
      <c r="N18" s="40"/>
    </row>
    <row r="19" spans="2:14" x14ac:dyDescent="0.3">
      <c r="B19" s="17" t="s">
        <v>94</v>
      </c>
      <c r="C19" s="64"/>
      <c r="D19" s="61">
        <f>D18*D17</f>
        <v>233.86600000000007</v>
      </c>
      <c r="E19" s="61">
        <f>E18*E17</f>
        <v>244.61600000000001</v>
      </c>
      <c r="F19" s="61">
        <f>F18*F17</f>
        <v>338.07799999999992</v>
      </c>
      <c r="G19" s="61">
        <f>G18*G17</f>
        <v>432.77</v>
      </c>
      <c r="H19" s="61">
        <f>H18*H17</f>
        <v>180.35599999999994</v>
      </c>
      <c r="I19" s="22">
        <f>I18*I17</f>
        <v>198.12601099999944</v>
      </c>
      <c r="J19" s="22">
        <f>J18*J17</f>
        <v>191.61018194849305</v>
      </c>
      <c r="K19" s="22">
        <f>K18*K17</f>
        <v>196.94801558557123</v>
      </c>
      <c r="L19" s="22">
        <f>L18*L17</f>
        <v>202.11065709344686</v>
      </c>
      <c r="M19" s="22">
        <f>M18*M17</f>
        <v>206.72446876095086</v>
      </c>
      <c r="N19" s="9"/>
    </row>
    <row r="20" spans="2:14" x14ac:dyDescent="0.3">
      <c r="B20" s="16" t="s">
        <v>168</v>
      </c>
      <c r="C20" s="63"/>
      <c r="D20" s="60">
        <f>D10</f>
        <v>575.95000000000005</v>
      </c>
      <c r="E20" s="60">
        <f>E10</f>
        <v>605.5</v>
      </c>
      <c r="F20" s="60">
        <f>F10</f>
        <v>800.75</v>
      </c>
      <c r="G20" s="60">
        <f>G10</f>
        <v>920.95</v>
      </c>
      <c r="H20" s="60">
        <f>H10</f>
        <v>936.65</v>
      </c>
      <c r="I20" s="21">
        <f>I10</f>
        <v>934.77601099999947</v>
      </c>
      <c r="J20" s="21">
        <f>J10</f>
        <v>1006.7480918799999</v>
      </c>
      <c r="K20" s="21">
        <f>K10</f>
        <v>1074.1469583115986</v>
      </c>
      <c r="L20" s="21">
        <f>L10</f>
        <v>1135.8827758102962</v>
      </c>
      <c r="M20" s="21">
        <f>M10</f>
        <v>1190.0144146008111</v>
      </c>
      <c r="N20" s="9"/>
    </row>
    <row r="21" spans="2:14" x14ac:dyDescent="0.3">
      <c r="B21" s="16" t="s">
        <v>169</v>
      </c>
      <c r="C21" s="63"/>
      <c r="D21" s="60">
        <f>-D16*D18</f>
        <v>-342.084</v>
      </c>
      <c r="E21" s="60">
        <f>-E16*E18</f>
        <v>-360.88400000000001</v>
      </c>
      <c r="F21" s="60">
        <f>-F16*F18</f>
        <v>-462.67200000000003</v>
      </c>
      <c r="G21" s="60">
        <f>-G16*G18</f>
        <v>-488.18</v>
      </c>
      <c r="H21" s="60">
        <f>-H16*H18</f>
        <v>-756.29399999999998</v>
      </c>
      <c r="I21" s="21">
        <f>-I16*I18</f>
        <v>-736.65</v>
      </c>
      <c r="J21" s="21">
        <f>-J16*J18</f>
        <v>-815.1379099315069</v>
      </c>
      <c r="K21" s="21">
        <f>-K16*K18</f>
        <v>-877.19894272602744</v>
      </c>
      <c r="L21" s="21">
        <f>-L16*L18</f>
        <v>-933.77211871684938</v>
      </c>
      <c r="M21" s="21">
        <f>-M16*M18</f>
        <v>-983.28994583986025</v>
      </c>
      <c r="N21" s="9"/>
    </row>
    <row r="22" spans="2:14" x14ac:dyDescent="0.3">
      <c r="B22" s="17" t="s">
        <v>94</v>
      </c>
      <c r="C22" s="64"/>
      <c r="D22" s="61">
        <f>D20+D21</f>
        <v>233.86600000000004</v>
      </c>
      <c r="E22" s="61">
        <f>E20+E21</f>
        <v>244.61599999999999</v>
      </c>
      <c r="F22" s="61">
        <f>F20+F21</f>
        <v>338.07799999999997</v>
      </c>
      <c r="G22" s="61">
        <f>G20+G21</f>
        <v>432.77000000000004</v>
      </c>
      <c r="H22" s="61">
        <f>H20+H21</f>
        <v>180.35599999999999</v>
      </c>
      <c r="I22" s="22">
        <f>I20+I21</f>
        <v>198.12601099999949</v>
      </c>
      <c r="J22" s="22">
        <f>J20+J21</f>
        <v>191.61018194849305</v>
      </c>
      <c r="K22" s="22">
        <f>K20+K21</f>
        <v>196.94801558557117</v>
      </c>
      <c r="L22" s="22">
        <f>L20+L21</f>
        <v>202.11065709344678</v>
      </c>
      <c r="M22" s="22">
        <f>M20+M21</f>
        <v>206.7244687609508</v>
      </c>
      <c r="N22" s="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9.109375" defaultRowHeight="10.199999999999999" x14ac:dyDescent="0.2"/>
  <cols>
    <col min="1" max="1" width="1.5546875" style="9" customWidth="1"/>
    <col min="2" max="2" width="36.44140625" style="14" customWidth="1"/>
    <col min="3" max="3" width="8.88671875" style="9" customWidth="1"/>
    <col min="4" max="4" width="9.6640625" style="9" customWidth="1"/>
    <col min="5" max="8" width="10.33203125" style="9" bestFit="1" customWidth="1"/>
    <col min="9" max="9" width="8.5546875" style="9" customWidth="1"/>
    <col min="10" max="16384" width="9.109375" style="9"/>
  </cols>
  <sheetData>
    <row r="1" spans="2:13" ht="16.5" customHeight="1" x14ac:dyDescent="0.25">
      <c r="B1" s="35" t="s">
        <v>218</v>
      </c>
    </row>
    <row r="2" spans="2:13" ht="14.25" customHeight="1" x14ac:dyDescent="0.2">
      <c r="J2" s="111"/>
      <c r="K2" s="111"/>
    </row>
    <row r="3" spans="2:13" ht="10.5" customHeight="1" x14ac:dyDescent="0.2">
      <c r="B3" s="26" t="s">
        <v>217</v>
      </c>
    </row>
    <row r="4" spans="2:13" ht="21.75" customHeight="1" x14ac:dyDescent="0.2">
      <c r="B4" s="24"/>
      <c r="C4" s="25">
        <v>1998</v>
      </c>
      <c r="D4" s="25">
        <v>1999</v>
      </c>
      <c r="E4" s="25">
        <v>2000</v>
      </c>
      <c r="F4" s="25">
        <v>2001</v>
      </c>
      <c r="G4" s="25">
        <v>2002</v>
      </c>
      <c r="H4" s="25">
        <v>2003</v>
      </c>
      <c r="I4" s="25">
        <v>2004</v>
      </c>
      <c r="J4" s="25">
        <v>2005</v>
      </c>
      <c r="K4" s="25">
        <v>2006</v>
      </c>
      <c r="L4" s="25">
        <v>2007</v>
      </c>
      <c r="M4" s="25">
        <v>2008</v>
      </c>
    </row>
    <row r="5" spans="2:13" x14ac:dyDescent="0.2">
      <c r="B5" s="16" t="s">
        <v>95</v>
      </c>
      <c r="C5" s="56">
        <v>5453</v>
      </c>
      <c r="D5" s="56">
        <v>6164</v>
      </c>
      <c r="E5" s="56">
        <v>7014</v>
      </c>
      <c r="F5" s="56">
        <v>7937</v>
      </c>
      <c r="G5" s="56">
        <v>9011</v>
      </c>
      <c r="H5" s="56">
        <v>9255</v>
      </c>
      <c r="I5" s="52">
        <f>H5*(1+Assumptions!H13/100)</f>
        <v>10180.5</v>
      </c>
      <c r="J5" s="52">
        <f>I5*(1+Assumptions!I13/100)</f>
        <v>10994.94</v>
      </c>
      <c r="K5" s="52">
        <f>J5*(1+Assumptions!J13/100)</f>
        <v>11764.585800000001</v>
      </c>
      <c r="L5" s="52">
        <f>K5*(1+Assumptions!K13/100)</f>
        <v>12470.460948000002</v>
      </c>
      <c r="M5" s="52">
        <f>L5*(1+Assumptions!L13/100)</f>
        <v>13093.983995400002</v>
      </c>
    </row>
    <row r="6" spans="2:13" x14ac:dyDescent="0.2">
      <c r="B6" s="16" t="s">
        <v>96</v>
      </c>
      <c r="C6" s="56">
        <v>-2593</v>
      </c>
      <c r="D6" s="56">
        <v>-2890</v>
      </c>
      <c r="E6" s="56">
        <v>-3246</v>
      </c>
      <c r="F6" s="56">
        <v>-3645</v>
      </c>
      <c r="G6" s="56">
        <v>-4011</v>
      </c>
      <c r="H6" s="56">
        <v>-4461</v>
      </c>
      <c r="I6" s="53">
        <f>-I5*Assumptions!H15/100</f>
        <v>-4978.2645000000002</v>
      </c>
      <c r="J6" s="53">
        <f>-J5*Assumptions!I15/100</f>
        <v>-5376.5256600000002</v>
      </c>
      <c r="K6" s="53">
        <f>-K5*Assumptions!J15/100</f>
        <v>-5752.8824562000009</v>
      </c>
      <c r="L6" s="53">
        <f>-L5*Assumptions!K15/100</f>
        <v>-6098.0554035720006</v>
      </c>
      <c r="M6" s="53">
        <f>-M5*Assumptions!L15/100</f>
        <v>-6402.9581737506005</v>
      </c>
    </row>
    <row r="7" spans="2:13" x14ac:dyDescent="0.2">
      <c r="B7" s="16" t="s">
        <v>97</v>
      </c>
      <c r="C7" s="56">
        <v>-790</v>
      </c>
      <c r="D7" s="56">
        <v>-964</v>
      </c>
      <c r="E7" s="56">
        <v>-1107</v>
      </c>
      <c r="F7" s="56">
        <v>-1281</v>
      </c>
      <c r="G7" s="56">
        <v>-1585</v>
      </c>
      <c r="H7" s="56">
        <v>-1131</v>
      </c>
      <c r="I7" s="53">
        <f>-I5*Assumptions!H16/100</f>
        <v>-1303.104</v>
      </c>
      <c r="J7" s="53">
        <f>-J5*Assumptions!I16/100</f>
        <v>-1407.3523200000002</v>
      </c>
      <c r="K7" s="53">
        <f>-K5*Assumptions!J16/100</f>
        <v>-1505.8669824000003</v>
      </c>
      <c r="L7" s="53">
        <f>-L5*Assumptions!K16/100</f>
        <v>-1596.2190013440004</v>
      </c>
      <c r="M7" s="53">
        <f>-M5*Assumptions!L16/100</f>
        <v>-1676.0299514112005</v>
      </c>
    </row>
    <row r="8" spans="2:13" x14ac:dyDescent="0.2">
      <c r="B8" s="16" t="s">
        <v>98</v>
      </c>
      <c r="C8" s="56">
        <v>-1042</v>
      </c>
      <c r="D8" s="56">
        <v>-1132</v>
      </c>
      <c r="E8" s="56">
        <v>-1301</v>
      </c>
      <c r="F8" s="56">
        <v>-1417</v>
      </c>
      <c r="G8" s="56">
        <v>-1642</v>
      </c>
      <c r="H8" s="56">
        <v>-1832</v>
      </c>
      <c r="I8" s="53">
        <f>-I5*Assumptions!H17/100</f>
        <v>-2015.739</v>
      </c>
      <c r="J8" s="53">
        <f>-J5*Assumptions!I17/100</f>
        <v>-2176.9981200000002</v>
      </c>
      <c r="K8" s="53">
        <f>-K5*Assumptions!J17/100</f>
        <v>-2329.3879884000003</v>
      </c>
      <c r="L8" s="53">
        <f>-L5*Assumptions!K17/100</f>
        <v>-2469.1512677040005</v>
      </c>
      <c r="M8" s="53">
        <f>-M5*Assumptions!L17/100</f>
        <v>-2592.6088310892005</v>
      </c>
    </row>
    <row r="9" spans="2:13" x14ac:dyDescent="0.2">
      <c r="B9" s="17" t="s">
        <v>6</v>
      </c>
      <c r="C9" s="57">
        <f>SUM(C5:C8)</f>
        <v>1028</v>
      </c>
      <c r="D9" s="57">
        <f>SUM(D5:D8)</f>
        <v>1178</v>
      </c>
      <c r="E9" s="57">
        <f>SUM(E5:E8)</f>
        <v>1360</v>
      </c>
      <c r="F9" s="57">
        <f>SUM(F5:F8)</f>
        <v>1594</v>
      </c>
      <c r="G9" s="57">
        <f>SUM(G5:G8)</f>
        <v>1773</v>
      </c>
      <c r="H9" s="57">
        <f>SUM(H5:H8)</f>
        <v>1831</v>
      </c>
      <c r="I9" s="31">
        <f>SUM(I5:I8)</f>
        <v>1883.3924999999995</v>
      </c>
      <c r="J9" s="31">
        <f>SUM(J5:J8)</f>
        <v>2034.0639000000001</v>
      </c>
      <c r="K9" s="31">
        <f>SUM(K5:K8)</f>
        <v>2176.4483729999988</v>
      </c>
      <c r="L9" s="31">
        <f>SUM(L5:L8)</f>
        <v>2307.0352753800003</v>
      </c>
      <c r="M9" s="31">
        <f>SUM(M5:M8)</f>
        <v>2422.3870391490004</v>
      </c>
    </row>
    <row r="10" spans="2:13" x14ac:dyDescent="0.2">
      <c r="B10" s="16" t="s">
        <v>4</v>
      </c>
      <c r="C10" s="56">
        <v>-369</v>
      </c>
      <c r="D10" s="56">
        <v>-379</v>
      </c>
      <c r="E10" s="56">
        <v>-439</v>
      </c>
      <c r="F10" s="56">
        <v>-469</v>
      </c>
      <c r="G10" s="56">
        <v>-491</v>
      </c>
      <c r="H10" s="56">
        <v>-578</v>
      </c>
      <c r="I10" s="30">
        <f>-I42*Assumptions!H18/100</f>
        <v>-628.11648900000012</v>
      </c>
      <c r="J10" s="30">
        <f>-J42*Assumptions!I18/100</f>
        <v>-678.36580812000011</v>
      </c>
      <c r="K10" s="30">
        <f>-K42*Assumptions!J18/100</f>
        <v>-725.85141468840015</v>
      </c>
      <c r="L10" s="30">
        <f>-L42*Assumptions!K18/100</f>
        <v>-769.4024995697041</v>
      </c>
      <c r="M10" s="30">
        <f>-M42*Assumptions!L18/100</f>
        <v>-807.87262454818938</v>
      </c>
    </row>
    <row r="11" spans="2:13" x14ac:dyDescent="0.2">
      <c r="B11" s="17" t="s">
        <v>212</v>
      </c>
      <c r="C11" s="57">
        <f>SUM(C9:C10)</f>
        <v>659</v>
      </c>
      <c r="D11" s="57">
        <f>SUM(D9:D10)</f>
        <v>799</v>
      </c>
      <c r="E11" s="57">
        <f>SUM(E9:E10)</f>
        <v>921</v>
      </c>
      <c r="F11" s="57">
        <f>SUM(F9:F10)</f>
        <v>1125</v>
      </c>
      <c r="G11" s="57">
        <f>SUM(G9:G10)</f>
        <v>1282</v>
      </c>
      <c r="H11" s="57">
        <f>SUM(H9:H10)</f>
        <v>1253</v>
      </c>
      <c r="I11" s="31">
        <f>SUM(I9:I10)</f>
        <v>1255.2760109999995</v>
      </c>
      <c r="J11" s="31">
        <f>SUM(J9:J10)</f>
        <v>1355.69809188</v>
      </c>
      <c r="K11" s="31">
        <f>SUM(K9:K10)</f>
        <v>1450.5969583115987</v>
      </c>
      <c r="L11" s="31">
        <f>SUM(L9:L10)</f>
        <v>1537.6327758102962</v>
      </c>
      <c r="M11" s="31">
        <f>SUM(M9:M10)</f>
        <v>1614.5144146008111</v>
      </c>
    </row>
    <row r="12" spans="2:13" x14ac:dyDescent="0.2">
      <c r="B12" s="16" t="s">
        <v>5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-31</v>
      </c>
      <c r="I12" s="12">
        <f>-Assumptions!H32</f>
        <v>-55</v>
      </c>
      <c r="J12" s="12">
        <f>-Assumptions!I32</f>
        <v>-79</v>
      </c>
      <c r="K12" s="12">
        <f>-Assumptions!J32</f>
        <v>-95</v>
      </c>
      <c r="L12" s="12">
        <f>-Assumptions!K32</f>
        <v>-109</v>
      </c>
      <c r="M12" s="12">
        <f>-Assumptions!L32</f>
        <v>-121</v>
      </c>
    </row>
    <row r="13" spans="2:13" x14ac:dyDescent="0.2">
      <c r="B13" s="17" t="s">
        <v>213</v>
      </c>
      <c r="C13" s="57">
        <f>SUM(C11:C12)</f>
        <v>659</v>
      </c>
      <c r="D13" s="57">
        <f>SUM(D11:D12)</f>
        <v>799</v>
      </c>
      <c r="E13" s="57">
        <f>SUM(E11:E12)</f>
        <v>921</v>
      </c>
      <c r="F13" s="57">
        <f>SUM(F11:F12)</f>
        <v>1125</v>
      </c>
      <c r="G13" s="57">
        <f>SUM(G11:G12)</f>
        <v>1282</v>
      </c>
      <c r="H13" s="57">
        <f>SUM(H11:H12)</f>
        <v>1222</v>
      </c>
      <c r="I13" s="31">
        <f>SUM(I11:I12)</f>
        <v>1200.2760109999995</v>
      </c>
      <c r="J13" s="31">
        <f>SUM(J11:J12)</f>
        <v>1276.69809188</v>
      </c>
      <c r="K13" s="31">
        <f>SUM(K11:K12)</f>
        <v>1355.5969583115987</v>
      </c>
      <c r="L13" s="31">
        <f>SUM(L11:L12)</f>
        <v>1428.6327758102962</v>
      </c>
      <c r="M13" s="31">
        <f>SUM(M11:M12)</f>
        <v>1493.5144146008111</v>
      </c>
    </row>
    <row r="14" spans="2:13" x14ac:dyDescent="0.2">
      <c r="B14" s="16" t="s">
        <v>99</v>
      </c>
      <c r="C14" s="56">
        <v>-53</v>
      </c>
      <c r="D14" s="56">
        <v>-80</v>
      </c>
      <c r="E14" s="56">
        <v>-109</v>
      </c>
      <c r="F14" s="56">
        <v>-118</v>
      </c>
      <c r="G14" s="56">
        <v>-146</v>
      </c>
      <c r="H14" s="56">
        <v>-180</v>
      </c>
      <c r="I14" s="12">
        <v>-173</v>
      </c>
      <c r="J14" s="12">
        <v>-96</v>
      </c>
      <c r="K14" s="12">
        <v>-66</v>
      </c>
      <c r="L14" s="12">
        <v>-44</v>
      </c>
      <c r="M14" s="12">
        <v>-29</v>
      </c>
    </row>
    <row r="15" spans="2:13" x14ac:dyDescent="0.2">
      <c r="B15" s="16" t="s">
        <v>100</v>
      </c>
      <c r="C15" s="56">
        <v>42</v>
      </c>
      <c r="D15" s="56">
        <v>39</v>
      </c>
      <c r="E15" s="56">
        <v>43</v>
      </c>
      <c r="F15" s="56">
        <v>47</v>
      </c>
      <c r="G15" s="56">
        <v>37</v>
      </c>
      <c r="H15" s="56">
        <v>40</v>
      </c>
      <c r="I15" s="12">
        <v>24</v>
      </c>
      <c r="J15" s="12">
        <v>0</v>
      </c>
      <c r="K15" s="12">
        <v>0</v>
      </c>
      <c r="L15" s="12">
        <v>0</v>
      </c>
      <c r="M15" s="12">
        <v>0</v>
      </c>
    </row>
    <row r="16" spans="2:13" x14ac:dyDescent="0.2">
      <c r="B16" s="17" t="s">
        <v>214</v>
      </c>
      <c r="C16" s="57">
        <f>SUM(C13:C15)</f>
        <v>648</v>
      </c>
      <c r="D16" s="57">
        <f>SUM(D13:D15)</f>
        <v>758</v>
      </c>
      <c r="E16" s="57">
        <f>SUM(E13:E15)</f>
        <v>855</v>
      </c>
      <c r="F16" s="57">
        <f>SUM(F13:F15)</f>
        <v>1054</v>
      </c>
      <c r="G16" s="57">
        <f>SUM(G13:G15)</f>
        <v>1173</v>
      </c>
      <c r="H16" s="57">
        <f>SUM(H13:H15)</f>
        <v>1082</v>
      </c>
      <c r="I16" s="31">
        <f>SUM(I13:I15)</f>
        <v>1051.2760109999995</v>
      </c>
      <c r="J16" s="31">
        <f>SUM(J13:J15)</f>
        <v>1180.69809188</v>
      </c>
      <c r="K16" s="31">
        <f>SUM(K13:K15)</f>
        <v>1289.5969583115987</v>
      </c>
      <c r="L16" s="31">
        <f>SUM(L13:L15)</f>
        <v>1384.6327758102962</v>
      </c>
      <c r="M16" s="31">
        <f>SUM(M13:M15)</f>
        <v>1464.5144146008111</v>
      </c>
    </row>
    <row r="17" spans="2:15" x14ac:dyDescent="0.2">
      <c r="B17" s="16" t="s">
        <v>101</v>
      </c>
      <c r="C17" s="56">
        <v>-235</v>
      </c>
      <c r="D17" s="56">
        <v>-265</v>
      </c>
      <c r="E17" s="56">
        <v>-277</v>
      </c>
      <c r="F17" s="56">
        <v>-327</v>
      </c>
      <c r="G17" s="56">
        <v>-364</v>
      </c>
      <c r="H17" s="56">
        <v>-319</v>
      </c>
      <c r="I17" s="12">
        <v>-307</v>
      </c>
      <c r="J17" s="12">
        <v>-354</v>
      </c>
      <c r="K17" s="12">
        <v>-391</v>
      </c>
      <c r="L17" s="12">
        <v>-424</v>
      </c>
      <c r="M17" s="12">
        <v>-451</v>
      </c>
    </row>
    <row r="18" spans="2:15" ht="20.399999999999999" x14ac:dyDescent="0.2">
      <c r="B18" s="16" t="s">
        <v>215</v>
      </c>
      <c r="C18" s="56">
        <v>44</v>
      </c>
      <c r="D18" s="56">
        <v>51</v>
      </c>
      <c r="E18" s="56">
        <v>59</v>
      </c>
      <c r="F18" s="56">
        <v>45</v>
      </c>
      <c r="G18" s="56">
        <v>48</v>
      </c>
      <c r="H18" s="56">
        <v>101</v>
      </c>
      <c r="I18" s="12">
        <v>31</v>
      </c>
      <c r="J18" s="12">
        <v>33</v>
      </c>
      <c r="K18" s="12">
        <v>36</v>
      </c>
      <c r="L18" s="12">
        <v>38</v>
      </c>
      <c r="M18" s="12">
        <v>40</v>
      </c>
    </row>
    <row r="19" spans="2:15" x14ac:dyDescent="0.2">
      <c r="B19" s="16" t="s">
        <v>102</v>
      </c>
      <c r="C19" s="56">
        <v>-12</v>
      </c>
      <c r="D19" s="56">
        <v>-28</v>
      </c>
      <c r="E19" s="56">
        <v>-16</v>
      </c>
      <c r="F19" s="56">
        <v>-57</v>
      </c>
      <c r="G19" s="56">
        <v>-62</v>
      </c>
      <c r="H19" s="56">
        <v>-66</v>
      </c>
      <c r="I19" s="12">
        <v>-63</v>
      </c>
      <c r="J19" s="12">
        <v>-69</v>
      </c>
      <c r="K19" s="12">
        <v>-75</v>
      </c>
      <c r="L19" s="12">
        <v>-80</v>
      </c>
      <c r="M19" s="12">
        <v>-84</v>
      </c>
    </row>
    <row r="20" spans="2:15" x14ac:dyDescent="0.2">
      <c r="B20" s="17" t="s">
        <v>7</v>
      </c>
      <c r="C20" s="57">
        <f>SUM(C16:C19)</f>
        <v>445</v>
      </c>
      <c r="D20" s="57">
        <f>SUM(D16:D19)</f>
        <v>516</v>
      </c>
      <c r="E20" s="57">
        <f>SUM(E16:E19)</f>
        <v>621</v>
      </c>
      <c r="F20" s="57">
        <f>SUM(F16:F19)</f>
        <v>715</v>
      </c>
      <c r="G20" s="57">
        <f>SUM(G16:G19)</f>
        <v>795</v>
      </c>
      <c r="H20" s="57">
        <f>SUM(H16:H19)</f>
        <v>798</v>
      </c>
      <c r="I20" s="31">
        <f>SUM(I16:I19)</f>
        <v>712.27601099999947</v>
      </c>
      <c r="J20" s="31">
        <f>SUM(J16:J19)</f>
        <v>790.69809187999999</v>
      </c>
      <c r="K20" s="31">
        <f>SUM(K16:K19)</f>
        <v>859.59695831159866</v>
      </c>
      <c r="L20" s="31">
        <f>SUM(L16:L19)</f>
        <v>918.63277581029615</v>
      </c>
      <c r="M20" s="31">
        <f>SUM(M16:M19)</f>
        <v>969.51441460081105</v>
      </c>
    </row>
    <row r="21" spans="2:15" x14ac:dyDescent="0.2">
      <c r="B21" s="16" t="s">
        <v>103</v>
      </c>
      <c r="C21" s="56">
        <v>0</v>
      </c>
      <c r="D21" s="56">
        <v>0</v>
      </c>
      <c r="E21" s="56">
        <v>0</v>
      </c>
      <c r="F21" s="56">
        <v>52</v>
      </c>
      <c r="G21" s="56">
        <v>0</v>
      </c>
      <c r="H21" s="56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</row>
    <row r="22" spans="2:15" ht="14.4" x14ac:dyDescent="0.3">
      <c r="B22" s="17" t="s">
        <v>8</v>
      </c>
      <c r="C22" s="57">
        <f>SUM(C20:C21)</f>
        <v>445</v>
      </c>
      <c r="D22" s="57">
        <f>SUM(D20:D21)</f>
        <v>516</v>
      </c>
      <c r="E22" s="57">
        <f>SUM(E20:E21)</f>
        <v>621</v>
      </c>
      <c r="F22" s="57">
        <f>SUM(F20:F21)</f>
        <v>767</v>
      </c>
      <c r="G22" s="57">
        <f>SUM(G20:G21)</f>
        <v>795</v>
      </c>
      <c r="H22" s="57">
        <f>SUM(H20:H21)</f>
        <v>798</v>
      </c>
      <c r="I22" s="31">
        <f>SUM(I20:I21)</f>
        <v>712.27601099999947</v>
      </c>
      <c r="J22" s="31">
        <f>SUM(J20:J21)</f>
        <v>790.69809187999999</v>
      </c>
      <c r="K22" s="31">
        <f>SUM(K20:K21)</f>
        <v>859.59695831159866</v>
      </c>
      <c r="L22" s="31">
        <f>SUM(L20:L21)</f>
        <v>918.63277581029615</v>
      </c>
      <c r="M22" s="31">
        <f>SUM(M20:M21)</f>
        <v>969.51441460081105</v>
      </c>
      <c r="N22" s="2"/>
      <c r="O22" s="2"/>
    </row>
    <row r="23" spans="2:15" ht="14.4" x14ac:dyDescent="0.3">
      <c r="B23" s="18" t="s">
        <v>3</v>
      </c>
      <c r="C23" s="58"/>
      <c r="D23" s="58"/>
      <c r="E23" s="58"/>
      <c r="F23" s="58"/>
      <c r="G23" s="58"/>
      <c r="H23" s="58"/>
      <c r="I23" s="12"/>
      <c r="J23" s="12"/>
      <c r="K23" s="54"/>
      <c r="L23" s="54"/>
      <c r="M23" s="55"/>
      <c r="N23" s="1"/>
      <c r="O23" s="1"/>
    </row>
    <row r="24" spans="2:15" x14ac:dyDescent="0.2">
      <c r="B24" s="16" t="s">
        <v>104</v>
      </c>
      <c r="C24" s="58"/>
      <c r="D24" s="58"/>
      <c r="E24" s="58"/>
      <c r="F24" s="58"/>
      <c r="G24" s="58"/>
      <c r="H24" s="58"/>
      <c r="I24" s="32"/>
      <c r="J24" s="32"/>
      <c r="K24" s="32"/>
      <c r="L24" s="32"/>
      <c r="M24" s="32"/>
    </row>
    <row r="25" spans="2:15" x14ac:dyDescent="0.2">
      <c r="B25" s="16" t="s">
        <v>105</v>
      </c>
      <c r="C25" s="56">
        <v>2316</v>
      </c>
      <c r="D25" s="56">
        <f>C32</f>
        <v>2299</v>
      </c>
      <c r="E25" s="56">
        <f>D32</f>
        <v>2619</v>
      </c>
      <c r="F25" s="56">
        <f>E32</f>
        <v>2397</v>
      </c>
      <c r="G25" s="56">
        <f>F32</f>
        <v>2759</v>
      </c>
      <c r="H25" s="56">
        <f>G32</f>
        <v>2544</v>
      </c>
      <c r="I25" s="30">
        <f>H32</f>
        <v>3168</v>
      </c>
      <c r="J25" s="30">
        <f>I32</f>
        <v>3723.2760109999995</v>
      </c>
      <c r="K25" s="30">
        <f>J32</f>
        <v>4356.9741028799999</v>
      </c>
      <c r="L25" s="30">
        <f>K32</f>
        <v>5059.5710611915983</v>
      </c>
      <c r="M25" s="30">
        <f>L32</f>
        <v>5821.2038370018945</v>
      </c>
    </row>
    <row r="26" spans="2:15" x14ac:dyDescent="0.2">
      <c r="B26" s="16" t="s">
        <v>106</v>
      </c>
      <c r="C26" s="56">
        <v>0</v>
      </c>
      <c r="D26" s="56">
        <v>0</v>
      </c>
      <c r="E26" s="56">
        <v>0</v>
      </c>
      <c r="F26" s="56">
        <v>0</v>
      </c>
      <c r="G26" s="56">
        <v>-107</v>
      </c>
      <c r="H26" s="56">
        <v>-152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</row>
    <row r="27" spans="2:15" x14ac:dyDescent="0.2">
      <c r="B27" s="16" t="s">
        <v>107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94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</row>
    <row r="28" spans="2:15" x14ac:dyDescent="0.2">
      <c r="B28" s="16" t="s">
        <v>108</v>
      </c>
      <c r="C28" s="56">
        <v>-69</v>
      </c>
      <c r="D28" s="56">
        <v>35</v>
      </c>
      <c r="E28" s="56">
        <v>60</v>
      </c>
      <c r="F28" s="56">
        <v>72</v>
      </c>
      <c r="G28" s="56">
        <v>32</v>
      </c>
      <c r="H28" s="56">
        <v>41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</row>
    <row r="29" spans="2:15" x14ac:dyDescent="0.2">
      <c r="B29" s="16" t="s">
        <v>109</v>
      </c>
      <c r="C29" s="56">
        <v>-278</v>
      </c>
      <c r="D29" s="56">
        <v>-106</v>
      </c>
      <c r="E29" s="56">
        <v>-778</v>
      </c>
      <c r="F29" s="56">
        <v>-320</v>
      </c>
      <c r="G29" s="56">
        <v>-778</v>
      </c>
      <c r="H29" s="56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</row>
    <row r="30" spans="2:15" x14ac:dyDescent="0.2">
      <c r="B30" s="17" t="s">
        <v>216</v>
      </c>
      <c r="C30" s="57">
        <f>C22</f>
        <v>445</v>
      </c>
      <c r="D30" s="57">
        <f>D22</f>
        <v>516</v>
      </c>
      <c r="E30" s="57">
        <f>E22</f>
        <v>621</v>
      </c>
      <c r="F30" s="57">
        <f>F22</f>
        <v>767</v>
      </c>
      <c r="G30" s="57">
        <f>G22</f>
        <v>795</v>
      </c>
      <c r="H30" s="57">
        <f>H22</f>
        <v>798</v>
      </c>
      <c r="I30" s="31">
        <f>I22</f>
        <v>712.27601099999947</v>
      </c>
      <c r="J30" s="31">
        <f>J22</f>
        <v>790.69809187999999</v>
      </c>
      <c r="K30" s="31">
        <f>K22</f>
        <v>859.59695831159866</v>
      </c>
      <c r="L30" s="31">
        <f>L22</f>
        <v>918.63277581029615</v>
      </c>
      <c r="M30" s="31">
        <f>M22</f>
        <v>969.51441460081105</v>
      </c>
    </row>
    <row r="31" spans="2:15" x14ac:dyDescent="0.2">
      <c r="B31" s="16" t="s">
        <v>110</v>
      </c>
      <c r="C31" s="56">
        <v>-115</v>
      </c>
      <c r="D31" s="56">
        <v>-125</v>
      </c>
      <c r="E31" s="56">
        <v>-125</v>
      </c>
      <c r="F31" s="56">
        <v>-157</v>
      </c>
      <c r="G31" s="56">
        <v>-157</v>
      </c>
      <c r="H31" s="56">
        <v>-157</v>
      </c>
      <c r="I31" s="30">
        <f>H31</f>
        <v>-157</v>
      </c>
      <c r="J31" s="30">
        <f>I31</f>
        <v>-157</v>
      </c>
      <c r="K31" s="30">
        <f>J31</f>
        <v>-157</v>
      </c>
      <c r="L31" s="30">
        <f>K31</f>
        <v>-157</v>
      </c>
      <c r="M31" s="30">
        <f>L31</f>
        <v>-157</v>
      </c>
    </row>
    <row r="32" spans="2:15" x14ac:dyDescent="0.2">
      <c r="B32" s="16" t="s">
        <v>9</v>
      </c>
      <c r="C32" s="56">
        <f>SUM(C25:C31)</f>
        <v>2299</v>
      </c>
      <c r="D32" s="56">
        <f>SUM(D25:D31)</f>
        <v>2619</v>
      </c>
      <c r="E32" s="56">
        <f>SUM(E25:E31)</f>
        <v>2397</v>
      </c>
      <c r="F32" s="56">
        <f>SUM(F25:F31)</f>
        <v>2759</v>
      </c>
      <c r="G32" s="56">
        <f>SUM(G25:G31)</f>
        <v>2544</v>
      </c>
      <c r="H32" s="56">
        <f>SUM(H25:H31)</f>
        <v>3168</v>
      </c>
      <c r="I32" s="30">
        <f>SUM(I25:I31)</f>
        <v>3723.2760109999995</v>
      </c>
      <c r="J32" s="30">
        <f>SUM(J25:J31)</f>
        <v>4356.9741028799999</v>
      </c>
      <c r="K32" s="30">
        <f>SUM(K25:K31)</f>
        <v>5059.5710611915983</v>
      </c>
      <c r="L32" s="30">
        <f>SUM(L25:L31)</f>
        <v>5821.2038370018945</v>
      </c>
      <c r="M32" s="30">
        <f>SUM(M25:M31)</f>
        <v>6633.718251602706</v>
      </c>
    </row>
    <row r="33" spans="2:21" x14ac:dyDescent="0.2">
      <c r="C33" s="40"/>
    </row>
    <row r="34" spans="2:21" x14ac:dyDescent="0.2">
      <c r="B34" s="26" t="s">
        <v>219</v>
      </c>
    </row>
    <row r="35" spans="2:21" x14ac:dyDescent="0.2">
      <c r="B35" s="24"/>
      <c r="C35" s="25">
        <v>1998</v>
      </c>
      <c r="D35" s="25">
        <v>1999</v>
      </c>
      <c r="E35" s="25">
        <v>2000</v>
      </c>
      <c r="F35" s="25">
        <v>2001</v>
      </c>
      <c r="G35" s="25">
        <v>2002</v>
      </c>
      <c r="H35" s="25">
        <v>2003</v>
      </c>
      <c r="I35" s="25">
        <v>2004</v>
      </c>
      <c r="J35" s="25">
        <v>2005</v>
      </c>
      <c r="K35" s="25">
        <v>2006</v>
      </c>
      <c r="L35" s="25">
        <v>2007</v>
      </c>
      <c r="M35" s="25">
        <v>2008</v>
      </c>
    </row>
    <row r="36" spans="2:21" x14ac:dyDescent="0.2">
      <c r="B36" s="16" t="s">
        <v>111</v>
      </c>
      <c r="C36" s="59">
        <v>109</v>
      </c>
      <c r="D36" s="59">
        <v>123</v>
      </c>
      <c r="E36" s="59">
        <v>140</v>
      </c>
      <c r="F36" s="59">
        <v>159</v>
      </c>
      <c r="G36" s="59">
        <v>180</v>
      </c>
      <c r="H36" s="59">
        <v>185</v>
      </c>
      <c r="I36" s="9">
        <v>204</v>
      </c>
      <c r="J36" s="9">
        <v>220</v>
      </c>
      <c r="K36" s="9">
        <v>235</v>
      </c>
      <c r="L36" s="9">
        <v>249</v>
      </c>
      <c r="M36" s="9">
        <v>262</v>
      </c>
    </row>
    <row r="37" spans="2:21" x14ac:dyDescent="0.2">
      <c r="B37" s="16" t="s">
        <v>112</v>
      </c>
      <c r="C37" s="59">
        <v>839</v>
      </c>
      <c r="D37" s="60">
        <v>1084</v>
      </c>
      <c r="E37" s="59">
        <v>684</v>
      </c>
      <c r="F37" s="60">
        <v>1016</v>
      </c>
      <c r="G37" s="59">
        <v>598</v>
      </c>
      <c r="H37" s="60">
        <v>1231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</row>
    <row r="38" spans="2:21" x14ac:dyDescent="0.2">
      <c r="B38" s="16" t="s">
        <v>113</v>
      </c>
      <c r="C38" s="59">
        <v>667</v>
      </c>
      <c r="D38" s="59">
        <v>746</v>
      </c>
      <c r="E38" s="59">
        <v>858</v>
      </c>
      <c r="F38" s="59">
        <v>985</v>
      </c>
      <c r="G38" s="60">
        <v>1066</v>
      </c>
      <c r="H38" s="60">
        <v>1205</v>
      </c>
      <c r="I38" s="34">
        <f>I5/365*Assumptions!H39</f>
        <v>1324.8595890410959</v>
      </c>
      <c r="J38" s="34">
        <f>J5/365*Assumptions!I39</f>
        <v>1430.8483561643836</v>
      </c>
      <c r="K38" s="34">
        <f>K5/365*Assumptions!J39</f>
        <v>1531.0077410958907</v>
      </c>
      <c r="L38" s="34">
        <f>L5/365*Assumptions!K39</f>
        <v>1622.8682055616441</v>
      </c>
      <c r="M38" s="34">
        <f>M5/365*Assumptions!L39</f>
        <v>1704.0116158397263</v>
      </c>
    </row>
    <row r="39" spans="2:21" x14ac:dyDescent="0.2">
      <c r="B39" s="16" t="s">
        <v>114</v>
      </c>
      <c r="C39" s="59">
        <v>452</v>
      </c>
      <c r="D39" s="59">
        <v>490</v>
      </c>
      <c r="E39" s="59">
        <v>550</v>
      </c>
      <c r="F39" s="59">
        <v>692</v>
      </c>
      <c r="G39" s="59">
        <v>765</v>
      </c>
      <c r="H39" s="59">
        <v>834</v>
      </c>
      <c r="I39" s="34">
        <f>(I5)/365*Assumptions!H40</f>
        <v>917.63958904109586</v>
      </c>
      <c r="J39" s="34">
        <f>(J5)/365*Assumptions!I40</f>
        <v>991.05075616438353</v>
      </c>
      <c r="K39" s="34">
        <f>(K5)/365*Assumptions!J40</f>
        <v>1060.4243090958905</v>
      </c>
      <c r="L39" s="34">
        <f>(L5)/365*Assumptions!K40</f>
        <v>1124.0497676416439</v>
      </c>
      <c r="M39" s="34">
        <f>(M5)/365*Assumptions!L40</f>
        <v>1180.2522560237262</v>
      </c>
    </row>
    <row r="40" spans="2:21" x14ac:dyDescent="0.2">
      <c r="B40" s="16" t="s">
        <v>115</v>
      </c>
      <c r="C40" s="59">
        <v>108</v>
      </c>
      <c r="D40" s="59">
        <v>157</v>
      </c>
      <c r="E40" s="59">
        <v>166</v>
      </c>
      <c r="F40" s="59">
        <v>207</v>
      </c>
      <c r="G40" s="59">
        <v>204</v>
      </c>
      <c r="H40" s="59">
        <v>174</v>
      </c>
      <c r="I40" s="34">
        <f>(I5)/365*Assumptions!H41</f>
        <v>192.45328767123289</v>
      </c>
      <c r="J40" s="34">
        <f>(J5)/365*Assumptions!I41</f>
        <v>207.84955068493153</v>
      </c>
      <c r="K40" s="34">
        <f>(K5)/365*Assumptions!J41</f>
        <v>222.39901923287675</v>
      </c>
      <c r="L40" s="34">
        <f>(L5)/365*Assumptions!K41</f>
        <v>235.74296038684938</v>
      </c>
      <c r="M40" s="34">
        <f>(M5)/365*Assumptions!L41</f>
        <v>247.53010840619186</v>
      </c>
    </row>
    <row r="41" spans="2:21" x14ac:dyDescent="0.2">
      <c r="B41" s="17" t="s">
        <v>116</v>
      </c>
      <c r="C41" s="61">
        <f>SUM(C36:C40)</f>
        <v>2175</v>
      </c>
      <c r="D41" s="61">
        <f>SUM(D36:D40)</f>
        <v>2600</v>
      </c>
      <c r="E41" s="61">
        <f>SUM(E36:E40)</f>
        <v>2398</v>
      </c>
      <c r="F41" s="61">
        <f>SUM(F36:F40)</f>
        <v>3059</v>
      </c>
      <c r="G41" s="61">
        <f>SUM(G36:G40)</f>
        <v>2813</v>
      </c>
      <c r="H41" s="61">
        <f>SUM(H36:H40)</f>
        <v>3629</v>
      </c>
      <c r="I41" s="22">
        <f>SUM(I36:I40)</f>
        <v>2638.9524657534248</v>
      </c>
      <c r="J41" s="22">
        <f>SUM(J36:J40)</f>
        <v>2849.7486630136987</v>
      </c>
      <c r="K41" s="22">
        <f>SUM(K36:K40)</f>
        <v>3048.8310694246575</v>
      </c>
      <c r="L41" s="22">
        <f>SUM(L36:L40)</f>
        <v>3231.6609335901376</v>
      </c>
      <c r="M41" s="22">
        <f>SUM(M36:M40)</f>
        <v>3393.7939802696446</v>
      </c>
    </row>
    <row r="42" spans="2:21" x14ac:dyDescent="0.2">
      <c r="B42" s="16" t="s">
        <v>117</v>
      </c>
      <c r="C42" s="60">
        <v>2605</v>
      </c>
      <c r="D42" s="60">
        <v>2964</v>
      </c>
      <c r="E42" s="60">
        <v>3250</v>
      </c>
      <c r="F42" s="60">
        <v>3605</v>
      </c>
      <c r="G42" s="60">
        <v>4133</v>
      </c>
      <c r="H42" s="60">
        <v>5053</v>
      </c>
      <c r="I42" s="21">
        <f>I5*Assumptions!H46/100</f>
        <v>5558.5530000000008</v>
      </c>
      <c r="J42" s="21">
        <f>J5*Assumptions!I46/100</f>
        <v>6003.2372400000004</v>
      </c>
      <c r="K42" s="21">
        <f>K5*Assumptions!J46/100</f>
        <v>6423.4638468000003</v>
      </c>
      <c r="L42" s="21">
        <f>L5*Assumptions!K46/100</f>
        <v>6808.8716776080009</v>
      </c>
      <c r="M42" s="21">
        <f>M5*Assumptions!L46/100</f>
        <v>7149.3152614884011</v>
      </c>
    </row>
    <row r="43" spans="2:21" x14ac:dyDescent="0.2">
      <c r="B43" s="16" t="s">
        <v>118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60">
        <v>1093</v>
      </c>
      <c r="I43" s="21">
        <v>1516</v>
      </c>
      <c r="J43" s="21">
        <v>1766</v>
      </c>
      <c r="K43" s="21">
        <v>1954</v>
      </c>
      <c r="L43" s="21">
        <v>2073</v>
      </c>
      <c r="M43" s="21">
        <v>2113</v>
      </c>
    </row>
    <row r="44" spans="2:21" x14ac:dyDescent="0.2">
      <c r="B44" s="16" t="s">
        <v>119</v>
      </c>
      <c r="C44" s="59">
        <v>256</v>
      </c>
      <c r="D44" s="59">
        <v>189</v>
      </c>
      <c r="E44" s="59">
        <v>279</v>
      </c>
      <c r="F44" s="59">
        <v>183</v>
      </c>
      <c r="G44" s="59">
        <v>412</v>
      </c>
      <c r="H44" s="59">
        <v>433</v>
      </c>
      <c r="I44" s="10">
        <v>476</v>
      </c>
      <c r="J44" s="10">
        <v>514</v>
      </c>
      <c r="K44" s="10">
        <v>550</v>
      </c>
      <c r="L44" s="10">
        <v>583</v>
      </c>
      <c r="M44" s="10">
        <v>613</v>
      </c>
    </row>
    <row r="45" spans="2:21" x14ac:dyDescent="0.2">
      <c r="B45" s="16" t="s">
        <v>120</v>
      </c>
      <c r="C45" s="59">
        <v>0</v>
      </c>
      <c r="D45" s="59">
        <v>0</v>
      </c>
      <c r="E45" s="59">
        <v>35</v>
      </c>
      <c r="F45" s="59">
        <v>30</v>
      </c>
      <c r="G45" s="59">
        <v>22</v>
      </c>
      <c r="H45" s="59">
        <v>18</v>
      </c>
      <c r="I45" s="10">
        <f>H45</f>
        <v>18</v>
      </c>
      <c r="J45" s="10">
        <f>I45</f>
        <v>18</v>
      </c>
      <c r="K45" s="10">
        <f>J45</f>
        <v>18</v>
      </c>
      <c r="L45" s="10">
        <f>K45</f>
        <v>18</v>
      </c>
      <c r="M45" s="10">
        <f>L45</f>
        <v>18</v>
      </c>
    </row>
    <row r="46" spans="2:21" x14ac:dyDescent="0.2">
      <c r="B46" s="16" t="s">
        <v>121</v>
      </c>
      <c r="C46" s="59">
        <v>233</v>
      </c>
      <c r="D46" s="59">
        <v>233</v>
      </c>
      <c r="E46" s="59">
        <v>301</v>
      </c>
      <c r="F46" s="59">
        <v>318</v>
      </c>
      <c r="G46" s="59">
        <v>401</v>
      </c>
      <c r="H46" s="59">
        <v>671</v>
      </c>
      <c r="I46" s="10">
        <f>H46</f>
        <v>671</v>
      </c>
      <c r="J46" s="10">
        <f>I46</f>
        <v>671</v>
      </c>
      <c r="K46" s="10">
        <f>J46</f>
        <v>671</v>
      </c>
      <c r="L46" s="10">
        <f>K46</f>
        <v>671</v>
      </c>
      <c r="M46" s="10">
        <f>L46</f>
        <v>671</v>
      </c>
    </row>
    <row r="47" spans="2:21" x14ac:dyDescent="0.2">
      <c r="B47" s="17" t="s">
        <v>122</v>
      </c>
      <c r="C47" s="61">
        <f>SUM(C41:C46)</f>
        <v>5269</v>
      </c>
      <c r="D47" s="61">
        <f>SUM(D41:D46)</f>
        <v>5986</v>
      </c>
      <c r="E47" s="61">
        <f>SUM(E41:E46)</f>
        <v>6263</v>
      </c>
      <c r="F47" s="61">
        <f>SUM(F41:F46)</f>
        <v>7195</v>
      </c>
      <c r="G47" s="61">
        <f>SUM(G41:G46)</f>
        <v>7781</v>
      </c>
      <c r="H47" s="61">
        <f>SUM(H41:H46)</f>
        <v>10897</v>
      </c>
      <c r="I47" s="22">
        <f>SUM(I41:I46)</f>
        <v>10878.505465753426</v>
      </c>
      <c r="J47" s="22">
        <f>SUM(J41:J46)</f>
        <v>11821.985903013699</v>
      </c>
      <c r="K47" s="22">
        <f>SUM(K41:K46)</f>
        <v>12665.294916224659</v>
      </c>
      <c r="L47" s="22">
        <f>SUM(L41:L46)</f>
        <v>13385.532611198138</v>
      </c>
      <c r="M47" s="22">
        <f>SUM(M41:M46)</f>
        <v>13958.109241758046</v>
      </c>
    </row>
    <row r="48" spans="2:21" ht="14.4" x14ac:dyDescent="0.3">
      <c r="B48" s="16" t="s">
        <v>123</v>
      </c>
      <c r="C48" s="59">
        <v>347</v>
      </c>
      <c r="D48" s="59">
        <v>488</v>
      </c>
      <c r="E48" s="59">
        <v>428</v>
      </c>
      <c r="F48" s="59">
        <v>570</v>
      </c>
      <c r="G48" s="60">
        <v>1039</v>
      </c>
      <c r="H48" s="60">
        <v>1113</v>
      </c>
      <c r="I48" s="21">
        <v>283</v>
      </c>
      <c r="J48" s="21">
        <v>283</v>
      </c>
      <c r="K48" s="21">
        <v>283</v>
      </c>
      <c r="L48" s="21">
        <v>283</v>
      </c>
      <c r="M48" s="21">
        <v>283</v>
      </c>
      <c r="Q48" s="2"/>
      <c r="R48" s="2"/>
      <c r="S48" s="2"/>
      <c r="T48" s="2"/>
      <c r="U48" s="2"/>
    </row>
    <row r="49" spans="2:21" x14ac:dyDescent="0.2">
      <c r="B49" s="16" t="s">
        <v>124</v>
      </c>
      <c r="C49" s="59">
        <v>412</v>
      </c>
      <c r="D49" s="59">
        <v>457</v>
      </c>
      <c r="E49" s="59">
        <v>529</v>
      </c>
      <c r="F49" s="59">
        <v>620</v>
      </c>
      <c r="G49" s="59">
        <v>629</v>
      </c>
      <c r="H49" s="59">
        <v>745</v>
      </c>
      <c r="I49" s="10">
        <v>820</v>
      </c>
      <c r="J49" s="10">
        <v>885</v>
      </c>
      <c r="K49" s="10">
        <v>947</v>
      </c>
      <c r="L49" s="10">
        <v>1004</v>
      </c>
      <c r="M49" s="10">
        <v>1054</v>
      </c>
    </row>
    <row r="50" spans="2:21" x14ac:dyDescent="0.2">
      <c r="B50" s="16" t="s">
        <v>125</v>
      </c>
      <c r="C50" s="59">
        <v>221</v>
      </c>
      <c r="D50" s="59">
        <v>289</v>
      </c>
      <c r="E50" s="59">
        <v>288</v>
      </c>
      <c r="F50" s="59">
        <v>335</v>
      </c>
      <c r="G50" s="59">
        <v>322</v>
      </c>
      <c r="H50" s="59">
        <v>392</v>
      </c>
      <c r="I50" s="10">
        <v>431</v>
      </c>
      <c r="J50" s="10">
        <v>466</v>
      </c>
      <c r="K50" s="10">
        <v>498</v>
      </c>
      <c r="L50" s="10">
        <v>528</v>
      </c>
      <c r="M50" s="10">
        <v>555</v>
      </c>
    </row>
    <row r="51" spans="2:21" x14ac:dyDescent="0.2">
      <c r="B51" s="16" t="s">
        <v>126</v>
      </c>
      <c r="C51" s="59">
        <v>58</v>
      </c>
      <c r="D51" s="59">
        <v>87</v>
      </c>
      <c r="E51" s="59">
        <v>78</v>
      </c>
      <c r="F51" s="59">
        <v>107</v>
      </c>
      <c r="G51" s="59">
        <v>105</v>
      </c>
      <c r="H51" s="59">
        <v>16</v>
      </c>
      <c r="I51" s="10">
        <v>18</v>
      </c>
      <c r="J51" s="10">
        <v>19</v>
      </c>
      <c r="K51" s="10">
        <v>20</v>
      </c>
      <c r="L51" s="10">
        <v>22</v>
      </c>
      <c r="M51" s="10">
        <v>23</v>
      </c>
    </row>
    <row r="52" spans="2:21" x14ac:dyDescent="0.2">
      <c r="B52" s="16" t="s">
        <v>127</v>
      </c>
      <c r="C52" s="59">
        <v>422</v>
      </c>
      <c r="D52" s="59">
        <v>538</v>
      </c>
      <c r="E52" s="59">
        <v>569</v>
      </c>
      <c r="F52" s="59">
        <v>603</v>
      </c>
      <c r="G52" s="59">
        <v>554</v>
      </c>
      <c r="H52" s="59">
        <v>644</v>
      </c>
      <c r="I52" s="10">
        <v>708</v>
      </c>
      <c r="J52" s="10">
        <v>765</v>
      </c>
      <c r="K52" s="10">
        <v>819</v>
      </c>
      <c r="L52" s="10">
        <v>868</v>
      </c>
      <c r="M52" s="10">
        <v>911</v>
      </c>
    </row>
    <row r="53" spans="2:21" x14ac:dyDescent="0.2">
      <c r="B53" s="16" t="s">
        <v>128</v>
      </c>
      <c r="C53" s="61">
        <f>SUM(C48:C52)</f>
        <v>1460</v>
      </c>
      <c r="D53" s="61">
        <f>SUM(D48:D52)</f>
        <v>1859</v>
      </c>
      <c r="E53" s="61">
        <f>SUM(E48:E52)</f>
        <v>1892</v>
      </c>
      <c r="F53" s="61">
        <f>SUM(F48:F52)</f>
        <v>2235</v>
      </c>
      <c r="G53" s="61">
        <f>SUM(G48:G52)</f>
        <v>2649</v>
      </c>
      <c r="H53" s="61">
        <f>SUM(H48:H52)</f>
        <v>2910</v>
      </c>
      <c r="I53" s="22">
        <f>SUM(I48:I52)</f>
        <v>2260</v>
      </c>
      <c r="J53" s="22">
        <f>SUM(J48:J52)</f>
        <v>2418</v>
      </c>
      <c r="K53" s="22">
        <f>SUM(K48:K52)</f>
        <v>2567</v>
      </c>
      <c r="L53" s="22">
        <f>SUM(L48:L52)</f>
        <v>2705</v>
      </c>
      <c r="M53" s="22">
        <f>SUM(M48:M52)</f>
        <v>2826</v>
      </c>
    </row>
    <row r="54" spans="2:21" x14ac:dyDescent="0.2">
      <c r="B54" s="16" t="s">
        <v>129</v>
      </c>
      <c r="C54" s="59">
        <v>522</v>
      </c>
      <c r="D54" s="59">
        <v>490</v>
      </c>
      <c r="E54" s="59">
        <v>875</v>
      </c>
      <c r="F54" s="59">
        <v>797</v>
      </c>
      <c r="G54" s="60">
        <v>1215</v>
      </c>
      <c r="H54" s="60">
        <v>2721</v>
      </c>
      <c r="I54" s="21">
        <f>H54-I48</f>
        <v>2438</v>
      </c>
      <c r="J54" s="21">
        <f>I54-J48</f>
        <v>2155</v>
      </c>
      <c r="K54" s="21">
        <f>J54-K48</f>
        <v>1872</v>
      </c>
      <c r="L54" s="21">
        <f>K54-L48</f>
        <v>1589</v>
      </c>
      <c r="M54" s="21">
        <f>L54-M48</f>
        <v>1306</v>
      </c>
    </row>
    <row r="55" spans="2:21" x14ac:dyDescent="0.2">
      <c r="B55" s="16" t="s">
        <v>341</v>
      </c>
      <c r="C55" s="59">
        <v>0</v>
      </c>
      <c r="D55" s="59">
        <v>0</v>
      </c>
      <c r="E55" s="59">
        <v>0</v>
      </c>
      <c r="F55" s="59">
        <v>0</v>
      </c>
      <c r="G55" s="60">
        <v>0</v>
      </c>
      <c r="H55" s="60">
        <v>0</v>
      </c>
      <c r="I55" s="21">
        <v>593</v>
      </c>
      <c r="J55" s="21">
        <v>967</v>
      </c>
      <c r="K55" s="21">
        <v>1181</v>
      </c>
      <c r="L55" s="21">
        <v>1221</v>
      </c>
      <c r="M55" s="21">
        <v>1077</v>
      </c>
    </row>
    <row r="56" spans="2:21" ht="14.4" x14ac:dyDescent="0.3">
      <c r="B56" s="16" t="s">
        <v>130</v>
      </c>
      <c r="C56" s="59">
        <v>273</v>
      </c>
      <c r="D56" s="59">
        <v>295</v>
      </c>
      <c r="E56" s="59">
        <v>312</v>
      </c>
      <c r="F56" s="59">
        <v>357</v>
      </c>
      <c r="G56" s="59">
        <v>381</v>
      </c>
      <c r="H56" s="59">
        <v>415</v>
      </c>
      <c r="I56" s="10">
        <v>427</v>
      </c>
      <c r="J56" s="10">
        <v>440</v>
      </c>
      <c r="K56" s="10">
        <v>453</v>
      </c>
      <c r="L56" s="10">
        <v>467</v>
      </c>
      <c r="M56" s="10">
        <v>481</v>
      </c>
      <c r="N56" s="40"/>
      <c r="Q56" s="2"/>
      <c r="R56" s="2"/>
      <c r="S56" s="2"/>
      <c r="T56" s="2"/>
      <c r="U56" s="2"/>
    </row>
    <row r="57" spans="2:21" ht="14.4" x14ac:dyDescent="0.3">
      <c r="B57" s="16" t="s">
        <v>131</v>
      </c>
      <c r="C57" s="59">
        <v>47</v>
      </c>
      <c r="D57" s="59">
        <v>48</v>
      </c>
      <c r="E57" s="59">
        <v>100</v>
      </c>
      <c r="F57" s="59">
        <v>112</v>
      </c>
      <c r="G57" s="59">
        <v>352</v>
      </c>
      <c r="H57" s="59">
        <v>526</v>
      </c>
      <c r="I57" s="10">
        <f>H57</f>
        <v>526</v>
      </c>
      <c r="J57" s="10">
        <f>I57</f>
        <v>526</v>
      </c>
      <c r="K57" s="10">
        <f>J57</f>
        <v>526</v>
      </c>
      <c r="L57" s="10">
        <f>K57</f>
        <v>526</v>
      </c>
      <c r="M57" s="10">
        <f>L57</f>
        <v>526</v>
      </c>
      <c r="Q57" s="2"/>
      <c r="R57" s="2"/>
      <c r="S57" s="2"/>
      <c r="T57" s="2"/>
      <c r="U57" s="2"/>
    </row>
    <row r="58" spans="2:21" ht="14.4" x14ac:dyDescent="0.3">
      <c r="B58" s="16" t="s">
        <v>132</v>
      </c>
      <c r="C58" s="59">
        <v>125</v>
      </c>
      <c r="D58" s="59">
        <v>158</v>
      </c>
      <c r="E58" s="59">
        <v>158</v>
      </c>
      <c r="F58" s="59">
        <v>133</v>
      </c>
      <c r="G58" s="59">
        <v>133</v>
      </c>
      <c r="H58" s="59">
        <v>133</v>
      </c>
      <c r="I58" s="10">
        <v>146</v>
      </c>
      <c r="J58" s="10">
        <v>158</v>
      </c>
      <c r="K58" s="10">
        <v>169</v>
      </c>
      <c r="L58" s="10">
        <v>179</v>
      </c>
      <c r="M58" s="10">
        <v>188</v>
      </c>
      <c r="Q58" s="2"/>
      <c r="R58" s="2"/>
      <c r="S58" s="2"/>
      <c r="T58" s="2"/>
      <c r="U58" s="2"/>
    </row>
    <row r="59" spans="2:21" ht="14.4" x14ac:dyDescent="0.3">
      <c r="B59" s="16" t="s">
        <v>133</v>
      </c>
      <c r="C59" s="59">
        <v>289</v>
      </c>
      <c r="D59" s="59">
        <v>269</v>
      </c>
      <c r="E59" s="59">
        <v>406</v>
      </c>
      <c r="F59" s="59">
        <v>422</v>
      </c>
      <c r="G59" s="59">
        <v>115</v>
      </c>
      <c r="H59" s="59">
        <v>293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Q59" s="2"/>
      <c r="R59" s="2"/>
      <c r="S59" s="2"/>
      <c r="T59" s="2"/>
      <c r="U59" s="2"/>
    </row>
    <row r="60" spans="2:21" x14ac:dyDescent="0.2">
      <c r="B60" s="17" t="s">
        <v>10</v>
      </c>
      <c r="C60" s="61">
        <f>SUM(C54:C59)</f>
        <v>1256</v>
      </c>
      <c r="D60" s="61">
        <f>SUM(D54:D59)</f>
        <v>1260</v>
      </c>
      <c r="E60" s="61">
        <f>SUM(E54:E59)</f>
        <v>1851</v>
      </c>
      <c r="F60" s="61">
        <f>SUM(F54:F59)</f>
        <v>1821</v>
      </c>
      <c r="G60" s="61">
        <f>SUM(G54:G59)</f>
        <v>2196</v>
      </c>
      <c r="H60" s="61">
        <f>SUM(H54:H59)</f>
        <v>4088</v>
      </c>
      <c r="I60" s="22">
        <f>SUM(I54:I59)</f>
        <v>4130</v>
      </c>
      <c r="J60" s="22">
        <f>SUM(J54:J59)</f>
        <v>4246</v>
      </c>
      <c r="K60" s="22">
        <f>SUM(K54:K59)</f>
        <v>4201</v>
      </c>
      <c r="L60" s="22">
        <f>SUM(L54:L59)</f>
        <v>3982</v>
      </c>
      <c r="M60" s="22">
        <f>SUM(M54:M59)</f>
        <v>3578</v>
      </c>
    </row>
    <row r="61" spans="2:21" ht="14.4" x14ac:dyDescent="0.3">
      <c r="B61" s="16" t="s">
        <v>134</v>
      </c>
      <c r="C61" s="60">
        <v>2299</v>
      </c>
      <c r="D61" s="60">
        <v>2618</v>
      </c>
      <c r="E61" s="60">
        <v>2396</v>
      </c>
      <c r="F61" s="60">
        <v>2758</v>
      </c>
      <c r="G61" s="60">
        <v>2543</v>
      </c>
      <c r="H61" s="60">
        <v>3167</v>
      </c>
      <c r="I61" s="21">
        <v>3724</v>
      </c>
      <c r="J61" s="21">
        <v>4359</v>
      </c>
      <c r="K61" s="21">
        <v>5061</v>
      </c>
      <c r="L61" s="21">
        <v>5824</v>
      </c>
      <c r="M61" s="21">
        <v>6637</v>
      </c>
      <c r="Q61" s="3"/>
      <c r="R61" s="3"/>
      <c r="S61" s="3"/>
      <c r="T61" s="3"/>
      <c r="U61" s="3"/>
    </row>
    <row r="62" spans="2:21" ht="14.4" x14ac:dyDescent="0.3">
      <c r="B62" s="16" t="s">
        <v>102</v>
      </c>
      <c r="C62" s="59">
        <v>256</v>
      </c>
      <c r="D62" s="59">
        <v>248</v>
      </c>
      <c r="E62" s="59">
        <v>124</v>
      </c>
      <c r="F62" s="59">
        <v>381</v>
      </c>
      <c r="G62" s="59">
        <v>393</v>
      </c>
      <c r="H62" s="59">
        <v>732</v>
      </c>
      <c r="I62" s="10">
        <v>763</v>
      </c>
      <c r="J62" s="10">
        <v>798</v>
      </c>
      <c r="K62" s="10">
        <v>835</v>
      </c>
      <c r="L62" s="10">
        <v>876</v>
      </c>
      <c r="M62" s="10">
        <v>918</v>
      </c>
      <c r="Q62" s="2"/>
      <c r="R62" s="2"/>
      <c r="S62" s="2"/>
      <c r="T62" s="2"/>
      <c r="U62" s="2"/>
    </row>
    <row r="63" spans="2:21" x14ac:dyDescent="0.2">
      <c r="B63" s="17" t="s">
        <v>11</v>
      </c>
      <c r="C63" s="61">
        <f>SUM(C61:C62)</f>
        <v>2555</v>
      </c>
      <c r="D63" s="61">
        <f t="shared" ref="D63:H63" si="0">SUM(D61:D62)</f>
        <v>2866</v>
      </c>
      <c r="E63" s="61">
        <f t="shared" si="0"/>
        <v>2520</v>
      </c>
      <c r="F63" s="61">
        <f t="shared" si="0"/>
        <v>3139</v>
      </c>
      <c r="G63" s="61">
        <f t="shared" si="0"/>
        <v>2936</v>
      </c>
      <c r="H63" s="61">
        <f t="shared" si="0"/>
        <v>3899</v>
      </c>
      <c r="I63" s="22">
        <f t="shared" ref="I63:M63" si="1">SUM(I61:I62)</f>
        <v>4487</v>
      </c>
      <c r="J63" s="22">
        <f t="shared" si="1"/>
        <v>5157</v>
      </c>
      <c r="K63" s="22">
        <f t="shared" si="1"/>
        <v>5896</v>
      </c>
      <c r="L63" s="22">
        <f t="shared" si="1"/>
        <v>6700</v>
      </c>
      <c r="M63" s="22">
        <f t="shared" si="1"/>
        <v>7555</v>
      </c>
    </row>
    <row r="64" spans="2:21" x14ac:dyDescent="0.2">
      <c r="B64" s="16" t="s">
        <v>135</v>
      </c>
      <c r="C64" s="62">
        <f>C63+C60+C53</f>
        <v>5271</v>
      </c>
      <c r="D64" s="62">
        <f>D63+D60+D53</f>
        <v>5985</v>
      </c>
      <c r="E64" s="62">
        <f>E63+E60+E53</f>
        <v>6263</v>
      </c>
      <c r="F64" s="62">
        <f>F63+F60+F53</f>
        <v>7195</v>
      </c>
      <c r="G64" s="62">
        <f>G63+G60+G53</f>
        <v>7781</v>
      </c>
      <c r="H64" s="62">
        <f>H63+H60+H53</f>
        <v>10897</v>
      </c>
      <c r="I64" s="23">
        <f>I63+I60+I53</f>
        <v>10877</v>
      </c>
      <c r="J64" s="23">
        <f>J63+J60+J53</f>
        <v>11821</v>
      </c>
      <c r="K64" s="23">
        <f>K63+K60+K53</f>
        <v>12664</v>
      </c>
      <c r="L64" s="23">
        <f>L63+L60+L53</f>
        <v>13387</v>
      </c>
      <c r="M64" s="23">
        <f>M63+M60+M53</f>
        <v>13959</v>
      </c>
    </row>
    <row r="65" spans="2:15" x14ac:dyDescent="0.2">
      <c r="B65" s="20" t="s">
        <v>3</v>
      </c>
    </row>
    <row r="67" spans="2:15" x14ac:dyDescent="0.2">
      <c r="B67" s="19" t="s">
        <v>551</v>
      </c>
    </row>
    <row r="68" spans="2:15" x14ac:dyDescent="0.2">
      <c r="B68" s="24"/>
      <c r="C68" s="25"/>
      <c r="D68" s="25">
        <v>1999</v>
      </c>
      <c r="E68" s="25">
        <v>2000</v>
      </c>
      <c r="F68" s="25">
        <v>2001</v>
      </c>
      <c r="G68" s="25">
        <v>2002</v>
      </c>
      <c r="H68" s="25">
        <v>2003</v>
      </c>
      <c r="I68" s="25">
        <v>2004</v>
      </c>
      <c r="J68" s="25">
        <v>2005</v>
      </c>
      <c r="K68" s="25">
        <v>2006</v>
      </c>
      <c r="L68" s="25">
        <v>2007</v>
      </c>
      <c r="M68" s="25">
        <v>2008</v>
      </c>
    </row>
    <row r="69" spans="2:15" x14ac:dyDescent="0.2">
      <c r="B69" s="16" t="s">
        <v>248</v>
      </c>
      <c r="C69" s="63"/>
      <c r="D69" s="63"/>
      <c r="E69" s="63"/>
      <c r="F69" s="63"/>
      <c r="G69" s="63"/>
      <c r="H69" s="63"/>
      <c r="I69" s="11"/>
      <c r="J69" s="11"/>
      <c r="K69" s="11"/>
      <c r="L69" s="11"/>
      <c r="M69" s="11"/>
    </row>
    <row r="70" spans="2:15" x14ac:dyDescent="0.2">
      <c r="B70" s="16" t="s">
        <v>168</v>
      </c>
      <c r="C70" s="63"/>
      <c r="D70" s="60">
        <f>'NOPLAT and IC'!D11</f>
        <v>575.95000000000005</v>
      </c>
      <c r="E70" s="60">
        <f>'NOPLAT and IC'!E11</f>
        <v>605.5</v>
      </c>
      <c r="F70" s="60">
        <f>'NOPLAT and IC'!F11</f>
        <v>800.75</v>
      </c>
      <c r="G70" s="60">
        <f>'NOPLAT and IC'!G11</f>
        <v>920.95</v>
      </c>
      <c r="H70" s="60">
        <f>'NOPLAT and IC'!H11</f>
        <v>936.65</v>
      </c>
      <c r="I70" s="21">
        <f>'NOPLAT and IC'!I11</f>
        <v>934.77601099999947</v>
      </c>
      <c r="J70" s="21">
        <f>'NOPLAT and IC'!J11</f>
        <v>1006.7480918799999</v>
      </c>
      <c r="K70" s="21">
        <f>'NOPLAT and IC'!K11</f>
        <v>1074.1469583115986</v>
      </c>
      <c r="L70" s="21">
        <f>'NOPLAT and IC'!L11</f>
        <v>1135.8827758102962</v>
      </c>
      <c r="M70" s="21">
        <f>'NOPLAT and IC'!M11</f>
        <v>1190.0144146008111</v>
      </c>
      <c r="N70" s="9">
        <f>(M70*(1-3%/15%))/(7.5%-3%)</f>
        <v>21155.811815125533</v>
      </c>
      <c r="O70" s="9">
        <f>M70*1.03</f>
        <v>1225.7148470388354</v>
      </c>
    </row>
    <row r="71" spans="2:15" x14ac:dyDescent="0.2">
      <c r="B71" s="16" t="s">
        <v>249</v>
      </c>
      <c r="C71" s="63"/>
      <c r="D71" s="60">
        <f>-D10</f>
        <v>379</v>
      </c>
      <c r="E71" s="60">
        <f>-E10</f>
        <v>439</v>
      </c>
      <c r="F71" s="60">
        <f>-F10</f>
        <v>469</v>
      </c>
      <c r="G71" s="60">
        <f>-G10</f>
        <v>491</v>
      </c>
      <c r="H71" s="60">
        <f>-H10</f>
        <v>578</v>
      </c>
      <c r="I71" s="21">
        <f>-I10</f>
        <v>628.11648900000012</v>
      </c>
      <c r="J71" s="21">
        <f>-J10</f>
        <v>678.36580812000011</v>
      </c>
      <c r="K71" s="21">
        <f>-K10</f>
        <v>725.85141468840015</v>
      </c>
      <c r="L71" s="21">
        <f>-L10</f>
        <v>769.4024995697041</v>
      </c>
      <c r="M71" s="21">
        <f>-M10</f>
        <v>807.87262454818938</v>
      </c>
    </row>
    <row r="72" spans="2:15" x14ac:dyDescent="0.2">
      <c r="B72" s="45" t="s">
        <v>243</v>
      </c>
      <c r="C72" s="64"/>
      <c r="D72" s="61">
        <f>SUM(D70:D71)</f>
        <v>954.95</v>
      </c>
      <c r="E72" s="61">
        <f t="shared" ref="E72:H72" si="2">SUM(E70:E71)</f>
        <v>1044.5</v>
      </c>
      <c r="F72" s="61">
        <f t="shared" si="2"/>
        <v>1269.75</v>
      </c>
      <c r="G72" s="61">
        <f t="shared" si="2"/>
        <v>1411.95</v>
      </c>
      <c r="H72" s="61">
        <f t="shared" si="2"/>
        <v>1514.65</v>
      </c>
      <c r="I72" s="22">
        <f t="shared" ref="I72:M72" si="3">SUM(I70:I71)</f>
        <v>1562.8924999999995</v>
      </c>
      <c r="J72" s="22">
        <f t="shared" si="3"/>
        <v>1685.1139000000001</v>
      </c>
      <c r="K72" s="22">
        <f t="shared" si="3"/>
        <v>1799.9983729999988</v>
      </c>
      <c r="L72" s="22">
        <f t="shared" si="3"/>
        <v>1905.2852753800003</v>
      </c>
      <c r="M72" s="22">
        <f t="shared" si="3"/>
        <v>1997.8870391490004</v>
      </c>
    </row>
    <row r="73" spans="2:15" x14ac:dyDescent="0.2">
      <c r="B73" s="16" t="s">
        <v>250</v>
      </c>
      <c r="C73" s="63"/>
      <c r="D73" s="60">
        <f>-('NOPLAT and IC'!D37-'NOPLAT and IC'!C37)</f>
        <v>49</v>
      </c>
      <c r="E73" s="60">
        <f>-('NOPLAT and IC'!E37-'NOPLAT and IC'!D37)</f>
        <v>-96</v>
      </c>
      <c r="F73" s="60">
        <f>-('NOPLAT and IC'!F37-'NOPLAT and IC'!E37)</f>
        <v>-157</v>
      </c>
      <c r="G73" s="60">
        <f>-('NOPLAT and IC'!G37-'NOPLAT and IC'!F37)</f>
        <v>-225</v>
      </c>
      <c r="H73" s="60">
        <f>-('NOPLAT and IC'!H37-'NOPLAT and IC'!G37)</f>
        <v>93</v>
      </c>
      <c r="I73" s="21">
        <f>-('NOPLAT and IC'!I37-'NOPLAT and IC'!H37)</f>
        <v>-62.952465753424804</v>
      </c>
      <c r="J73" s="21">
        <f>-('NOPLAT and IC'!J37-'NOPLAT and IC'!I37)</f>
        <v>-53.796197260273857</v>
      </c>
      <c r="K73" s="21">
        <f>-('NOPLAT and IC'!K37-'NOPLAT and IC'!J37)</f>
        <v>-51.082406410958811</v>
      </c>
      <c r="L73" s="21">
        <f>-('NOPLAT and IC'!L37-'NOPLAT and IC'!K37)</f>
        <v>-46.829864165480103</v>
      </c>
      <c r="M73" s="21">
        <f>-('NOPLAT and IC'!M37-'NOPLAT and IC'!L37)</f>
        <v>-42.133046679507061</v>
      </c>
    </row>
    <row r="74" spans="2:15" x14ac:dyDescent="0.2">
      <c r="B74" s="16" t="s">
        <v>251</v>
      </c>
      <c r="C74" s="63"/>
      <c r="D74" s="60">
        <f>-(D42-C42-D28-D10-D26)</f>
        <v>-703</v>
      </c>
      <c r="E74" s="60">
        <f>-(E42-D42-E28-E10-E26)</f>
        <v>-665</v>
      </c>
      <c r="F74" s="60">
        <f>-(F42-E42-F28-F10-F26)</f>
        <v>-752</v>
      </c>
      <c r="G74" s="60">
        <f>-(G42-F42-G28-G10-G26)</f>
        <v>-1094</v>
      </c>
      <c r="H74" s="60">
        <f>-(H42-G42-H28-H10-H26)</f>
        <v>-1609</v>
      </c>
      <c r="I74" s="21">
        <f>-(I42-H42-I28-I10-I26)</f>
        <v>-1133.6694890000008</v>
      </c>
      <c r="J74" s="21">
        <f>-(J42-I42-J28-J10-J26)</f>
        <v>-1123.0500481199997</v>
      </c>
      <c r="K74" s="21">
        <f>-(K42-J42-K28-K10-K26)</f>
        <v>-1146.0780214884001</v>
      </c>
      <c r="L74" s="21">
        <f>-(L42-K42-L28-L10-L26)</f>
        <v>-1154.8103303777048</v>
      </c>
      <c r="M74" s="21">
        <f>-(M42-L42-M28-M10-M26)</f>
        <v>-1148.3162084285896</v>
      </c>
      <c r="N74" s="40"/>
      <c r="O74" s="40"/>
    </row>
    <row r="75" spans="2:15" x14ac:dyDescent="0.2">
      <c r="B75" s="45" t="s">
        <v>244</v>
      </c>
      <c r="C75" s="64"/>
      <c r="D75" s="61">
        <f>SUM(D73:D74)</f>
        <v>-654</v>
      </c>
      <c r="E75" s="61">
        <f t="shared" ref="E75:H75" si="4">SUM(E73:E74)</f>
        <v>-761</v>
      </c>
      <c r="F75" s="61">
        <f t="shared" si="4"/>
        <v>-909</v>
      </c>
      <c r="G75" s="61">
        <f t="shared" si="4"/>
        <v>-1319</v>
      </c>
      <c r="H75" s="61">
        <f t="shared" si="4"/>
        <v>-1516</v>
      </c>
      <c r="I75" s="22">
        <f t="shared" ref="I75:M75" si="5">SUM(I73:I74)</f>
        <v>-1196.6219547534256</v>
      </c>
      <c r="J75" s="22">
        <f t="shared" si="5"/>
        <v>-1176.8462453802736</v>
      </c>
      <c r="K75" s="22">
        <f t="shared" si="5"/>
        <v>-1197.1604278993589</v>
      </c>
      <c r="L75" s="22">
        <f t="shared" si="5"/>
        <v>-1201.6401945431849</v>
      </c>
      <c r="M75" s="22">
        <f t="shared" si="5"/>
        <v>-1190.4492551080966</v>
      </c>
      <c r="N75" s="40"/>
    </row>
    <row r="76" spans="2:15" x14ac:dyDescent="0.2">
      <c r="B76" s="17" t="s">
        <v>269</v>
      </c>
      <c r="C76" s="64"/>
      <c r="D76" s="61">
        <f>D72+D75</f>
        <v>300.95000000000005</v>
      </c>
      <c r="E76" s="61">
        <f t="shared" ref="E76:H76" si="6">E72+E75</f>
        <v>283.5</v>
      </c>
      <c r="F76" s="61">
        <f t="shared" si="6"/>
        <v>360.75</v>
      </c>
      <c r="G76" s="61">
        <f t="shared" si="6"/>
        <v>92.950000000000045</v>
      </c>
      <c r="H76" s="61">
        <f t="shared" si="6"/>
        <v>-1.3499999999999091</v>
      </c>
      <c r="I76" s="22">
        <f t="shared" ref="I76:M76" si="7">I72+I75</f>
        <v>366.27054524657387</v>
      </c>
      <c r="J76" s="22">
        <f t="shared" si="7"/>
        <v>508.2676546197265</v>
      </c>
      <c r="K76" s="22">
        <f t="shared" si="7"/>
        <v>602.8379451006399</v>
      </c>
      <c r="L76" s="22">
        <f t="shared" si="7"/>
        <v>703.6450808368154</v>
      </c>
      <c r="M76" s="22">
        <f t="shared" si="7"/>
        <v>807.43778404090381</v>
      </c>
    </row>
    <row r="77" spans="2:15" x14ac:dyDescent="0.2">
      <c r="B77" s="16" t="s">
        <v>252</v>
      </c>
      <c r="C77" s="63"/>
      <c r="D77" s="60">
        <f>D29-(D43-C43-D12)</f>
        <v>-106</v>
      </c>
      <c r="E77" s="60">
        <f>E29-(E43-D43-E12)</f>
        <v>-778</v>
      </c>
      <c r="F77" s="60">
        <f>F29-(F43-E43-F12)</f>
        <v>-320</v>
      </c>
      <c r="G77" s="60">
        <f>G29-(G43-F43-G12)</f>
        <v>-778</v>
      </c>
      <c r="H77" s="60">
        <f>H29-(H43-G43-H12)</f>
        <v>-1124</v>
      </c>
      <c r="I77" s="21">
        <f>I29-(I43-H43-I12)</f>
        <v>-478</v>
      </c>
      <c r="J77" s="21">
        <f>J29-(J43-I43-J12)</f>
        <v>-329</v>
      </c>
      <c r="K77" s="21">
        <f>K29-(K43-J43-K12)</f>
        <v>-283</v>
      </c>
      <c r="L77" s="21">
        <f>L29-(L43-K43-L12)</f>
        <v>-228</v>
      </c>
      <c r="M77" s="21">
        <f>M29-(M43-L43-M12)</f>
        <v>-161</v>
      </c>
    </row>
    <row r="78" spans="2:15" x14ac:dyDescent="0.2">
      <c r="B78" s="45" t="s">
        <v>245</v>
      </c>
      <c r="C78" s="64"/>
      <c r="D78" s="61">
        <f>SUM(D76:D77)</f>
        <v>194.95000000000005</v>
      </c>
      <c r="E78" s="61">
        <f>SUM(E76:E77)</f>
        <v>-494.5</v>
      </c>
      <c r="F78" s="61">
        <f>SUM(F76:F77)</f>
        <v>40.75</v>
      </c>
      <c r="G78" s="61">
        <f>SUM(G76:G77)</f>
        <v>-685.05</v>
      </c>
      <c r="H78" s="61">
        <f>SUM(H76:H77)</f>
        <v>-1125.3499999999999</v>
      </c>
      <c r="I78" s="22">
        <f t="shared" ref="I78:M78" si="8">SUM(I76:I77)</f>
        <v>-111.72945475342613</v>
      </c>
      <c r="J78" s="22">
        <f t="shared" si="8"/>
        <v>179.2676546197265</v>
      </c>
      <c r="K78" s="22">
        <f t="shared" si="8"/>
        <v>319.8379451006399</v>
      </c>
      <c r="L78" s="22">
        <f t="shared" si="8"/>
        <v>475.6450808368154</v>
      </c>
      <c r="M78" s="22">
        <f t="shared" si="8"/>
        <v>646.43778404090381</v>
      </c>
    </row>
    <row r="79" spans="2:15" x14ac:dyDescent="0.2">
      <c r="B79" s="16" t="s">
        <v>253</v>
      </c>
      <c r="C79" s="63"/>
      <c r="D79" s="60">
        <f>-'NOPLAT and IC'!D30</f>
        <v>25.35</v>
      </c>
      <c r="E79" s="60">
        <f>-'NOPLAT and IC'!E30</f>
        <v>27.950000000000003</v>
      </c>
      <c r="F79" s="60">
        <f>-'NOPLAT and IC'!F30</f>
        <v>30.55</v>
      </c>
      <c r="G79" s="60">
        <f>-'NOPLAT and IC'!G30</f>
        <v>24.05</v>
      </c>
      <c r="H79" s="60">
        <f>-'NOPLAT and IC'!H30</f>
        <v>26</v>
      </c>
      <c r="I79" s="21">
        <f>-'NOPLAT and IC'!I30</f>
        <v>15.600000000000001</v>
      </c>
      <c r="J79" s="21">
        <f>-'NOPLAT and IC'!J30</f>
        <v>0</v>
      </c>
      <c r="K79" s="21">
        <f>-'NOPLAT and IC'!K30</f>
        <v>0</v>
      </c>
      <c r="L79" s="21">
        <f>-'NOPLAT and IC'!L30</f>
        <v>0</v>
      </c>
      <c r="M79" s="21">
        <f>-'NOPLAT and IC'!M30</f>
        <v>0</v>
      </c>
    </row>
    <row r="80" spans="2:15" x14ac:dyDescent="0.2">
      <c r="B80" s="16" t="s">
        <v>254</v>
      </c>
      <c r="C80" s="63"/>
      <c r="D80" s="60">
        <f>C37-D37</f>
        <v>-245</v>
      </c>
      <c r="E80" s="60">
        <f>D37-E37</f>
        <v>400</v>
      </c>
      <c r="F80" s="60">
        <f>E37-F37</f>
        <v>-332</v>
      </c>
      <c r="G80" s="60">
        <f>F37-G37</f>
        <v>418</v>
      </c>
      <c r="H80" s="60">
        <f>G37-H37</f>
        <v>-633</v>
      </c>
      <c r="I80" s="21">
        <f>H37-I37</f>
        <v>1231</v>
      </c>
      <c r="J80" s="21">
        <f>I37-J37</f>
        <v>0</v>
      </c>
      <c r="K80" s="21">
        <f>J37-K37</f>
        <v>0</v>
      </c>
      <c r="L80" s="21">
        <f>K37-L37</f>
        <v>0</v>
      </c>
      <c r="M80" s="21">
        <f>L37-M37</f>
        <v>0</v>
      </c>
    </row>
    <row r="81" spans="2:13" x14ac:dyDescent="0.2">
      <c r="B81" s="16" t="s">
        <v>255</v>
      </c>
      <c r="C81" s="63"/>
      <c r="D81" s="60">
        <f>D18</f>
        <v>51</v>
      </c>
      <c r="E81" s="60">
        <f>E18</f>
        <v>59</v>
      </c>
      <c r="F81" s="60">
        <f>F18</f>
        <v>45</v>
      </c>
      <c r="G81" s="60">
        <f>G18</f>
        <v>48</v>
      </c>
      <c r="H81" s="60">
        <f>H18</f>
        <v>101</v>
      </c>
      <c r="I81" s="21">
        <f>I18</f>
        <v>31</v>
      </c>
      <c r="J81" s="21">
        <f>J18</f>
        <v>33</v>
      </c>
      <c r="K81" s="21">
        <f>K18</f>
        <v>36</v>
      </c>
      <c r="L81" s="21">
        <f>L18</f>
        <v>38</v>
      </c>
      <c r="M81" s="21">
        <f>M18</f>
        <v>40</v>
      </c>
    </row>
    <row r="82" spans="2:13" ht="20.399999999999999" x14ac:dyDescent="0.2">
      <c r="B82" s="16" t="s">
        <v>256</v>
      </c>
      <c r="C82" s="63"/>
      <c r="D82" s="59">
        <f>C44-D44</f>
        <v>67</v>
      </c>
      <c r="E82" s="59">
        <f>D44-E44</f>
        <v>-90</v>
      </c>
      <c r="F82" s="59">
        <f>E44-F44</f>
        <v>96</v>
      </c>
      <c r="G82" s="59">
        <f>F44-G44</f>
        <v>-229</v>
      </c>
      <c r="H82" s="59">
        <f>G44-H44</f>
        <v>-21</v>
      </c>
      <c r="I82" s="10">
        <f>H44-I44</f>
        <v>-43</v>
      </c>
      <c r="J82" s="10">
        <f>I44-J44</f>
        <v>-38</v>
      </c>
      <c r="K82" s="10">
        <f>J44-K44</f>
        <v>-36</v>
      </c>
      <c r="L82" s="10">
        <f>K44-L44</f>
        <v>-33</v>
      </c>
      <c r="M82" s="10">
        <f>L44-M44</f>
        <v>-30</v>
      </c>
    </row>
    <row r="83" spans="2:13" x14ac:dyDescent="0.2">
      <c r="B83" s="16" t="s">
        <v>257</v>
      </c>
      <c r="C83" s="63"/>
      <c r="D83" s="59">
        <v>1</v>
      </c>
      <c r="E83" s="59">
        <v>-68</v>
      </c>
      <c r="F83" s="59">
        <v>35</v>
      </c>
      <c r="G83" s="59">
        <v>-83</v>
      </c>
      <c r="H83" s="59">
        <v>-270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</row>
    <row r="84" spans="2:13" x14ac:dyDescent="0.2">
      <c r="B84" s="45" t="s">
        <v>246</v>
      </c>
      <c r="C84" s="64"/>
      <c r="D84" s="61">
        <f>SUM(D78:D83)</f>
        <v>94.30000000000004</v>
      </c>
      <c r="E84" s="61">
        <f t="shared" ref="E84:H84" si="9">SUM(E78:E83)</f>
        <v>-165.55</v>
      </c>
      <c r="F84" s="61">
        <f t="shared" si="9"/>
        <v>-84.699999999999989</v>
      </c>
      <c r="G84" s="61">
        <f t="shared" si="9"/>
        <v>-507</v>
      </c>
      <c r="H84" s="61">
        <f t="shared" si="9"/>
        <v>-1922.35</v>
      </c>
      <c r="I84" s="22">
        <f t="shared" ref="I84:M84" si="10">SUM(I78:I83)</f>
        <v>1122.8705452465738</v>
      </c>
      <c r="J84" s="22">
        <f t="shared" si="10"/>
        <v>174.2676546197265</v>
      </c>
      <c r="K84" s="22">
        <f t="shared" si="10"/>
        <v>319.8379451006399</v>
      </c>
      <c r="L84" s="22">
        <f t="shared" si="10"/>
        <v>480.6450808368154</v>
      </c>
      <c r="M84" s="22">
        <f t="shared" si="10"/>
        <v>656.43778404090381</v>
      </c>
    </row>
    <row r="85" spans="2:13" x14ac:dyDescent="0.2">
      <c r="B85" s="16" t="s">
        <v>258</v>
      </c>
      <c r="C85" s="63"/>
      <c r="D85" s="63"/>
      <c r="E85" s="63"/>
      <c r="F85" s="63"/>
      <c r="G85" s="63"/>
      <c r="H85" s="63"/>
      <c r="I85" s="11"/>
      <c r="J85" s="11"/>
      <c r="K85" s="11"/>
      <c r="L85" s="11"/>
      <c r="M85" s="11"/>
    </row>
    <row r="86" spans="2:13" x14ac:dyDescent="0.2">
      <c r="B86" s="16" t="s">
        <v>259</v>
      </c>
      <c r="C86" s="63"/>
      <c r="D86" s="60">
        <f>'NOPLAT and IC'!D27</f>
        <v>52</v>
      </c>
      <c r="E86" s="60">
        <f>'NOPLAT and IC'!E27</f>
        <v>70.849999999999994</v>
      </c>
      <c r="F86" s="60">
        <f>'NOPLAT and IC'!F27</f>
        <v>76.7</v>
      </c>
      <c r="G86" s="60">
        <f>'NOPLAT and IC'!G27</f>
        <v>94.9</v>
      </c>
      <c r="H86" s="60">
        <f>'NOPLAT and IC'!H27</f>
        <v>117</v>
      </c>
      <c r="I86" s="21">
        <f>'NOPLAT and IC'!I27</f>
        <v>112.45</v>
      </c>
      <c r="J86" s="21">
        <f>'NOPLAT and IC'!J27</f>
        <v>62.400000000000006</v>
      </c>
      <c r="K86" s="21">
        <f>'NOPLAT and IC'!K27</f>
        <v>42.900000000000006</v>
      </c>
      <c r="L86" s="21">
        <f>'NOPLAT and IC'!L27</f>
        <v>28.6</v>
      </c>
      <c r="M86" s="21">
        <f>'NOPLAT and IC'!M27</f>
        <v>18.850000000000001</v>
      </c>
    </row>
    <row r="87" spans="2:13" x14ac:dyDescent="0.2">
      <c r="B87" s="16" t="s">
        <v>260</v>
      </c>
      <c r="C87" s="63"/>
      <c r="D87" s="60">
        <f>'NOPLAT and IC'!D28</f>
        <v>1.3</v>
      </c>
      <c r="E87" s="60">
        <f>'NOPLAT and IC'!E28</f>
        <v>2.6</v>
      </c>
      <c r="F87" s="60">
        <f>'NOPLAT and IC'!F28</f>
        <v>2.6</v>
      </c>
      <c r="G87" s="60">
        <f>'NOPLAT and IC'!G28</f>
        <v>9.1</v>
      </c>
      <c r="H87" s="60">
        <f>'NOPLAT and IC'!H28</f>
        <v>13.65</v>
      </c>
      <c r="I87" s="21">
        <f>'NOPLAT and IC'!I28</f>
        <v>13.65</v>
      </c>
      <c r="J87" s="21">
        <f>'NOPLAT and IC'!J28</f>
        <v>13.65</v>
      </c>
      <c r="K87" s="21">
        <f>'NOPLAT and IC'!K28</f>
        <v>13.65</v>
      </c>
      <c r="L87" s="21">
        <f>'NOPLAT and IC'!L28</f>
        <v>13.65</v>
      </c>
      <c r="M87" s="21">
        <f>'NOPLAT and IC'!M28</f>
        <v>13.65</v>
      </c>
    </row>
    <row r="88" spans="2:13" x14ac:dyDescent="0.2">
      <c r="B88" s="16" t="s">
        <v>261</v>
      </c>
      <c r="C88" s="63"/>
      <c r="D88" s="60">
        <f>-D19</f>
        <v>28</v>
      </c>
      <c r="E88" s="60">
        <f>-E19</f>
        <v>16</v>
      </c>
      <c r="F88" s="60">
        <f>-F19</f>
        <v>57</v>
      </c>
      <c r="G88" s="60">
        <f>-G19</f>
        <v>62</v>
      </c>
      <c r="H88" s="60">
        <f>-H19</f>
        <v>66</v>
      </c>
      <c r="I88" s="21">
        <f>-I19</f>
        <v>63</v>
      </c>
      <c r="J88" s="21">
        <f>-J19</f>
        <v>69</v>
      </c>
      <c r="K88" s="21">
        <f>-K19</f>
        <v>75</v>
      </c>
      <c r="L88" s="21">
        <f>-L19</f>
        <v>80</v>
      </c>
      <c r="M88" s="21">
        <f>-M19</f>
        <v>84</v>
      </c>
    </row>
    <row r="89" spans="2:13" x14ac:dyDescent="0.2">
      <c r="B89" s="16" t="s">
        <v>262</v>
      </c>
      <c r="C89" s="63"/>
      <c r="D89" s="59">
        <f>C62-D62</f>
        <v>8</v>
      </c>
      <c r="E89" s="59">
        <f>D62-E62</f>
        <v>124</v>
      </c>
      <c r="F89" s="59">
        <f>E62-F62</f>
        <v>-257</v>
      </c>
      <c r="G89" s="59">
        <f>F62-G62</f>
        <v>-12</v>
      </c>
      <c r="H89" s="59">
        <f>G62-H62</f>
        <v>-339</v>
      </c>
      <c r="I89" s="10">
        <f>H62-I62</f>
        <v>-31</v>
      </c>
      <c r="J89" s="10">
        <f>I62-J62</f>
        <v>-35</v>
      </c>
      <c r="K89" s="10">
        <f>J62-K62</f>
        <v>-37</v>
      </c>
      <c r="L89" s="10">
        <f>K62-L62</f>
        <v>-41</v>
      </c>
      <c r="M89" s="10">
        <f>L62-M62</f>
        <v>-42</v>
      </c>
    </row>
    <row r="90" spans="2:13" x14ac:dyDescent="0.2">
      <c r="B90" s="16" t="s">
        <v>263</v>
      </c>
      <c r="C90" s="63"/>
      <c r="D90" s="60">
        <f>C54+C48+C55-D48-D54-D55</f>
        <v>-109</v>
      </c>
      <c r="E90" s="60">
        <f>D54+D48+D55-E48-E54-E55</f>
        <v>-325</v>
      </c>
      <c r="F90" s="60">
        <f>E54+E48+E55-F48-F54-F55</f>
        <v>-64</v>
      </c>
      <c r="G90" s="60">
        <f>F54+F48+F55-G48-G54-G55</f>
        <v>-887</v>
      </c>
      <c r="H90" s="60">
        <f>G54+G48+G55-H48-H54-H55</f>
        <v>-1580</v>
      </c>
      <c r="I90" s="21">
        <f>H54+H48+H55-I48-I54-I55</f>
        <v>520</v>
      </c>
      <c r="J90" s="21">
        <f>I54+I48+I55-J48-J54-J55</f>
        <v>-91</v>
      </c>
      <c r="K90" s="21">
        <f>J54+J48+J55-K48-K54-K55</f>
        <v>69</v>
      </c>
      <c r="L90" s="21">
        <f>K54+K48+K55-L48-L54-L55</f>
        <v>243</v>
      </c>
      <c r="M90" s="21">
        <f>L54+L48+L55-M48-M54-M55</f>
        <v>427</v>
      </c>
    </row>
    <row r="91" spans="2:13" x14ac:dyDescent="0.2">
      <c r="B91" s="16" t="s">
        <v>264</v>
      </c>
      <c r="C91" s="63"/>
      <c r="D91" s="59">
        <f>C57-D57</f>
        <v>-1</v>
      </c>
      <c r="E91" s="59">
        <f>D57-E57</f>
        <v>-52</v>
      </c>
      <c r="F91" s="59">
        <f>E57-F57</f>
        <v>-12</v>
      </c>
      <c r="G91" s="59">
        <f>F57-G57</f>
        <v>-240</v>
      </c>
      <c r="H91" s="59">
        <f>G57-H57</f>
        <v>-174</v>
      </c>
      <c r="I91" s="10">
        <f>H57-I57</f>
        <v>0</v>
      </c>
      <c r="J91" s="10">
        <f>I57-J57</f>
        <v>0</v>
      </c>
      <c r="K91" s="10">
        <f>J57-K57</f>
        <v>0</v>
      </c>
      <c r="L91" s="10">
        <f>K57-L57</f>
        <v>0</v>
      </c>
      <c r="M91" s="10">
        <f>L57-M57</f>
        <v>0</v>
      </c>
    </row>
    <row r="92" spans="2:13" x14ac:dyDescent="0.2">
      <c r="B92" s="16" t="s">
        <v>265</v>
      </c>
      <c r="C92" s="63"/>
      <c r="D92" s="59">
        <f>C59-D59</f>
        <v>20</v>
      </c>
      <c r="E92" s="59">
        <f>D59-E59</f>
        <v>-137</v>
      </c>
      <c r="F92" s="59">
        <f>E59-F59</f>
        <v>-16</v>
      </c>
      <c r="G92" s="59">
        <f>F59-G59</f>
        <v>307</v>
      </c>
      <c r="H92" s="59">
        <f>G59-H59</f>
        <v>-178</v>
      </c>
      <c r="I92" s="10">
        <f>H59-I59</f>
        <v>293</v>
      </c>
      <c r="J92" s="10">
        <f>I59-J59</f>
        <v>0</v>
      </c>
      <c r="K92" s="10">
        <f>J59-K59</f>
        <v>0</v>
      </c>
      <c r="L92" s="10">
        <f>K59-L59</f>
        <v>0</v>
      </c>
      <c r="M92" s="10">
        <f>L59-M59</f>
        <v>0</v>
      </c>
    </row>
    <row r="93" spans="2:13" x14ac:dyDescent="0.2">
      <c r="B93" s="16" t="s">
        <v>266</v>
      </c>
      <c r="C93" s="63"/>
      <c r="D93" s="59">
        <f>C51-D51</f>
        <v>-29</v>
      </c>
      <c r="E93" s="59">
        <f>D51-E51</f>
        <v>9</v>
      </c>
      <c r="F93" s="59">
        <f>E51-F51</f>
        <v>-29</v>
      </c>
      <c r="G93" s="59">
        <f>F51-G51</f>
        <v>2</v>
      </c>
      <c r="H93" s="59">
        <f>G51-H51</f>
        <v>89</v>
      </c>
      <c r="I93" s="10">
        <f>H51-I51</f>
        <v>-2</v>
      </c>
      <c r="J93" s="10">
        <f>I51-J51</f>
        <v>-1</v>
      </c>
      <c r="K93" s="10">
        <f>J51-K51</f>
        <v>-1</v>
      </c>
      <c r="L93" s="10">
        <f>K51-L51</f>
        <v>-2</v>
      </c>
      <c r="M93" s="10">
        <f>L51-M51</f>
        <v>-1</v>
      </c>
    </row>
    <row r="94" spans="2:13" x14ac:dyDescent="0.2">
      <c r="B94" s="16" t="s">
        <v>267</v>
      </c>
      <c r="C94" s="63"/>
      <c r="D94" s="60">
        <f>-D31</f>
        <v>125</v>
      </c>
      <c r="E94" s="60">
        <f>-E31</f>
        <v>125</v>
      </c>
      <c r="F94" s="60">
        <f>-F31</f>
        <v>157</v>
      </c>
      <c r="G94" s="60">
        <f>-G31</f>
        <v>157</v>
      </c>
      <c r="H94" s="60">
        <f>-H31</f>
        <v>157</v>
      </c>
      <c r="I94" s="21">
        <f>-I31</f>
        <v>157</v>
      </c>
      <c r="J94" s="21">
        <f>-J31</f>
        <v>157</v>
      </c>
      <c r="K94" s="21">
        <f>-K31</f>
        <v>157</v>
      </c>
      <c r="L94" s="21">
        <f>-L31</f>
        <v>157</v>
      </c>
      <c r="M94" s="21">
        <f>-M31</f>
        <v>157</v>
      </c>
    </row>
    <row r="95" spans="2:13" x14ac:dyDescent="0.2">
      <c r="B95" s="45" t="s">
        <v>247</v>
      </c>
      <c r="C95" s="64"/>
      <c r="D95" s="61">
        <f>SUM(D86:D94)</f>
        <v>95.3</v>
      </c>
      <c r="E95" s="61">
        <f t="shared" ref="E95:H95" si="11">SUM(E86:E94)</f>
        <v>-166.55</v>
      </c>
      <c r="F95" s="61">
        <f t="shared" si="11"/>
        <v>-84.699999999999989</v>
      </c>
      <c r="G95" s="61">
        <f t="shared" si="11"/>
        <v>-507</v>
      </c>
      <c r="H95" s="61">
        <f t="shared" si="11"/>
        <v>-1828.35</v>
      </c>
      <c r="I95" s="22">
        <f t="shared" ref="I95:M95" si="12">SUM(I86:I94)</f>
        <v>1126.0999999999999</v>
      </c>
      <c r="J95" s="22">
        <f t="shared" si="12"/>
        <v>175.05</v>
      </c>
      <c r="K95" s="22">
        <f t="shared" si="12"/>
        <v>319.55</v>
      </c>
      <c r="L95" s="22">
        <f t="shared" si="12"/>
        <v>479.25</v>
      </c>
      <c r="M95" s="22">
        <f t="shared" si="12"/>
        <v>657.5</v>
      </c>
    </row>
    <row r="96" spans="2:13" x14ac:dyDescent="0.2">
      <c r="D96" s="40"/>
      <c r="I96" s="9">
        <v>1</v>
      </c>
      <c r="J96" s="9">
        <v>2</v>
      </c>
      <c r="K96" s="9">
        <v>3</v>
      </c>
      <c r="L96" s="9">
        <v>4</v>
      </c>
      <c r="M96" s="9">
        <v>5</v>
      </c>
    </row>
    <row r="97" spans="2:13" x14ac:dyDescent="0.2">
      <c r="B97" s="19" t="s">
        <v>231</v>
      </c>
    </row>
    <row r="98" spans="2:13" x14ac:dyDescent="0.2">
      <c r="B98" s="44"/>
      <c r="C98" s="38"/>
      <c r="D98" s="37">
        <v>1999</v>
      </c>
      <c r="E98" s="39">
        <v>2000</v>
      </c>
      <c r="F98" s="39">
        <v>2001</v>
      </c>
      <c r="G98" s="39">
        <v>2002</v>
      </c>
      <c r="H98" s="39">
        <v>2003</v>
      </c>
      <c r="I98" s="25">
        <v>2004</v>
      </c>
      <c r="J98" s="25">
        <v>2005</v>
      </c>
      <c r="K98" s="25">
        <v>2006</v>
      </c>
      <c r="L98" s="25">
        <v>2007</v>
      </c>
      <c r="M98" s="25">
        <v>2008</v>
      </c>
    </row>
    <row r="99" spans="2:13" x14ac:dyDescent="0.2">
      <c r="B99" s="16" t="s">
        <v>198</v>
      </c>
      <c r="C99" s="63"/>
      <c r="D99" s="63"/>
      <c r="E99" s="63"/>
      <c r="F99" s="63"/>
      <c r="G99" s="63"/>
      <c r="H99" s="63"/>
      <c r="I99" s="11"/>
      <c r="J99" s="11"/>
      <c r="K99" s="11"/>
      <c r="L99" s="11"/>
      <c r="M99" s="11"/>
    </row>
    <row r="100" spans="2:13" x14ac:dyDescent="0.2">
      <c r="B100" s="16" t="s">
        <v>199</v>
      </c>
      <c r="C100" s="63"/>
      <c r="D100" s="59">
        <f>D36-C36</f>
        <v>14</v>
      </c>
      <c r="E100" s="59">
        <f>E36-D36</f>
        <v>17</v>
      </c>
      <c r="F100" s="59">
        <f>F36-E36</f>
        <v>19</v>
      </c>
      <c r="G100" s="59">
        <f>G36-F36</f>
        <v>21</v>
      </c>
      <c r="H100" s="59">
        <f>H36-G36</f>
        <v>5</v>
      </c>
      <c r="I100" s="10">
        <f>I36-H36</f>
        <v>19</v>
      </c>
      <c r="J100" s="10">
        <f>J36-I36</f>
        <v>16</v>
      </c>
      <c r="K100" s="10">
        <f>K36-J36</f>
        <v>15</v>
      </c>
      <c r="L100" s="10">
        <f>L36-K36</f>
        <v>14</v>
      </c>
      <c r="M100" s="10">
        <f>M36-L36</f>
        <v>13</v>
      </c>
    </row>
    <row r="101" spans="2:13" x14ac:dyDescent="0.2">
      <c r="B101" s="16" t="s">
        <v>200</v>
      </c>
      <c r="C101" s="63"/>
      <c r="D101" s="59">
        <f>D38-C38</f>
        <v>79</v>
      </c>
      <c r="E101" s="59">
        <f>E38-D38</f>
        <v>112</v>
      </c>
      <c r="F101" s="59">
        <f>F38-E38</f>
        <v>127</v>
      </c>
      <c r="G101" s="59">
        <f>G38-F38</f>
        <v>81</v>
      </c>
      <c r="H101" s="59">
        <f>H38-G38</f>
        <v>139</v>
      </c>
      <c r="I101" s="34">
        <f>I38-H38</f>
        <v>119.85958904109589</v>
      </c>
      <c r="J101" s="34">
        <f>J38-I38</f>
        <v>105.98876712328774</v>
      </c>
      <c r="K101" s="34">
        <f>K38-J38</f>
        <v>100.15938493150702</v>
      </c>
      <c r="L101" s="34">
        <f>L38-K38</f>
        <v>91.860464465753466</v>
      </c>
      <c r="M101" s="34">
        <f>M38-L38</f>
        <v>81.143410278082229</v>
      </c>
    </row>
    <row r="102" spans="2:13" x14ac:dyDescent="0.2">
      <c r="B102" s="16" t="s">
        <v>201</v>
      </c>
      <c r="C102" s="63"/>
      <c r="D102" s="59">
        <f>D39-C39</f>
        <v>38</v>
      </c>
      <c r="E102" s="59">
        <f>E39-D39</f>
        <v>60</v>
      </c>
      <c r="F102" s="59">
        <f>F39-E39</f>
        <v>142</v>
      </c>
      <c r="G102" s="59">
        <f>G39-F39</f>
        <v>73</v>
      </c>
      <c r="H102" s="59">
        <f>H39-G39</f>
        <v>69</v>
      </c>
      <c r="I102" s="34">
        <f>I39-H39</f>
        <v>83.63958904109586</v>
      </c>
      <c r="J102" s="34">
        <f>J39-I39</f>
        <v>73.411167123287669</v>
      </c>
      <c r="K102" s="34">
        <f>K39-J39</f>
        <v>69.373552931506993</v>
      </c>
      <c r="L102" s="34">
        <f>L39-K39</f>
        <v>63.625458545753418</v>
      </c>
      <c r="M102" s="34">
        <f>M39-L39</f>
        <v>56.202488382082265</v>
      </c>
    </row>
    <row r="103" spans="2:13" x14ac:dyDescent="0.2">
      <c r="B103" s="16" t="s">
        <v>202</v>
      </c>
      <c r="C103" s="63"/>
      <c r="D103" s="59">
        <f>D40-C40</f>
        <v>49</v>
      </c>
      <c r="E103" s="59">
        <f>E40-D40</f>
        <v>9</v>
      </c>
      <c r="F103" s="59">
        <f>F40-E40</f>
        <v>41</v>
      </c>
      <c r="G103" s="59">
        <f>G40-F40</f>
        <v>-3</v>
      </c>
      <c r="H103" s="59">
        <f>H40-G40</f>
        <v>-30</v>
      </c>
      <c r="I103" s="34">
        <f>I40-H40</f>
        <v>18.453287671232886</v>
      </c>
      <c r="J103" s="34">
        <f>J40-I40</f>
        <v>15.396263013698643</v>
      </c>
      <c r="K103" s="34">
        <f>K40-J40</f>
        <v>14.549468547945224</v>
      </c>
      <c r="L103" s="34">
        <f>L40-K40</f>
        <v>13.343941153972622</v>
      </c>
      <c r="M103" s="34">
        <f>M40-L40</f>
        <v>11.787148019342482</v>
      </c>
    </row>
    <row r="104" spans="2:13" x14ac:dyDescent="0.2">
      <c r="B104" s="16" t="s">
        <v>203</v>
      </c>
      <c r="C104" s="63"/>
      <c r="D104" s="59">
        <f>C49-D49</f>
        <v>-45</v>
      </c>
      <c r="E104" s="59">
        <f>D49-E49</f>
        <v>-72</v>
      </c>
      <c r="F104" s="59">
        <f>E49-F49</f>
        <v>-91</v>
      </c>
      <c r="G104" s="59">
        <f>F49-G49</f>
        <v>-9</v>
      </c>
      <c r="H104" s="59">
        <f>G49-H49</f>
        <v>-116</v>
      </c>
      <c r="I104" s="34">
        <f>H49-I49</f>
        <v>-75</v>
      </c>
      <c r="J104" s="34">
        <f>I49-J49</f>
        <v>-65</v>
      </c>
      <c r="K104" s="34">
        <f>J49-K49</f>
        <v>-62</v>
      </c>
      <c r="L104" s="34">
        <f>K49-L49</f>
        <v>-57</v>
      </c>
      <c r="M104" s="34">
        <f>L49-M49</f>
        <v>-50</v>
      </c>
    </row>
    <row r="105" spans="2:13" x14ac:dyDescent="0.2">
      <c r="B105" s="16" t="s">
        <v>204</v>
      </c>
      <c r="C105" s="63"/>
      <c r="D105" s="59">
        <f>C50-D50</f>
        <v>-68</v>
      </c>
      <c r="E105" s="59">
        <f>D50-E50</f>
        <v>1</v>
      </c>
      <c r="F105" s="59">
        <f>E50-F50</f>
        <v>-47</v>
      </c>
      <c r="G105" s="59">
        <f>F50-G50</f>
        <v>13</v>
      </c>
      <c r="H105" s="59">
        <f>G50-H50</f>
        <v>-70</v>
      </c>
      <c r="I105" s="34">
        <f>H50-I50</f>
        <v>-39</v>
      </c>
      <c r="J105" s="34">
        <f>I50-J50</f>
        <v>-35</v>
      </c>
      <c r="K105" s="34">
        <f>J50-K50</f>
        <v>-32</v>
      </c>
      <c r="L105" s="34">
        <f>K50-L50</f>
        <v>-30</v>
      </c>
      <c r="M105" s="34">
        <f>L50-M50</f>
        <v>-27</v>
      </c>
    </row>
    <row r="106" spans="2:13" x14ac:dyDescent="0.2">
      <c r="B106" s="16" t="s">
        <v>425</v>
      </c>
      <c r="C106" s="63"/>
      <c r="D106" s="59">
        <f>C52-D52</f>
        <v>-116</v>
      </c>
      <c r="E106" s="59">
        <f>D52-E52</f>
        <v>-31</v>
      </c>
      <c r="F106" s="59">
        <f>E52-F52</f>
        <v>-34</v>
      </c>
      <c r="G106" s="59">
        <f>F52-G52</f>
        <v>49</v>
      </c>
      <c r="H106" s="59">
        <f>G52-H52</f>
        <v>-90</v>
      </c>
      <c r="I106" s="34">
        <f>H52-I52</f>
        <v>-64</v>
      </c>
      <c r="J106" s="34">
        <f>I52-J52</f>
        <v>-57</v>
      </c>
      <c r="K106" s="34">
        <f>J52-K52</f>
        <v>-54</v>
      </c>
      <c r="L106" s="34">
        <f>K52-L52</f>
        <v>-49</v>
      </c>
      <c r="M106" s="34">
        <f>L52-M52</f>
        <v>-43</v>
      </c>
    </row>
    <row r="107" spans="2:13" x14ac:dyDescent="0.2">
      <c r="B107" s="16" t="s">
        <v>205</v>
      </c>
      <c r="C107" s="63"/>
      <c r="D107" s="59">
        <f>SUM(D100:D106)</f>
        <v>-49</v>
      </c>
      <c r="E107" s="59">
        <f t="shared" ref="E107:H107" si="13">SUM(E100:E106)</f>
        <v>96</v>
      </c>
      <c r="F107" s="59">
        <f t="shared" si="13"/>
        <v>157</v>
      </c>
      <c r="G107" s="59">
        <f t="shared" si="13"/>
        <v>225</v>
      </c>
      <c r="H107" s="59">
        <f t="shared" si="13"/>
        <v>-93</v>
      </c>
      <c r="I107" s="34">
        <f t="shared" ref="I107" si="14">SUM(I100:I106)</f>
        <v>62.952465753424633</v>
      </c>
      <c r="J107" s="34">
        <f t="shared" ref="J107" si="15">SUM(J100:J106)</f>
        <v>53.796197260274056</v>
      </c>
      <c r="K107" s="34">
        <f t="shared" ref="K107" si="16">SUM(K100:K106)</f>
        <v>51.082406410959237</v>
      </c>
      <c r="L107" s="34">
        <f t="shared" ref="L107" si="17">SUM(L100:L106)</f>
        <v>46.829864165479506</v>
      </c>
      <c r="M107" s="34">
        <f t="shared" ref="M107" si="18">SUM(M100:M106)</f>
        <v>42.133046679506975</v>
      </c>
    </row>
    <row r="108" spans="2:13" x14ac:dyDescent="0.2">
      <c r="B108" s="16" t="s">
        <v>206</v>
      </c>
      <c r="C108" s="63"/>
      <c r="D108" s="63"/>
      <c r="E108" s="63"/>
      <c r="F108" s="63"/>
      <c r="G108" s="63"/>
      <c r="H108" s="63"/>
      <c r="I108" s="89"/>
      <c r="J108" s="89"/>
      <c r="K108" s="89"/>
      <c r="L108" s="89"/>
      <c r="M108" s="89"/>
    </row>
    <row r="109" spans="2:13" x14ac:dyDescent="0.2">
      <c r="B109" s="16" t="s">
        <v>426</v>
      </c>
      <c r="C109" s="63"/>
      <c r="D109" s="60">
        <f>D42-C42</f>
        <v>359</v>
      </c>
      <c r="E109" s="60">
        <f>E42-D42</f>
        <v>286</v>
      </c>
      <c r="F109" s="60">
        <f>F42-E42</f>
        <v>355</v>
      </c>
      <c r="G109" s="60">
        <f>G42-F42</f>
        <v>528</v>
      </c>
      <c r="H109" s="60">
        <f>H42-G42</f>
        <v>920</v>
      </c>
      <c r="I109" s="34">
        <f>I42-H42</f>
        <v>505.55300000000079</v>
      </c>
      <c r="J109" s="34">
        <f>J42-I42</f>
        <v>444.68423999999959</v>
      </c>
      <c r="K109" s="34">
        <f>K42-J42</f>
        <v>420.2266067999999</v>
      </c>
      <c r="L109" s="34">
        <f>L42-K42</f>
        <v>385.40783080800065</v>
      </c>
      <c r="M109" s="34">
        <f>M42-L42</f>
        <v>340.44358388040018</v>
      </c>
    </row>
    <row r="110" spans="2:13" x14ac:dyDescent="0.2">
      <c r="B110" s="16" t="s">
        <v>207</v>
      </c>
      <c r="C110" s="63"/>
      <c r="D110" s="60">
        <f>-D10</f>
        <v>379</v>
      </c>
      <c r="E110" s="59">
        <f>-E10</f>
        <v>439</v>
      </c>
      <c r="F110" s="59">
        <f>-F10</f>
        <v>469</v>
      </c>
      <c r="G110" s="59">
        <f>-G10</f>
        <v>491</v>
      </c>
      <c r="H110" s="59">
        <f>-H10</f>
        <v>578</v>
      </c>
      <c r="I110" s="34">
        <f>-I10</f>
        <v>628.11648900000012</v>
      </c>
      <c r="J110" s="34">
        <f>-J10</f>
        <v>678.36580812000011</v>
      </c>
      <c r="K110" s="34">
        <f>-K10</f>
        <v>725.85141468840015</v>
      </c>
      <c r="L110" s="34">
        <f>-L10</f>
        <v>769.4024995697041</v>
      </c>
      <c r="M110" s="34">
        <f>-M10</f>
        <v>807.87262454818938</v>
      </c>
    </row>
    <row r="111" spans="2:13" x14ac:dyDescent="0.2">
      <c r="B111" s="16" t="s">
        <v>428</v>
      </c>
      <c r="C111" s="63"/>
      <c r="D111" s="60">
        <f>-D26</f>
        <v>0</v>
      </c>
      <c r="E111" s="59">
        <f>-E26</f>
        <v>0</v>
      </c>
      <c r="F111" s="59">
        <f>-F26</f>
        <v>0</v>
      </c>
      <c r="G111" s="59">
        <f>-G26</f>
        <v>107</v>
      </c>
      <c r="H111" s="59">
        <f>-H26</f>
        <v>152</v>
      </c>
      <c r="I111" s="34">
        <f>-I26</f>
        <v>0</v>
      </c>
      <c r="J111" s="34">
        <f>-J26</f>
        <v>0</v>
      </c>
      <c r="K111" s="34">
        <f>-K26</f>
        <v>0</v>
      </c>
      <c r="L111" s="34">
        <f>-L26</f>
        <v>0</v>
      </c>
      <c r="M111" s="34">
        <f>-M26</f>
        <v>0</v>
      </c>
    </row>
    <row r="112" spans="2:13" x14ac:dyDescent="0.2">
      <c r="B112" s="16" t="s">
        <v>429</v>
      </c>
      <c r="C112" s="63"/>
      <c r="D112" s="60">
        <f>-D28</f>
        <v>-35</v>
      </c>
      <c r="E112" s="59">
        <f>-E28</f>
        <v>-60</v>
      </c>
      <c r="F112" s="59">
        <f>-F28</f>
        <v>-72</v>
      </c>
      <c r="G112" s="59">
        <f>-G28</f>
        <v>-32</v>
      </c>
      <c r="H112" s="59">
        <f>-H28</f>
        <v>-41</v>
      </c>
      <c r="I112" s="34">
        <f>-I28</f>
        <v>0</v>
      </c>
      <c r="J112" s="34">
        <f>-J28</f>
        <v>0</v>
      </c>
      <c r="K112" s="34">
        <f>-K28</f>
        <v>0</v>
      </c>
      <c r="L112" s="34">
        <f>-L28</f>
        <v>0</v>
      </c>
      <c r="M112" s="34">
        <f>-M28</f>
        <v>0</v>
      </c>
    </row>
    <row r="113" spans="2:14" x14ac:dyDescent="0.2">
      <c r="B113" s="16" t="s">
        <v>427</v>
      </c>
      <c r="C113" s="63"/>
      <c r="D113" s="87">
        <f>SUM(D109:D112)</f>
        <v>703</v>
      </c>
      <c r="E113" s="87">
        <f t="shared" ref="E113:H113" si="19">SUM(E109:E112)</f>
        <v>665</v>
      </c>
      <c r="F113" s="87">
        <f t="shared" si="19"/>
        <v>752</v>
      </c>
      <c r="G113" s="87">
        <f t="shared" si="19"/>
        <v>1094</v>
      </c>
      <c r="H113" s="87">
        <f t="shared" si="19"/>
        <v>1609</v>
      </c>
      <c r="I113" s="81">
        <f t="shared" ref="I113" si="20">SUM(I109:I112)</f>
        <v>1133.6694890000008</v>
      </c>
      <c r="J113" s="81">
        <f t="shared" ref="J113" si="21">SUM(J109:J112)</f>
        <v>1123.0500481199997</v>
      </c>
      <c r="K113" s="81">
        <f t="shared" ref="K113" si="22">SUM(K109:K112)</f>
        <v>1146.0780214884001</v>
      </c>
      <c r="L113" s="81">
        <f t="shared" ref="L113" si="23">SUM(L109:L112)</f>
        <v>1154.8103303777048</v>
      </c>
      <c r="M113" s="81">
        <f t="shared" ref="M113" si="24">SUM(M109:M112)</f>
        <v>1148.3162084285896</v>
      </c>
    </row>
    <row r="114" spans="2:14" x14ac:dyDescent="0.2">
      <c r="B114" s="16" t="s">
        <v>208</v>
      </c>
      <c r="C114" s="63"/>
      <c r="D114" s="63"/>
      <c r="E114" s="63"/>
      <c r="F114" s="63"/>
      <c r="G114" s="63"/>
      <c r="H114" s="63"/>
      <c r="I114" s="11"/>
      <c r="J114" s="11"/>
      <c r="K114" s="11"/>
      <c r="L114" s="11"/>
      <c r="M114" s="11"/>
    </row>
    <row r="115" spans="2:14" x14ac:dyDescent="0.2">
      <c r="B115" s="16" t="s">
        <v>209</v>
      </c>
      <c r="C115" s="63"/>
      <c r="D115" s="59">
        <f>D43-C43</f>
        <v>0</v>
      </c>
      <c r="E115" s="59">
        <f>E43-D43</f>
        <v>0</v>
      </c>
      <c r="F115" s="59">
        <f>F43-E43</f>
        <v>0</v>
      </c>
      <c r="G115" s="59">
        <f>G43-F43</f>
        <v>0</v>
      </c>
      <c r="H115" s="60">
        <f>H43-G43</f>
        <v>1093</v>
      </c>
      <c r="I115" s="21">
        <f>I43-H43</f>
        <v>423</v>
      </c>
      <c r="J115" s="21">
        <f>J43-I43</f>
        <v>250</v>
      </c>
      <c r="K115" s="21">
        <f>K43-J43</f>
        <v>188</v>
      </c>
      <c r="L115" s="21">
        <f>L43-K43</f>
        <v>119</v>
      </c>
      <c r="M115" s="21">
        <f>M43-L43</f>
        <v>40</v>
      </c>
    </row>
    <row r="116" spans="2:14" ht="20.399999999999999" x14ac:dyDescent="0.2">
      <c r="B116" s="16" t="s">
        <v>431</v>
      </c>
      <c r="C116" s="63"/>
      <c r="D116" s="60">
        <f>-D29-D12</f>
        <v>106</v>
      </c>
      <c r="E116" s="59">
        <f>-E29-E12</f>
        <v>778</v>
      </c>
      <c r="F116" s="59">
        <f>-F29-F12</f>
        <v>320</v>
      </c>
      <c r="G116" s="59">
        <f>-G29-G12</f>
        <v>778</v>
      </c>
      <c r="H116" s="59">
        <f>-H29-H12</f>
        <v>31</v>
      </c>
      <c r="I116" s="10">
        <f>-I29-I12</f>
        <v>55</v>
      </c>
      <c r="J116" s="10">
        <f>-J29-J12</f>
        <v>79</v>
      </c>
      <c r="K116" s="10">
        <f>-K29-K12</f>
        <v>95</v>
      </c>
      <c r="L116" s="10">
        <f>-L29-L12</f>
        <v>109</v>
      </c>
      <c r="M116" s="10">
        <f>-M29-M12</f>
        <v>121</v>
      </c>
      <c r="N116" s="40"/>
    </row>
    <row r="117" spans="2:14" x14ac:dyDescent="0.2">
      <c r="B117" s="16" t="s">
        <v>430</v>
      </c>
      <c r="C117" s="63"/>
      <c r="D117" s="64">
        <f>SUM(D115:D116)</f>
        <v>106</v>
      </c>
      <c r="E117" s="64">
        <f t="shared" ref="E117:H117" si="25">SUM(E115:E116)</f>
        <v>778</v>
      </c>
      <c r="F117" s="64">
        <f t="shared" si="25"/>
        <v>320</v>
      </c>
      <c r="G117" s="64">
        <f t="shared" si="25"/>
        <v>778</v>
      </c>
      <c r="H117" s="64">
        <f t="shared" si="25"/>
        <v>1124</v>
      </c>
      <c r="I117" s="82">
        <f t="shared" ref="I117" si="26">SUM(I115:I116)</f>
        <v>478</v>
      </c>
      <c r="J117" s="82">
        <f t="shared" ref="J117" si="27">SUM(J115:J116)</f>
        <v>329</v>
      </c>
      <c r="K117" s="82">
        <f t="shared" ref="K117" si="28">SUM(K115:K116)</f>
        <v>283</v>
      </c>
      <c r="L117" s="82">
        <f t="shared" ref="L117" si="29">SUM(L115:L116)</f>
        <v>228</v>
      </c>
      <c r="M117" s="82">
        <f t="shared" ref="M117" si="30">SUM(M115:M116)</f>
        <v>161</v>
      </c>
    </row>
    <row r="118" spans="2:14" x14ac:dyDescent="0.2">
      <c r="B118" s="16" t="s">
        <v>210</v>
      </c>
      <c r="C118" s="63"/>
      <c r="D118" s="63"/>
      <c r="E118" s="63"/>
      <c r="F118" s="63"/>
      <c r="G118" s="63"/>
      <c r="H118" s="63"/>
      <c r="I118" s="11"/>
      <c r="J118" s="11"/>
      <c r="K118" s="11"/>
      <c r="L118" s="11"/>
      <c r="M118" s="11"/>
    </row>
    <row r="119" spans="2:14" x14ac:dyDescent="0.2">
      <c r="B119" s="16" t="s">
        <v>211</v>
      </c>
      <c r="C119" s="63"/>
      <c r="D119" s="60">
        <f>D21</f>
        <v>0</v>
      </c>
      <c r="E119" s="59">
        <f>E21</f>
        <v>0</v>
      </c>
      <c r="F119" s="59">
        <f>F21</f>
        <v>52</v>
      </c>
      <c r="G119" s="59">
        <f>G21</f>
        <v>0</v>
      </c>
      <c r="H119" s="59">
        <f>H21</f>
        <v>0</v>
      </c>
      <c r="I119" s="10">
        <f>I21</f>
        <v>0</v>
      </c>
      <c r="J119" s="10">
        <f>J21</f>
        <v>0</v>
      </c>
      <c r="K119" s="10">
        <f>K21</f>
        <v>0</v>
      </c>
      <c r="L119" s="10">
        <f>L21</f>
        <v>0</v>
      </c>
      <c r="M119" s="10">
        <f>M21</f>
        <v>0</v>
      </c>
    </row>
    <row r="120" spans="2:14" x14ac:dyDescent="0.2">
      <c r="B120" s="16" t="s">
        <v>433</v>
      </c>
      <c r="C120" s="63"/>
      <c r="D120" s="59">
        <f>-(D46-C46)</f>
        <v>0</v>
      </c>
      <c r="E120" s="59">
        <f>-(E46-D46)</f>
        <v>-68</v>
      </c>
      <c r="F120" s="59">
        <f>-(F46-E46)</f>
        <v>-17</v>
      </c>
      <c r="G120" s="59">
        <f>-(G46-F46)</f>
        <v>-83</v>
      </c>
      <c r="H120" s="59">
        <f>-(H46-G46)</f>
        <v>-270</v>
      </c>
      <c r="I120" s="10">
        <f>-(I46-H46)</f>
        <v>0</v>
      </c>
      <c r="J120" s="10">
        <f>-(J46-I46)</f>
        <v>0</v>
      </c>
      <c r="K120" s="10">
        <f>-(K46-J46)</f>
        <v>0</v>
      </c>
      <c r="L120" s="10">
        <f>-(L46-K46)</f>
        <v>0</v>
      </c>
      <c r="M120" s="10">
        <f>-(M46-L46)</f>
        <v>0</v>
      </c>
    </row>
    <row r="121" spans="2:14" x14ac:dyDescent="0.2">
      <c r="B121" s="16" t="s">
        <v>432</v>
      </c>
      <c r="C121" s="64"/>
      <c r="D121" s="90">
        <f>SUM(D119:D120)</f>
        <v>0</v>
      </c>
      <c r="E121" s="90">
        <f t="shared" ref="E121:H121" si="31">SUM(E119:E120)</f>
        <v>-68</v>
      </c>
      <c r="F121" s="90">
        <f t="shared" si="31"/>
        <v>35</v>
      </c>
      <c r="G121" s="90">
        <f t="shared" si="31"/>
        <v>-83</v>
      </c>
      <c r="H121" s="90">
        <f t="shared" si="31"/>
        <v>-270</v>
      </c>
      <c r="I121" s="91">
        <f t="shared" ref="I121" si="32">SUM(I119:I120)</f>
        <v>0</v>
      </c>
      <c r="J121" s="91">
        <f t="shared" ref="J121" si="33">SUM(J119:J120)</f>
        <v>0</v>
      </c>
      <c r="K121" s="91">
        <f t="shared" ref="K121" si="34">SUM(K119:K120)</f>
        <v>0</v>
      </c>
      <c r="L121" s="91">
        <f t="shared" ref="L121" si="35">SUM(L119:L120)</f>
        <v>0</v>
      </c>
      <c r="M121" s="91">
        <f t="shared" ref="M121" si="36">SUM(M119:M120)</f>
        <v>0</v>
      </c>
    </row>
    <row r="122" spans="2:14" x14ac:dyDescent="0.2">
      <c r="B122" s="43"/>
      <c r="C122" s="63"/>
      <c r="D122" s="88"/>
      <c r="E122" s="59"/>
      <c r="F122" s="59"/>
      <c r="G122" s="59"/>
      <c r="H122" s="59"/>
      <c r="I122" s="10"/>
      <c r="J122" s="10"/>
      <c r="K122" s="10"/>
      <c r="L122" s="10"/>
      <c r="M122" s="10"/>
    </row>
  </sheetData>
  <pageMargins left="0.7" right="0.7" top="0.75" bottom="0.75" header="0.3" footer="0.3"/>
  <pageSetup paperSize="9" scale="84" orientation="landscape" r:id="rId1"/>
  <rowBreaks count="3" manualBreakCount="3">
    <brk id="32" max="7" man="1"/>
    <brk id="64" max="7" man="1"/>
    <brk id="65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workbookViewId="0">
      <selection activeCell="B1" sqref="B1"/>
    </sheetView>
  </sheetViews>
  <sheetFormatPr defaultRowHeight="14.4" x14ac:dyDescent="0.3"/>
  <cols>
    <col min="1" max="1" width="1.5546875" customWidth="1"/>
    <col min="2" max="2" width="33.88671875" customWidth="1"/>
  </cols>
  <sheetData>
    <row r="1" spans="2:13" x14ac:dyDescent="0.3">
      <c r="B1" s="115" t="str">
        <f>'Operating ratios'!B1</f>
        <v>Heineken company</v>
      </c>
    </row>
    <row r="3" spans="2:13" x14ac:dyDescent="0.3">
      <c r="B3" s="19" t="s">
        <v>550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3" x14ac:dyDescent="0.3">
      <c r="B4" s="24"/>
      <c r="C4" s="28"/>
      <c r="D4" s="25">
        <v>1999</v>
      </c>
      <c r="E4" s="25">
        <v>2000</v>
      </c>
      <c r="F4" s="25">
        <v>2001</v>
      </c>
      <c r="G4" s="25">
        <v>2002</v>
      </c>
      <c r="H4" s="25">
        <v>2003</v>
      </c>
      <c r="I4" s="25">
        <f>'Financial Statement'!I4</f>
        <v>2004</v>
      </c>
      <c r="J4" s="25">
        <f>'Financial Statement'!J4</f>
        <v>2005</v>
      </c>
      <c r="K4" s="25">
        <f>'Financial Statement'!K4</f>
        <v>2006</v>
      </c>
      <c r="L4" s="25">
        <f>'Financial Statement'!L4</f>
        <v>2007</v>
      </c>
      <c r="M4" s="25">
        <f>'Financial Statement'!M4</f>
        <v>2008</v>
      </c>
    </row>
    <row r="5" spans="2:13" x14ac:dyDescent="0.3">
      <c r="B5" s="16" t="s">
        <v>136</v>
      </c>
      <c r="C5" s="63"/>
      <c r="D5" s="60">
        <f>'Financial Statement'!D11</f>
        <v>799</v>
      </c>
      <c r="E5" s="60">
        <f>'Financial Statement'!E11</f>
        <v>921</v>
      </c>
      <c r="F5" s="60">
        <f>'Financial Statement'!F11</f>
        <v>1125</v>
      </c>
      <c r="G5" s="60">
        <f>'Financial Statement'!G11</f>
        <v>1282</v>
      </c>
      <c r="H5" s="60">
        <f>'Financial Statement'!H11</f>
        <v>1253</v>
      </c>
      <c r="I5" s="21">
        <f>'Financial Statement'!I11</f>
        <v>1255.2760109999995</v>
      </c>
      <c r="J5" s="21">
        <f>'Financial Statement'!J11</f>
        <v>1355.69809188</v>
      </c>
      <c r="K5" s="21">
        <f>'Financial Statement'!K11</f>
        <v>1450.5969583115987</v>
      </c>
      <c r="L5" s="21">
        <f>'Financial Statement'!L11</f>
        <v>1537.6327758102962</v>
      </c>
      <c r="M5" s="21">
        <f>'Financial Statement'!M11</f>
        <v>1614.5144146008111</v>
      </c>
    </row>
    <row r="6" spans="2:13" x14ac:dyDescent="0.3">
      <c r="B6" s="16" t="s">
        <v>228</v>
      </c>
      <c r="C6" s="63"/>
      <c r="D6" s="78">
        <v>2</v>
      </c>
      <c r="E6" s="78">
        <v>4</v>
      </c>
      <c r="F6" s="78">
        <v>4</v>
      </c>
      <c r="G6" s="78">
        <v>14</v>
      </c>
      <c r="H6" s="78">
        <v>21</v>
      </c>
      <c r="I6" s="21">
        <f>H6</f>
        <v>21</v>
      </c>
      <c r="J6" s="21">
        <f>I6</f>
        <v>21</v>
      </c>
      <c r="K6" s="21">
        <f>J6</f>
        <v>21</v>
      </c>
      <c r="L6" s="21">
        <f>K6</f>
        <v>21</v>
      </c>
      <c r="M6" s="21">
        <f>L6</f>
        <v>21</v>
      </c>
    </row>
    <row r="7" spans="2:13" x14ac:dyDescent="0.3">
      <c r="B7" s="16" t="s">
        <v>229</v>
      </c>
      <c r="C7" s="63"/>
      <c r="D7" s="60">
        <f>'Financial Statement'!D58-'Financial Statement'!C58</f>
        <v>33</v>
      </c>
      <c r="E7" s="60">
        <f>'Financial Statement'!E58-'Financial Statement'!D58</f>
        <v>0</v>
      </c>
      <c r="F7" s="60">
        <f>'Financial Statement'!F58-'Financial Statement'!E58</f>
        <v>-25</v>
      </c>
      <c r="G7" s="60">
        <f>'Financial Statement'!G58-'Financial Statement'!F58</f>
        <v>0</v>
      </c>
      <c r="H7" s="60">
        <f>'Financial Statement'!H58-'Financial Statement'!G58</f>
        <v>0</v>
      </c>
      <c r="I7" s="21">
        <f>'Financial Statement'!I58-'Financial Statement'!H58</f>
        <v>13</v>
      </c>
      <c r="J7" s="21">
        <f>'Financial Statement'!J58-'Financial Statement'!I58</f>
        <v>12</v>
      </c>
      <c r="K7" s="21">
        <f>'Financial Statement'!K58-'Financial Statement'!J58</f>
        <v>11</v>
      </c>
      <c r="L7" s="21">
        <f>'Financial Statement'!L58-'Financial Statement'!K58</f>
        <v>10</v>
      </c>
      <c r="M7" s="21">
        <f>'Financial Statement'!M58-'Financial Statement'!L58</f>
        <v>9</v>
      </c>
    </row>
    <row r="8" spans="2:13" x14ac:dyDescent="0.3">
      <c r="B8" s="17" t="s">
        <v>268</v>
      </c>
      <c r="C8" s="64"/>
      <c r="D8" s="61">
        <f>SUM(D5:D7)</f>
        <v>834</v>
      </c>
      <c r="E8" s="61">
        <f>SUM(E5:E7)</f>
        <v>925</v>
      </c>
      <c r="F8" s="61">
        <f>SUM(F5:F7)</f>
        <v>1104</v>
      </c>
      <c r="G8" s="61">
        <f>SUM(G5:G7)</f>
        <v>1296</v>
      </c>
      <c r="H8" s="61">
        <f>SUM(H5:H7)</f>
        <v>1274</v>
      </c>
      <c r="I8" s="22">
        <f>SUM(I5:I7)</f>
        <v>1289.2760109999995</v>
      </c>
      <c r="J8" s="22">
        <f>SUM(J5:J7)</f>
        <v>1388.69809188</v>
      </c>
      <c r="K8" s="22">
        <f>SUM(K5:K7)</f>
        <v>1482.5969583115987</v>
      </c>
      <c r="L8" s="22">
        <f>SUM(L5:L7)</f>
        <v>1568.6327758102962</v>
      </c>
      <c r="M8" s="22">
        <f>SUM(M5:M7)</f>
        <v>1644.5144146008111</v>
      </c>
    </row>
    <row r="9" spans="2:13" x14ac:dyDescent="0.3">
      <c r="B9" s="16" t="s">
        <v>137</v>
      </c>
      <c r="C9" s="63"/>
      <c r="D9" s="60">
        <f>D17</f>
        <v>-280.05</v>
      </c>
      <c r="E9" s="60">
        <f>E17</f>
        <v>-301.49999999999994</v>
      </c>
      <c r="F9" s="60">
        <f>F17</f>
        <v>-353.25</v>
      </c>
      <c r="G9" s="60">
        <f>G17</f>
        <v>-407.05</v>
      </c>
      <c r="H9" s="60">
        <f>H17</f>
        <v>-375.35</v>
      </c>
      <c r="I9" s="21">
        <f>I17</f>
        <v>-366.50000000000006</v>
      </c>
      <c r="J9" s="21">
        <f>J17</f>
        <v>-394.95000000000005</v>
      </c>
      <c r="K9" s="21">
        <f>K17</f>
        <v>-421.45000000000005</v>
      </c>
      <c r="L9" s="21">
        <f>L17</f>
        <v>-446.75</v>
      </c>
      <c r="M9" s="21">
        <f>M17</f>
        <v>-468.5</v>
      </c>
    </row>
    <row r="10" spans="2:13" x14ac:dyDescent="0.3">
      <c r="B10" s="16" t="s">
        <v>434</v>
      </c>
      <c r="C10" s="63"/>
      <c r="D10" s="60">
        <f>('Financial Statement'!D56-'Financial Statement'!C56)-('Financial Statement'!D45-'Financial Statement'!C45)</f>
        <v>22</v>
      </c>
      <c r="E10" s="60">
        <f>('Financial Statement'!E56-'Financial Statement'!D56)-('Financial Statement'!E45-'Financial Statement'!D45)</f>
        <v>-18</v>
      </c>
      <c r="F10" s="60">
        <f>('Financial Statement'!F56-'Financial Statement'!E56)-('Financial Statement'!F45-'Financial Statement'!E45)</f>
        <v>50</v>
      </c>
      <c r="G10" s="60">
        <f>('Financial Statement'!G56-'Financial Statement'!F56)-('Financial Statement'!G45-'Financial Statement'!F45)</f>
        <v>32</v>
      </c>
      <c r="H10" s="60">
        <f>('Financial Statement'!H56-'Financial Statement'!G56)-('Financial Statement'!H45-'Financial Statement'!G45)</f>
        <v>38</v>
      </c>
      <c r="I10" s="21">
        <f>('Financial Statement'!I56-'Financial Statement'!H56)-('Financial Statement'!I45-'Financial Statement'!H45)</f>
        <v>12</v>
      </c>
      <c r="J10" s="21">
        <f>('Financial Statement'!J56-'Financial Statement'!I56)-('Financial Statement'!J45-'Financial Statement'!I45)</f>
        <v>13</v>
      </c>
      <c r="K10" s="21">
        <f>('Financial Statement'!K56-'Financial Statement'!J56)-('Financial Statement'!K45-'Financial Statement'!J45)</f>
        <v>13</v>
      </c>
      <c r="L10" s="21">
        <f>('Financial Statement'!L56-'Financial Statement'!K56)-('Financial Statement'!L45-'Financial Statement'!K45)</f>
        <v>14</v>
      </c>
      <c r="M10" s="21">
        <f>('Financial Statement'!M56-'Financial Statement'!L56)-('Financial Statement'!M45-'Financial Statement'!L45)</f>
        <v>14</v>
      </c>
    </row>
    <row r="11" spans="2:13" x14ac:dyDescent="0.3">
      <c r="B11" s="17" t="s">
        <v>220</v>
      </c>
      <c r="C11" s="64"/>
      <c r="D11" s="61">
        <f>SUM(D8:D10)</f>
        <v>575.95000000000005</v>
      </c>
      <c r="E11" s="61">
        <f>SUM(E8:E10)</f>
        <v>605.5</v>
      </c>
      <c r="F11" s="61">
        <f>SUM(F8:F10)</f>
        <v>800.75</v>
      </c>
      <c r="G11" s="61">
        <f>SUM(G8:G10)</f>
        <v>920.95</v>
      </c>
      <c r="H11" s="61">
        <f>SUM(H8:H10)</f>
        <v>936.65</v>
      </c>
      <c r="I11" s="22">
        <f>SUM(I8:I10)</f>
        <v>934.77601099999947</v>
      </c>
      <c r="J11" s="22">
        <f>SUM(J8:J10)</f>
        <v>1006.7480918799999</v>
      </c>
      <c r="K11" s="22">
        <f>SUM(K8:K10)</f>
        <v>1074.1469583115986</v>
      </c>
      <c r="L11" s="22">
        <f>SUM(L8:L10)</f>
        <v>1135.8827758102962</v>
      </c>
      <c r="M11" s="22">
        <f>SUM(M8:M10)</f>
        <v>1190.0144146008111</v>
      </c>
    </row>
    <row r="12" spans="2:13" x14ac:dyDescent="0.3">
      <c r="B12" s="16" t="s">
        <v>138</v>
      </c>
      <c r="C12" s="63"/>
      <c r="D12" s="65"/>
      <c r="E12" s="65"/>
      <c r="F12" s="65"/>
      <c r="G12" s="65"/>
      <c r="H12" s="65"/>
      <c r="I12" s="42"/>
      <c r="J12" s="42"/>
      <c r="K12" s="42"/>
      <c r="L12" s="42"/>
      <c r="M12" s="42"/>
    </row>
    <row r="13" spans="2:13" x14ac:dyDescent="0.3">
      <c r="B13" s="16" t="s">
        <v>139</v>
      </c>
      <c r="C13" s="63"/>
      <c r="D13" s="60">
        <f>'Financial Statement'!D17</f>
        <v>-265</v>
      </c>
      <c r="E13" s="60">
        <f>'Financial Statement'!E17</f>
        <v>-277</v>
      </c>
      <c r="F13" s="60">
        <f>'Financial Statement'!F17</f>
        <v>-327</v>
      </c>
      <c r="G13" s="60">
        <f>'Financial Statement'!G17</f>
        <v>-364</v>
      </c>
      <c r="H13" s="60">
        <f>'Financial Statement'!H17</f>
        <v>-319</v>
      </c>
      <c r="I13" s="21">
        <f>'Financial Statement'!I17</f>
        <v>-307</v>
      </c>
      <c r="J13" s="21">
        <f>'Financial Statement'!J17</f>
        <v>-354</v>
      </c>
      <c r="K13" s="21">
        <f>'Financial Statement'!K17</f>
        <v>-391</v>
      </c>
      <c r="L13" s="21">
        <f>'Financial Statement'!L17</f>
        <v>-424</v>
      </c>
      <c r="M13" s="21">
        <f>'Financial Statement'!M17</f>
        <v>-451</v>
      </c>
    </row>
    <row r="14" spans="2:13" x14ac:dyDescent="0.3">
      <c r="B14" s="16" t="s">
        <v>140</v>
      </c>
      <c r="C14" s="63"/>
      <c r="D14" s="60">
        <f>0.35*'Financial Statement'!D14</f>
        <v>-28</v>
      </c>
      <c r="E14" s="60">
        <f>0.35*'Financial Statement'!E14</f>
        <v>-38.15</v>
      </c>
      <c r="F14" s="60">
        <f>0.35*'Financial Statement'!F14</f>
        <v>-41.3</v>
      </c>
      <c r="G14" s="60">
        <f>0.35*'Financial Statement'!G14</f>
        <v>-51.099999999999994</v>
      </c>
      <c r="H14" s="60">
        <f>0.35*'Financial Statement'!H14</f>
        <v>-62.999999999999993</v>
      </c>
      <c r="I14" s="21">
        <f>0.35*'Financial Statement'!I14</f>
        <v>-60.55</v>
      </c>
      <c r="J14" s="21">
        <f>0.35*'Financial Statement'!J14</f>
        <v>-33.599999999999994</v>
      </c>
      <c r="K14" s="21">
        <f>0.35*'Financial Statement'!K14</f>
        <v>-23.099999999999998</v>
      </c>
      <c r="L14" s="21">
        <f>0.35*'Financial Statement'!L14</f>
        <v>-15.399999999999999</v>
      </c>
      <c r="M14" s="21">
        <f>0.35*'Financial Statement'!M14</f>
        <v>-10.149999999999999</v>
      </c>
    </row>
    <row r="15" spans="2:13" x14ac:dyDescent="0.3">
      <c r="B15" s="16" t="s">
        <v>141</v>
      </c>
      <c r="C15" s="63"/>
      <c r="D15" s="60">
        <f>'Financial Statement'!D15*0.35</f>
        <v>13.649999999999999</v>
      </c>
      <c r="E15" s="60">
        <f>'Financial Statement'!E15*0.35</f>
        <v>15.049999999999999</v>
      </c>
      <c r="F15" s="60">
        <f>'Financial Statement'!F15*0.35</f>
        <v>16.45</v>
      </c>
      <c r="G15" s="60">
        <f>'Financial Statement'!G15*0.35</f>
        <v>12.95</v>
      </c>
      <c r="H15" s="60">
        <f>'Financial Statement'!H15*0.35</f>
        <v>14</v>
      </c>
      <c r="I15" s="21">
        <f>'Financial Statement'!I15*0.35</f>
        <v>8.3999999999999986</v>
      </c>
      <c r="J15" s="21">
        <f>'Financial Statement'!J15*0.35</f>
        <v>0</v>
      </c>
      <c r="K15" s="21">
        <f>'Financial Statement'!K15*0.35</f>
        <v>0</v>
      </c>
      <c r="L15" s="21">
        <f>'Financial Statement'!L15*0.35</f>
        <v>0</v>
      </c>
      <c r="M15" s="21">
        <f>'Financial Statement'!M15*0.35</f>
        <v>0</v>
      </c>
    </row>
    <row r="16" spans="2:13" x14ac:dyDescent="0.3">
      <c r="B16" s="16" t="s">
        <v>222</v>
      </c>
      <c r="C16" s="63"/>
      <c r="D16" s="60">
        <f>-0.35*D6</f>
        <v>-0.7</v>
      </c>
      <c r="E16" s="60">
        <f>-0.35*E6</f>
        <v>-1.4</v>
      </c>
      <c r="F16" s="60">
        <f>-0.35*F6</f>
        <v>-1.4</v>
      </c>
      <c r="G16" s="60">
        <f>-0.35*G6</f>
        <v>-4.8999999999999995</v>
      </c>
      <c r="H16" s="60">
        <f>-0.35*H6</f>
        <v>-7.35</v>
      </c>
      <c r="I16" s="21">
        <f>-0.35*I6</f>
        <v>-7.35</v>
      </c>
      <c r="J16" s="21">
        <f>-0.35*J6</f>
        <v>-7.35</v>
      </c>
      <c r="K16" s="21">
        <f>-0.35*K6</f>
        <v>-7.35</v>
      </c>
      <c r="L16" s="21">
        <f>-0.35*L6</f>
        <v>-7.35</v>
      </c>
      <c r="M16" s="21">
        <f>-0.35*M6</f>
        <v>-7.35</v>
      </c>
    </row>
    <row r="17" spans="2:13" x14ac:dyDescent="0.3">
      <c r="B17" s="17" t="s">
        <v>221</v>
      </c>
      <c r="C17" s="64"/>
      <c r="D17" s="61">
        <f>SUM(D13:D16)</f>
        <v>-280.05</v>
      </c>
      <c r="E17" s="61">
        <f>SUM(E13:E16)</f>
        <v>-301.49999999999994</v>
      </c>
      <c r="F17" s="61">
        <f>SUM(F13:F16)</f>
        <v>-353.25</v>
      </c>
      <c r="G17" s="61">
        <f>SUM(G13:G16)</f>
        <v>-407.05</v>
      </c>
      <c r="H17" s="61">
        <f>SUM(H13:H16)</f>
        <v>-375.35</v>
      </c>
      <c r="I17" s="22">
        <f>SUM(I13:I16)</f>
        <v>-366.50000000000006</v>
      </c>
      <c r="J17" s="22">
        <f>SUM(J13:J16)</f>
        <v>-394.95000000000005</v>
      </c>
      <c r="K17" s="22">
        <f>SUM(K13:K16)</f>
        <v>-421.45000000000005</v>
      </c>
      <c r="L17" s="22">
        <f>SUM(L13:L16)</f>
        <v>-446.75</v>
      </c>
      <c r="M17" s="22">
        <f>SUM(M13:M16)</f>
        <v>-468.5</v>
      </c>
    </row>
    <row r="18" spans="2:13" x14ac:dyDescent="0.3">
      <c r="B18" s="16" t="s">
        <v>142</v>
      </c>
      <c r="C18" s="63"/>
      <c r="D18" s="65"/>
      <c r="E18" s="65"/>
      <c r="F18" s="65"/>
      <c r="G18" s="65"/>
      <c r="H18" s="65"/>
      <c r="I18" s="42"/>
      <c r="J18" s="42"/>
      <c r="K18" s="42"/>
      <c r="L18" s="42"/>
      <c r="M18" s="42"/>
    </row>
    <row r="19" spans="2:13" x14ac:dyDescent="0.3">
      <c r="B19" s="16" t="s">
        <v>143</v>
      </c>
      <c r="C19" s="63"/>
      <c r="D19" s="60">
        <f>'Financial Statement'!D22</f>
        <v>516</v>
      </c>
      <c r="E19" s="60">
        <f>'Financial Statement'!E22</f>
        <v>621</v>
      </c>
      <c r="F19" s="60">
        <f>'Financial Statement'!F22</f>
        <v>767</v>
      </c>
      <c r="G19" s="60">
        <f>'Financial Statement'!G22</f>
        <v>795</v>
      </c>
      <c r="H19" s="60">
        <f>'Financial Statement'!H22</f>
        <v>798</v>
      </c>
      <c r="I19" s="21">
        <f>'Financial Statement'!I22</f>
        <v>712.27601099999947</v>
      </c>
      <c r="J19" s="21">
        <f>'Financial Statement'!J22</f>
        <v>790.69809187999999</v>
      </c>
      <c r="K19" s="21">
        <f>'Financial Statement'!K22</f>
        <v>859.59695831159866</v>
      </c>
      <c r="L19" s="21">
        <f>'Financial Statement'!L22</f>
        <v>918.63277581029615</v>
      </c>
      <c r="M19" s="21">
        <f>'Financial Statement'!M22</f>
        <v>969.51441460081105</v>
      </c>
    </row>
    <row r="20" spans="2:13" x14ac:dyDescent="0.3">
      <c r="B20" s="16" t="s">
        <v>223</v>
      </c>
      <c r="C20" s="63"/>
      <c r="D20" s="60">
        <f>D7</f>
        <v>33</v>
      </c>
      <c r="E20" s="60">
        <f>E7</f>
        <v>0</v>
      </c>
      <c r="F20" s="60">
        <f>F7</f>
        <v>-25</v>
      </c>
      <c r="G20" s="60">
        <f>G7</f>
        <v>0</v>
      </c>
      <c r="H20" s="60">
        <f>H7</f>
        <v>0</v>
      </c>
      <c r="I20" s="21">
        <f>I7</f>
        <v>13</v>
      </c>
      <c r="J20" s="21">
        <f>J7</f>
        <v>12</v>
      </c>
      <c r="K20" s="21">
        <f>K7</f>
        <v>11</v>
      </c>
      <c r="L20" s="21">
        <f>L7</f>
        <v>10</v>
      </c>
      <c r="M20" s="21">
        <f>M7</f>
        <v>9</v>
      </c>
    </row>
    <row r="21" spans="2:13" x14ac:dyDescent="0.3">
      <c r="B21" s="16" t="s">
        <v>224</v>
      </c>
      <c r="C21" s="63"/>
      <c r="D21" s="60">
        <f>D10</f>
        <v>22</v>
      </c>
      <c r="E21" s="60">
        <f>E10</f>
        <v>-18</v>
      </c>
      <c r="F21" s="60">
        <f>F10</f>
        <v>50</v>
      </c>
      <c r="G21" s="60">
        <f>G10</f>
        <v>32</v>
      </c>
      <c r="H21" s="60">
        <f>H10</f>
        <v>38</v>
      </c>
      <c r="I21" s="21">
        <f>I10</f>
        <v>12</v>
      </c>
      <c r="J21" s="21">
        <f>J10</f>
        <v>13</v>
      </c>
      <c r="K21" s="21">
        <f>K10</f>
        <v>13</v>
      </c>
      <c r="L21" s="21">
        <f>L10</f>
        <v>14</v>
      </c>
      <c r="M21" s="21">
        <f>M10</f>
        <v>14</v>
      </c>
    </row>
    <row r="22" spans="2:13" x14ac:dyDescent="0.3">
      <c r="B22" s="16" t="s">
        <v>144</v>
      </c>
      <c r="C22" s="63"/>
      <c r="D22" s="60">
        <f>-'Financial Statement'!D21</f>
        <v>0</v>
      </c>
      <c r="E22" s="60">
        <f>-'Financial Statement'!E21</f>
        <v>0</v>
      </c>
      <c r="F22" s="60">
        <f>-'Financial Statement'!F21</f>
        <v>-52</v>
      </c>
      <c r="G22" s="60">
        <f>-'Financial Statement'!G21</f>
        <v>0</v>
      </c>
      <c r="H22" s="60">
        <f>-'Financial Statement'!H21</f>
        <v>0</v>
      </c>
      <c r="I22" s="21">
        <f>-'Financial Statement'!I21</f>
        <v>0</v>
      </c>
      <c r="J22" s="21">
        <f>-'Financial Statement'!J21</f>
        <v>0</v>
      </c>
      <c r="K22" s="21">
        <f>-'Financial Statement'!K21</f>
        <v>0</v>
      </c>
      <c r="L22" s="21">
        <f>-'Financial Statement'!L21</f>
        <v>0</v>
      </c>
      <c r="M22" s="21">
        <f>-'Financial Statement'!M21</f>
        <v>0</v>
      </c>
    </row>
    <row r="23" spans="2:13" x14ac:dyDescent="0.3">
      <c r="B23" s="16" t="s">
        <v>145</v>
      </c>
      <c r="C23" s="63"/>
      <c r="D23" s="60">
        <f>-'Financial Statement'!D19</f>
        <v>28</v>
      </c>
      <c r="E23" s="60">
        <f>-'Financial Statement'!E19</f>
        <v>16</v>
      </c>
      <c r="F23" s="60">
        <f>-'Financial Statement'!F19</f>
        <v>57</v>
      </c>
      <c r="G23" s="60">
        <f>-'Financial Statement'!G19</f>
        <v>62</v>
      </c>
      <c r="H23" s="60">
        <f>-'Financial Statement'!H19</f>
        <v>66</v>
      </c>
      <c r="I23" s="21">
        <f>-'Financial Statement'!I19</f>
        <v>63</v>
      </c>
      <c r="J23" s="21">
        <f>-'Financial Statement'!J19</f>
        <v>69</v>
      </c>
      <c r="K23" s="21">
        <f>-'Financial Statement'!K19</f>
        <v>75</v>
      </c>
      <c r="L23" s="21">
        <f>-'Financial Statement'!L19</f>
        <v>80</v>
      </c>
      <c r="M23" s="21">
        <f>-'Financial Statement'!M19</f>
        <v>84</v>
      </c>
    </row>
    <row r="24" spans="2:13" x14ac:dyDescent="0.3">
      <c r="B24" s="16" t="s">
        <v>225</v>
      </c>
      <c r="C24" s="63"/>
      <c r="D24" s="60">
        <f>-'Financial Statement'!D18</f>
        <v>-51</v>
      </c>
      <c r="E24" s="60">
        <f>-'Financial Statement'!E18</f>
        <v>-59</v>
      </c>
      <c r="F24" s="60">
        <f>-'Financial Statement'!F18</f>
        <v>-45</v>
      </c>
      <c r="G24" s="60">
        <f>-'Financial Statement'!G18</f>
        <v>-48</v>
      </c>
      <c r="H24" s="60">
        <f>-'Financial Statement'!H18</f>
        <v>-101</v>
      </c>
      <c r="I24" s="21">
        <f>-'Financial Statement'!I18</f>
        <v>-31</v>
      </c>
      <c r="J24" s="21">
        <f>-'Financial Statement'!J18</f>
        <v>-33</v>
      </c>
      <c r="K24" s="21">
        <f>-'Financial Statement'!K18</f>
        <v>-36</v>
      </c>
      <c r="L24" s="21">
        <f>-'Financial Statement'!L18</f>
        <v>-38</v>
      </c>
      <c r="M24" s="21">
        <f>-'Financial Statement'!M18</f>
        <v>-40</v>
      </c>
    </row>
    <row r="25" spans="2:13" x14ac:dyDescent="0.3">
      <c r="B25" s="16" t="s">
        <v>146</v>
      </c>
      <c r="C25" s="63"/>
      <c r="D25" s="60">
        <f>-'Financial Statement'!D12</f>
        <v>0</v>
      </c>
      <c r="E25" s="60">
        <f>-'Financial Statement'!E12</f>
        <v>0</v>
      </c>
      <c r="F25" s="60">
        <f>-'Financial Statement'!F12</f>
        <v>0</v>
      </c>
      <c r="G25" s="60">
        <f>-'Financial Statement'!G12</f>
        <v>0</v>
      </c>
      <c r="H25" s="60">
        <f>-'Financial Statement'!H12</f>
        <v>31</v>
      </c>
      <c r="I25" s="21">
        <f>-'Financial Statement'!I12</f>
        <v>55</v>
      </c>
      <c r="J25" s="21">
        <f>-'Financial Statement'!J12</f>
        <v>79</v>
      </c>
      <c r="K25" s="21">
        <f>-'Financial Statement'!K12</f>
        <v>95</v>
      </c>
      <c r="L25" s="21">
        <f>-'Financial Statement'!L12</f>
        <v>109</v>
      </c>
      <c r="M25" s="21">
        <f>-'Financial Statement'!M12</f>
        <v>121</v>
      </c>
    </row>
    <row r="26" spans="2:13" x14ac:dyDescent="0.3">
      <c r="B26" s="17" t="s">
        <v>230</v>
      </c>
      <c r="C26" s="64"/>
      <c r="D26" s="61">
        <f>SUM(D19:D25)</f>
        <v>548</v>
      </c>
      <c r="E26" s="61">
        <f>SUM(E19:E25)</f>
        <v>560</v>
      </c>
      <c r="F26" s="61">
        <f>SUM(F19:F25)</f>
        <v>752</v>
      </c>
      <c r="G26" s="61">
        <f>SUM(G19:G25)</f>
        <v>841</v>
      </c>
      <c r="H26" s="61">
        <f>SUM(H19:H25)</f>
        <v>832</v>
      </c>
      <c r="I26" s="22">
        <f>SUM(I19:I25)</f>
        <v>824.27601099999947</v>
      </c>
      <c r="J26" s="22">
        <f>SUM(J19:J25)</f>
        <v>930.69809187999999</v>
      </c>
      <c r="K26" s="22">
        <f>SUM(K19:K25)</f>
        <v>1017.5969583115987</v>
      </c>
      <c r="L26" s="22">
        <f>SUM(L19:L25)</f>
        <v>1093.6327758102962</v>
      </c>
      <c r="M26" s="22">
        <f>SUM(M19:M25)</f>
        <v>1157.5144146008111</v>
      </c>
    </row>
    <row r="27" spans="2:13" x14ac:dyDescent="0.3">
      <c r="B27" s="16" t="s">
        <v>147</v>
      </c>
      <c r="C27" s="63"/>
      <c r="D27" s="60">
        <f>-'Financial Statement'!D14+D14</f>
        <v>52</v>
      </c>
      <c r="E27" s="60">
        <f>-'Financial Statement'!E14+E14</f>
        <v>70.849999999999994</v>
      </c>
      <c r="F27" s="60">
        <f>-'Financial Statement'!F14+F14</f>
        <v>76.7</v>
      </c>
      <c r="G27" s="60">
        <f>-'Financial Statement'!G14+G14</f>
        <v>94.9</v>
      </c>
      <c r="H27" s="60">
        <f>-'Financial Statement'!H14+H14</f>
        <v>117</v>
      </c>
      <c r="I27" s="21">
        <f>-'Financial Statement'!I14+I14</f>
        <v>112.45</v>
      </c>
      <c r="J27" s="21">
        <f>-'Financial Statement'!J14+J14</f>
        <v>62.400000000000006</v>
      </c>
      <c r="K27" s="21">
        <f>-'Financial Statement'!K14+K14</f>
        <v>42.900000000000006</v>
      </c>
      <c r="L27" s="21">
        <f>-'Financial Statement'!L14+L14</f>
        <v>28.6</v>
      </c>
      <c r="M27" s="21">
        <f>-'Financial Statement'!M14+M14</f>
        <v>18.850000000000001</v>
      </c>
    </row>
    <row r="28" spans="2:13" x14ac:dyDescent="0.3">
      <c r="B28" s="16" t="s">
        <v>226</v>
      </c>
      <c r="C28" s="63"/>
      <c r="D28" s="60">
        <f>D6*0.65</f>
        <v>1.3</v>
      </c>
      <c r="E28" s="60">
        <f>E6*0.65</f>
        <v>2.6</v>
      </c>
      <c r="F28" s="60">
        <f>F6*0.65</f>
        <v>2.6</v>
      </c>
      <c r="G28" s="60">
        <f>G6*0.65</f>
        <v>9.1</v>
      </c>
      <c r="H28" s="60">
        <f>H6*0.65</f>
        <v>13.65</v>
      </c>
      <c r="I28" s="21">
        <f>I6*0.65</f>
        <v>13.65</v>
      </c>
      <c r="J28" s="21">
        <f>J6*0.65</f>
        <v>13.65</v>
      </c>
      <c r="K28" s="21">
        <f>K6*0.65</f>
        <v>13.65</v>
      </c>
      <c r="L28" s="21">
        <f>L6*0.65</f>
        <v>13.65</v>
      </c>
      <c r="M28" s="21">
        <f>M6*0.65</f>
        <v>13.65</v>
      </c>
    </row>
    <row r="29" spans="2:13" x14ac:dyDescent="0.3">
      <c r="B29" s="17" t="s">
        <v>234</v>
      </c>
      <c r="C29" s="64"/>
      <c r="D29" s="61">
        <f>SUM(D26:D28)</f>
        <v>601.29999999999995</v>
      </c>
      <c r="E29" s="61">
        <f>SUM(E26:E28)</f>
        <v>633.45000000000005</v>
      </c>
      <c r="F29" s="61">
        <f>SUM(F26:F28)</f>
        <v>831.30000000000007</v>
      </c>
      <c r="G29" s="61">
        <f>SUM(G26:G28)</f>
        <v>945</v>
      </c>
      <c r="H29" s="61">
        <f>SUM(H26:H28)</f>
        <v>962.65</v>
      </c>
      <c r="I29" s="22">
        <f>SUM(I26:I28)</f>
        <v>950.37601099999949</v>
      </c>
      <c r="J29" s="22">
        <f>SUM(J26:J28)</f>
        <v>1006.7480918799999</v>
      </c>
      <c r="K29" s="22">
        <f>SUM(K26:K28)</f>
        <v>1074.1469583115988</v>
      </c>
      <c r="L29" s="22">
        <f>SUM(L26:L28)</f>
        <v>1135.8827758102962</v>
      </c>
      <c r="M29" s="22">
        <f>SUM(M26:M28)</f>
        <v>1190.0144146008111</v>
      </c>
    </row>
    <row r="30" spans="2:13" x14ac:dyDescent="0.3">
      <c r="B30" s="16" t="s">
        <v>148</v>
      </c>
      <c r="C30" s="63"/>
      <c r="D30" s="60">
        <f>-('Financial Statement'!D15-D15)</f>
        <v>-25.35</v>
      </c>
      <c r="E30" s="60">
        <f>-('Financial Statement'!E15-E15)</f>
        <v>-27.950000000000003</v>
      </c>
      <c r="F30" s="60">
        <f>-('Financial Statement'!F15-F15)</f>
        <v>-30.55</v>
      </c>
      <c r="G30" s="60">
        <f>-('Financial Statement'!G15-G15)</f>
        <v>-24.05</v>
      </c>
      <c r="H30" s="60">
        <f>-('Financial Statement'!H15-H15)</f>
        <v>-26</v>
      </c>
      <c r="I30" s="21">
        <f>-('Financial Statement'!I15-I15)</f>
        <v>-15.600000000000001</v>
      </c>
      <c r="J30" s="21">
        <f>-('Financial Statement'!J15-J15)</f>
        <v>0</v>
      </c>
      <c r="K30" s="21">
        <f>-('Financial Statement'!K15-K15)</f>
        <v>0</v>
      </c>
      <c r="L30" s="21">
        <f>-('Financial Statement'!L15-L15)</f>
        <v>0</v>
      </c>
      <c r="M30" s="21">
        <f>-('Financial Statement'!M15-M15)</f>
        <v>0</v>
      </c>
    </row>
    <row r="31" spans="2:13" x14ac:dyDescent="0.3">
      <c r="B31" s="17" t="s">
        <v>89</v>
      </c>
      <c r="C31" s="64"/>
      <c r="D31" s="61">
        <f>SUM(D29:D30)</f>
        <v>575.94999999999993</v>
      </c>
      <c r="E31" s="61">
        <f>SUM(E29:E30)</f>
        <v>605.5</v>
      </c>
      <c r="F31" s="61">
        <f>SUM(F29:F30)</f>
        <v>800.75000000000011</v>
      </c>
      <c r="G31" s="61">
        <f>SUM(G29:G30)</f>
        <v>920.95</v>
      </c>
      <c r="H31" s="61">
        <f>SUM(H29:H30)</f>
        <v>936.65</v>
      </c>
      <c r="I31" s="22">
        <f>SUM(I29:I30)</f>
        <v>934.77601099999947</v>
      </c>
      <c r="J31" s="22">
        <f>SUM(J29:J30)</f>
        <v>1006.7480918799999</v>
      </c>
      <c r="K31" s="22">
        <f>SUM(K29:K30)</f>
        <v>1074.1469583115988</v>
      </c>
      <c r="L31" s="22">
        <f>SUM(L29:L30)</f>
        <v>1135.8827758102962</v>
      </c>
      <c r="M31" s="22">
        <f>SUM(M29:M30)</f>
        <v>1190.0144146008111</v>
      </c>
    </row>
    <row r="32" spans="2:13" x14ac:dyDescent="0.3">
      <c r="B32" s="14"/>
      <c r="C32" s="9"/>
      <c r="D32" s="46"/>
      <c r="E32" s="46"/>
      <c r="F32" s="46"/>
      <c r="G32" s="46"/>
      <c r="H32" s="46"/>
      <c r="I32" s="9"/>
      <c r="J32" s="9"/>
      <c r="K32" s="9"/>
      <c r="L32" s="9"/>
      <c r="M32" s="9"/>
    </row>
    <row r="33" spans="2:13" x14ac:dyDescent="0.3">
      <c r="B33" s="19" t="s">
        <v>227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2:13" x14ac:dyDescent="0.3">
      <c r="B34" s="15"/>
      <c r="C34" s="13">
        <v>1998</v>
      </c>
      <c r="D34" s="13">
        <v>1999</v>
      </c>
      <c r="E34" s="13">
        <v>2000</v>
      </c>
      <c r="F34" s="13">
        <v>2001</v>
      </c>
      <c r="G34" s="13">
        <v>2002</v>
      </c>
      <c r="H34" s="13">
        <v>2003</v>
      </c>
      <c r="I34" s="25">
        <v>2004</v>
      </c>
      <c r="J34" s="25">
        <v>2005</v>
      </c>
      <c r="K34" s="25">
        <v>2006</v>
      </c>
      <c r="L34" s="25">
        <v>2007</v>
      </c>
      <c r="M34" s="25">
        <v>2008</v>
      </c>
    </row>
    <row r="35" spans="2:13" x14ac:dyDescent="0.3">
      <c r="B35" s="16" t="s">
        <v>149</v>
      </c>
      <c r="C35" s="60">
        <f>'Financial Statement'!C41-'Financial Statement'!C37</f>
        <v>1336</v>
      </c>
      <c r="D35" s="60">
        <f>'Financial Statement'!D41-'Financial Statement'!D37</f>
        <v>1516</v>
      </c>
      <c r="E35" s="60">
        <f>'Financial Statement'!E41-'Financial Statement'!E37</f>
        <v>1714</v>
      </c>
      <c r="F35" s="60">
        <f>'Financial Statement'!F41-'Financial Statement'!F37</f>
        <v>2043</v>
      </c>
      <c r="G35" s="60">
        <f>'Financial Statement'!G41-'Financial Statement'!G37</f>
        <v>2215</v>
      </c>
      <c r="H35" s="60">
        <f>'Financial Statement'!H41-'Financial Statement'!H37</f>
        <v>2398</v>
      </c>
      <c r="I35" s="21">
        <f>'Financial Statement'!I41-'Financial Statement'!I37</f>
        <v>2638.9524657534248</v>
      </c>
      <c r="J35" s="21">
        <f>'Financial Statement'!J41-'Financial Statement'!J37</f>
        <v>2849.7486630136987</v>
      </c>
      <c r="K35" s="21">
        <f>'Financial Statement'!K41-'Financial Statement'!K37</f>
        <v>3048.8310694246575</v>
      </c>
      <c r="L35" s="21">
        <f>'Financial Statement'!L41-'Financial Statement'!L37</f>
        <v>3231.6609335901376</v>
      </c>
      <c r="M35" s="21">
        <f>'Financial Statement'!M41-'Financial Statement'!M37</f>
        <v>3393.7939802696446</v>
      </c>
    </row>
    <row r="36" spans="2:13" x14ac:dyDescent="0.3">
      <c r="B36" s="16" t="s">
        <v>150</v>
      </c>
      <c r="C36" s="60">
        <f>-('Financial Statement'!C53-'Financial Statement'!C48-'Financial Statement'!C51)</f>
        <v>-1055</v>
      </c>
      <c r="D36" s="60">
        <f>-('Financial Statement'!D53-'Financial Statement'!D48-'Financial Statement'!D51)</f>
        <v>-1284</v>
      </c>
      <c r="E36" s="60">
        <f>-('Financial Statement'!E53-'Financial Statement'!E48-'Financial Statement'!E51)</f>
        <v>-1386</v>
      </c>
      <c r="F36" s="60">
        <f>-('Financial Statement'!F53-'Financial Statement'!F48-'Financial Statement'!F51)</f>
        <v>-1558</v>
      </c>
      <c r="G36" s="60">
        <f>-('Financial Statement'!G53-'Financial Statement'!G48-'Financial Statement'!G51)</f>
        <v>-1505</v>
      </c>
      <c r="H36" s="60">
        <f>-('Financial Statement'!H53-'Financial Statement'!H48-'Financial Statement'!H51)</f>
        <v>-1781</v>
      </c>
      <c r="I36" s="21">
        <f>-('Financial Statement'!I53-'Financial Statement'!I48-'Financial Statement'!I51)</f>
        <v>-1959</v>
      </c>
      <c r="J36" s="21">
        <f>-('Financial Statement'!J53-'Financial Statement'!J48-'Financial Statement'!J51)</f>
        <v>-2116</v>
      </c>
      <c r="K36" s="21">
        <f>-('Financial Statement'!K53-'Financial Statement'!K48-'Financial Statement'!K51)</f>
        <v>-2264</v>
      </c>
      <c r="L36" s="21">
        <f>-('Financial Statement'!L53-'Financial Statement'!L48-'Financial Statement'!L51)</f>
        <v>-2400</v>
      </c>
      <c r="M36" s="21">
        <f>-('Financial Statement'!M53-'Financial Statement'!M48-'Financial Statement'!M51)</f>
        <v>-2520</v>
      </c>
    </row>
    <row r="37" spans="2:13" x14ac:dyDescent="0.3">
      <c r="B37" s="17" t="s">
        <v>90</v>
      </c>
      <c r="C37" s="61">
        <f>SUM(C35:C36)</f>
        <v>281</v>
      </c>
      <c r="D37" s="61">
        <f>SUM(D35:D36)</f>
        <v>232</v>
      </c>
      <c r="E37" s="61">
        <f>SUM(E35:E36)</f>
        <v>328</v>
      </c>
      <c r="F37" s="61">
        <f>SUM(F35:F36)</f>
        <v>485</v>
      </c>
      <c r="G37" s="61">
        <f>SUM(G35:G36)</f>
        <v>710</v>
      </c>
      <c r="H37" s="61">
        <f>SUM(H35:H36)</f>
        <v>617</v>
      </c>
      <c r="I37" s="22">
        <f>SUM(I35:I36)</f>
        <v>679.9524657534248</v>
      </c>
      <c r="J37" s="22">
        <f>SUM(J35:J36)</f>
        <v>733.74866301369866</v>
      </c>
      <c r="K37" s="22">
        <f>SUM(K35:K36)</f>
        <v>784.83106942465747</v>
      </c>
      <c r="L37" s="22">
        <f>SUM(L35:L36)</f>
        <v>831.66093359013757</v>
      </c>
      <c r="M37" s="22">
        <f>SUM(M35:M36)</f>
        <v>873.79398026964463</v>
      </c>
    </row>
    <row r="38" spans="2:13" x14ac:dyDescent="0.3">
      <c r="B38" s="16" t="s">
        <v>151</v>
      </c>
      <c r="C38" s="60">
        <f>'Financial Statement'!C42</f>
        <v>2605</v>
      </c>
      <c r="D38" s="60">
        <f>'Financial Statement'!D42</f>
        <v>2964</v>
      </c>
      <c r="E38" s="60">
        <f>'Financial Statement'!E42</f>
        <v>3250</v>
      </c>
      <c r="F38" s="60">
        <f>'Financial Statement'!F42</f>
        <v>3605</v>
      </c>
      <c r="G38" s="60">
        <f>'Financial Statement'!G42</f>
        <v>4133</v>
      </c>
      <c r="H38" s="60">
        <f>'Financial Statement'!H42</f>
        <v>5053</v>
      </c>
      <c r="I38" s="21">
        <f>'Financial Statement'!I42</f>
        <v>5558.5530000000008</v>
      </c>
      <c r="J38" s="21">
        <f>'Financial Statement'!J42</f>
        <v>6003.2372400000004</v>
      </c>
      <c r="K38" s="21">
        <f>'Financial Statement'!K42</f>
        <v>6423.4638468000003</v>
      </c>
      <c r="L38" s="21">
        <f>'Financial Statement'!L42</f>
        <v>6808.8716776080009</v>
      </c>
      <c r="M38" s="21">
        <f>'Financial Statement'!M42</f>
        <v>7149.3152614884011</v>
      </c>
    </row>
    <row r="39" spans="2:13" x14ac:dyDescent="0.3">
      <c r="B39" s="17" t="s">
        <v>91</v>
      </c>
      <c r="C39" s="61">
        <f>SUM(C37:C38)</f>
        <v>2886</v>
      </c>
      <c r="D39" s="61">
        <f>SUM(D37:D38)</f>
        <v>3196</v>
      </c>
      <c r="E39" s="61">
        <f>SUM(E37:E38)</f>
        <v>3578</v>
      </c>
      <c r="F39" s="61">
        <f>SUM(F37:F38)</f>
        <v>4090</v>
      </c>
      <c r="G39" s="61">
        <f>SUM(G37:G38)</f>
        <v>4843</v>
      </c>
      <c r="H39" s="61">
        <f>SUM(H37:H38)</f>
        <v>5670</v>
      </c>
      <c r="I39" s="22">
        <f>SUM(I37:I38)</f>
        <v>6238.5054657534256</v>
      </c>
      <c r="J39" s="22">
        <f>SUM(J37:J38)</f>
        <v>6736.9859030136995</v>
      </c>
      <c r="K39" s="22">
        <f>SUM(K37:K38)</f>
        <v>7208.2949162246578</v>
      </c>
      <c r="L39" s="22">
        <f>SUM(L37:L38)</f>
        <v>7640.5326111981385</v>
      </c>
      <c r="M39" s="22">
        <f>SUM(M37:M38)</f>
        <v>8023.1092417580458</v>
      </c>
    </row>
    <row r="40" spans="2:13" x14ac:dyDescent="0.3">
      <c r="B40" s="16" t="s">
        <v>152</v>
      </c>
      <c r="C40" s="59">
        <f>'Financial Statement'!C43</f>
        <v>0</v>
      </c>
      <c r="D40" s="59">
        <f>'Financial Statement'!D43</f>
        <v>0</v>
      </c>
      <c r="E40" s="59">
        <f>'Financial Statement'!E43</f>
        <v>0</v>
      </c>
      <c r="F40" s="59">
        <f>'Financial Statement'!F43</f>
        <v>0</v>
      </c>
      <c r="G40" s="59">
        <f>'Financial Statement'!G43</f>
        <v>0</v>
      </c>
      <c r="H40" s="59">
        <f>'Financial Statement'!H43</f>
        <v>1093</v>
      </c>
      <c r="I40" s="10">
        <f>'Financial Statement'!I43</f>
        <v>1516</v>
      </c>
      <c r="J40" s="10">
        <f>'Financial Statement'!J43</f>
        <v>1766</v>
      </c>
      <c r="K40" s="10">
        <f>'Financial Statement'!K43</f>
        <v>1954</v>
      </c>
      <c r="L40" s="10">
        <f>'Financial Statement'!L43</f>
        <v>2073</v>
      </c>
      <c r="M40" s="10">
        <f>'Financial Statement'!M43</f>
        <v>2113</v>
      </c>
    </row>
    <row r="41" spans="2:13" x14ac:dyDescent="0.3">
      <c r="B41" s="16" t="s">
        <v>236</v>
      </c>
      <c r="C41" s="60">
        <v>1046</v>
      </c>
      <c r="D41" s="60">
        <f>-(-C41+'Financial Statement'!D29+'Financial Statement'!D12)</f>
        <v>1152</v>
      </c>
      <c r="E41" s="60">
        <f>-(-D41+'Financial Statement'!E29+'Financial Statement'!E12)</f>
        <v>1930</v>
      </c>
      <c r="F41" s="60">
        <f>-(-E41+'Financial Statement'!F29+'Financial Statement'!F12)</f>
        <v>2250</v>
      </c>
      <c r="G41" s="60">
        <f>-(-F41+'Financial Statement'!G29+'Financial Statement'!G12)</f>
        <v>3028</v>
      </c>
      <c r="H41" s="60">
        <f>-(-G41+'Financial Statement'!H29+'Financial Statement'!H12)</f>
        <v>3059</v>
      </c>
      <c r="I41" s="21">
        <f>-(-H41+'Financial Statement'!I29+'Financial Statement'!I12)</f>
        <v>3114</v>
      </c>
      <c r="J41" s="21">
        <f>-(-I41+'Financial Statement'!J29+'Financial Statement'!J12)</f>
        <v>3193</v>
      </c>
      <c r="K41" s="21">
        <f>-(-J41+'Financial Statement'!K29+'Financial Statement'!K12)</f>
        <v>3288</v>
      </c>
      <c r="L41" s="21">
        <f>-(-K41+'Financial Statement'!L29+'Financial Statement'!L12)</f>
        <v>3397</v>
      </c>
      <c r="M41" s="21">
        <f>-(-L41+'Financial Statement'!M29+'Financial Statement'!M12)</f>
        <v>3518</v>
      </c>
    </row>
    <row r="42" spans="2:13" x14ac:dyDescent="0.3">
      <c r="B42" s="17" t="s">
        <v>237</v>
      </c>
      <c r="C42" s="61">
        <f>SUM(C39:C41)</f>
        <v>3932</v>
      </c>
      <c r="D42" s="61">
        <f>SUM(D39:D41)</f>
        <v>4348</v>
      </c>
      <c r="E42" s="61">
        <f>SUM(E39:E41)</f>
        <v>5508</v>
      </c>
      <c r="F42" s="61">
        <f>SUM(F39:F41)</f>
        <v>6340</v>
      </c>
      <c r="G42" s="61">
        <f>SUM(G39:G41)</f>
        <v>7871</v>
      </c>
      <c r="H42" s="61">
        <f>SUM(H39:H41)</f>
        <v>9822</v>
      </c>
      <c r="I42" s="22">
        <f>SUM(I39:I41)</f>
        <v>10868.505465753426</v>
      </c>
      <c r="J42" s="22">
        <f>SUM(J39:J41)</f>
        <v>11695.985903013699</v>
      </c>
      <c r="K42" s="22">
        <f>SUM(K39:K41)</f>
        <v>12450.294916224659</v>
      </c>
      <c r="L42" s="22">
        <f>SUM(L39:L41)</f>
        <v>13110.532611198138</v>
      </c>
      <c r="M42" s="22">
        <f>SUM(M39:M41)</f>
        <v>13654.109241758046</v>
      </c>
    </row>
    <row r="43" spans="2:13" x14ac:dyDescent="0.3">
      <c r="B43" s="16" t="s">
        <v>154</v>
      </c>
      <c r="C43" s="59">
        <f>'Financial Statement'!C37</f>
        <v>839</v>
      </c>
      <c r="D43" s="59">
        <f>'Financial Statement'!D37</f>
        <v>1084</v>
      </c>
      <c r="E43" s="59">
        <f>'Financial Statement'!E37</f>
        <v>684</v>
      </c>
      <c r="F43" s="59">
        <f>'Financial Statement'!F37</f>
        <v>1016</v>
      </c>
      <c r="G43" s="59">
        <f>'Financial Statement'!G37</f>
        <v>598</v>
      </c>
      <c r="H43" s="59">
        <f>'Financial Statement'!H37</f>
        <v>1231</v>
      </c>
      <c r="I43" s="10">
        <f>'Financial Statement'!I37</f>
        <v>0</v>
      </c>
      <c r="J43" s="10">
        <f>'Financial Statement'!J37</f>
        <v>0</v>
      </c>
      <c r="K43" s="10">
        <f>'Financial Statement'!K37</f>
        <v>0</v>
      </c>
      <c r="L43" s="10">
        <f>'Financial Statement'!L37</f>
        <v>0</v>
      </c>
      <c r="M43" s="10">
        <f>'Financial Statement'!M37</f>
        <v>0</v>
      </c>
    </row>
    <row r="44" spans="2:13" x14ac:dyDescent="0.3">
      <c r="B44" s="16" t="s">
        <v>240</v>
      </c>
      <c r="C44" s="59">
        <f>'Financial Statement'!C44</f>
        <v>256</v>
      </c>
      <c r="D44" s="59">
        <f>'Financial Statement'!D44</f>
        <v>189</v>
      </c>
      <c r="E44" s="59">
        <f>'Financial Statement'!E44</f>
        <v>279</v>
      </c>
      <c r="F44" s="59">
        <f>'Financial Statement'!F44</f>
        <v>183</v>
      </c>
      <c r="G44" s="59">
        <f>'Financial Statement'!G44</f>
        <v>412</v>
      </c>
      <c r="H44" s="59">
        <f>'Financial Statement'!H44</f>
        <v>433</v>
      </c>
      <c r="I44" s="10">
        <f>'Financial Statement'!I44</f>
        <v>476</v>
      </c>
      <c r="J44" s="10">
        <f>'Financial Statement'!J44</f>
        <v>514</v>
      </c>
      <c r="K44" s="10">
        <f>'Financial Statement'!K44</f>
        <v>550</v>
      </c>
      <c r="L44" s="10">
        <f>'Financial Statement'!L44</f>
        <v>583</v>
      </c>
      <c r="M44" s="10">
        <f>'Financial Statement'!M44</f>
        <v>613</v>
      </c>
    </row>
    <row r="45" spans="2:13" x14ac:dyDescent="0.3">
      <c r="B45" s="16" t="s">
        <v>155</v>
      </c>
      <c r="C45" s="59">
        <f>'Financial Statement'!C46</f>
        <v>233</v>
      </c>
      <c r="D45" s="59">
        <f>'Financial Statement'!D46</f>
        <v>233</v>
      </c>
      <c r="E45" s="59">
        <f>'Financial Statement'!E46</f>
        <v>301</v>
      </c>
      <c r="F45" s="59">
        <f>'Financial Statement'!F46</f>
        <v>318</v>
      </c>
      <c r="G45" s="59">
        <f>'Financial Statement'!G46</f>
        <v>401</v>
      </c>
      <c r="H45" s="59">
        <f>'Financial Statement'!H46</f>
        <v>671</v>
      </c>
      <c r="I45" s="10">
        <f>'Financial Statement'!I46</f>
        <v>671</v>
      </c>
      <c r="J45" s="10">
        <f>'Financial Statement'!J46</f>
        <v>671</v>
      </c>
      <c r="K45" s="10">
        <f>'Financial Statement'!K46</f>
        <v>671</v>
      </c>
      <c r="L45" s="10">
        <f>'Financial Statement'!L46</f>
        <v>671</v>
      </c>
      <c r="M45" s="10">
        <f>'Financial Statement'!M46</f>
        <v>671</v>
      </c>
    </row>
    <row r="46" spans="2:13" x14ac:dyDescent="0.3">
      <c r="B46" s="17" t="s">
        <v>235</v>
      </c>
      <c r="C46" s="61">
        <f>SUM(C42:C45)</f>
        <v>5260</v>
      </c>
      <c r="D46" s="61">
        <f>SUM(D42:D45)</f>
        <v>5854</v>
      </c>
      <c r="E46" s="61">
        <f>SUM(E42:E45)</f>
        <v>6772</v>
      </c>
      <c r="F46" s="61">
        <f>SUM(F42:F45)</f>
        <v>7857</v>
      </c>
      <c r="G46" s="61">
        <f>SUM(G42:G45)</f>
        <v>9282</v>
      </c>
      <c r="H46" s="61">
        <f>SUM(H42:H45)</f>
        <v>12157</v>
      </c>
      <c r="I46" s="22">
        <f>SUM(I42:I45)</f>
        <v>12015.505465753426</v>
      </c>
      <c r="J46" s="22">
        <f>SUM(J42:J45)</f>
        <v>12880.985903013699</v>
      </c>
      <c r="K46" s="22">
        <f>SUM(K42:K45)</f>
        <v>13671.294916224659</v>
      </c>
      <c r="L46" s="22">
        <f>SUM(L42:L45)</f>
        <v>14364.532611198138</v>
      </c>
      <c r="M46" s="22">
        <f>SUM(M42:M45)</f>
        <v>14938.109241758046</v>
      </c>
    </row>
    <row r="47" spans="2:13" x14ac:dyDescent="0.3">
      <c r="B47" s="16" t="s">
        <v>156</v>
      </c>
      <c r="C47" s="60">
        <f>'Financial Statement'!C61</f>
        <v>2299</v>
      </c>
      <c r="D47" s="60">
        <f>'Financial Statement'!D61</f>
        <v>2618</v>
      </c>
      <c r="E47" s="60">
        <f>'Financial Statement'!E61</f>
        <v>2396</v>
      </c>
      <c r="F47" s="60">
        <f>'Financial Statement'!F61</f>
        <v>2758</v>
      </c>
      <c r="G47" s="60">
        <f>'Financial Statement'!G61</f>
        <v>2543</v>
      </c>
      <c r="H47" s="60">
        <f>'Financial Statement'!H61</f>
        <v>3167</v>
      </c>
      <c r="I47" s="21">
        <f>'Financial Statement'!I61</f>
        <v>3724</v>
      </c>
      <c r="J47" s="21">
        <f>'Financial Statement'!J61</f>
        <v>4359</v>
      </c>
      <c r="K47" s="21">
        <f>'Financial Statement'!K61</f>
        <v>5061</v>
      </c>
      <c r="L47" s="21">
        <f>'Financial Statement'!L61</f>
        <v>5824</v>
      </c>
      <c r="M47" s="21">
        <f>'Financial Statement'!M61</f>
        <v>6637</v>
      </c>
    </row>
    <row r="48" spans="2:13" x14ac:dyDescent="0.3">
      <c r="B48" s="16" t="s">
        <v>153</v>
      </c>
      <c r="C48" s="60">
        <v>1046</v>
      </c>
      <c r="D48" s="60">
        <f>-(-C41+'Financial Statement'!D29+'Financial Statement'!D12)</f>
        <v>1152</v>
      </c>
      <c r="E48" s="60">
        <f>-(-D41+'Financial Statement'!E29+'Financial Statement'!E12)</f>
        <v>1930</v>
      </c>
      <c r="F48" s="60">
        <f>-(-E41+'Financial Statement'!F29+'Financial Statement'!F12)</f>
        <v>2250</v>
      </c>
      <c r="G48" s="60">
        <f>-(-F41+'Financial Statement'!G29+'Financial Statement'!G12)</f>
        <v>3028</v>
      </c>
      <c r="H48" s="60">
        <f>-(-G41+'Financial Statement'!H29+'Financial Statement'!H12)</f>
        <v>3059</v>
      </c>
      <c r="I48" s="21">
        <f>-(-H41+'Financial Statement'!I29+'Financial Statement'!I12)</f>
        <v>3114</v>
      </c>
      <c r="J48" s="21">
        <f>-(-I41+'Financial Statement'!J29+'Financial Statement'!J12)</f>
        <v>3193</v>
      </c>
      <c r="K48" s="21">
        <f>-(-J41+'Financial Statement'!K29+'Financial Statement'!K12)</f>
        <v>3288</v>
      </c>
      <c r="L48" s="21">
        <f>-(-K41+'Financial Statement'!L29+'Financial Statement'!L12)</f>
        <v>3397</v>
      </c>
      <c r="M48" s="21">
        <f>-(-L41+'Financial Statement'!M29+'Financial Statement'!M12)</f>
        <v>3518</v>
      </c>
    </row>
    <row r="49" spans="2:13" x14ac:dyDescent="0.3">
      <c r="B49" s="16" t="s">
        <v>157</v>
      </c>
      <c r="C49" s="59">
        <f>'Financial Statement'!C62</f>
        <v>256</v>
      </c>
      <c r="D49" s="59">
        <f>'Financial Statement'!D62</f>
        <v>248</v>
      </c>
      <c r="E49" s="59">
        <f>'Financial Statement'!E62</f>
        <v>124</v>
      </c>
      <c r="F49" s="59">
        <f>'Financial Statement'!F62</f>
        <v>381</v>
      </c>
      <c r="G49" s="59">
        <f>'Financial Statement'!G62</f>
        <v>393</v>
      </c>
      <c r="H49" s="59">
        <f>'Financial Statement'!H62</f>
        <v>732</v>
      </c>
      <c r="I49" s="10">
        <f>'Financial Statement'!I62</f>
        <v>763</v>
      </c>
      <c r="J49" s="10">
        <f>'Financial Statement'!J62</f>
        <v>798</v>
      </c>
      <c r="K49" s="10">
        <f>'Financial Statement'!K62</f>
        <v>835</v>
      </c>
      <c r="L49" s="10">
        <f>'Financial Statement'!L62</f>
        <v>876</v>
      </c>
      <c r="M49" s="10">
        <f>'Financial Statement'!M62</f>
        <v>918</v>
      </c>
    </row>
    <row r="50" spans="2:13" x14ac:dyDescent="0.3">
      <c r="B50" s="16" t="s">
        <v>158</v>
      </c>
      <c r="C50" s="59">
        <f>'Financial Statement'!C58</f>
        <v>125</v>
      </c>
      <c r="D50" s="59">
        <f>'Financial Statement'!D58</f>
        <v>158</v>
      </c>
      <c r="E50" s="59">
        <f>'Financial Statement'!E58</f>
        <v>158</v>
      </c>
      <c r="F50" s="59">
        <f>'Financial Statement'!F58</f>
        <v>133</v>
      </c>
      <c r="G50" s="59">
        <f>'Financial Statement'!G58</f>
        <v>133</v>
      </c>
      <c r="H50" s="59">
        <f>'Financial Statement'!H58</f>
        <v>133</v>
      </c>
      <c r="I50" s="10">
        <f>'Financial Statement'!I58</f>
        <v>146</v>
      </c>
      <c r="J50" s="10">
        <f>'Financial Statement'!J58</f>
        <v>158</v>
      </c>
      <c r="K50" s="10">
        <f>'Financial Statement'!K58</f>
        <v>169</v>
      </c>
      <c r="L50" s="10">
        <f>'Financial Statement'!L58</f>
        <v>179</v>
      </c>
      <c r="M50" s="10">
        <f>'Financial Statement'!M58</f>
        <v>188</v>
      </c>
    </row>
    <row r="51" spans="2:13" x14ac:dyDescent="0.3">
      <c r="B51" s="16" t="s">
        <v>159</v>
      </c>
      <c r="C51" s="59">
        <f>'Financial Statement'!C56-'Financial Statement'!C45</f>
        <v>273</v>
      </c>
      <c r="D51" s="59">
        <f>'Financial Statement'!D56-'Financial Statement'!D45</f>
        <v>295</v>
      </c>
      <c r="E51" s="59">
        <f>'Financial Statement'!E56-'Financial Statement'!E45</f>
        <v>277</v>
      </c>
      <c r="F51" s="59">
        <f>'Financial Statement'!F56-'Financial Statement'!F45</f>
        <v>327</v>
      </c>
      <c r="G51" s="59">
        <f>'Financial Statement'!G56-'Financial Statement'!G45</f>
        <v>359</v>
      </c>
      <c r="H51" s="59">
        <f>'Financial Statement'!H56-'Financial Statement'!H45</f>
        <v>397</v>
      </c>
      <c r="I51" s="10">
        <f>'Financial Statement'!I56-'Financial Statement'!I45</f>
        <v>409</v>
      </c>
      <c r="J51" s="10">
        <f>'Financial Statement'!J56-'Financial Statement'!J45</f>
        <v>422</v>
      </c>
      <c r="K51" s="10">
        <f>'Financial Statement'!K56-'Financial Statement'!K45</f>
        <v>435</v>
      </c>
      <c r="L51" s="10">
        <f>'Financial Statement'!L56-'Financial Statement'!L45</f>
        <v>449</v>
      </c>
      <c r="M51" s="10">
        <f>'Financial Statement'!M56-'Financial Statement'!M45</f>
        <v>463</v>
      </c>
    </row>
    <row r="52" spans="2:13" x14ac:dyDescent="0.3">
      <c r="B52" s="16" t="s">
        <v>160</v>
      </c>
      <c r="C52" s="59">
        <f>'Financial Statement'!C51</f>
        <v>58</v>
      </c>
      <c r="D52" s="59">
        <f>'Financial Statement'!D51</f>
        <v>87</v>
      </c>
      <c r="E52" s="59">
        <f>'Financial Statement'!E51</f>
        <v>78</v>
      </c>
      <c r="F52" s="59">
        <f>'Financial Statement'!F51</f>
        <v>107</v>
      </c>
      <c r="G52" s="59">
        <f>'Financial Statement'!G51</f>
        <v>105</v>
      </c>
      <c r="H52" s="59">
        <f>'Financial Statement'!H51</f>
        <v>16</v>
      </c>
      <c r="I52" s="10">
        <f>'Financial Statement'!I51</f>
        <v>18</v>
      </c>
      <c r="J52" s="10">
        <f>'Financial Statement'!J51</f>
        <v>19</v>
      </c>
      <c r="K52" s="10">
        <f>'Financial Statement'!K51</f>
        <v>20</v>
      </c>
      <c r="L52" s="10">
        <f>'Financial Statement'!L51</f>
        <v>22</v>
      </c>
      <c r="M52" s="10">
        <f>'Financial Statement'!M51</f>
        <v>23</v>
      </c>
    </row>
    <row r="53" spans="2:13" x14ac:dyDescent="0.3">
      <c r="B53" s="17" t="s">
        <v>92</v>
      </c>
      <c r="C53" s="61">
        <f>SUM(C47:C52)</f>
        <v>4057</v>
      </c>
      <c r="D53" s="61">
        <f>SUM(D47:D52)</f>
        <v>4558</v>
      </c>
      <c r="E53" s="61">
        <f>SUM(E47:E52)</f>
        <v>4963</v>
      </c>
      <c r="F53" s="61">
        <f>SUM(F47:F52)</f>
        <v>5956</v>
      </c>
      <c r="G53" s="61">
        <f>SUM(G47:G52)</f>
        <v>6561</v>
      </c>
      <c r="H53" s="61">
        <f>SUM(H47:H52)</f>
        <v>7504</v>
      </c>
      <c r="I53" s="22">
        <f>SUM(I47:I52)</f>
        <v>8174</v>
      </c>
      <c r="J53" s="22">
        <f>SUM(J47:J52)</f>
        <v>8949</v>
      </c>
      <c r="K53" s="22">
        <f>SUM(K47:K52)</f>
        <v>9808</v>
      </c>
      <c r="L53" s="22">
        <f>SUM(L47:L52)</f>
        <v>10747</v>
      </c>
      <c r="M53" s="22">
        <f>SUM(M47:M52)</f>
        <v>11747</v>
      </c>
    </row>
    <row r="54" spans="2:13" x14ac:dyDescent="0.3">
      <c r="B54" s="16" t="s">
        <v>161</v>
      </c>
      <c r="C54" s="60">
        <f>'Financial Statement'!C54+'Financial Statement'!C48+'Financial Statement'!C55</f>
        <v>869</v>
      </c>
      <c r="D54" s="60">
        <f>'Financial Statement'!D54+'Financial Statement'!D48+'Financial Statement'!D55</f>
        <v>978</v>
      </c>
      <c r="E54" s="60">
        <f>'Financial Statement'!E54+'Financial Statement'!E48+'Financial Statement'!E55</f>
        <v>1303</v>
      </c>
      <c r="F54" s="60">
        <f>'Financial Statement'!F54+'Financial Statement'!F48+'Financial Statement'!F55</f>
        <v>1367</v>
      </c>
      <c r="G54" s="60">
        <f>'Financial Statement'!G54+'Financial Statement'!G48+'Financial Statement'!G55</f>
        <v>2254</v>
      </c>
      <c r="H54" s="60">
        <f>'Financial Statement'!H54+'Financial Statement'!H48+'Financial Statement'!H55</f>
        <v>3834</v>
      </c>
      <c r="I54" s="21">
        <f>'Financial Statement'!I54+'Financial Statement'!I48+'Financial Statement'!I55</f>
        <v>3314</v>
      </c>
      <c r="J54" s="21">
        <f>'Financial Statement'!J54+'Financial Statement'!J48+'Financial Statement'!J55</f>
        <v>3405</v>
      </c>
      <c r="K54" s="21">
        <f>'Financial Statement'!K54+'Financial Statement'!K48+'Financial Statement'!K55</f>
        <v>3336</v>
      </c>
      <c r="L54" s="21">
        <f>'Financial Statement'!L54+'Financial Statement'!L48+'Financial Statement'!L55</f>
        <v>3093</v>
      </c>
      <c r="M54" s="21">
        <f>'Financial Statement'!M54+'Financial Statement'!M48+'Financial Statement'!M55</f>
        <v>2666</v>
      </c>
    </row>
    <row r="55" spans="2:13" x14ac:dyDescent="0.3">
      <c r="B55" s="16" t="s">
        <v>162</v>
      </c>
      <c r="C55" s="59">
        <f>'Financial Statement'!C57</f>
        <v>47</v>
      </c>
      <c r="D55" s="59">
        <f>'Financial Statement'!D57</f>
        <v>48</v>
      </c>
      <c r="E55" s="59">
        <f>'Financial Statement'!E57</f>
        <v>100</v>
      </c>
      <c r="F55" s="59">
        <f>'Financial Statement'!F57</f>
        <v>112</v>
      </c>
      <c r="G55" s="59">
        <f>'Financial Statement'!G57</f>
        <v>352</v>
      </c>
      <c r="H55" s="59">
        <f>'Financial Statement'!H57</f>
        <v>526</v>
      </c>
      <c r="I55" s="10">
        <f>'Financial Statement'!I57</f>
        <v>526</v>
      </c>
      <c r="J55" s="10">
        <f>'Financial Statement'!J57</f>
        <v>526</v>
      </c>
      <c r="K55" s="10">
        <f>'Financial Statement'!K57</f>
        <v>526</v>
      </c>
      <c r="L55" s="10">
        <f>'Financial Statement'!L57</f>
        <v>526</v>
      </c>
      <c r="M55" s="10">
        <f>'Financial Statement'!M57</f>
        <v>526</v>
      </c>
    </row>
    <row r="56" spans="2:13" x14ac:dyDescent="0.3">
      <c r="B56" s="16" t="s">
        <v>163</v>
      </c>
      <c r="C56" s="59">
        <f>'Financial Statement'!C59</f>
        <v>289</v>
      </c>
      <c r="D56" s="59">
        <f>'Financial Statement'!D59</f>
        <v>269</v>
      </c>
      <c r="E56" s="59">
        <f>'Financial Statement'!E59</f>
        <v>406</v>
      </c>
      <c r="F56" s="59">
        <f>'Financial Statement'!F59</f>
        <v>422</v>
      </c>
      <c r="G56" s="59">
        <f>'Financial Statement'!G59</f>
        <v>115</v>
      </c>
      <c r="H56" s="59">
        <f>'Financial Statement'!H59</f>
        <v>293</v>
      </c>
      <c r="I56" s="10">
        <f>'Financial Statement'!I59</f>
        <v>0</v>
      </c>
      <c r="J56" s="10">
        <f>'Financial Statement'!J59</f>
        <v>0</v>
      </c>
      <c r="K56" s="10">
        <f>'Financial Statement'!K59</f>
        <v>0</v>
      </c>
      <c r="L56" s="10">
        <f>'Financial Statement'!L59</f>
        <v>0</v>
      </c>
      <c r="M56" s="10">
        <f>'Financial Statement'!M59</f>
        <v>0</v>
      </c>
    </row>
    <row r="57" spans="2:13" x14ac:dyDescent="0.3">
      <c r="B57" s="17" t="s">
        <v>93</v>
      </c>
      <c r="C57" s="61">
        <f>SUM(C53:C56)</f>
        <v>5262</v>
      </c>
      <c r="D57" s="61">
        <f>SUM(D53:D56)</f>
        <v>5853</v>
      </c>
      <c r="E57" s="61">
        <f>SUM(E53:E56)</f>
        <v>6772</v>
      </c>
      <c r="F57" s="61">
        <f>SUM(F53:F56)</f>
        <v>7857</v>
      </c>
      <c r="G57" s="61">
        <f>SUM(G53:G56)</f>
        <v>9282</v>
      </c>
      <c r="H57" s="61">
        <f>SUM(H53:H56)</f>
        <v>12157</v>
      </c>
      <c r="I57" s="22">
        <f>SUM(I53:I56)</f>
        <v>12014</v>
      </c>
      <c r="J57" s="22">
        <f>SUM(J53:J56)</f>
        <v>12880</v>
      </c>
      <c r="K57" s="22">
        <f>SUM(K53:K56)</f>
        <v>13670</v>
      </c>
      <c r="L57" s="22">
        <f>SUM(L53:L56)</f>
        <v>14366</v>
      </c>
      <c r="M57" s="22">
        <f>SUM(M53:M56)</f>
        <v>14939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workbookViewId="0">
      <selection activeCell="B4" sqref="B4"/>
    </sheetView>
  </sheetViews>
  <sheetFormatPr defaultRowHeight="14.4" x14ac:dyDescent="0.3"/>
  <cols>
    <col min="1" max="1" width="1" customWidth="1"/>
    <col min="2" max="2" width="38.44140625" customWidth="1"/>
  </cols>
  <sheetData>
    <row r="1" spans="2:13" x14ac:dyDescent="0.3">
      <c r="B1" s="115" t="str">
        <f>'Financial Statement'!B1</f>
        <v>Heineken company</v>
      </c>
    </row>
    <row r="3" spans="2:13" x14ac:dyDescent="0.3">
      <c r="B3" s="19" t="s">
        <v>549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3" x14ac:dyDescent="0.3">
      <c r="B4" s="37" t="s">
        <v>233</v>
      </c>
      <c r="C4" s="38"/>
      <c r="D4" s="39">
        <v>1999</v>
      </c>
      <c r="E4" s="39">
        <v>2000</v>
      </c>
      <c r="F4" s="39">
        <v>2001</v>
      </c>
      <c r="G4" s="39">
        <v>2002</v>
      </c>
      <c r="H4" s="39">
        <v>2003</v>
      </c>
      <c r="I4" s="25">
        <v>2004</v>
      </c>
      <c r="J4" s="25">
        <v>2005</v>
      </c>
      <c r="K4" s="25">
        <v>2006</v>
      </c>
      <c r="L4" s="25">
        <v>2007</v>
      </c>
      <c r="M4" s="25">
        <v>2008</v>
      </c>
    </row>
    <row r="5" spans="2:13" x14ac:dyDescent="0.3">
      <c r="B5" s="16" t="s">
        <v>171</v>
      </c>
      <c r="C5" s="63"/>
      <c r="D5" s="73">
        <f>'NOPLAT and IC'!D8/'Financial Statement'!D5*100</f>
        <v>13.530175210902012</v>
      </c>
      <c r="E5" s="73">
        <f>'NOPLAT and IC'!E8/'Financial Statement'!E5*100</f>
        <v>13.187909894496721</v>
      </c>
      <c r="F5" s="73">
        <f>'NOPLAT and IC'!F8/'Financial Statement'!F5*100</f>
        <v>13.909537608668263</v>
      </c>
      <c r="G5" s="73">
        <f>'NOPLAT and IC'!G8/'Financial Statement'!G5*100</f>
        <v>14.382421484851848</v>
      </c>
      <c r="H5" s="73">
        <f>'NOPLAT and IC'!H8/'Financial Statement'!H5*100</f>
        <v>13.765532144786603</v>
      </c>
      <c r="I5" s="83">
        <f>'NOPLAT and IC'!I8/'Financial Statement'!I5*100</f>
        <v>12.664171808850247</v>
      </c>
      <c r="J5" s="83">
        <f>'NOPLAT and IC'!J8/'Financial Statement'!J5*100</f>
        <v>12.630338063509214</v>
      </c>
      <c r="K5" s="83">
        <f>'NOPLAT and IC'!K8/'Financial Statement'!K5*100</f>
        <v>12.602202776332325</v>
      </c>
      <c r="L5" s="83">
        <f>'NOPLAT and IC'!L8/'Financial Statement'!L5*100</f>
        <v>12.578787442992406</v>
      </c>
      <c r="M5" s="83">
        <f>'NOPLAT and IC'!M8/'Financial Statement'!M5*100</f>
        <v>12.559312850684249</v>
      </c>
    </row>
    <row r="6" spans="2:13" x14ac:dyDescent="0.3">
      <c r="B6" s="16" t="s">
        <v>238</v>
      </c>
      <c r="C6" s="63"/>
      <c r="D6" s="74">
        <f>-('Financial Statement'!D6/'Financial Statement'!D5*100)</f>
        <v>46.88513951979234</v>
      </c>
      <c r="E6" s="74">
        <f>-('Financial Statement'!E6/'Financial Statement'!E5*100)</f>
        <v>46.278870829769033</v>
      </c>
      <c r="F6" s="74">
        <f>-('Financial Statement'!F6/'Financial Statement'!F5*100)</f>
        <v>45.924152702532446</v>
      </c>
      <c r="G6" s="74">
        <f>-('Financial Statement'!G6/'Financial Statement'!G5*100)</f>
        <v>44.512262789923426</v>
      </c>
      <c r="H6" s="74">
        <f>-('Financial Statement'!H6/'Financial Statement'!H5*100)</f>
        <v>48.200972447325768</v>
      </c>
      <c r="I6" s="33">
        <f>-('Financial Statement'!I6/'Financial Statement'!I5*100)</f>
        <v>48.900000000000006</v>
      </c>
      <c r="J6" s="33">
        <f>-('Financial Statement'!J6/'Financial Statement'!J5*100)</f>
        <v>48.9</v>
      </c>
      <c r="K6" s="33">
        <f>-('Financial Statement'!K6/'Financial Statement'!K5*100)</f>
        <v>48.900000000000006</v>
      </c>
      <c r="L6" s="33">
        <f>-('Financial Statement'!L6/'Financial Statement'!L5*100)</f>
        <v>48.9</v>
      </c>
      <c r="M6" s="33">
        <f>-('Financial Statement'!M6/'Financial Statement'!M5*100)</f>
        <v>48.9</v>
      </c>
    </row>
    <row r="7" spans="2:13" x14ac:dyDescent="0.3">
      <c r="B7" s="16" t="s">
        <v>239</v>
      </c>
      <c r="C7" s="63"/>
      <c r="D7" s="74">
        <f>-('Financial Statement'!D7/'Financial Statement'!D5*100)</f>
        <v>15.639195327709279</v>
      </c>
      <c r="E7" s="74">
        <f>-('Financial Statement'!E7/'Financial Statement'!E5*100)</f>
        <v>15.782720273738239</v>
      </c>
      <c r="F7" s="74">
        <f>-('Financial Statement'!F7/'Financial Statement'!F5*100)</f>
        <v>16.139599344840619</v>
      </c>
      <c r="G7" s="74">
        <f>-('Financial Statement'!G7/'Financial Statement'!G5*100)</f>
        <v>17.589612695594273</v>
      </c>
      <c r="H7" s="74">
        <f>-('Financial Statement'!H7/'Financial Statement'!H5*100)</f>
        <v>12.220421393841168</v>
      </c>
      <c r="I7" s="33">
        <f>-('Financial Statement'!I7/'Financial Statement'!I5*100)</f>
        <v>12.8</v>
      </c>
      <c r="J7" s="33">
        <f>-('Financial Statement'!J7/'Financial Statement'!J5*100)</f>
        <v>12.8</v>
      </c>
      <c r="K7" s="33">
        <f>-('Financial Statement'!K7/'Financial Statement'!K5*100)</f>
        <v>12.800000000000002</v>
      </c>
      <c r="L7" s="33">
        <f>-('Financial Statement'!L7/'Financial Statement'!L5*100)</f>
        <v>12.8</v>
      </c>
      <c r="M7" s="33">
        <f>-('Financial Statement'!M7/'Financial Statement'!M5*100)</f>
        <v>12.800000000000002</v>
      </c>
    </row>
    <row r="8" spans="2:13" x14ac:dyDescent="0.3">
      <c r="B8" s="16" t="s">
        <v>172</v>
      </c>
      <c r="C8" s="63"/>
      <c r="D8" s="74">
        <f>-('Financial Statement'!D8/'Financial Statement'!D5*100)</f>
        <v>18.364698247890978</v>
      </c>
      <c r="E8" s="74">
        <f>-('Financial Statement'!E8/'Financial Statement'!E5*100)</f>
        <v>18.548617051611064</v>
      </c>
      <c r="F8" s="74">
        <f>-('Financial Statement'!F8/'Financial Statement'!F5*100)</f>
        <v>17.853093108227288</v>
      </c>
      <c r="G8" s="74">
        <f>-('Financial Statement'!G8/'Financial Statement'!G5*100)</f>
        <v>18.222172899789147</v>
      </c>
      <c r="H8" s="74">
        <f>-('Financial Statement'!H8/'Financial Statement'!H5*100)</f>
        <v>19.794705564559699</v>
      </c>
      <c r="I8" s="33">
        <f>-('Financial Statement'!I8/'Financial Statement'!I5*100)</f>
        <v>19.8</v>
      </c>
      <c r="J8" s="33">
        <f>-('Financial Statement'!J8/'Financial Statement'!J5*100)</f>
        <v>19.8</v>
      </c>
      <c r="K8" s="33">
        <f>-('Financial Statement'!K8/'Financial Statement'!K5*100)</f>
        <v>19.8</v>
      </c>
      <c r="L8" s="33">
        <f>-('Financial Statement'!L8/'Financial Statement'!L5*100)</f>
        <v>19.8</v>
      </c>
      <c r="M8" s="33">
        <f>-('Financial Statement'!M8/'Financial Statement'!M5*100)</f>
        <v>19.8</v>
      </c>
    </row>
    <row r="9" spans="2:13" x14ac:dyDescent="0.3">
      <c r="B9" s="16" t="s">
        <v>173</v>
      </c>
      <c r="C9" s="63"/>
      <c r="D9" s="74">
        <f>-('Financial Statement'!D10/'Financial Statement'!D5*100)</f>
        <v>6.1486048020765738</v>
      </c>
      <c r="E9" s="59">
        <v>12.7</v>
      </c>
      <c r="F9" s="59">
        <v>12.6</v>
      </c>
      <c r="G9" s="59">
        <v>11.8</v>
      </c>
      <c r="H9" s="59">
        <v>11.3</v>
      </c>
      <c r="I9" s="10">
        <v>11.3</v>
      </c>
      <c r="J9" s="10">
        <v>11.3</v>
      </c>
      <c r="K9" s="10">
        <v>11.3</v>
      </c>
      <c r="L9" s="10">
        <v>11.3</v>
      </c>
      <c r="M9" s="10">
        <v>11.3</v>
      </c>
    </row>
    <row r="10" spans="2:13" x14ac:dyDescent="0.3">
      <c r="B10" s="16" t="s">
        <v>174</v>
      </c>
      <c r="C10" s="63"/>
      <c r="D10" s="63"/>
      <c r="E10" s="63"/>
      <c r="F10" s="63"/>
      <c r="G10" s="63"/>
      <c r="H10" s="63"/>
      <c r="I10" s="11"/>
      <c r="J10" s="11"/>
      <c r="K10" s="11"/>
      <c r="L10" s="11"/>
      <c r="M10" s="11"/>
    </row>
    <row r="11" spans="2:13" x14ac:dyDescent="0.3">
      <c r="B11" s="16" t="s">
        <v>175</v>
      </c>
      <c r="C11" s="63"/>
      <c r="D11" s="74">
        <f>('Financial Statement'!D42/'Financial Statement'!D5*100)</f>
        <v>48.085658663205713</v>
      </c>
      <c r="E11" s="74">
        <f>('Financial Statement'!E42/'Financial Statement'!E5*100)</f>
        <v>46.335899629312806</v>
      </c>
      <c r="F11" s="74">
        <f>('Financial Statement'!F42/'Financial Statement'!F5*100)</f>
        <v>45.420183948595188</v>
      </c>
      <c r="G11" s="74">
        <f>('Financial Statement'!G42/'Financial Statement'!G5*100)</f>
        <v>45.866163577849292</v>
      </c>
      <c r="H11" s="74">
        <f>('Financial Statement'!H42/'Financial Statement'!H5*100)</f>
        <v>54.597514856834138</v>
      </c>
      <c r="I11" s="33">
        <f>('Financial Statement'!I42/'Financial Statement'!I5*100)</f>
        <v>54.6</v>
      </c>
      <c r="J11" s="33">
        <f>('Financial Statement'!J42/'Financial Statement'!J5*100)</f>
        <v>54.6</v>
      </c>
      <c r="K11" s="33">
        <f>('Financial Statement'!K42/'Financial Statement'!K5*100)</f>
        <v>54.6</v>
      </c>
      <c r="L11" s="33">
        <f>('Financial Statement'!L42/'Financial Statement'!L5*100)</f>
        <v>54.6</v>
      </c>
      <c r="M11" s="33">
        <f>('Financial Statement'!M42/'Financial Statement'!M5*100)</f>
        <v>54.6</v>
      </c>
    </row>
    <row r="12" spans="2:13" x14ac:dyDescent="0.3">
      <c r="B12" s="16" t="s">
        <v>176</v>
      </c>
      <c r="C12" s="63"/>
      <c r="D12" s="79">
        <f>('NOPLAT and IC'!C37/'Financial Statement'!D5*100)</f>
        <v>4.558728098637248</v>
      </c>
      <c r="E12" s="79">
        <f>('NOPLAT and IC'!D37/'Financial Statement'!E5*100)</f>
        <v>3.3076703735386368</v>
      </c>
      <c r="F12" s="79">
        <f>('NOPLAT and IC'!E37/'Financial Statement'!F5*100)</f>
        <v>4.1325437822854987</v>
      </c>
      <c r="G12" s="79">
        <f>('NOPLAT and IC'!F37/'Financial Statement'!G5*100)</f>
        <v>5.3823105093774277</v>
      </c>
      <c r="H12" s="79">
        <f>('NOPLAT and IC'!G37/'Financial Statement'!H5*100)</f>
        <v>7.6715289032955161</v>
      </c>
      <c r="I12" s="84">
        <f>('NOPLAT and IC'!H37/'Financial Statement'!I5*100)</f>
        <v>6.0606060606060606</v>
      </c>
      <c r="J12" s="84">
        <f>('NOPLAT and IC'!I37/'Financial Statement'!J5*100)</f>
        <v>6.184230798471158</v>
      </c>
      <c r="K12" s="84">
        <f>('NOPLAT and IC'!J37/'Financial Statement'!K5*100)</f>
        <v>6.2369272959333477</v>
      </c>
      <c r="L12" s="84">
        <f>('NOPLAT and IC'!K37/'Financial Statement'!L5*100)</f>
        <v>6.2935209267507286</v>
      </c>
      <c r="M12" s="84">
        <f>('NOPLAT and IC'!L37/'Financial Statement'!M5*100)</f>
        <v>6.3514735765852866</v>
      </c>
    </row>
    <row r="13" spans="2:13" x14ac:dyDescent="0.3">
      <c r="B13" s="16" t="s">
        <v>177</v>
      </c>
      <c r="C13" s="63"/>
      <c r="D13" s="74">
        <f>'Financial Statement'!D5/'Economic Profit'!D8</f>
        <v>2.1358281358281359</v>
      </c>
      <c r="E13" s="74">
        <f>'Financial Statement'!E5/'Economic Profit'!E8</f>
        <v>2.1946182728410513</v>
      </c>
      <c r="F13" s="74">
        <f>'Financial Statement'!F5/'Economic Profit'!F8</f>
        <v>2.2182783678032418</v>
      </c>
      <c r="G13" s="74">
        <f>'Financial Statement'!G5/'Economic Profit'!G8</f>
        <v>2.2031784841075797</v>
      </c>
      <c r="H13" s="74">
        <f>'Financial Statement'!H5/'Economic Profit'!H8</f>
        <v>1.6322751322751323</v>
      </c>
      <c r="I13" s="33">
        <f>'Financial Statement'!I5/'Economic Profit'!I8</f>
        <v>1.7955026455026455</v>
      </c>
      <c r="J13" s="33">
        <f>'Financial Statement'!J5/'Economic Profit'!J8</f>
        <v>1.7624317331061501</v>
      </c>
      <c r="K13" s="33">
        <f>'Financial Statement'!K5/'Economic Profit'!K8</f>
        <v>1.7462684306252254</v>
      </c>
      <c r="L13" s="33">
        <f>'Financial Statement'!L5/'Economic Profit'!L8</f>
        <v>1.7300153632631061</v>
      </c>
      <c r="M13" s="33">
        <f>'Financial Statement'!M5/'Economic Profit'!M8</f>
        <v>1.7137527789894071</v>
      </c>
    </row>
    <row r="14" spans="2:13" x14ac:dyDescent="0.3">
      <c r="B14" s="16" t="s">
        <v>178</v>
      </c>
      <c r="C14" s="63"/>
      <c r="D14" s="74">
        <f>('NOPLAT and IC'!D8/'NOPLAT and IC'!C39)*100</f>
        <v>28.898128898128899</v>
      </c>
      <c r="E14" s="74">
        <f>('NOPLAT and IC'!E8/'NOPLAT and IC'!D39)*100</f>
        <v>28.942428035043804</v>
      </c>
      <c r="F14" s="74">
        <f>('NOPLAT and IC'!F8/'NOPLAT and IC'!E39)*100</f>
        <v>30.855226383454443</v>
      </c>
      <c r="G14" s="74">
        <f>('NOPLAT and IC'!G8/'NOPLAT and IC'!F39)*100</f>
        <v>31.687041564792175</v>
      </c>
      <c r="H14" s="74">
        <f>('NOPLAT and IC'!H8/'NOPLAT and IC'!G39)*100</f>
        <v>26.306008672310551</v>
      </c>
      <c r="I14" s="33">
        <f>('NOPLAT and IC'!I8/'NOPLAT and IC'!H39)*100</f>
        <v>22.738553985890643</v>
      </c>
      <c r="J14" s="33">
        <f>('NOPLAT and IC'!J8/'NOPLAT and IC'!I39)*100</f>
        <v>22.26010860298712</v>
      </c>
      <c r="K14" s="33">
        <f>('NOPLAT and IC'!K8/'NOPLAT and IC'!J39)*100</f>
        <v>22.00682886464671</v>
      </c>
      <c r="L14" s="33">
        <f>('NOPLAT and IC'!L8/'NOPLAT and IC'!K39)*100</f>
        <v>21.761495527597909</v>
      </c>
      <c r="M14" s="33">
        <f>('NOPLAT and IC'!M8/'NOPLAT and IC'!L39)*100</f>
        <v>21.523557300057501</v>
      </c>
    </row>
    <row r="15" spans="2:13" x14ac:dyDescent="0.3">
      <c r="B15" s="16" t="s">
        <v>179</v>
      </c>
      <c r="C15" s="63"/>
      <c r="D15" s="74">
        <f>(('NOPLAT and IC'!D17+'NOPLAT and IC'!D10)/'NOPLAT and IC'!D8)*-100</f>
        <v>30.941247002398082</v>
      </c>
      <c r="E15" s="74">
        <f>(('NOPLAT and IC'!E17+'NOPLAT and IC'!E10)/'NOPLAT and IC'!E8)*-100</f>
        <v>34.540540540540533</v>
      </c>
      <c r="F15" s="74">
        <f>(('NOPLAT and IC'!F17+'NOPLAT and IC'!F10)/'NOPLAT and IC'!F8)*-100</f>
        <v>27.468297101449274</v>
      </c>
      <c r="G15" s="74">
        <f>(('NOPLAT and IC'!G17+'NOPLAT and IC'!G10)/'NOPLAT and IC'!G8)*-100</f>
        <v>28.939043209876541</v>
      </c>
      <c r="H15" s="74">
        <f>(('NOPLAT and IC'!H17+'NOPLAT and IC'!H10)/'NOPLAT and IC'!H8)*-100</f>
        <v>26.479591836734695</v>
      </c>
      <c r="I15" s="33">
        <f>(('NOPLAT and IC'!I17+'NOPLAT and IC'!I10)/'NOPLAT and IC'!I8)*-100</f>
        <v>27.496051813221879</v>
      </c>
      <c r="J15" s="33">
        <f>(('NOPLAT and IC'!J17+'NOPLAT and IC'!J10)/'NOPLAT and IC'!J8)*-100</f>
        <v>27.504178354772669</v>
      </c>
      <c r="K15" s="33">
        <f>(('NOPLAT and IC'!K17+'NOPLAT and IC'!K10)/'NOPLAT and IC'!K8)*-100</f>
        <v>27.549631591390046</v>
      </c>
      <c r="L15" s="33">
        <f>(('NOPLAT and IC'!L17+'NOPLAT and IC'!L10)/'NOPLAT and IC'!L8)*-100</f>
        <v>27.587718851307169</v>
      </c>
      <c r="M15" s="33">
        <f>(('NOPLAT and IC'!M17+'NOPLAT and IC'!M10)/'NOPLAT and IC'!M8)*-100</f>
        <v>27.637337560846202</v>
      </c>
    </row>
    <row r="16" spans="2:13" x14ac:dyDescent="0.3">
      <c r="B16" s="16" t="s">
        <v>180</v>
      </c>
      <c r="C16" s="63"/>
      <c r="D16" s="74">
        <f>('Economic Profit'!D10/'NOPLAT and IC'!C39)*100</f>
        <v>19.956687456687458</v>
      </c>
      <c r="E16" s="74">
        <f>('Economic Profit'!E10/'NOPLAT and IC'!D39)*100</f>
        <v>18.94555694618273</v>
      </c>
      <c r="F16" s="74">
        <f>('Economic Profit'!F10/'NOPLAT and IC'!E39)*100</f>
        <v>22.379821129122416</v>
      </c>
      <c r="G16" s="74">
        <f>('Economic Profit'!G10/'NOPLAT and IC'!F39)*100</f>
        <v>22.517114914425427</v>
      </c>
      <c r="H16" s="74">
        <f>('Economic Profit'!H10/'NOPLAT and IC'!G39)*100</f>
        <v>19.340284947346685</v>
      </c>
      <c r="I16" s="33">
        <f>('Economic Profit'!I10/'NOPLAT and IC'!H39)*100</f>
        <v>16.486349400352722</v>
      </c>
      <c r="J16" s="33">
        <f>('Economic Profit'!J10/'NOPLAT and IC'!I39)*100</f>
        <v>16.137648630855448</v>
      </c>
      <c r="K16" s="33">
        <f>('Economic Profit'!K10/'NOPLAT and IC'!J39)*100</f>
        <v>15.944028587488857</v>
      </c>
      <c r="L16" s="33">
        <f>('Economic Profit'!L10/'NOPLAT and IC'!K39)*100</f>
        <v>15.757995323604412</v>
      </c>
      <c r="M16" s="33">
        <f>('Economic Profit'!M10/'NOPLAT and IC'!L39)*100</f>
        <v>15.575019113938454</v>
      </c>
    </row>
    <row r="17" spans="2:13" x14ac:dyDescent="0.3">
      <c r="B17" s="16" t="s">
        <v>181</v>
      </c>
      <c r="C17" s="63"/>
      <c r="D17" s="75">
        <f>'Economic Profit'!D10/'NOPLAT and IC'!C42*100</f>
        <v>14.647761953204478</v>
      </c>
      <c r="E17" s="75">
        <f>'Economic Profit'!E10/'NOPLAT and IC'!D42*100</f>
        <v>13.925942962281509</v>
      </c>
      <c r="F17" s="75">
        <f>'Economic Profit'!F10/'NOPLAT and IC'!E42*100</f>
        <v>14.53794480755265</v>
      </c>
      <c r="G17" s="75">
        <f>'Economic Profit'!G10/'NOPLAT and IC'!F42*100</f>
        <v>14.52602523659306</v>
      </c>
      <c r="H17" s="75">
        <f>'Economic Profit'!H10/'NOPLAT and IC'!G42*100</f>
        <v>11.900012704865963</v>
      </c>
      <c r="I17" s="85">
        <f>'Economic Profit'!I10/'NOPLAT and IC'!H42*100</f>
        <v>9.517165658725304</v>
      </c>
      <c r="J17" s="85">
        <f>'Economic Profit'!J10/'NOPLAT and IC'!I42*100</f>
        <v>9.2629855599949344</v>
      </c>
      <c r="K17" s="85">
        <f>'Economic Profit'!K10/'NOPLAT and IC'!J42*100</f>
        <v>9.183894091688531</v>
      </c>
      <c r="L17" s="85">
        <f>'Economic Profit'!L10/'NOPLAT and IC'!K42*100</f>
        <v>9.1233403180680117</v>
      </c>
      <c r="M17" s="85">
        <f>'Economic Profit'!M10/'NOPLAT and IC'!L42*100</f>
        <v>9.0767816220096247</v>
      </c>
    </row>
    <row r="18" spans="2:13" x14ac:dyDescent="0.3">
      <c r="B18" s="16" t="s">
        <v>182</v>
      </c>
      <c r="C18" s="63"/>
      <c r="D18" s="63"/>
      <c r="E18" s="63"/>
      <c r="F18" s="63"/>
      <c r="G18" s="63"/>
      <c r="H18" s="63"/>
      <c r="I18" s="11"/>
      <c r="J18" s="11"/>
      <c r="K18" s="11"/>
      <c r="L18" s="11"/>
      <c r="M18" s="11"/>
    </row>
    <row r="19" spans="2:13" x14ac:dyDescent="0.3">
      <c r="B19" s="16" t="s">
        <v>424</v>
      </c>
      <c r="C19" s="63"/>
      <c r="D19" s="74">
        <f>(('Financial Statement'!D42+'Financial Statement'!C42)/2/'Financial Statement'!D5*100)</f>
        <v>45.1735885788449</v>
      </c>
      <c r="E19" s="74">
        <f>(('Financial Statement'!E42+'Financial Statement'!D42)/2/'Financial Statement'!E5*100)</f>
        <v>44.297120045623039</v>
      </c>
      <c r="F19" s="74">
        <f>(('Financial Statement'!F42+'Financial Statement'!E42)/2/'Financial Statement'!F5*100)</f>
        <v>43.18382260299861</v>
      </c>
      <c r="G19" s="74">
        <f>(('Financial Statement'!G42+'Financial Statement'!F42)/2/'Financial Statement'!G5*100)</f>
        <v>42.936411053157251</v>
      </c>
      <c r="H19" s="74">
        <f>(('Financial Statement'!H42+'Financial Statement'!G42)/2/'Financial Statement'!H5*100)</f>
        <v>49.627228525121559</v>
      </c>
      <c r="I19" s="33">
        <f>(('Financial Statement'!I42+'Financial Statement'!H42)/2/'Financial Statement'!I5*100)</f>
        <v>52.117052207651881</v>
      </c>
      <c r="J19" s="33">
        <f>(('Financial Statement'!J42+'Financial Statement'!I42)/2/'Financial Statement'!J5*100)</f>
        <v>52.57777777777779</v>
      </c>
      <c r="K19" s="33">
        <f>(('Financial Statement'!K42+'Financial Statement'!J42)/2/'Financial Statement'!K5*100)</f>
        <v>52.814018691588785</v>
      </c>
      <c r="L19" s="33">
        <f>(('Financial Statement'!L42+'Financial Statement'!K42)/2/'Financial Statement'!L5*100)</f>
        <v>53.054716981132074</v>
      </c>
      <c r="M19" s="33">
        <f>(('Financial Statement'!M42+'Financial Statement'!L42)/2/'Financial Statement'!M5*100)</f>
        <v>53.300000000000004</v>
      </c>
    </row>
    <row r="20" spans="2:13" x14ac:dyDescent="0.3">
      <c r="B20" s="16" t="s">
        <v>176</v>
      </c>
      <c r="C20" s="63"/>
      <c r="D20" s="74">
        <f>(('NOPLAT and IC'!C37+'NOPLAT and IC'!D37)/2/'Financial Statement'!D5*100)</f>
        <v>4.1612589227774173</v>
      </c>
      <c r="E20" s="74">
        <f>(('NOPLAT and IC'!D37+'NOPLAT and IC'!E37)/2/'Financial Statement'!E5*100)</f>
        <v>3.992015968063872</v>
      </c>
      <c r="F20" s="74">
        <f>(('NOPLAT and IC'!E37+'NOPLAT and IC'!F37)/2/'Financial Statement'!F5*100)</f>
        <v>5.1215824618873631</v>
      </c>
      <c r="G20" s="74">
        <f>(('NOPLAT and IC'!F37+'NOPLAT and IC'!G37)/2/'Financial Statement'!G5*100)</f>
        <v>6.6307845966041503</v>
      </c>
      <c r="H20" s="74">
        <f>(('NOPLAT and IC'!G37+'NOPLAT and IC'!H37)/2/'Financial Statement'!H5*100)</f>
        <v>7.1690977849810915</v>
      </c>
      <c r="I20" s="33">
        <f>(('NOPLAT and IC'!H37+'NOPLAT and IC'!I37)/2/'Financial Statement'!I5*100)</f>
        <v>6.3697876614774565</v>
      </c>
      <c r="J20" s="33">
        <f>(('NOPLAT and IC'!I37+'NOPLAT and IC'!J37)/2/'Financial Statement'!J5*100)</f>
        <v>6.4288715025599199</v>
      </c>
      <c r="K20" s="33">
        <f>(('NOPLAT and IC'!J37+'NOPLAT and IC'!K37)/2/'Financial Statement'!K5*100)</f>
        <v>6.4540297391445609</v>
      </c>
      <c r="L20" s="33">
        <f>(('NOPLAT and IC'!K37+'NOPLAT and IC'!L37)/2/'Financial Statement'!L5*100)</f>
        <v>6.4812840910826397</v>
      </c>
      <c r="M20" s="33">
        <f>(('NOPLAT and IC'!L37+'NOPLAT and IC'!M37)/2/'Financial Statement'!M5*100)</f>
        <v>6.5123606171311925</v>
      </c>
    </row>
    <row r="21" spans="2:13" x14ac:dyDescent="0.3">
      <c r="B21" s="16" t="s">
        <v>183</v>
      </c>
      <c r="C21" s="63"/>
      <c r="D21" s="74">
        <f>'Financial Statement'!D5/(('NOPLAT and IC'!C39+'NOPLAT and IC'!D39)/2)</f>
        <v>2.0269648142058534</v>
      </c>
      <c r="E21" s="74">
        <f>'Financial Statement'!E5/(('NOPLAT and IC'!D39+'NOPLAT and IC'!E39)/2)</f>
        <v>2.0708591674047829</v>
      </c>
      <c r="F21" s="74">
        <f>'Financial Statement'!F5/(('NOPLAT and IC'!E39+'NOPLAT and IC'!F39)/2)</f>
        <v>2.0701617110067816</v>
      </c>
      <c r="G21" s="74">
        <f>'Financial Statement'!G5/(('NOPLAT and IC'!F39+'NOPLAT and IC'!G39)/2)</f>
        <v>2.0174633381842608</v>
      </c>
      <c r="H21" s="74">
        <f>'Financial Statement'!H5/(('NOPLAT and IC'!G39+'NOPLAT and IC'!H39)/2)</f>
        <v>1.7606772567297631</v>
      </c>
      <c r="I21" s="33">
        <f>'Financial Statement'!I5/(('NOPLAT and IC'!H39+'NOPLAT and IC'!I39)/2)</f>
        <v>1.7097863420858583</v>
      </c>
      <c r="J21" s="33">
        <f>'Financial Statement'!J5/(('NOPLAT and IC'!I39+'NOPLAT and IC'!J39)/2)</f>
        <v>1.6947242593780387</v>
      </c>
      <c r="K21" s="33">
        <f>'Financial Statement'!K5/(('NOPLAT and IC'!J39+'NOPLAT and IC'!K39)/2)</f>
        <v>1.6872497517253355</v>
      </c>
      <c r="L21" s="33">
        <f>'Financial Statement'!L5/(('NOPLAT and IC'!K39+'NOPLAT and IC'!L39)/2)</f>
        <v>1.6796559762000831</v>
      </c>
      <c r="M21" s="33">
        <f>'Financial Statement'!M5/(('NOPLAT and IC'!L39+'NOPLAT and IC'!M39)/2)</f>
        <v>1.671895223131495</v>
      </c>
    </row>
    <row r="22" spans="2:13" x14ac:dyDescent="0.3">
      <c r="B22" s="16" t="s">
        <v>178</v>
      </c>
      <c r="C22" s="63"/>
      <c r="D22" s="74">
        <f>('NOPLAT and IC'!D8/(('NOPLAT and IC'!C39+'NOPLAT and IC'!D39)/2)*100)</f>
        <v>27.425189082538637</v>
      </c>
      <c r="E22" s="74">
        <f>('NOPLAT and IC'!E8/(('NOPLAT and IC'!D39+'NOPLAT and IC'!E39)/2)*100)</f>
        <v>27.310304103926779</v>
      </c>
      <c r="F22" s="74">
        <f>('NOPLAT and IC'!F8/(('NOPLAT and IC'!E39+'NOPLAT and IC'!F39)/2)*100)</f>
        <v>28.794992175273865</v>
      </c>
      <c r="G22" s="74">
        <f>('NOPLAT and IC'!G8/(('NOPLAT and IC'!F39+'NOPLAT and IC'!G39)/2)*100)</f>
        <v>29.016008060002243</v>
      </c>
      <c r="H22" s="74">
        <f>('NOPLAT and IC'!H8/(('NOPLAT and IC'!G39+'NOPLAT and IC'!H39)/2)*100)</f>
        <v>24.236659374108246</v>
      </c>
      <c r="I22" s="33">
        <f>('NOPLAT and IC'!I8/(('NOPLAT and IC'!H39+'NOPLAT and IC'!I39)/2)*100)</f>
        <v>21.653027992600911</v>
      </c>
      <c r="J22" s="33">
        <f>('NOPLAT and IC'!J8/(('NOPLAT and IC'!I39+'NOPLAT and IC'!J39)/2)*100)</f>
        <v>21.404940320374905</v>
      </c>
      <c r="K22" s="33">
        <f>('NOPLAT and IC'!K8/(('NOPLAT and IC'!J39+'NOPLAT and IC'!K39)/2)*100)</f>
        <v>21.263063505559053</v>
      </c>
      <c r="L22" s="33">
        <f>('NOPLAT and IC'!L8/(('NOPLAT and IC'!K39+'NOPLAT and IC'!L39)/2)*100)</f>
        <v>21.128035501972757</v>
      </c>
      <c r="M22" s="33">
        <f>('NOPLAT and IC'!M8/(('NOPLAT and IC'!L39+'NOPLAT and IC'!M39)/2)*100)</f>
        <v>20.997855160872991</v>
      </c>
    </row>
    <row r="23" spans="2:13" x14ac:dyDescent="0.3">
      <c r="B23" s="16" t="s">
        <v>180</v>
      </c>
      <c r="C23" s="63"/>
      <c r="D23" s="74">
        <f>('NOPLAT and IC'!D11/(('NOPLAT and IC'!C39+'NOPLAT and IC'!D39)/2)*100)</f>
        <v>18.939493587635646</v>
      </c>
      <c r="E23" s="74">
        <f>('NOPLAT and IC'!E11/(('NOPLAT and IC'!D39+'NOPLAT and IC'!E39)/2)*100)</f>
        <v>17.877177443165042</v>
      </c>
      <c r="F23" s="74">
        <f>('NOPLAT and IC'!F11/(('NOPLAT and IC'!E39+'NOPLAT and IC'!F39)/2)*100)</f>
        <v>20.88549817423057</v>
      </c>
      <c r="G23" s="74">
        <f>('NOPLAT and IC'!G11/(('NOPLAT and IC'!F39+'NOPLAT and IC'!G39)/2)*100)</f>
        <v>20.619052949736933</v>
      </c>
      <c r="H23" s="74">
        <f>('NOPLAT and IC'!H11/(('NOPLAT and IC'!G39+'NOPLAT and IC'!H39)/2)*100)</f>
        <v>17.818890896984684</v>
      </c>
      <c r="I23" s="33">
        <f>('NOPLAT and IC'!I11/(('NOPLAT and IC'!H39+'NOPLAT and IC'!I39)/2)*100)</f>
        <v>15.699300196623931</v>
      </c>
      <c r="J23" s="33">
        <f>('NOPLAT and IC'!J11/(('NOPLAT and IC'!I39+'NOPLAT and IC'!J39)/2)*100)</f>
        <v>15.517687357926343</v>
      </c>
      <c r="K23" s="33">
        <f>('NOPLAT and IC'!K11/(('NOPLAT and IC'!J39+'NOPLAT and IC'!K39)/2)*100)</f>
        <v>15.405167844734228</v>
      </c>
      <c r="L23" s="33">
        <f>('NOPLAT and IC'!L11/(('NOPLAT and IC'!K39+'NOPLAT and IC'!L39)/2)*100)</f>
        <v>15.299292468884149</v>
      </c>
      <c r="M23" s="33">
        <f>('NOPLAT and IC'!M11/(('NOPLAT and IC'!L39+'NOPLAT and IC'!M39)/2)*100)</f>
        <v>15.194607049524958</v>
      </c>
    </row>
    <row r="24" spans="2:13" x14ac:dyDescent="0.3">
      <c r="B24" s="16" t="s">
        <v>181</v>
      </c>
      <c r="C24" s="63"/>
      <c r="D24" s="74">
        <f>('NOPLAT and IC'!D11/(('NOPLAT and IC'!C42+'NOPLAT and IC'!D42)/2)*100)</f>
        <v>13.911835748792273</v>
      </c>
      <c r="E24" s="74">
        <f>('NOPLAT and IC'!E11/(('NOPLAT and IC'!D42+'NOPLAT and IC'!E42)/2)*100)</f>
        <v>12.286931818181818</v>
      </c>
      <c r="F24" s="74">
        <f>('NOPLAT and IC'!F11/(('NOPLAT and IC'!E42+'NOPLAT and IC'!F42)/2)*100)</f>
        <v>13.517049291019582</v>
      </c>
      <c r="G24" s="74">
        <f>('NOPLAT and IC'!G11/(('NOPLAT and IC'!F42+'NOPLAT and IC'!G42)/2)*100)</f>
        <v>12.961086482302441</v>
      </c>
      <c r="H24" s="74">
        <f>('NOPLAT and IC'!H11/(('NOPLAT and IC'!G42+'NOPLAT and IC'!H42)/2)*100)</f>
        <v>10.5878030859662</v>
      </c>
      <c r="I24" s="33">
        <f>('NOPLAT and IC'!I11/(('NOPLAT and IC'!H42+'NOPLAT and IC'!I42)/2)*100)</f>
        <v>9.0357967575729337</v>
      </c>
      <c r="J24" s="33">
        <f>('NOPLAT and IC'!J11/(('NOPLAT and IC'!I42+'NOPLAT and IC'!J42)/2)*100)</f>
        <v>8.9232952378753883</v>
      </c>
      <c r="K24" s="33">
        <f>('NOPLAT and IC'!K11/(('NOPLAT and IC'!J42+'NOPLAT and IC'!K42)/2)*100)</f>
        <v>8.8969971512613277</v>
      </c>
      <c r="L24" s="33">
        <f>('NOPLAT and IC'!L11/(('NOPLAT and IC'!K42+'NOPLAT and IC'!L42)/2)*100)</f>
        <v>8.887683895145182</v>
      </c>
      <c r="M24" s="33">
        <f>('NOPLAT and IC'!M11/(('NOPLAT and IC'!L42+'NOPLAT and IC'!M42)/2)*100)</f>
        <v>8.8924366792479432</v>
      </c>
    </row>
    <row r="25" spans="2:13" x14ac:dyDescent="0.3">
      <c r="B25" s="16" t="s">
        <v>184</v>
      </c>
      <c r="C25" s="63"/>
      <c r="D25" s="63"/>
      <c r="E25" s="63"/>
      <c r="F25" s="63"/>
      <c r="G25" s="63"/>
      <c r="H25" s="63"/>
      <c r="I25" s="11"/>
      <c r="J25" s="11"/>
      <c r="K25" s="11"/>
      <c r="L25" s="11"/>
      <c r="M25" s="11"/>
    </row>
    <row r="26" spans="2:13" x14ac:dyDescent="0.3">
      <c r="B26" s="16" t="s">
        <v>185</v>
      </c>
      <c r="C26" s="63"/>
      <c r="D26" s="74">
        <f>('Financial Statement'!D5/'Financial Statement'!C5-1)*100</f>
        <v>13.038694296717402</v>
      </c>
      <c r="E26" s="74">
        <f>('Financial Statement'!E5/'Financial Statement'!D5-1)*100</f>
        <v>13.789746917585987</v>
      </c>
      <c r="F26" s="74">
        <f>('Financial Statement'!F5/'Financial Statement'!E5-1)*100</f>
        <v>13.159395494724846</v>
      </c>
      <c r="G26" s="74">
        <f>('Financial Statement'!G5/'Financial Statement'!F5-1)*100</f>
        <v>13.531561043215312</v>
      </c>
      <c r="H26" s="74">
        <f>('Financial Statement'!H5/'Financial Statement'!G5-1)*100</f>
        <v>2.7078015758517315</v>
      </c>
      <c r="I26" s="33">
        <f>('Financial Statement'!I5/'Financial Statement'!H5-1)*100</f>
        <v>10.000000000000009</v>
      </c>
      <c r="J26" s="33">
        <f>('Financial Statement'!J5/'Financial Statement'!I5-1)*100</f>
        <v>8.0000000000000071</v>
      </c>
      <c r="K26" s="33">
        <f>('Financial Statement'!K5/'Financial Statement'!J5-1)*100</f>
        <v>7.0000000000000062</v>
      </c>
      <c r="L26" s="33">
        <f>('Financial Statement'!L5/'Financial Statement'!K5-1)*100</f>
        <v>6.0000000000000053</v>
      </c>
      <c r="M26" s="33">
        <f>('Financial Statement'!M5/'Financial Statement'!L5-1)*100</f>
        <v>5.0000000000000044</v>
      </c>
    </row>
    <row r="27" spans="2:13" x14ac:dyDescent="0.3">
      <c r="B27" s="16" t="s">
        <v>186</v>
      </c>
      <c r="C27" s="63"/>
      <c r="D27" s="80">
        <v>24.7</v>
      </c>
      <c r="E27" s="74">
        <f>('NOPLAT and IC'!E8/'NOPLAT and IC'!D8-1)*100</f>
        <v>10.911270983213427</v>
      </c>
      <c r="F27" s="74">
        <f>('NOPLAT and IC'!F8/'NOPLAT and IC'!E8-1)*100</f>
        <v>19.351351351351354</v>
      </c>
      <c r="G27" s="74">
        <f>('NOPLAT and IC'!G8/'NOPLAT and IC'!F8-1)*100</f>
        <v>17.391304347826097</v>
      </c>
      <c r="H27" s="74">
        <f>('NOPLAT and IC'!H8/'NOPLAT and IC'!G8-1)*100</f>
        <v>-1.6975308641975273</v>
      </c>
      <c r="I27" s="33">
        <f>('NOPLAT and IC'!I8/'NOPLAT and IC'!H8-1)*100</f>
        <v>1.1990589481946312</v>
      </c>
      <c r="J27" s="33">
        <f>('NOPLAT and IC'!J8/'NOPLAT and IC'!I8-1)*100</f>
        <v>7.7114659725100898</v>
      </c>
      <c r="K27" s="33">
        <f>('NOPLAT and IC'!K8/'NOPLAT and IC'!J8-1)*100</f>
        <v>6.7616472565667385</v>
      </c>
      <c r="L27" s="33">
        <f>('NOPLAT and IC'!L8/'NOPLAT and IC'!K8-1)*100</f>
        <v>5.8030482941686445</v>
      </c>
      <c r="M27" s="33">
        <f>('NOPLAT and IC'!M8/'NOPLAT and IC'!L8-1)*100</f>
        <v>4.8374380518293902</v>
      </c>
    </row>
    <row r="28" spans="2:13" x14ac:dyDescent="0.3">
      <c r="B28" s="16" t="s">
        <v>187</v>
      </c>
      <c r="C28" s="63"/>
      <c r="D28" s="80">
        <v>38.6</v>
      </c>
      <c r="E28" s="74">
        <f>('Economic Profit'!E10/'Economic Profit'!D10-1)*100</f>
        <v>5.1306537025783472</v>
      </c>
      <c r="F28" s="74">
        <f>('Economic Profit'!F10/'Economic Profit'!E10-1)*100</f>
        <v>32.246077621800161</v>
      </c>
      <c r="G28" s="74">
        <f>('Economic Profit'!G10/'Economic Profit'!F10-1)*100</f>
        <v>15.010927255697792</v>
      </c>
      <c r="H28" s="74">
        <f>('Economic Profit'!H10/'Economic Profit'!G10-1)*100</f>
        <v>1.7047613876974843</v>
      </c>
      <c r="I28" s="33">
        <f>('Economic Profit'!I10/'Economic Profit'!H10-1)*100</f>
        <v>-0.20007356002781362</v>
      </c>
      <c r="J28" s="33">
        <f>('Economic Profit'!J10/'Economic Profit'!I10-1)*100</f>
        <v>7.6993932271546717</v>
      </c>
      <c r="K28" s="33">
        <f>('Economic Profit'!K10/'Economic Profit'!J10-1)*100</f>
        <v>6.6947101241322526</v>
      </c>
      <c r="L28" s="33">
        <f>('Economic Profit'!L10/'Economic Profit'!K10-1)*100</f>
        <v>5.7474274838274608</v>
      </c>
      <c r="M28" s="33">
        <f>('Economic Profit'!M10/'Economic Profit'!L10-1)*100</f>
        <v>4.765600812275661</v>
      </c>
    </row>
    <row r="29" spans="2:13" x14ac:dyDescent="0.3">
      <c r="B29" s="16" t="s">
        <v>188</v>
      </c>
      <c r="C29" s="63"/>
      <c r="D29" s="80">
        <v>0</v>
      </c>
      <c r="E29" s="74">
        <f>('Economic Profit'!E8/'Economic Profit'!D8-1)*100</f>
        <v>10.741510741510751</v>
      </c>
      <c r="F29" s="74">
        <f>('Economic Profit'!F8/'Economic Profit'!E8-1)*100</f>
        <v>11.952440550688358</v>
      </c>
      <c r="G29" s="74">
        <f>('Economic Profit'!G8/'Economic Profit'!F8-1)*100</f>
        <v>14.309670206819458</v>
      </c>
      <c r="H29" s="74">
        <f>('Economic Profit'!H8/'Economic Profit'!G8-1)*100</f>
        <v>38.630806845965758</v>
      </c>
      <c r="I29" s="33">
        <f>('Economic Profit'!I8/'Economic Profit'!H8-1)*100</f>
        <v>0</v>
      </c>
      <c r="J29" s="33">
        <f>('Economic Profit'!J8/'Economic Profit'!I8-1)*100</f>
        <v>10.026551424222664</v>
      </c>
      <c r="K29" s="33">
        <f>('Economic Profit'!K8/'Economic Profit'!J8-1)*100</f>
        <v>7.9903823118646855</v>
      </c>
      <c r="L29" s="33">
        <f>('Economic Profit'!L8/'Economic Profit'!K8-1)*100</f>
        <v>6.9958438387131672</v>
      </c>
      <c r="M29" s="33">
        <f>('Economic Profit'!M8/'Economic Profit'!L8-1)*100</f>
        <v>5.9963930443604152</v>
      </c>
    </row>
    <row r="30" spans="2:13" x14ac:dyDescent="0.3">
      <c r="B30" s="16" t="s">
        <v>189</v>
      </c>
      <c r="C30" s="63"/>
      <c r="D30" s="74">
        <f>('Financial Statement'!D22/'Financial Statement'!C22-1)*100</f>
        <v>15.955056179775283</v>
      </c>
      <c r="E30" s="74">
        <f>('Financial Statement'!E22/'Financial Statement'!D22-1)*100</f>
        <v>20.348837209302317</v>
      </c>
      <c r="F30" s="74">
        <f>('Financial Statement'!F22/'Financial Statement'!E22-1)*100</f>
        <v>23.510466988727853</v>
      </c>
      <c r="G30" s="74">
        <f>('Financial Statement'!G22/'Financial Statement'!F22-1)*100</f>
        <v>3.6505867014341664</v>
      </c>
      <c r="H30" s="74">
        <f>('Financial Statement'!H22/'Financial Statement'!G22-1)*100</f>
        <v>0.37735849056603765</v>
      </c>
      <c r="I30" s="33">
        <f>('Financial Statement'!I22/'Financial Statement'!H22-1)*100</f>
        <v>-10.742354511278263</v>
      </c>
      <c r="J30" s="33">
        <f>('Financial Statement'!J22/'Financial Statement'!I22-1)*100</f>
        <v>11.010069084019825</v>
      </c>
      <c r="K30" s="33">
        <f>('Financial Statement'!K22/'Financial Statement'!J22-1)*100</f>
        <v>8.7136755658258291</v>
      </c>
      <c r="L30" s="33">
        <f>('Financial Statement'!L22/'Financial Statement'!K22-1)*100</f>
        <v>6.8678485804154477</v>
      </c>
      <c r="M30" s="33">
        <f>('Financial Statement'!M22/'Financial Statement'!L22-1)*100</f>
        <v>5.5388442618579337</v>
      </c>
    </row>
    <row r="31" spans="2:13" x14ac:dyDescent="0.3">
      <c r="B31" s="16" t="s">
        <v>190</v>
      </c>
      <c r="C31" s="63"/>
      <c r="D31" s="63"/>
      <c r="E31" s="63"/>
      <c r="F31" s="63"/>
      <c r="G31" s="63"/>
      <c r="H31" s="63"/>
      <c r="I31" s="11"/>
      <c r="J31" s="11"/>
      <c r="K31" s="11"/>
      <c r="L31" s="11"/>
      <c r="M31" s="11"/>
    </row>
    <row r="32" spans="2:13" x14ac:dyDescent="0.3">
      <c r="B32" s="16" t="s">
        <v>191</v>
      </c>
      <c r="C32" s="63"/>
      <c r="D32" s="74">
        <f>-'Financial Statement'!D75/'Financial Statement'!D72*100</f>
        <v>68.485261008429759</v>
      </c>
      <c r="E32" s="74">
        <f>-'Financial Statement'!E75/'Financial Statement'!E72*100</f>
        <v>72.85782671134514</v>
      </c>
      <c r="F32" s="74">
        <f>-'Financial Statement'!F75/'Financial Statement'!F72*100</f>
        <v>71.588895451860594</v>
      </c>
      <c r="G32" s="74">
        <f>-'Financial Statement'!G75/'Financial Statement'!G72*100</f>
        <v>93.416905697793823</v>
      </c>
      <c r="H32" s="74">
        <f>-'Financial Statement'!H75/'Financial Statement'!H72*100</f>
        <v>100.0891295018651</v>
      </c>
      <c r="I32" s="33">
        <f>-'Financial Statement'!I75/'Financial Statement'!I72*100</f>
        <v>76.564572083711838</v>
      </c>
      <c r="J32" s="33">
        <f>-'Financial Statement'!J75/'Financial Statement'!J72*100</f>
        <v>69.837786358552592</v>
      </c>
      <c r="K32" s="33">
        <f>-'Financial Statement'!K75/'Financial Statement'!K72*100</f>
        <v>66.508972777797055</v>
      </c>
      <c r="L32" s="33">
        <f>-'Financial Statement'!L75/'Financial Statement'!L72*100</f>
        <v>63.068780831443902</v>
      </c>
      <c r="M32" s="33">
        <f>-'Financial Statement'!M75/'Financial Statement'!M72*100</f>
        <v>59.585413578495817</v>
      </c>
    </row>
    <row r="33" spans="2:13" x14ac:dyDescent="0.3">
      <c r="B33" s="16" t="s">
        <v>192</v>
      </c>
      <c r="C33" s="63"/>
      <c r="D33" s="80">
        <v>47.5</v>
      </c>
      <c r="E33" s="80">
        <v>53.3</v>
      </c>
      <c r="F33" s="80">
        <v>54.9</v>
      </c>
      <c r="G33" s="80">
        <v>89.9</v>
      </c>
      <c r="H33" s="80">
        <v>100</v>
      </c>
      <c r="I33" s="86">
        <v>100</v>
      </c>
      <c r="J33" s="86">
        <v>100</v>
      </c>
      <c r="K33" s="86">
        <v>100</v>
      </c>
      <c r="L33" s="86">
        <v>100</v>
      </c>
      <c r="M33" s="86">
        <v>100</v>
      </c>
    </row>
    <row r="34" spans="2:13" x14ac:dyDescent="0.3">
      <c r="B34" s="16" t="s">
        <v>193</v>
      </c>
      <c r="C34" s="63"/>
      <c r="D34" s="63"/>
      <c r="E34" s="63"/>
      <c r="F34" s="63"/>
      <c r="G34" s="63"/>
      <c r="H34" s="63"/>
      <c r="I34" s="11"/>
      <c r="J34" s="11"/>
      <c r="K34" s="11"/>
      <c r="L34" s="11"/>
      <c r="M34" s="11"/>
    </row>
    <row r="35" spans="2:13" x14ac:dyDescent="0.3">
      <c r="B35" s="16" t="s">
        <v>194</v>
      </c>
      <c r="C35" s="63"/>
      <c r="D35" s="74">
        <f>-'NOPLAT and IC'!D8/('Financial Statement'!D14)</f>
        <v>10.425000000000001</v>
      </c>
      <c r="E35" s="74">
        <f>-'NOPLAT and IC'!E8/('Financial Statement'!E14)</f>
        <v>8.4862385321100913</v>
      </c>
      <c r="F35" s="74">
        <f>-'NOPLAT and IC'!F8/('Financial Statement'!F14)</f>
        <v>9.3559322033898304</v>
      </c>
      <c r="G35" s="74">
        <f>-'NOPLAT and IC'!G8/('Financial Statement'!G14)</f>
        <v>8.8767123287671232</v>
      </c>
      <c r="H35" s="74">
        <f>-'NOPLAT and IC'!H8/('Financial Statement'!H14)</f>
        <v>7.0777777777777775</v>
      </c>
      <c r="I35" s="33">
        <f>-'NOPLAT and IC'!I8/('Financial Statement'!I14)</f>
        <v>7.4524624913294764</v>
      </c>
      <c r="J35" s="33">
        <f>-'NOPLAT and IC'!J8/('Financial Statement'!J14)</f>
        <v>14.465605123750001</v>
      </c>
      <c r="K35" s="33">
        <f>-'NOPLAT and IC'!K8/('Financial Statement'!K14)</f>
        <v>22.463590277448464</v>
      </c>
      <c r="L35" s="33">
        <f>-'NOPLAT and IC'!L8/('Financial Statement'!L14)</f>
        <v>35.650744904779458</v>
      </c>
      <c r="M35" s="33">
        <f>-'NOPLAT and IC'!M8/('Financial Statement'!M14)</f>
        <v>56.707393606924519</v>
      </c>
    </row>
    <row r="36" spans="2:13" x14ac:dyDescent="0.3">
      <c r="B36" s="16" t="s">
        <v>195</v>
      </c>
      <c r="C36" s="63"/>
      <c r="D36" s="74">
        <f>-'Financial Statement'!D72/('Financial Statement'!D14)</f>
        <v>11.936875000000001</v>
      </c>
      <c r="E36" s="74">
        <f>-'Financial Statement'!E72/('Financial Statement'!E14)</f>
        <v>9.5825688073394488</v>
      </c>
      <c r="F36" s="74">
        <f>-'Financial Statement'!F72/('Financial Statement'!F14)</f>
        <v>10.760593220338983</v>
      </c>
      <c r="G36" s="74">
        <f>-'Financial Statement'!G72/('Financial Statement'!G14)</f>
        <v>9.6708904109589042</v>
      </c>
      <c r="H36" s="74">
        <f>-'Financial Statement'!H72/('Financial Statement'!H14)</f>
        <v>8.4147222222222222</v>
      </c>
      <c r="I36" s="33">
        <f>-'Financial Statement'!I72/('Financial Statement'!I14)</f>
        <v>9.0340606936416155</v>
      </c>
      <c r="J36" s="33">
        <f>-'Financial Statement'!J72/('Financial Statement'!J14)</f>
        <v>17.553269791666668</v>
      </c>
      <c r="K36" s="33">
        <f>-'Financial Statement'!K72/('Financial Statement'!K14)</f>
        <v>27.272702621212101</v>
      </c>
      <c r="L36" s="33">
        <f>-'Financial Statement'!L72/('Financial Statement'!L14)</f>
        <v>43.301938076818189</v>
      </c>
      <c r="M36" s="33">
        <f>-'Financial Statement'!M72/('Financial Statement'!M14)</f>
        <v>68.892656522379326</v>
      </c>
    </row>
    <row r="37" spans="2:13" x14ac:dyDescent="0.3">
      <c r="B37" s="16" t="s">
        <v>196</v>
      </c>
      <c r="C37" s="63"/>
      <c r="D37" s="59">
        <v>29.9</v>
      </c>
      <c r="E37" s="59">
        <v>33.200000000000003</v>
      </c>
      <c r="F37" s="59">
        <v>36.299999999999997</v>
      </c>
      <c r="G37" s="59">
        <v>45</v>
      </c>
      <c r="H37" s="59">
        <v>60.1</v>
      </c>
      <c r="I37" s="10">
        <v>60.1</v>
      </c>
      <c r="J37" s="10">
        <v>60.1</v>
      </c>
      <c r="K37" s="10">
        <v>60.1</v>
      </c>
      <c r="L37" s="10">
        <v>60.1</v>
      </c>
      <c r="M37" s="10">
        <v>60.1</v>
      </c>
    </row>
    <row r="38" spans="2:13" x14ac:dyDescent="0.3">
      <c r="B38" s="16" t="s">
        <v>197</v>
      </c>
      <c r="C38" s="63"/>
      <c r="D38" s="59">
        <v>6.1</v>
      </c>
      <c r="E38" s="59">
        <v>6.1</v>
      </c>
      <c r="F38" s="59">
        <v>7.6</v>
      </c>
      <c r="G38" s="59">
        <v>17.2</v>
      </c>
      <c r="H38" s="59">
        <v>24.5</v>
      </c>
      <c r="I38" s="10">
        <v>24.5</v>
      </c>
      <c r="J38" s="10">
        <v>24.5</v>
      </c>
      <c r="K38" s="10">
        <v>24.5</v>
      </c>
      <c r="L38" s="10">
        <v>24.5</v>
      </c>
      <c r="M38" s="10">
        <v>24.5</v>
      </c>
    </row>
    <row r="39" spans="2:13" ht="21.6" x14ac:dyDescent="0.3">
      <c r="B39" s="16" t="s">
        <v>242</v>
      </c>
      <c r="C39" s="63"/>
      <c r="D39" s="59">
        <v>5.4</v>
      </c>
      <c r="E39" s="59">
        <v>6.1</v>
      </c>
      <c r="F39" s="59">
        <v>4.7</v>
      </c>
      <c r="G39" s="59">
        <v>2.8</v>
      </c>
      <c r="H39" s="59">
        <v>3</v>
      </c>
      <c r="I39" s="10">
        <v>3</v>
      </c>
      <c r="J39" s="10">
        <v>3</v>
      </c>
      <c r="K39" s="10">
        <v>3</v>
      </c>
      <c r="L39" s="10">
        <v>3</v>
      </c>
      <c r="M39" s="10">
        <v>3</v>
      </c>
    </row>
    <row r="40" spans="2:13" ht="21.6" x14ac:dyDescent="0.3">
      <c r="B40" s="16" t="s">
        <v>241</v>
      </c>
      <c r="C40" s="63"/>
      <c r="D40" s="59">
        <v>21</v>
      </c>
      <c r="E40" s="59">
        <v>24</v>
      </c>
      <c r="F40" s="59">
        <v>17</v>
      </c>
      <c r="G40" s="59">
        <v>11</v>
      </c>
      <c r="H40" s="59">
        <v>13</v>
      </c>
      <c r="I40" s="10">
        <v>13</v>
      </c>
      <c r="J40" s="10">
        <v>13</v>
      </c>
      <c r="K40" s="10">
        <v>13</v>
      </c>
      <c r="L40" s="10">
        <v>13</v>
      </c>
      <c r="M40" s="10">
        <v>13</v>
      </c>
    </row>
    <row r="41" spans="2:13" x14ac:dyDescent="0.3">
      <c r="B41" s="16"/>
      <c r="C41" s="63"/>
      <c r="D41" s="63"/>
      <c r="E41" s="63"/>
      <c r="F41" s="63"/>
      <c r="G41" s="63"/>
      <c r="H41" s="63"/>
      <c r="I41" s="11"/>
      <c r="J41" s="11"/>
      <c r="K41" s="11"/>
      <c r="L41" s="11"/>
      <c r="M4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9"/>
  <sheetViews>
    <sheetView topLeftCell="A63" workbookViewId="0"/>
  </sheetViews>
  <sheetFormatPr defaultColWidth="9.109375" defaultRowHeight="10.199999999999999" x14ac:dyDescent="0.2"/>
  <cols>
    <col min="1" max="1" width="1.109375" style="9" customWidth="1"/>
    <col min="2" max="2" width="34" style="9" bestFit="1" customWidth="1"/>
    <col min="3" max="16384" width="9.109375" style="9"/>
  </cols>
  <sheetData>
    <row r="2" spans="2:8" x14ac:dyDescent="0.2">
      <c r="C2" s="112" t="s">
        <v>514</v>
      </c>
      <c r="D2" s="112"/>
      <c r="E2" s="112"/>
      <c r="F2" s="112" t="s">
        <v>515</v>
      </c>
      <c r="G2" s="112"/>
      <c r="H2" s="112"/>
    </row>
    <row r="3" spans="2:8" x14ac:dyDescent="0.2">
      <c r="B3" s="99"/>
      <c r="C3" s="100">
        <v>2001</v>
      </c>
      <c r="D3" s="100">
        <v>2002</v>
      </c>
      <c r="E3" s="100">
        <v>2003</v>
      </c>
      <c r="F3" s="100">
        <v>2001</v>
      </c>
      <c r="G3" s="100">
        <v>2002</v>
      </c>
      <c r="H3" s="100">
        <v>2003</v>
      </c>
    </row>
    <row r="4" spans="2:8" x14ac:dyDescent="0.2">
      <c r="B4" s="10" t="s">
        <v>444</v>
      </c>
      <c r="C4" s="21">
        <v>53553</v>
      </c>
      <c r="D4" s="21">
        <v>58247</v>
      </c>
      <c r="E4" s="21">
        <v>64816</v>
      </c>
      <c r="F4" s="21">
        <v>22111</v>
      </c>
      <c r="G4" s="21">
        <v>26491</v>
      </c>
      <c r="H4" s="21">
        <v>30838</v>
      </c>
    </row>
    <row r="5" spans="2:8" x14ac:dyDescent="0.2">
      <c r="B5" s="10" t="s">
        <v>445</v>
      </c>
      <c r="C5" s="21">
        <v>-37406</v>
      </c>
      <c r="D5" s="21">
        <v>-40139</v>
      </c>
      <c r="E5" s="21">
        <v>-44236</v>
      </c>
      <c r="F5" s="21">
        <v>-15743</v>
      </c>
      <c r="G5" s="21">
        <v>-18465</v>
      </c>
      <c r="H5" s="21">
        <v>-21231</v>
      </c>
    </row>
    <row r="6" spans="2:8" x14ac:dyDescent="0.2">
      <c r="B6" s="10" t="s">
        <v>446</v>
      </c>
      <c r="C6" s="21">
        <v>-10451</v>
      </c>
      <c r="D6" s="21">
        <v>-11375</v>
      </c>
      <c r="E6" s="21">
        <v>-12658</v>
      </c>
      <c r="F6" s="21">
        <v>-4053</v>
      </c>
      <c r="G6" s="21">
        <v>-4859</v>
      </c>
      <c r="H6" s="21">
        <v>-5671</v>
      </c>
    </row>
    <row r="7" spans="2:8" x14ac:dyDescent="0.2">
      <c r="B7" s="10" t="s">
        <v>447</v>
      </c>
      <c r="C7" s="10">
        <v>-756</v>
      </c>
      <c r="D7" s="10">
        <v>-895</v>
      </c>
      <c r="E7" s="21">
        <v>-1075</v>
      </c>
      <c r="F7" s="10">
        <v>-517</v>
      </c>
      <c r="G7" s="10">
        <v>-626</v>
      </c>
      <c r="H7" s="10">
        <v>-758</v>
      </c>
    </row>
    <row r="8" spans="2:8" x14ac:dyDescent="0.2">
      <c r="B8" s="10" t="s">
        <v>448</v>
      </c>
      <c r="C8" s="10">
        <v>-8</v>
      </c>
      <c r="D8" s="10">
        <v>-8</v>
      </c>
      <c r="E8" s="10">
        <v>-1</v>
      </c>
      <c r="F8" s="10">
        <v>0</v>
      </c>
      <c r="G8" s="10">
        <v>0</v>
      </c>
      <c r="H8" s="10">
        <v>0</v>
      </c>
    </row>
    <row r="9" spans="2:8" x14ac:dyDescent="0.2">
      <c r="B9" s="50" t="s">
        <v>516</v>
      </c>
      <c r="C9" s="22">
        <f>C4+SUM(C5:C8)</f>
        <v>4932</v>
      </c>
      <c r="D9" s="22">
        <f t="shared" ref="D9:H9" si="0">D4+SUM(D5:D8)</f>
        <v>5830</v>
      </c>
      <c r="E9" s="22">
        <f t="shared" si="0"/>
        <v>6846</v>
      </c>
      <c r="F9" s="22">
        <f t="shared" si="0"/>
        <v>1798</v>
      </c>
      <c r="G9" s="22">
        <f t="shared" si="0"/>
        <v>2541</v>
      </c>
      <c r="H9" s="22">
        <f t="shared" si="0"/>
        <v>3178</v>
      </c>
    </row>
    <row r="10" spans="2:8" x14ac:dyDescent="0.2">
      <c r="B10" s="10" t="s">
        <v>449</v>
      </c>
      <c r="C10" s="10">
        <v>53</v>
      </c>
      <c r="D10" s="10">
        <v>79</v>
      </c>
      <c r="E10" s="10">
        <v>59</v>
      </c>
      <c r="F10" s="10">
        <v>25</v>
      </c>
      <c r="G10" s="10">
        <v>21</v>
      </c>
      <c r="H10" s="10">
        <v>15</v>
      </c>
    </row>
    <row r="11" spans="2:8" x14ac:dyDescent="0.2">
      <c r="B11" s="10" t="s">
        <v>450</v>
      </c>
      <c r="C11" s="10">
        <v>-28</v>
      </c>
      <c r="D11" s="10">
        <v>-37</v>
      </c>
      <c r="E11" s="10">
        <v>-62</v>
      </c>
      <c r="F11" s="10">
        <v>-199</v>
      </c>
      <c r="G11" s="10">
        <v>-203</v>
      </c>
      <c r="H11" s="10">
        <v>-195</v>
      </c>
    </row>
    <row r="12" spans="2:8" x14ac:dyDescent="0.2">
      <c r="B12" s="10" t="s">
        <v>451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15</v>
      </c>
    </row>
    <row r="13" spans="2:8" x14ac:dyDescent="0.2">
      <c r="B13" s="50" t="s">
        <v>517</v>
      </c>
      <c r="C13" s="22">
        <f>C9+SUM(C10:C12)</f>
        <v>4957</v>
      </c>
      <c r="D13" s="22">
        <f t="shared" ref="D13:H13" si="1">D9+SUM(D10:D12)</f>
        <v>5872</v>
      </c>
      <c r="E13" s="22">
        <f t="shared" si="1"/>
        <v>6843</v>
      </c>
      <c r="F13" s="22">
        <f t="shared" si="1"/>
        <v>1624</v>
      </c>
      <c r="G13" s="22">
        <f t="shared" si="1"/>
        <v>2359</v>
      </c>
      <c r="H13" s="22">
        <f t="shared" si="1"/>
        <v>3013</v>
      </c>
    </row>
    <row r="14" spans="2:8" x14ac:dyDescent="0.2">
      <c r="B14" s="10" t="s">
        <v>452</v>
      </c>
      <c r="C14" s="21">
        <v>-1913</v>
      </c>
      <c r="D14" s="21">
        <v>-2208</v>
      </c>
      <c r="E14" s="21">
        <v>-2539</v>
      </c>
      <c r="F14" s="10">
        <v>-601</v>
      </c>
      <c r="G14" s="10">
        <v>-888</v>
      </c>
      <c r="H14" s="21">
        <v>-1136</v>
      </c>
    </row>
    <row r="15" spans="2:8" x14ac:dyDescent="0.2">
      <c r="B15" s="50" t="s">
        <v>23</v>
      </c>
      <c r="C15" s="22">
        <f>SUM(C13:C14)</f>
        <v>3044</v>
      </c>
      <c r="D15" s="22">
        <f t="shared" ref="D15:H15" si="2">SUM(D13:D14)</f>
        <v>3664</v>
      </c>
      <c r="E15" s="22">
        <f t="shared" si="2"/>
        <v>4304</v>
      </c>
      <c r="F15" s="22">
        <f t="shared" si="2"/>
        <v>1023</v>
      </c>
      <c r="G15" s="22">
        <f t="shared" si="2"/>
        <v>1471</v>
      </c>
      <c r="H15" s="22">
        <f t="shared" si="2"/>
        <v>1877</v>
      </c>
    </row>
    <row r="18" spans="2:11" x14ac:dyDescent="0.2">
      <c r="B18" s="10" t="s">
        <v>444</v>
      </c>
      <c r="C18" s="21">
        <f t="shared" ref="C18:H21" si="3">C4</f>
        <v>53553</v>
      </c>
      <c r="D18" s="21">
        <f t="shared" si="3"/>
        <v>58247</v>
      </c>
      <c r="E18" s="21">
        <f t="shared" si="3"/>
        <v>64816</v>
      </c>
      <c r="F18" s="21">
        <f t="shared" si="3"/>
        <v>22111</v>
      </c>
      <c r="G18" s="21">
        <f t="shared" si="3"/>
        <v>26491</v>
      </c>
      <c r="H18" s="21">
        <f t="shared" si="3"/>
        <v>30838</v>
      </c>
    </row>
    <row r="19" spans="2:11" x14ac:dyDescent="0.2">
      <c r="B19" s="10" t="s">
        <v>445</v>
      </c>
      <c r="C19" s="21">
        <f t="shared" si="3"/>
        <v>-37406</v>
      </c>
      <c r="D19" s="21">
        <f t="shared" si="3"/>
        <v>-40139</v>
      </c>
      <c r="E19" s="21">
        <f t="shared" si="3"/>
        <v>-44236</v>
      </c>
      <c r="F19" s="21">
        <f t="shared" si="3"/>
        <v>-15743</v>
      </c>
      <c r="G19" s="21">
        <f t="shared" si="3"/>
        <v>-18465</v>
      </c>
      <c r="H19" s="21">
        <f t="shared" si="3"/>
        <v>-21231</v>
      </c>
    </row>
    <row r="20" spans="2:11" x14ac:dyDescent="0.2">
      <c r="B20" s="10" t="s">
        <v>446</v>
      </c>
      <c r="C20" s="21">
        <f t="shared" si="3"/>
        <v>-10451</v>
      </c>
      <c r="D20" s="21">
        <f t="shared" si="3"/>
        <v>-11375</v>
      </c>
      <c r="E20" s="21">
        <f t="shared" si="3"/>
        <v>-12658</v>
      </c>
      <c r="F20" s="21">
        <f t="shared" si="3"/>
        <v>-4053</v>
      </c>
      <c r="G20" s="21">
        <f t="shared" si="3"/>
        <v>-4859</v>
      </c>
      <c r="H20" s="21">
        <f t="shared" si="3"/>
        <v>-5671</v>
      </c>
    </row>
    <row r="21" spans="2:11" x14ac:dyDescent="0.2">
      <c r="B21" s="10" t="s">
        <v>447</v>
      </c>
      <c r="C21" s="10">
        <f t="shared" si="3"/>
        <v>-756</v>
      </c>
      <c r="D21" s="10">
        <f t="shared" si="3"/>
        <v>-895</v>
      </c>
      <c r="E21" s="10">
        <f t="shared" si="3"/>
        <v>-1075</v>
      </c>
      <c r="F21" s="10">
        <f t="shared" si="3"/>
        <v>-517</v>
      </c>
      <c r="G21" s="10">
        <f t="shared" si="3"/>
        <v>-626</v>
      </c>
      <c r="H21" s="10">
        <f t="shared" si="3"/>
        <v>-758</v>
      </c>
    </row>
    <row r="22" spans="2:11" x14ac:dyDescent="0.2">
      <c r="B22" s="10" t="s">
        <v>453</v>
      </c>
      <c r="C22" s="86">
        <v>288</v>
      </c>
      <c r="D22" s="86">
        <v>260</v>
      </c>
      <c r="E22" s="86">
        <v>276</v>
      </c>
      <c r="F22" s="86">
        <v>106</v>
      </c>
      <c r="G22" s="86">
        <v>106</v>
      </c>
      <c r="H22" s="86">
        <v>114</v>
      </c>
    </row>
    <row r="23" spans="2:11" x14ac:dyDescent="0.2">
      <c r="B23" s="50" t="s">
        <v>268</v>
      </c>
      <c r="C23" s="22">
        <f>SUM(C18:C22)</f>
        <v>5228</v>
      </c>
      <c r="D23" s="22">
        <f t="shared" ref="D23:H23" si="4">SUM(D18:D22)</f>
        <v>6098</v>
      </c>
      <c r="E23" s="22">
        <f t="shared" si="4"/>
        <v>7123</v>
      </c>
      <c r="F23" s="22">
        <f t="shared" si="4"/>
        <v>1904</v>
      </c>
      <c r="G23" s="22">
        <f t="shared" si="4"/>
        <v>2647</v>
      </c>
      <c r="H23" s="22">
        <f t="shared" si="4"/>
        <v>3292</v>
      </c>
    </row>
    <row r="24" spans="2:11" x14ac:dyDescent="0.2">
      <c r="B24" s="10" t="s">
        <v>454</v>
      </c>
      <c r="C24" s="21">
        <f>-C33</f>
        <v>-2021.57</v>
      </c>
      <c r="D24" s="21">
        <f t="shared" ref="D24:H24" si="5">-D33</f>
        <v>-2120.02</v>
      </c>
      <c r="E24" s="21">
        <f t="shared" si="5"/>
        <v>-2042.8099999999995</v>
      </c>
      <c r="F24" s="21">
        <f t="shared" si="5"/>
        <v>-657.2</v>
      </c>
      <c r="G24" s="21">
        <f t="shared" si="5"/>
        <v>-827.31999999999994</v>
      </c>
      <c r="H24" s="21">
        <f t="shared" si="5"/>
        <v>-1071.6600000000001</v>
      </c>
    </row>
    <row r="25" spans="2:11" x14ac:dyDescent="0.2">
      <c r="B25" s="102" t="s">
        <v>220</v>
      </c>
      <c r="C25" s="103">
        <f>SUM(C23:C24)</f>
        <v>3206.4300000000003</v>
      </c>
      <c r="D25" s="103">
        <f t="shared" ref="D25:H25" si="6">SUM(D23:D24)</f>
        <v>3977.98</v>
      </c>
      <c r="E25" s="103">
        <f t="shared" si="6"/>
        <v>5080.1900000000005</v>
      </c>
      <c r="F25" s="103">
        <f t="shared" si="6"/>
        <v>1246.8</v>
      </c>
      <c r="G25" s="103">
        <f t="shared" si="6"/>
        <v>1819.68</v>
      </c>
      <c r="H25" s="103">
        <f t="shared" si="6"/>
        <v>2220.34</v>
      </c>
    </row>
    <row r="26" spans="2:11" x14ac:dyDescent="0.2">
      <c r="B26" s="10" t="s">
        <v>456</v>
      </c>
      <c r="C26" s="11"/>
      <c r="D26" s="11"/>
      <c r="E26" s="11"/>
      <c r="F26" s="11"/>
      <c r="G26" s="11"/>
      <c r="H26" s="11"/>
    </row>
    <row r="27" spans="2:11" x14ac:dyDescent="0.2">
      <c r="B27" s="10" t="s">
        <v>139</v>
      </c>
      <c r="C27" s="21">
        <f t="shared" ref="C27:H27" si="7">-C14</f>
        <v>1913</v>
      </c>
      <c r="D27" s="21">
        <f t="shared" si="7"/>
        <v>2208</v>
      </c>
      <c r="E27" s="21">
        <f t="shared" si="7"/>
        <v>2539</v>
      </c>
      <c r="F27" s="21">
        <f t="shared" si="7"/>
        <v>601</v>
      </c>
      <c r="G27" s="21">
        <f t="shared" si="7"/>
        <v>888</v>
      </c>
      <c r="H27" s="21">
        <f t="shared" si="7"/>
        <v>1136</v>
      </c>
      <c r="J27" s="97"/>
    </row>
    <row r="28" spans="2:11" x14ac:dyDescent="0.2">
      <c r="B28" s="10" t="s">
        <v>457</v>
      </c>
      <c r="C28" s="34">
        <f t="shared" ref="C28:H29" si="8">-39%*C10</f>
        <v>-20.67</v>
      </c>
      <c r="D28" s="34">
        <f t="shared" si="8"/>
        <v>-30.810000000000002</v>
      </c>
      <c r="E28" s="34">
        <f t="shared" si="8"/>
        <v>-23.01</v>
      </c>
      <c r="F28" s="34">
        <f t="shared" si="8"/>
        <v>-9.75</v>
      </c>
      <c r="G28" s="34">
        <f t="shared" si="8"/>
        <v>-8.19</v>
      </c>
      <c r="H28" s="34">
        <f t="shared" si="8"/>
        <v>-5.8500000000000005</v>
      </c>
      <c r="I28" s="46">
        <f>C10+C28</f>
        <v>32.33</v>
      </c>
    </row>
    <row r="29" spans="2:11" x14ac:dyDescent="0.2">
      <c r="B29" s="10" t="s">
        <v>458</v>
      </c>
      <c r="C29" s="34">
        <f t="shared" si="8"/>
        <v>10.92</v>
      </c>
      <c r="D29" s="34">
        <f t="shared" si="8"/>
        <v>14.43</v>
      </c>
      <c r="E29" s="34">
        <f t="shared" si="8"/>
        <v>24.18</v>
      </c>
      <c r="F29" s="34">
        <f t="shared" si="8"/>
        <v>77.61</v>
      </c>
      <c r="G29" s="34">
        <f t="shared" si="8"/>
        <v>79.17</v>
      </c>
      <c r="H29" s="34">
        <f t="shared" si="8"/>
        <v>76.05</v>
      </c>
      <c r="I29" s="98"/>
      <c r="J29" s="98"/>
      <c r="K29" s="98"/>
    </row>
    <row r="30" spans="2:11" x14ac:dyDescent="0.2">
      <c r="B30" s="10" t="s">
        <v>459</v>
      </c>
      <c r="C30" s="34">
        <f t="shared" ref="C30:H30" si="9">39%*C22</f>
        <v>112.32000000000001</v>
      </c>
      <c r="D30" s="34">
        <f t="shared" si="9"/>
        <v>101.4</v>
      </c>
      <c r="E30" s="34">
        <f t="shared" si="9"/>
        <v>107.64</v>
      </c>
      <c r="F30" s="34">
        <f t="shared" si="9"/>
        <v>41.34</v>
      </c>
      <c r="G30" s="34">
        <f t="shared" si="9"/>
        <v>41.34</v>
      </c>
      <c r="H30" s="34">
        <f t="shared" si="9"/>
        <v>44.46</v>
      </c>
    </row>
    <row r="31" spans="2:11" x14ac:dyDescent="0.2">
      <c r="B31" s="50" t="s">
        <v>518</v>
      </c>
      <c r="C31" s="22">
        <f>SUM(C27:C30)</f>
        <v>2015.57</v>
      </c>
      <c r="D31" s="22">
        <f t="shared" ref="D31:H31" si="10">SUM(D27:D30)</f>
        <v>2293.02</v>
      </c>
      <c r="E31" s="22">
        <f t="shared" si="10"/>
        <v>2647.8099999999995</v>
      </c>
      <c r="F31" s="22">
        <f t="shared" si="10"/>
        <v>710.2</v>
      </c>
      <c r="G31" s="22">
        <f t="shared" si="10"/>
        <v>1000.3199999999999</v>
      </c>
      <c r="H31" s="22">
        <f t="shared" si="10"/>
        <v>1250.6600000000001</v>
      </c>
    </row>
    <row r="32" spans="2:11" x14ac:dyDescent="0.2">
      <c r="B32" s="10" t="s">
        <v>460</v>
      </c>
      <c r="C32" s="86">
        <v>6</v>
      </c>
      <c r="D32" s="10">
        <f>C70-D70</f>
        <v>-173</v>
      </c>
      <c r="E32" s="10">
        <f>D70-E70</f>
        <v>-605</v>
      </c>
      <c r="F32" s="86">
        <v>-53</v>
      </c>
      <c r="G32" s="10">
        <f>F70-G70</f>
        <v>-173</v>
      </c>
      <c r="H32" s="10">
        <f>G70-H70</f>
        <v>-179</v>
      </c>
    </row>
    <row r="33" spans="2:8" x14ac:dyDescent="0.2">
      <c r="B33" s="50" t="s">
        <v>519</v>
      </c>
      <c r="C33" s="22">
        <f t="shared" ref="C33:H33" si="11">SUM(C31:C32)</f>
        <v>2021.57</v>
      </c>
      <c r="D33" s="22">
        <f t="shared" si="11"/>
        <v>2120.02</v>
      </c>
      <c r="E33" s="22">
        <f t="shared" si="11"/>
        <v>2042.8099999999995</v>
      </c>
      <c r="F33" s="22">
        <f t="shared" si="11"/>
        <v>657.2</v>
      </c>
      <c r="G33" s="22">
        <f t="shared" si="11"/>
        <v>827.31999999999994</v>
      </c>
      <c r="H33" s="22">
        <f t="shared" si="11"/>
        <v>1071.6600000000001</v>
      </c>
    </row>
    <row r="34" spans="2:8" ht="25.5" customHeight="1" x14ac:dyDescent="0.2">
      <c r="B34" s="101" t="s">
        <v>461</v>
      </c>
      <c r="C34" s="101">
        <v>2001</v>
      </c>
      <c r="D34" s="101">
        <v>2002</v>
      </c>
      <c r="E34" s="101">
        <v>2003</v>
      </c>
      <c r="F34" s="101">
        <v>2001</v>
      </c>
      <c r="G34" s="101">
        <v>2002</v>
      </c>
      <c r="H34" s="101">
        <v>2003</v>
      </c>
    </row>
    <row r="35" spans="2:8" x14ac:dyDescent="0.2">
      <c r="B35" s="10" t="s">
        <v>462</v>
      </c>
      <c r="C35" s="21">
        <f>C15</f>
        <v>3044</v>
      </c>
      <c r="D35" s="21">
        <f t="shared" ref="D35:H35" si="12">D15</f>
        <v>3664</v>
      </c>
      <c r="E35" s="21">
        <f t="shared" si="12"/>
        <v>4304</v>
      </c>
      <c r="F35" s="21">
        <f t="shared" si="12"/>
        <v>1023</v>
      </c>
      <c r="G35" s="21">
        <f t="shared" si="12"/>
        <v>1471</v>
      </c>
      <c r="H35" s="21">
        <f t="shared" si="12"/>
        <v>1877</v>
      </c>
    </row>
    <row r="36" spans="2:8" x14ac:dyDescent="0.2">
      <c r="B36" s="10" t="s">
        <v>463</v>
      </c>
      <c r="C36" s="10">
        <f>-C32</f>
        <v>-6</v>
      </c>
      <c r="D36" s="10">
        <f t="shared" ref="D36:H36" si="13">-D32</f>
        <v>173</v>
      </c>
      <c r="E36" s="10">
        <f t="shared" si="13"/>
        <v>605</v>
      </c>
      <c r="F36" s="10">
        <f t="shared" si="13"/>
        <v>53</v>
      </c>
      <c r="G36" s="10">
        <f t="shared" si="13"/>
        <v>173</v>
      </c>
      <c r="H36" s="10">
        <f t="shared" si="13"/>
        <v>179</v>
      </c>
    </row>
    <row r="37" spans="2:8" x14ac:dyDescent="0.2">
      <c r="B37" s="10" t="s">
        <v>464</v>
      </c>
      <c r="C37" s="10">
        <f>-C8</f>
        <v>8</v>
      </c>
      <c r="D37" s="10">
        <f t="shared" ref="D37:H37" si="14">-D8</f>
        <v>8</v>
      </c>
      <c r="E37" s="10">
        <f t="shared" si="14"/>
        <v>1</v>
      </c>
      <c r="F37" s="10">
        <f t="shared" si="14"/>
        <v>0</v>
      </c>
      <c r="G37" s="10">
        <f t="shared" si="14"/>
        <v>0</v>
      </c>
      <c r="H37" s="10">
        <f t="shared" si="14"/>
        <v>0</v>
      </c>
    </row>
    <row r="38" spans="2:8" x14ac:dyDescent="0.2">
      <c r="B38" s="50" t="s">
        <v>520</v>
      </c>
      <c r="C38" s="22">
        <f>SUM(C35:C37)</f>
        <v>3046</v>
      </c>
      <c r="D38" s="22">
        <f t="shared" ref="D38:H38" si="15">SUM(D35:D37)</f>
        <v>3845</v>
      </c>
      <c r="E38" s="22">
        <f t="shared" si="15"/>
        <v>4910</v>
      </c>
      <c r="F38" s="22">
        <f t="shared" si="15"/>
        <v>1076</v>
      </c>
      <c r="G38" s="22">
        <f t="shared" si="15"/>
        <v>1644</v>
      </c>
      <c r="H38" s="22">
        <f t="shared" si="15"/>
        <v>2056</v>
      </c>
    </row>
    <row r="39" spans="2:8" x14ac:dyDescent="0.2">
      <c r="B39" s="10" t="s">
        <v>465</v>
      </c>
      <c r="C39" s="34">
        <f t="shared" ref="C39:H39" si="16">-(C11+C29)</f>
        <v>17.079999999999998</v>
      </c>
      <c r="D39" s="34">
        <f t="shared" si="16"/>
        <v>22.57</v>
      </c>
      <c r="E39" s="34">
        <f t="shared" si="16"/>
        <v>37.82</v>
      </c>
      <c r="F39" s="34">
        <f t="shared" si="16"/>
        <v>121.39</v>
      </c>
      <c r="G39" s="34">
        <f t="shared" si="16"/>
        <v>123.83</v>
      </c>
      <c r="H39" s="34">
        <f t="shared" si="16"/>
        <v>118.95</v>
      </c>
    </row>
    <row r="40" spans="2:8" x14ac:dyDescent="0.2">
      <c r="B40" s="10" t="s">
        <v>466</v>
      </c>
      <c r="C40" s="34">
        <f t="shared" ref="C40:H40" si="17">C22-C30</f>
        <v>175.68</v>
      </c>
      <c r="D40" s="34">
        <f t="shared" si="17"/>
        <v>158.6</v>
      </c>
      <c r="E40" s="34">
        <f t="shared" si="17"/>
        <v>168.36</v>
      </c>
      <c r="F40" s="34">
        <f t="shared" si="17"/>
        <v>64.66</v>
      </c>
      <c r="G40" s="34">
        <f t="shared" si="17"/>
        <v>64.66</v>
      </c>
      <c r="H40" s="34">
        <f t="shared" si="17"/>
        <v>69.539999999999992</v>
      </c>
    </row>
    <row r="41" spans="2:8" x14ac:dyDescent="0.2">
      <c r="B41" s="10" t="s">
        <v>467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-15</v>
      </c>
    </row>
    <row r="42" spans="2:8" x14ac:dyDescent="0.2">
      <c r="B42" s="10" t="s">
        <v>468</v>
      </c>
      <c r="C42" s="21">
        <f>SUM(C38:C41)</f>
        <v>3238.7599999999998</v>
      </c>
      <c r="D42" s="21">
        <f t="shared" ref="D42:H42" si="18">SUM(D38:D41)</f>
        <v>4026.17</v>
      </c>
      <c r="E42" s="21">
        <f t="shared" si="18"/>
        <v>5116.1799999999994</v>
      </c>
      <c r="F42" s="21">
        <f t="shared" si="18"/>
        <v>1262.0500000000002</v>
      </c>
      <c r="G42" s="21">
        <f t="shared" si="18"/>
        <v>1832.49</v>
      </c>
      <c r="H42" s="21">
        <f t="shared" si="18"/>
        <v>2229.4899999999998</v>
      </c>
    </row>
    <row r="43" spans="2:8" x14ac:dyDescent="0.2">
      <c r="B43" s="10" t="s">
        <v>469</v>
      </c>
      <c r="C43" s="34">
        <f t="shared" ref="C43:H43" si="19">-(C10+C28)</f>
        <v>-32.33</v>
      </c>
      <c r="D43" s="34">
        <f t="shared" si="19"/>
        <v>-48.19</v>
      </c>
      <c r="E43" s="34">
        <f t="shared" si="19"/>
        <v>-35.989999999999995</v>
      </c>
      <c r="F43" s="34">
        <f t="shared" si="19"/>
        <v>-15.25</v>
      </c>
      <c r="G43" s="34">
        <f t="shared" si="19"/>
        <v>-12.81</v>
      </c>
      <c r="H43" s="34">
        <f t="shared" si="19"/>
        <v>-9.1499999999999986</v>
      </c>
    </row>
    <row r="44" spans="2:8" x14ac:dyDescent="0.2">
      <c r="B44" s="102" t="s">
        <v>48</v>
      </c>
      <c r="C44" s="103">
        <f>C42+C43</f>
        <v>3206.43</v>
      </c>
      <c r="D44" s="103">
        <f t="shared" ref="D44:H44" si="20">D42+D43</f>
        <v>3977.98</v>
      </c>
      <c r="E44" s="103">
        <f t="shared" si="20"/>
        <v>5080.1899999999996</v>
      </c>
      <c r="F44" s="103">
        <f t="shared" si="20"/>
        <v>1246.8000000000002</v>
      </c>
      <c r="G44" s="103">
        <f t="shared" si="20"/>
        <v>1819.68</v>
      </c>
      <c r="H44" s="103">
        <f t="shared" si="20"/>
        <v>2220.3399999999997</v>
      </c>
    </row>
    <row r="48" spans="2:8" x14ac:dyDescent="0.2">
      <c r="C48" s="112" t="s">
        <v>514</v>
      </c>
      <c r="D48" s="112"/>
      <c r="E48" s="112"/>
      <c r="F48" s="112" t="s">
        <v>515</v>
      </c>
      <c r="G48" s="112"/>
      <c r="H48" s="112"/>
    </row>
    <row r="49" spans="2:10" x14ac:dyDescent="0.2">
      <c r="B49" s="99" t="s">
        <v>349</v>
      </c>
      <c r="C49" s="100">
        <v>2001</v>
      </c>
      <c r="D49" s="100">
        <v>2002</v>
      </c>
      <c r="E49" s="100">
        <v>2003</v>
      </c>
      <c r="F49" s="100">
        <v>2001</v>
      </c>
      <c r="G49" s="100">
        <v>2002</v>
      </c>
      <c r="H49" s="100">
        <v>2003</v>
      </c>
    </row>
    <row r="50" spans="2:10" x14ac:dyDescent="0.2">
      <c r="B50" s="10" t="s">
        <v>487</v>
      </c>
      <c r="C50" s="21">
        <v>2477</v>
      </c>
      <c r="D50" s="21">
        <v>2188</v>
      </c>
      <c r="E50" s="21">
        <v>2826</v>
      </c>
      <c r="F50" s="10">
        <v>799</v>
      </c>
      <c r="G50" s="10">
        <v>853</v>
      </c>
      <c r="H50" s="21">
        <v>1446</v>
      </c>
      <c r="I50" s="40"/>
      <c r="J50" s="40"/>
    </row>
    <row r="51" spans="2:10" x14ac:dyDescent="0.2">
      <c r="B51" s="10" t="s">
        <v>488</v>
      </c>
      <c r="C51" s="10">
        <v>69</v>
      </c>
      <c r="D51" s="10">
        <v>65</v>
      </c>
      <c r="E51" s="10">
        <v>26</v>
      </c>
      <c r="F51" s="10">
        <v>54</v>
      </c>
      <c r="G51" s="10">
        <v>273</v>
      </c>
      <c r="H51" s="10">
        <v>178</v>
      </c>
    </row>
    <row r="52" spans="2:10" x14ac:dyDescent="0.2">
      <c r="B52" s="10" t="s">
        <v>489</v>
      </c>
      <c r="C52" s="10">
        <v>920</v>
      </c>
      <c r="D52" s="21">
        <v>1072</v>
      </c>
      <c r="E52" s="21">
        <v>1097</v>
      </c>
      <c r="F52" s="10">
        <v>166</v>
      </c>
      <c r="G52" s="10">
        <v>172</v>
      </c>
      <c r="H52" s="10">
        <v>131</v>
      </c>
    </row>
    <row r="53" spans="2:10" x14ac:dyDescent="0.2">
      <c r="B53" s="10" t="s">
        <v>490</v>
      </c>
      <c r="C53" s="21">
        <v>6725</v>
      </c>
      <c r="D53" s="21">
        <v>8338</v>
      </c>
      <c r="E53" s="21">
        <v>9076</v>
      </c>
      <c r="F53" s="21">
        <v>3611</v>
      </c>
      <c r="G53" s="21">
        <v>3068</v>
      </c>
      <c r="H53" s="21">
        <v>4584</v>
      </c>
    </row>
    <row r="54" spans="2:10" x14ac:dyDescent="0.2">
      <c r="B54" s="10" t="s">
        <v>115</v>
      </c>
      <c r="C54" s="10">
        <v>170</v>
      </c>
      <c r="D54" s="10">
        <v>254</v>
      </c>
      <c r="E54" s="10">
        <v>303</v>
      </c>
      <c r="F54" s="10">
        <v>291</v>
      </c>
      <c r="G54" s="10">
        <v>302</v>
      </c>
      <c r="H54" s="10">
        <v>348</v>
      </c>
    </row>
    <row r="55" spans="2:10" x14ac:dyDescent="0.2">
      <c r="B55" s="50" t="s">
        <v>116</v>
      </c>
      <c r="C55" s="22">
        <f>SUM(C50:C54)</f>
        <v>10361</v>
      </c>
      <c r="D55" s="22">
        <f t="shared" ref="D55:H55" si="21">SUM(D50:D54)</f>
        <v>11917</v>
      </c>
      <c r="E55" s="22">
        <f t="shared" si="21"/>
        <v>13328</v>
      </c>
      <c r="F55" s="22">
        <f t="shared" si="21"/>
        <v>4921</v>
      </c>
      <c r="G55" s="22">
        <f t="shared" si="21"/>
        <v>4668</v>
      </c>
      <c r="H55" s="22">
        <f t="shared" si="21"/>
        <v>6687</v>
      </c>
    </row>
    <row r="56" spans="2:10" x14ac:dyDescent="0.2">
      <c r="B56" s="10" t="s">
        <v>491</v>
      </c>
      <c r="C56" s="21">
        <v>15375</v>
      </c>
      <c r="D56" s="21">
        <v>17168</v>
      </c>
      <c r="E56" s="21">
        <v>20063</v>
      </c>
      <c r="F56" s="21">
        <v>8653</v>
      </c>
      <c r="G56" s="21">
        <v>10352</v>
      </c>
      <c r="H56" s="21">
        <v>11945</v>
      </c>
    </row>
    <row r="57" spans="2:10" x14ac:dyDescent="0.2">
      <c r="B57" s="10" t="s">
        <v>492</v>
      </c>
      <c r="C57" s="10">
        <v>83</v>
      </c>
      <c r="D57" s="10">
        <v>107</v>
      </c>
      <c r="E57" s="10">
        <v>84</v>
      </c>
      <c r="F57" s="10">
        <v>22</v>
      </c>
      <c r="G57" s="10">
        <v>29</v>
      </c>
      <c r="H57" s="10">
        <v>169</v>
      </c>
    </row>
    <row r="58" spans="2:10" x14ac:dyDescent="0.2">
      <c r="B58" s="10" t="s">
        <v>493</v>
      </c>
      <c r="C58" s="10">
        <v>419</v>
      </c>
      <c r="D58" s="10">
        <v>575</v>
      </c>
      <c r="E58" s="10">
        <v>833</v>
      </c>
      <c r="F58" s="10">
        <v>0</v>
      </c>
      <c r="G58" s="10">
        <v>0</v>
      </c>
      <c r="H58" s="10">
        <v>0</v>
      </c>
    </row>
    <row r="59" spans="2:10" x14ac:dyDescent="0.2">
      <c r="B59" s="10" t="s">
        <v>494</v>
      </c>
      <c r="C59" s="10">
        <v>156</v>
      </c>
      <c r="D59" s="10">
        <v>244</v>
      </c>
      <c r="E59" s="10">
        <v>129</v>
      </c>
      <c r="F59" s="10">
        <v>141</v>
      </c>
      <c r="G59" s="10">
        <v>160</v>
      </c>
      <c r="H59" s="10">
        <v>241</v>
      </c>
    </row>
    <row r="60" spans="2:10" x14ac:dyDescent="0.2">
      <c r="B60" s="50" t="s">
        <v>122</v>
      </c>
      <c r="C60" s="22">
        <f>SUM(C55:C59)</f>
        <v>26394</v>
      </c>
      <c r="D60" s="22">
        <f t="shared" ref="D60:H60" si="22">SUM(D55:D59)</f>
        <v>30011</v>
      </c>
      <c r="E60" s="22">
        <f t="shared" si="22"/>
        <v>34437</v>
      </c>
      <c r="F60" s="22">
        <f t="shared" si="22"/>
        <v>13737</v>
      </c>
      <c r="G60" s="22">
        <f t="shared" si="22"/>
        <v>15209</v>
      </c>
      <c r="H60" s="22">
        <f t="shared" si="22"/>
        <v>19042</v>
      </c>
    </row>
    <row r="61" spans="2:10" x14ac:dyDescent="0.2">
      <c r="B61" s="10"/>
      <c r="C61" s="21"/>
      <c r="D61" s="21"/>
      <c r="E61" s="21"/>
      <c r="F61" s="21"/>
      <c r="G61" s="21"/>
      <c r="H61" s="21"/>
    </row>
    <row r="62" spans="2:10" x14ac:dyDescent="0.2">
      <c r="B62" s="99" t="s">
        <v>495</v>
      </c>
      <c r="C62" s="100">
        <v>2001</v>
      </c>
      <c r="D62" s="100">
        <v>2002</v>
      </c>
      <c r="E62" s="100">
        <v>2003</v>
      </c>
      <c r="F62" s="100">
        <v>2001</v>
      </c>
      <c r="G62" s="100">
        <v>2002</v>
      </c>
      <c r="H62" s="100">
        <v>2003</v>
      </c>
    </row>
    <row r="63" spans="2:10" x14ac:dyDescent="0.2">
      <c r="B63" s="10" t="s">
        <v>123</v>
      </c>
      <c r="C63" s="10">
        <v>211</v>
      </c>
      <c r="D63" s="10">
        <v>0</v>
      </c>
      <c r="E63" s="10">
        <v>509</v>
      </c>
      <c r="F63" s="10">
        <v>159</v>
      </c>
      <c r="G63" s="10">
        <v>79</v>
      </c>
      <c r="H63" s="10">
        <v>77</v>
      </c>
    </row>
    <row r="64" spans="2:10" x14ac:dyDescent="0.2">
      <c r="B64" s="10" t="s">
        <v>124</v>
      </c>
      <c r="C64" s="21">
        <v>3436</v>
      </c>
      <c r="D64" s="21">
        <v>4560</v>
      </c>
      <c r="E64" s="21">
        <v>5159</v>
      </c>
      <c r="F64" s="21">
        <v>1715</v>
      </c>
      <c r="G64" s="21">
        <v>1943</v>
      </c>
      <c r="H64" s="21">
        <v>2366</v>
      </c>
    </row>
    <row r="65" spans="2:8" x14ac:dyDescent="0.2">
      <c r="B65" s="10" t="s">
        <v>496</v>
      </c>
      <c r="C65" s="10">
        <v>717</v>
      </c>
      <c r="D65" s="10">
        <v>809</v>
      </c>
      <c r="E65" s="10">
        <v>801</v>
      </c>
      <c r="F65" s="10">
        <v>347</v>
      </c>
      <c r="G65" s="10">
        <v>394</v>
      </c>
      <c r="H65" s="10">
        <v>409</v>
      </c>
    </row>
    <row r="66" spans="2:8" x14ac:dyDescent="0.2">
      <c r="B66" s="10" t="s">
        <v>497</v>
      </c>
      <c r="C66" s="10">
        <v>933</v>
      </c>
      <c r="D66" s="10">
        <v>998</v>
      </c>
      <c r="E66" s="21">
        <v>1281</v>
      </c>
      <c r="F66" s="10">
        <v>0</v>
      </c>
      <c r="G66" s="10">
        <v>0</v>
      </c>
      <c r="H66" s="10">
        <v>0</v>
      </c>
    </row>
    <row r="67" spans="2:8" x14ac:dyDescent="0.2">
      <c r="B67" s="10" t="s">
        <v>498</v>
      </c>
      <c r="C67" s="21">
        <v>1204</v>
      </c>
      <c r="D67" s="21">
        <v>1668</v>
      </c>
      <c r="E67" s="21">
        <v>1804</v>
      </c>
      <c r="F67" s="10">
        <v>796</v>
      </c>
      <c r="G67" s="21">
        <v>1162</v>
      </c>
      <c r="H67" s="21">
        <v>1516</v>
      </c>
    </row>
    <row r="68" spans="2:8" x14ac:dyDescent="0.2">
      <c r="B68" s="50" t="s">
        <v>521</v>
      </c>
      <c r="C68" s="22">
        <f>SUM(C63:C67)</f>
        <v>6501</v>
      </c>
      <c r="D68" s="22">
        <f t="shared" ref="D68:H68" si="23">SUM(D63:D67)</f>
        <v>8035</v>
      </c>
      <c r="E68" s="22">
        <f t="shared" si="23"/>
        <v>9554</v>
      </c>
      <c r="F68" s="22">
        <f t="shared" si="23"/>
        <v>3017</v>
      </c>
      <c r="G68" s="22">
        <f t="shared" si="23"/>
        <v>3578</v>
      </c>
      <c r="H68" s="22">
        <f t="shared" si="23"/>
        <v>4368</v>
      </c>
    </row>
    <row r="69" spans="2:8" x14ac:dyDescent="0.2">
      <c r="B69" s="10" t="s">
        <v>129</v>
      </c>
      <c r="C69" s="21">
        <v>1250</v>
      </c>
      <c r="D69" s="21">
        <v>1321</v>
      </c>
      <c r="E69" s="10">
        <v>856</v>
      </c>
      <c r="F69" s="21">
        <v>3734</v>
      </c>
      <c r="G69" s="21">
        <v>3736</v>
      </c>
      <c r="H69" s="21">
        <v>3678</v>
      </c>
    </row>
    <row r="70" spans="2:8" x14ac:dyDescent="0.2">
      <c r="B70" s="10" t="s">
        <v>499</v>
      </c>
      <c r="C70" s="10">
        <v>189</v>
      </c>
      <c r="D70" s="10">
        <v>362</v>
      </c>
      <c r="E70" s="10">
        <v>967</v>
      </c>
      <c r="F70" s="10">
        <v>305</v>
      </c>
      <c r="G70" s="10">
        <v>478</v>
      </c>
      <c r="H70" s="10">
        <v>657</v>
      </c>
    </row>
    <row r="71" spans="2:8" x14ac:dyDescent="0.2">
      <c r="B71" s="10" t="s">
        <v>500</v>
      </c>
      <c r="C71" s="10">
        <v>372</v>
      </c>
      <c r="D71" s="10">
        <v>491</v>
      </c>
      <c r="E71" s="10">
        <v>653</v>
      </c>
      <c r="F71" s="10">
        <v>6</v>
      </c>
      <c r="G71" s="10">
        <v>15</v>
      </c>
      <c r="H71" s="10">
        <v>30</v>
      </c>
    </row>
    <row r="72" spans="2:8" x14ac:dyDescent="0.2">
      <c r="B72" s="10" t="s">
        <v>501</v>
      </c>
      <c r="C72" s="21">
        <v>5503</v>
      </c>
      <c r="D72" s="21">
        <v>3913</v>
      </c>
      <c r="E72" s="21">
        <v>2637</v>
      </c>
      <c r="F72" s="21">
        <v>2192</v>
      </c>
      <c r="G72" s="21">
        <v>2414</v>
      </c>
      <c r="H72" s="21">
        <v>2631</v>
      </c>
    </row>
    <row r="73" spans="2:8" x14ac:dyDescent="0.2">
      <c r="B73" s="10" t="s">
        <v>502</v>
      </c>
      <c r="C73" s="21">
        <v>12799</v>
      </c>
      <c r="D73" s="21">
        <v>15971</v>
      </c>
      <c r="E73" s="21">
        <v>19680</v>
      </c>
      <c r="F73" s="21">
        <v>4482</v>
      </c>
      <c r="G73" s="21">
        <v>5887</v>
      </c>
      <c r="H73" s="21">
        <v>7677</v>
      </c>
    </row>
    <row r="74" spans="2:8" x14ac:dyDescent="0.2">
      <c r="B74" s="10" t="s">
        <v>503</v>
      </c>
      <c r="C74" s="10">
        <v>-220</v>
      </c>
      <c r="D74" s="10">
        <v>-82</v>
      </c>
      <c r="E74" s="10">
        <v>90</v>
      </c>
      <c r="F74" s="10">
        <v>1</v>
      </c>
      <c r="G74" s="10">
        <v>1</v>
      </c>
      <c r="H74" s="10">
        <v>1</v>
      </c>
    </row>
    <row r="75" spans="2:8" x14ac:dyDescent="0.2">
      <c r="B75" s="50" t="s">
        <v>72</v>
      </c>
      <c r="C75" s="22">
        <f>SUM(C68:C74)</f>
        <v>26394</v>
      </c>
      <c r="D75" s="22">
        <f t="shared" ref="D75:H75" si="24">SUM(D68:D74)</f>
        <v>30011</v>
      </c>
      <c r="E75" s="22">
        <f t="shared" si="24"/>
        <v>34437</v>
      </c>
      <c r="F75" s="22">
        <f t="shared" si="24"/>
        <v>13737</v>
      </c>
      <c r="G75" s="22">
        <f t="shared" si="24"/>
        <v>16109</v>
      </c>
      <c r="H75" s="22">
        <f t="shared" si="24"/>
        <v>19042</v>
      </c>
    </row>
    <row r="76" spans="2:8" x14ac:dyDescent="0.2">
      <c r="C76" s="40"/>
      <c r="D76" s="40"/>
      <c r="E76" s="40"/>
      <c r="F76" s="40"/>
      <c r="G76" s="40"/>
      <c r="H76" s="40"/>
    </row>
    <row r="78" spans="2:8" x14ac:dyDescent="0.2">
      <c r="C78" s="112" t="s">
        <v>514</v>
      </c>
      <c r="D78" s="112"/>
      <c r="E78" s="112"/>
      <c r="F78" s="112" t="s">
        <v>515</v>
      </c>
      <c r="G78" s="112"/>
      <c r="H78" s="112"/>
    </row>
    <row r="79" spans="2:8" x14ac:dyDescent="0.2">
      <c r="B79" s="99"/>
      <c r="C79" s="100">
        <v>2001</v>
      </c>
      <c r="D79" s="100">
        <v>2002</v>
      </c>
      <c r="E79" s="100">
        <v>2003</v>
      </c>
      <c r="F79" s="100">
        <v>2001</v>
      </c>
      <c r="G79" s="100">
        <v>2002</v>
      </c>
      <c r="H79" s="100">
        <v>2003</v>
      </c>
    </row>
    <row r="80" spans="2:8" x14ac:dyDescent="0.2">
      <c r="B80" s="10" t="s">
        <v>504</v>
      </c>
      <c r="C80" s="104">
        <v>1027</v>
      </c>
      <c r="D80" s="104">
        <v>1117</v>
      </c>
      <c r="E80" s="104">
        <v>1243</v>
      </c>
      <c r="F80" s="86">
        <v>424</v>
      </c>
      <c r="G80" s="86">
        <v>508</v>
      </c>
      <c r="H80" s="86">
        <v>591</v>
      </c>
    </row>
    <row r="81" spans="1:11" x14ac:dyDescent="0.2">
      <c r="B81" s="10" t="s">
        <v>489</v>
      </c>
      <c r="C81" s="10">
        <f>C52</f>
        <v>920</v>
      </c>
      <c r="D81" s="10">
        <f t="shared" ref="D81:H81" si="25">D52</f>
        <v>1072</v>
      </c>
      <c r="E81" s="10">
        <f t="shared" si="25"/>
        <v>1097</v>
      </c>
      <c r="F81" s="10">
        <f t="shared" si="25"/>
        <v>166</v>
      </c>
      <c r="G81" s="10">
        <f t="shared" si="25"/>
        <v>172</v>
      </c>
      <c r="H81" s="10">
        <f t="shared" si="25"/>
        <v>131</v>
      </c>
    </row>
    <row r="82" spans="1:11" x14ac:dyDescent="0.2">
      <c r="B82" s="10" t="s">
        <v>490</v>
      </c>
      <c r="C82" s="21">
        <f>C53</f>
        <v>6725</v>
      </c>
      <c r="D82" s="21">
        <f t="shared" ref="D82:H82" si="26">D53</f>
        <v>8338</v>
      </c>
      <c r="E82" s="21">
        <f t="shared" si="26"/>
        <v>9076</v>
      </c>
      <c r="F82" s="21">
        <f t="shared" si="26"/>
        <v>3611</v>
      </c>
      <c r="G82" s="21">
        <f t="shared" si="26"/>
        <v>3068</v>
      </c>
      <c r="H82" s="21">
        <f t="shared" si="26"/>
        <v>4584</v>
      </c>
    </row>
    <row r="83" spans="1:11" x14ac:dyDescent="0.2">
      <c r="B83" s="10" t="s">
        <v>115</v>
      </c>
      <c r="C83" s="10">
        <f>C54</f>
        <v>170</v>
      </c>
      <c r="D83" s="10">
        <f t="shared" ref="D83:H83" si="27">D54</f>
        <v>254</v>
      </c>
      <c r="E83" s="10">
        <f t="shared" si="27"/>
        <v>303</v>
      </c>
      <c r="F83" s="10">
        <f t="shared" si="27"/>
        <v>291</v>
      </c>
      <c r="G83" s="10">
        <f t="shared" si="27"/>
        <v>302</v>
      </c>
      <c r="H83" s="10">
        <f t="shared" si="27"/>
        <v>348</v>
      </c>
    </row>
    <row r="84" spans="1:11" x14ac:dyDescent="0.2">
      <c r="B84" s="50" t="s">
        <v>522</v>
      </c>
      <c r="C84" s="22">
        <f>SUM(C80:C83)</f>
        <v>8842</v>
      </c>
      <c r="D84" s="22">
        <f t="shared" ref="D84:H84" si="28">SUM(D80:D83)</f>
        <v>10781</v>
      </c>
      <c r="E84" s="22">
        <f t="shared" si="28"/>
        <v>11719</v>
      </c>
      <c r="F84" s="22">
        <f t="shared" si="28"/>
        <v>4492</v>
      </c>
      <c r="G84" s="22">
        <f t="shared" si="28"/>
        <v>4050</v>
      </c>
      <c r="H84" s="22">
        <f t="shared" si="28"/>
        <v>5654</v>
      </c>
    </row>
    <row r="85" spans="1:11" x14ac:dyDescent="0.2">
      <c r="B85" s="10" t="s">
        <v>124</v>
      </c>
      <c r="C85" s="21">
        <f>C64</f>
        <v>3436</v>
      </c>
      <c r="D85" s="21">
        <f t="shared" ref="D85:H85" si="29">D64</f>
        <v>4560</v>
      </c>
      <c r="E85" s="21">
        <f t="shared" si="29"/>
        <v>5159</v>
      </c>
      <c r="F85" s="21">
        <f t="shared" si="29"/>
        <v>1715</v>
      </c>
      <c r="G85" s="21">
        <f t="shared" si="29"/>
        <v>1943</v>
      </c>
      <c r="H85" s="21">
        <f t="shared" si="29"/>
        <v>2366</v>
      </c>
    </row>
    <row r="86" spans="1:11" x14ac:dyDescent="0.2">
      <c r="B86" s="10" t="s">
        <v>496</v>
      </c>
      <c r="C86" s="10">
        <f>C65</f>
        <v>717</v>
      </c>
      <c r="D86" s="10">
        <f t="shared" ref="D86:H86" si="30">D65</f>
        <v>809</v>
      </c>
      <c r="E86" s="10">
        <f t="shared" si="30"/>
        <v>801</v>
      </c>
      <c r="F86" s="10">
        <f t="shared" si="30"/>
        <v>347</v>
      </c>
      <c r="G86" s="10">
        <f t="shared" si="30"/>
        <v>394</v>
      </c>
      <c r="H86" s="10">
        <f t="shared" si="30"/>
        <v>409</v>
      </c>
    </row>
    <row r="87" spans="1:11" x14ac:dyDescent="0.2">
      <c r="A87" s="40"/>
      <c r="B87" s="10" t="s">
        <v>497</v>
      </c>
      <c r="C87" s="10">
        <f>C66</f>
        <v>933</v>
      </c>
      <c r="D87" s="10">
        <f t="shared" ref="D87:H87" si="31">D66</f>
        <v>998</v>
      </c>
      <c r="E87" s="10">
        <f t="shared" si="31"/>
        <v>1281</v>
      </c>
      <c r="F87" s="10">
        <f t="shared" si="31"/>
        <v>0</v>
      </c>
      <c r="G87" s="10">
        <f t="shared" si="31"/>
        <v>0</v>
      </c>
      <c r="H87" s="10">
        <f t="shared" si="31"/>
        <v>0</v>
      </c>
      <c r="J87" s="40"/>
      <c r="K87" s="40"/>
    </row>
    <row r="88" spans="1:11" x14ac:dyDescent="0.2">
      <c r="A88" s="40"/>
      <c r="B88" s="10" t="s">
        <v>498</v>
      </c>
      <c r="C88" s="21">
        <f>C67</f>
        <v>1204</v>
      </c>
      <c r="D88" s="21">
        <f t="shared" ref="D88:H88" si="32">D67</f>
        <v>1668</v>
      </c>
      <c r="E88" s="21">
        <f t="shared" si="32"/>
        <v>1804</v>
      </c>
      <c r="F88" s="21">
        <f t="shared" si="32"/>
        <v>796</v>
      </c>
      <c r="G88" s="21">
        <f t="shared" si="32"/>
        <v>1162</v>
      </c>
      <c r="H88" s="21">
        <f t="shared" si="32"/>
        <v>1516</v>
      </c>
    </row>
    <row r="89" spans="1:11" x14ac:dyDescent="0.2">
      <c r="A89" s="40"/>
      <c r="B89" s="50" t="s">
        <v>523</v>
      </c>
      <c r="C89" s="22">
        <f>SUM(C85:C88)</f>
        <v>6290</v>
      </c>
      <c r="D89" s="22">
        <f t="shared" ref="D89:H89" si="33">SUM(D85:D88)</f>
        <v>8035</v>
      </c>
      <c r="E89" s="22">
        <f t="shared" si="33"/>
        <v>9045</v>
      </c>
      <c r="F89" s="22">
        <f t="shared" si="33"/>
        <v>2858</v>
      </c>
      <c r="G89" s="22">
        <f t="shared" si="33"/>
        <v>3499</v>
      </c>
      <c r="H89" s="22">
        <f t="shared" si="33"/>
        <v>4291</v>
      </c>
    </row>
    <row r="90" spans="1:11" x14ac:dyDescent="0.2">
      <c r="B90" s="105" t="s">
        <v>524</v>
      </c>
      <c r="C90" s="106">
        <f>C84-C89</f>
        <v>2552</v>
      </c>
      <c r="D90" s="106">
        <f t="shared" ref="D90:H90" si="34">D84-D89</f>
        <v>2746</v>
      </c>
      <c r="E90" s="106">
        <f t="shared" si="34"/>
        <v>2674</v>
      </c>
      <c r="F90" s="106">
        <f t="shared" si="34"/>
        <v>1634</v>
      </c>
      <c r="G90" s="106">
        <f t="shared" si="34"/>
        <v>551</v>
      </c>
      <c r="H90" s="106">
        <f t="shared" si="34"/>
        <v>1363</v>
      </c>
      <c r="I90" s="40">
        <f>900+G90</f>
        <v>1451</v>
      </c>
      <c r="J90" s="40">
        <f>F90-I90</f>
        <v>183</v>
      </c>
    </row>
    <row r="91" spans="1:11" x14ac:dyDescent="0.2">
      <c r="A91" s="40">
        <f>E91-D91</f>
        <v>2895</v>
      </c>
      <c r="B91" s="10" t="s">
        <v>491</v>
      </c>
      <c r="C91" s="21">
        <f>C56</f>
        <v>15375</v>
      </c>
      <c r="D91" s="21">
        <f t="shared" ref="D91:H91" si="35">D56</f>
        <v>17168</v>
      </c>
      <c r="E91" s="21">
        <f t="shared" si="35"/>
        <v>20063</v>
      </c>
      <c r="F91" s="21">
        <f t="shared" si="35"/>
        <v>8653</v>
      </c>
      <c r="G91" s="21">
        <f t="shared" si="35"/>
        <v>10352</v>
      </c>
      <c r="H91" s="21">
        <f t="shared" si="35"/>
        <v>11945</v>
      </c>
    </row>
    <row r="92" spans="1:11" x14ac:dyDescent="0.2">
      <c r="B92" s="10" t="s">
        <v>505</v>
      </c>
      <c r="C92" s="104">
        <v>5459</v>
      </c>
      <c r="D92" s="104">
        <v>5890</v>
      </c>
      <c r="E92" s="104">
        <v>6554</v>
      </c>
      <c r="F92" s="104">
        <v>2189</v>
      </c>
      <c r="G92" s="104">
        <v>2373</v>
      </c>
      <c r="H92" s="104">
        <v>2762</v>
      </c>
    </row>
    <row r="93" spans="1:11" x14ac:dyDescent="0.2">
      <c r="B93" s="10" t="s">
        <v>506</v>
      </c>
      <c r="C93" s="10">
        <f>C59-C71</f>
        <v>-216</v>
      </c>
      <c r="D93" s="10">
        <f t="shared" ref="D93:H93" si="36">D59-D71</f>
        <v>-247</v>
      </c>
      <c r="E93" s="10">
        <f t="shared" si="36"/>
        <v>-524</v>
      </c>
      <c r="F93" s="10">
        <f t="shared" si="36"/>
        <v>135</v>
      </c>
      <c r="G93" s="10">
        <f t="shared" si="36"/>
        <v>145</v>
      </c>
      <c r="H93" s="10">
        <f t="shared" si="36"/>
        <v>211</v>
      </c>
      <c r="J93" s="96"/>
      <c r="K93" s="96"/>
    </row>
    <row r="94" spans="1:11" x14ac:dyDescent="0.2">
      <c r="B94" s="50" t="s">
        <v>525</v>
      </c>
      <c r="C94" s="22">
        <f>SUM(C90:C93)</f>
        <v>23170</v>
      </c>
      <c r="D94" s="22">
        <f t="shared" ref="D94:H94" si="37">SUM(D90:D93)</f>
        <v>25557</v>
      </c>
      <c r="E94" s="22">
        <f t="shared" si="37"/>
        <v>28767</v>
      </c>
      <c r="F94" s="22">
        <f t="shared" si="37"/>
        <v>12611</v>
      </c>
      <c r="G94" s="22">
        <f t="shared" si="37"/>
        <v>13421</v>
      </c>
      <c r="H94" s="22">
        <f t="shared" si="37"/>
        <v>16281</v>
      </c>
    </row>
    <row r="95" spans="1:11" x14ac:dyDescent="0.2">
      <c r="B95" s="10" t="s">
        <v>493</v>
      </c>
      <c r="C95" s="10">
        <f>C58</f>
        <v>419</v>
      </c>
      <c r="D95" s="10">
        <f t="shared" ref="D95:H95" si="38">D58</f>
        <v>575</v>
      </c>
      <c r="E95" s="10">
        <f t="shared" si="38"/>
        <v>833</v>
      </c>
      <c r="F95" s="10">
        <f t="shared" si="38"/>
        <v>0</v>
      </c>
      <c r="G95" s="10">
        <f t="shared" si="38"/>
        <v>0</v>
      </c>
      <c r="H95" s="10">
        <f t="shared" si="38"/>
        <v>0</v>
      </c>
    </row>
    <row r="96" spans="1:11" x14ac:dyDescent="0.2">
      <c r="B96" s="10" t="s">
        <v>507</v>
      </c>
      <c r="C96" s="86">
        <v>46</v>
      </c>
      <c r="D96" s="10">
        <f>C96-D8</f>
        <v>54</v>
      </c>
      <c r="E96" s="10">
        <f>D96-E8</f>
        <v>55</v>
      </c>
      <c r="F96" s="86">
        <v>730</v>
      </c>
      <c r="G96" s="10">
        <f>F96-G8</f>
        <v>730</v>
      </c>
      <c r="H96" s="10">
        <f>G96-H8</f>
        <v>730</v>
      </c>
    </row>
    <row r="97" spans="2:8" x14ac:dyDescent="0.2">
      <c r="B97" s="50" t="s">
        <v>526</v>
      </c>
      <c r="C97" s="22">
        <f>SUM(C94:C96)</f>
        <v>23635</v>
      </c>
      <c r="D97" s="22">
        <f t="shared" ref="D97:H97" si="39">SUM(D94:D96)</f>
        <v>26186</v>
      </c>
      <c r="E97" s="22">
        <f t="shared" si="39"/>
        <v>29655</v>
      </c>
      <c r="F97" s="22">
        <f t="shared" si="39"/>
        <v>13341</v>
      </c>
      <c r="G97" s="22">
        <f t="shared" si="39"/>
        <v>14151</v>
      </c>
      <c r="H97" s="22">
        <f t="shared" si="39"/>
        <v>17011</v>
      </c>
    </row>
    <row r="98" spans="2:8" x14ac:dyDescent="0.2">
      <c r="B98" s="10" t="s">
        <v>508</v>
      </c>
      <c r="C98" s="21">
        <f t="shared" ref="C98:H98" si="40">C50-C80+C51</f>
        <v>1519</v>
      </c>
      <c r="D98" s="21">
        <f t="shared" si="40"/>
        <v>1136</v>
      </c>
      <c r="E98" s="21">
        <f t="shared" si="40"/>
        <v>1609</v>
      </c>
      <c r="F98" s="21">
        <f t="shared" si="40"/>
        <v>429</v>
      </c>
      <c r="G98" s="21">
        <f t="shared" si="40"/>
        <v>618</v>
      </c>
      <c r="H98" s="21">
        <f t="shared" si="40"/>
        <v>1033</v>
      </c>
    </row>
    <row r="99" spans="2:8" x14ac:dyDescent="0.2">
      <c r="B99" s="10" t="s">
        <v>492</v>
      </c>
      <c r="C99" s="10">
        <f>C57</f>
        <v>83</v>
      </c>
      <c r="D99" s="10">
        <f t="shared" ref="D99:H99" si="41">D57</f>
        <v>107</v>
      </c>
      <c r="E99" s="10">
        <f t="shared" si="41"/>
        <v>84</v>
      </c>
      <c r="F99" s="10">
        <f t="shared" si="41"/>
        <v>22</v>
      </c>
      <c r="G99" s="10">
        <f t="shared" si="41"/>
        <v>29</v>
      </c>
      <c r="H99" s="10">
        <f t="shared" si="41"/>
        <v>169</v>
      </c>
    </row>
    <row r="100" spans="2:8" x14ac:dyDescent="0.2">
      <c r="B100" s="10" t="s">
        <v>509</v>
      </c>
      <c r="C100" s="22">
        <f>SUM(C97:C99)</f>
        <v>25237</v>
      </c>
      <c r="D100" s="22">
        <f t="shared" ref="D100:H100" si="42">SUM(D97:D99)</f>
        <v>27429</v>
      </c>
      <c r="E100" s="22">
        <f t="shared" si="42"/>
        <v>31348</v>
      </c>
      <c r="F100" s="22">
        <f t="shared" si="42"/>
        <v>13792</v>
      </c>
      <c r="G100" s="22">
        <f t="shared" si="42"/>
        <v>14798</v>
      </c>
      <c r="H100" s="22">
        <f t="shared" si="42"/>
        <v>18213</v>
      </c>
    </row>
    <row r="101" spans="2:8" ht="19.5" customHeight="1" x14ac:dyDescent="0.2">
      <c r="B101" s="12"/>
      <c r="C101" s="10">
        <v>2001</v>
      </c>
      <c r="D101" s="10">
        <v>2002</v>
      </c>
      <c r="E101" s="10">
        <v>2003</v>
      </c>
      <c r="F101" s="10">
        <v>2001</v>
      </c>
      <c r="G101" s="10">
        <v>2002</v>
      </c>
      <c r="H101" s="10">
        <v>2003</v>
      </c>
    </row>
    <row r="102" spans="2:8" x14ac:dyDescent="0.2">
      <c r="B102" s="10" t="s">
        <v>123</v>
      </c>
      <c r="C102" s="10">
        <f>C63</f>
        <v>211</v>
      </c>
      <c r="D102" s="10">
        <f t="shared" ref="D102:H102" si="43">D63</f>
        <v>0</v>
      </c>
      <c r="E102" s="10">
        <f t="shared" si="43"/>
        <v>509</v>
      </c>
      <c r="F102" s="10">
        <f t="shared" si="43"/>
        <v>159</v>
      </c>
      <c r="G102" s="10">
        <f t="shared" si="43"/>
        <v>79</v>
      </c>
      <c r="H102" s="10">
        <f t="shared" si="43"/>
        <v>77</v>
      </c>
    </row>
    <row r="103" spans="2:8" x14ac:dyDescent="0.2">
      <c r="B103" s="10" t="s">
        <v>129</v>
      </c>
      <c r="C103" s="21">
        <f>C69</f>
        <v>1250</v>
      </c>
      <c r="D103" s="21">
        <f t="shared" ref="D103:H103" si="44">D69</f>
        <v>1321</v>
      </c>
      <c r="E103" s="21">
        <f t="shared" si="44"/>
        <v>856</v>
      </c>
      <c r="F103" s="21">
        <f t="shared" si="44"/>
        <v>3734</v>
      </c>
      <c r="G103" s="21">
        <f t="shared" si="44"/>
        <v>3736</v>
      </c>
      <c r="H103" s="21">
        <f t="shared" si="44"/>
        <v>3678</v>
      </c>
    </row>
    <row r="104" spans="2:8" x14ac:dyDescent="0.2">
      <c r="B104" s="10" t="s">
        <v>505</v>
      </c>
      <c r="C104" s="21">
        <f>C92</f>
        <v>5459</v>
      </c>
      <c r="D104" s="21">
        <f t="shared" ref="D104:H104" si="45">D92</f>
        <v>5890</v>
      </c>
      <c r="E104" s="21">
        <f t="shared" si="45"/>
        <v>6554</v>
      </c>
      <c r="F104" s="21">
        <f t="shared" si="45"/>
        <v>2189</v>
      </c>
      <c r="G104" s="21">
        <f t="shared" si="45"/>
        <v>2373</v>
      </c>
      <c r="H104" s="21">
        <f t="shared" si="45"/>
        <v>2762</v>
      </c>
    </row>
    <row r="105" spans="2:8" x14ac:dyDescent="0.2">
      <c r="B105" s="10" t="s">
        <v>510</v>
      </c>
      <c r="C105" s="21">
        <f>SUM(C102:C104)</f>
        <v>6920</v>
      </c>
      <c r="D105" s="21">
        <f t="shared" ref="D105:H105" si="46">SUM(D102:D104)</f>
        <v>7211</v>
      </c>
      <c r="E105" s="21">
        <f t="shared" si="46"/>
        <v>7919</v>
      </c>
      <c r="F105" s="21">
        <f t="shared" si="46"/>
        <v>6082</v>
      </c>
      <c r="G105" s="21">
        <f t="shared" si="46"/>
        <v>6188</v>
      </c>
      <c r="H105" s="21">
        <f t="shared" si="46"/>
        <v>6517</v>
      </c>
    </row>
    <row r="106" spans="2:8" x14ac:dyDescent="0.2">
      <c r="B106" s="10" t="s">
        <v>499</v>
      </c>
      <c r="C106" s="10">
        <f>C70</f>
        <v>189</v>
      </c>
      <c r="D106" s="10">
        <f t="shared" ref="D106:H106" si="47">D70</f>
        <v>362</v>
      </c>
      <c r="E106" s="10">
        <f t="shared" si="47"/>
        <v>967</v>
      </c>
      <c r="F106" s="10">
        <f t="shared" si="47"/>
        <v>305</v>
      </c>
      <c r="G106" s="10">
        <f t="shared" si="47"/>
        <v>478</v>
      </c>
      <c r="H106" s="10">
        <f t="shared" si="47"/>
        <v>657</v>
      </c>
    </row>
    <row r="107" spans="2:8" x14ac:dyDescent="0.2">
      <c r="B107" s="10" t="s">
        <v>507</v>
      </c>
      <c r="C107" s="10">
        <f>C96</f>
        <v>46</v>
      </c>
      <c r="D107" s="10">
        <f t="shared" ref="D107:H107" si="48">D96</f>
        <v>54</v>
      </c>
      <c r="E107" s="10">
        <f t="shared" si="48"/>
        <v>55</v>
      </c>
      <c r="F107" s="10">
        <f t="shared" si="48"/>
        <v>730</v>
      </c>
      <c r="G107" s="10">
        <f t="shared" si="48"/>
        <v>730</v>
      </c>
      <c r="H107" s="10">
        <f t="shared" si="48"/>
        <v>730</v>
      </c>
    </row>
    <row r="108" spans="2:8" x14ac:dyDescent="0.2">
      <c r="B108" s="10" t="s">
        <v>511</v>
      </c>
      <c r="C108" s="21">
        <f>C72</f>
        <v>5503</v>
      </c>
      <c r="D108" s="21">
        <f t="shared" ref="D108:H108" si="49">D72</f>
        <v>3913</v>
      </c>
      <c r="E108" s="21">
        <f t="shared" si="49"/>
        <v>2637</v>
      </c>
      <c r="F108" s="21">
        <f t="shared" si="49"/>
        <v>2192</v>
      </c>
      <c r="G108" s="21">
        <f t="shared" si="49"/>
        <v>2414</v>
      </c>
      <c r="H108" s="21">
        <f t="shared" si="49"/>
        <v>2631</v>
      </c>
    </row>
    <row r="109" spans="2:8" x14ac:dyDescent="0.2">
      <c r="B109" s="10" t="s">
        <v>502</v>
      </c>
      <c r="C109" s="21">
        <f>C73</f>
        <v>12799</v>
      </c>
      <c r="D109" s="21">
        <f t="shared" ref="D109:H109" si="50">D73</f>
        <v>15971</v>
      </c>
      <c r="E109" s="21">
        <f t="shared" si="50"/>
        <v>19680</v>
      </c>
      <c r="F109" s="21">
        <f t="shared" si="50"/>
        <v>4482</v>
      </c>
      <c r="G109" s="21">
        <f t="shared" si="50"/>
        <v>5887</v>
      </c>
      <c r="H109" s="21">
        <f t="shared" si="50"/>
        <v>7677</v>
      </c>
    </row>
    <row r="110" spans="2:8" x14ac:dyDescent="0.2">
      <c r="B110" s="10" t="s">
        <v>512</v>
      </c>
      <c r="C110" s="10">
        <f>C74</f>
        <v>-220</v>
      </c>
      <c r="D110" s="10">
        <f t="shared" ref="D110:H110" si="51">D74</f>
        <v>-82</v>
      </c>
      <c r="E110" s="10">
        <f t="shared" si="51"/>
        <v>90</v>
      </c>
      <c r="F110" s="10">
        <f t="shared" si="51"/>
        <v>1</v>
      </c>
      <c r="G110" s="10">
        <f t="shared" si="51"/>
        <v>1</v>
      </c>
      <c r="H110" s="10">
        <f t="shared" si="51"/>
        <v>1</v>
      </c>
    </row>
    <row r="111" spans="2:8" x14ac:dyDescent="0.2">
      <c r="B111" s="10" t="s">
        <v>513</v>
      </c>
      <c r="C111" s="21">
        <f>SUM(C106:C110)</f>
        <v>18317</v>
      </c>
      <c r="D111" s="21">
        <f t="shared" ref="D111:H111" si="52">SUM(D106:D110)</f>
        <v>20218</v>
      </c>
      <c r="E111" s="21">
        <f t="shared" si="52"/>
        <v>23429</v>
      </c>
      <c r="F111" s="21">
        <f t="shared" si="52"/>
        <v>7710</v>
      </c>
      <c r="G111" s="21">
        <f t="shared" si="52"/>
        <v>9510</v>
      </c>
      <c r="H111" s="21">
        <f t="shared" si="52"/>
        <v>11696</v>
      </c>
    </row>
    <row r="112" spans="2:8" x14ac:dyDescent="0.2">
      <c r="B112" s="50" t="s">
        <v>527</v>
      </c>
      <c r="C112" s="22">
        <f>C111+C105</f>
        <v>25237</v>
      </c>
      <c r="D112" s="22">
        <f t="shared" ref="D112:H112" si="53">D111+D105</f>
        <v>27429</v>
      </c>
      <c r="E112" s="22">
        <f t="shared" si="53"/>
        <v>31348</v>
      </c>
      <c r="F112" s="22">
        <f t="shared" si="53"/>
        <v>13792</v>
      </c>
      <c r="G112" s="22">
        <f t="shared" si="53"/>
        <v>15698</v>
      </c>
      <c r="H112" s="22">
        <f t="shared" si="53"/>
        <v>18213</v>
      </c>
    </row>
    <row r="113" spans="2:8" x14ac:dyDescent="0.2">
      <c r="C113" s="40"/>
      <c r="D113" s="40"/>
      <c r="E113" s="40"/>
      <c r="F113" s="40"/>
      <c r="G113" s="40"/>
      <c r="H113" s="40"/>
    </row>
    <row r="115" spans="2:8" x14ac:dyDescent="0.2">
      <c r="C115" s="112" t="s">
        <v>514</v>
      </c>
      <c r="D115" s="112"/>
      <c r="E115" s="112"/>
      <c r="F115" s="112" t="s">
        <v>515</v>
      </c>
      <c r="G115" s="112"/>
      <c r="H115" s="112"/>
    </row>
    <row r="116" spans="2:8" x14ac:dyDescent="0.2">
      <c r="B116" s="99"/>
      <c r="C116" s="100">
        <v>2001</v>
      </c>
      <c r="D116" s="100">
        <v>2002</v>
      </c>
      <c r="E116" s="100">
        <v>2003</v>
      </c>
      <c r="F116" s="100">
        <v>2001</v>
      </c>
      <c r="G116" s="100">
        <v>2002</v>
      </c>
      <c r="H116" s="100">
        <v>2003</v>
      </c>
    </row>
    <row r="117" spans="2:8" x14ac:dyDescent="0.2">
      <c r="B117" s="10" t="s">
        <v>455</v>
      </c>
      <c r="C117" s="21">
        <f t="shared" ref="C117:H117" si="54">C25</f>
        <v>3206.4300000000003</v>
      </c>
      <c r="D117" s="21">
        <f t="shared" si="54"/>
        <v>3977.98</v>
      </c>
      <c r="E117" s="21">
        <f t="shared" si="54"/>
        <v>5080.1900000000005</v>
      </c>
      <c r="F117" s="21">
        <f t="shared" si="54"/>
        <v>1246.8</v>
      </c>
      <c r="G117" s="21">
        <f t="shared" si="54"/>
        <v>1819.68</v>
      </c>
      <c r="H117" s="21">
        <f t="shared" si="54"/>
        <v>2220.34</v>
      </c>
    </row>
    <row r="118" spans="2:8" x14ac:dyDescent="0.2">
      <c r="B118" s="10" t="s">
        <v>447</v>
      </c>
      <c r="C118" s="10">
        <f t="shared" ref="C118:H118" si="55">-C21</f>
        <v>756</v>
      </c>
      <c r="D118" s="10">
        <f t="shared" si="55"/>
        <v>895</v>
      </c>
      <c r="E118" s="10">
        <f t="shared" si="55"/>
        <v>1075</v>
      </c>
      <c r="F118" s="10">
        <f t="shared" si="55"/>
        <v>517</v>
      </c>
      <c r="G118" s="10">
        <f t="shared" si="55"/>
        <v>626</v>
      </c>
      <c r="H118" s="10">
        <f t="shared" si="55"/>
        <v>758</v>
      </c>
    </row>
    <row r="119" spans="2:8" x14ac:dyDescent="0.2">
      <c r="B119" s="50" t="s">
        <v>528</v>
      </c>
      <c r="C119" s="22">
        <f>SUM(C117:C118)</f>
        <v>3962.4300000000003</v>
      </c>
      <c r="D119" s="22">
        <f t="shared" ref="D119:H119" si="56">SUM(D117:D118)</f>
        <v>4872.9799999999996</v>
      </c>
      <c r="E119" s="22">
        <f t="shared" si="56"/>
        <v>6155.1900000000005</v>
      </c>
      <c r="F119" s="22">
        <f t="shared" si="56"/>
        <v>1763.8</v>
      </c>
      <c r="G119" s="22">
        <f t="shared" si="56"/>
        <v>2445.6800000000003</v>
      </c>
      <c r="H119" s="22">
        <f t="shared" si="56"/>
        <v>2978.34</v>
      </c>
    </row>
    <row r="120" spans="2:8" x14ac:dyDescent="0.2">
      <c r="B120" s="10" t="s">
        <v>470</v>
      </c>
      <c r="C120" s="86">
        <v>834</v>
      </c>
      <c r="D120" s="21">
        <f>C90-D90</f>
        <v>-194</v>
      </c>
      <c r="E120" s="21">
        <f>D90-E90</f>
        <v>72</v>
      </c>
      <c r="F120" s="86">
        <v>-203</v>
      </c>
      <c r="G120" s="10">
        <v>183</v>
      </c>
      <c r="H120" s="10">
        <v>88</v>
      </c>
    </row>
    <row r="121" spans="2:8" x14ac:dyDescent="0.2">
      <c r="B121" s="10" t="s">
        <v>471</v>
      </c>
      <c r="C121" s="104">
        <v>-3063</v>
      </c>
      <c r="D121" s="21">
        <f>C56-D56+D7</f>
        <v>-2688</v>
      </c>
      <c r="E121" s="21">
        <f>D56-E56+E7</f>
        <v>-3970</v>
      </c>
      <c r="F121" s="104">
        <v>-2135</v>
      </c>
      <c r="G121" s="21">
        <f>F56-G56+G7</f>
        <v>-2325</v>
      </c>
      <c r="H121" s="21">
        <f>G56-H56+H7</f>
        <v>-2351</v>
      </c>
    </row>
    <row r="122" spans="2:8" x14ac:dyDescent="0.2">
      <c r="B122" s="10" t="s">
        <v>472</v>
      </c>
      <c r="C122" s="86">
        <v>-775</v>
      </c>
      <c r="D122" s="21">
        <f>C92-D92</f>
        <v>-431</v>
      </c>
      <c r="E122" s="21">
        <f>D92-E92</f>
        <v>-664</v>
      </c>
      <c r="F122" s="86">
        <v>-547</v>
      </c>
      <c r="G122" s="21">
        <f>F92-G92</f>
        <v>-184</v>
      </c>
      <c r="H122" s="21">
        <f>G92-H92</f>
        <v>-389</v>
      </c>
    </row>
    <row r="123" spans="2:8" x14ac:dyDescent="0.2">
      <c r="B123" s="10" t="s">
        <v>473</v>
      </c>
      <c r="C123" s="86">
        <v>-113</v>
      </c>
      <c r="D123" s="10">
        <f>C58-D58-D37</f>
        <v>-164</v>
      </c>
      <c r="E123" s="10">
        <f>D58-E58-E37</f>
        <v>-259</v>
      </c>
      <c r="F123" s="86">
        <v>0</v>
      </c>
      <c r="G123" s="10">
        <f>F58-G58-G37</f>
        <v>0</v>
      </c>
      <c r="H123" s="10">
        <f>G58-H58-H37</f>
        <v>0</v>
      </c>
    </row>
    <row r="124" spans="2:8" x14ac:dyDescent="0.2">
      <c r="B124" s="10" t="s">
        <v>474</v>
      </c>
      <c r="C124" s="86">
        <v>105</v>
      </c>
      <c r="D124" s="10">
        <v>31</v>
      </c>
      <c r="E124" s="10">
        <v>277</v>
      </c>
      <c r="F124" s="86">
        <v>-7</v>
      </c>
      <c r="G124" s="10">
        <v>-11</v>
      </c>
      <c r="H124" s="10">
        <v>-66</v>
      </c>
    </row>
    <row r="125" spans="2:8" x14ac:dyDescent="0.2">
      <c r="B125" s="10" t="s">
        <v>529</v>
      </c>
      <c r="C125" s="86">
        <v>-153</v>
      </c>
      <c r="D125" s="10">
        <f>D74-C74</f>
        <v>138</v>
      </c>
      <c r="E125" s="10">
        <f>E74-D74</f>
        <v>172</v>
      </c>
      <c r="F125" s="86">
        <v>3</v>
      </c>
      <c r="G125" s="10">
        <f>G74-F74</f>
        <v>0</v>
      </c>
      <c r="H125" s="10">
        <f>H74-G74</f>
        <v>0</v>
      </c>
    </row>
    <row r="126" spans="2:8" x14ac:dyDescent="0.2">
      <c r="B126" s="50" t="s">
        <v>530</v>
      </c>
      <c r="C126" s="22">
        <f t="shared" ref="C126:H126" si="57">SUM(C120:C125)</f>
        <v>-3165</v>
      </c>
      <c r="D126" s="22">
        <f t="shared" si="57"/>
        <v>-3308</v>
      </c>
      <c r="E126" s="22">
        <f t="shared" si="57"/>
        <v>-4372</v>
      </c>
      <c r="F126" s="22">
        <f t="shared" si="57"/>
        <v>-2889</v>
      </c>
      <c r="G126" s="22">
        <f t="shared" si="57"/>
        <v>-2337</v>
      </c>
      <c r="H126" s="22">
        <f t="shared" si="57"/>
        <v>-2718</v>
      </c>
    </row>
    <row r="127" spans="2:8" ht="17.25" customHeight="1" x14ac:dyDescent="0.2">
      <c r="B127" s="10" t="s">
        <v>475</v>
      </c>
      <c r="C127" s="22">
        <f t="shared" ref="C127:H127" si="58">C119+C126</f>
        <v>797.43000000000029</v>
      </c>
      <c r="D127" s="22">
        <f t="shared" si="58"/>
        <v>1564.9799999999996</v>
      </c>
      <c r="E127" s="22">
        <f t="shared" si="58"/>
        <v>1783.1900000000005</v>
      </c>
      <c r="F127" s="22">
        <f t="shared" si="58"/>
        <v>-1125.2</v>
      </c>
      <c r="G127" s="22">
        <f t="shared" si="58"/>
        <v>108.68000000000029</v>
      </c>
      <c r="H127" s="22">
        <f t="shared" si="58"/>
        <v>260.34000000000015</v>
      </c>
    </row>
    <row r="128" spans="2:8" x14ac:dyDescent="0.2">
      <c r="B128" s="10" t="s">
        <v>476</v>
      </c>
      <c r="C128" s="107">
        <f t="shared" ref="C128:H128" si="59">C10*(1-0.39)</f>
        <v>32.33</v>
      </c>
      <c r="D128" s="107">
        <f t="shared" si="59"/>
        <v>48.19</v>
      </c>
      <c r="E128" s="107">
        <f t="shared" si="59"/>
        <v>35.99</v>
      </c>
      <c r="F128" s="107">
        <f t="shared" si="59"/>
        <v>15.25</v>
      </c>
      <c r="G128" s="107">
        <f t="shared" si="59"/>
        <v>12.81</v>
      </c>
      <c r="H128" s="107">
        <f t="shared" si="59"/>
        <v>9.15</v>
      </c>
    </row>
    <row r="129" spans="2:8" x14ac:dyDescent="0.2">
      <c r="B129" s="10" t="s">
        <v>477</v>
      </c>
      <c r="C129" s="21">
        <v>-1509</v>
      </c>
      <c r="D129" s="21">
        <f>C98-D98</f>
        <v>383</v>
      </c>
      <c r="E129" s="21">
        <f>D98-E98</f>
        <v>-473</v>
      </c>
      <c r="F129" s="10">
        <v>-321</v>
      </c>
      <c r="G129" s="21">
        <f>F98-G98</f>
        <v>-189</v>
      </c>
      <c r="H129" s="21">
        <f>G98-H98</f>
        <v>-415</v>
      </c>
    </row>
    <row r="130" spans="2:8" x14ac:dyDescent="0.2">
      <c r="B130" s="10" t="s">
        <v>478</v>
      </c>
      <c r="C130" s="10">
        <v>9</v>
      </c>
      <c r="D130" s="10">
        <v>-24</v>
      </c>
      <c r="E130" s="10">
        <v>23</v>
      </c>
      <c r="F130" s="10">
        <v>13</v>
      </c>
      <c r="G130" s="10">
        <v>-7</v>
      </c>
      <c r="H130" s="10">
        <v>-140</v>
      </c>
    </row>
    <row r="131" spans="2:8" x14ac:dyDescent="0.2">
      <c r="B131" s="10" t="s">
        <v>451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15</v>
      </c>
    </row>
    <row r="132" spans="2:8" x14ac:dyDescent="0.2">
      <c r="B132" s="10" t="s">
        <v>479</v>
      </c>
      <c r="C132" s="22">
        <f t="shared" ref="C132:H132" si="60">SUM(C127:C131)</f>
        <v>-670.23999999999967</v>
      </c>
      <c r="D132" s="22">
        <f t="shared" si="60"/>
        <v>1972.1699999999996</v>
      </c>
      <c r="E132" s="22">
        <f t="shared" si="60"/>
        <v>1369.1800000000005</v>
      </c>
      <c r="F132" s="22">
        <f t="shared" si="60"/>
        <v>-1417.95</v>
      </c>
      <c r="G132" s="22">
        <f t="shared" si="60"/>
        <v>-74.509999999999707</v>
      </c>
      <c r="H132" s="22">
        <f t="shared" si="60"/>
        <v>-270.50999999999988</v>
      </c>
    </row>
    <row r="133" spans="2:8" ht="17.25" customHeight="1" x14ac:dyDescent="0.2">
      <c r="B133" s="12"/>
      <c r="C133" s="10">
        <v>2001</v>
      </c>
      <c r="D133" s="10">
        <v>2002</v>
      </c>
      <c r="E133" s="10">
        <v>2003</v>
      </c>
      <c r="F133" s="10">
        <v>2001</v>
      </c>
      <c r="G133" s="10">
        <v>2002</v>
      </c>
      <c r="H133" s="10">
        <v>2003</v>
      </c>
    </row>
    <row r="134" spans="2:8" x14ac:dyDescent="0.2">
      <c r="B134" s="10" t="s">
        <v>465</v>
      </c>
      <c r="C134" s="10">
        <v>17</v>
      </c>
      <c r="D134" s="10">
        <v>23</v>
      </c>
      <c r="E134" s="10">
        <v>38</v>
      </c>
      <c r="F134" s="10">
        <v>123</v>
      </c>
      <c r="G134" s="10">
        <v>125</v>
      </c>
      <c r="H134" s="10">
        <v>121</v>
      </c>
    </row>
    <row r="135" spans="2:8" x14ac:dyDescent="0.2">
      <c r="B135" s="10" t="s">
        <v>466</v>
      </c>
      <c r="C135" s="10">
        <v>177</v>
      </c>
      <c r="D135" s="10">
        <v>162</v>
      </c>
      <c r="E135" s="10">
        <v>170</v>
      </c>
      <c r="F135" s="10">
        <v>66</v>
      </c>
      <c r="G135" s="10">
        <v>65</v>
      </c>
      <c r="H135" s="10">
        <v>71</v>
      </c>
    </row>
    <row r="136" spans="2:8" x14ac:dyDescent="0.2">
      <c r="B136" s="10" t="s">
        <v>480</v>
      </c>
      <c r="C136" s="10">
        <v>88</v>
      </c>
      <c r="D136" s="10">
        <v>140</v>
      </c>
      <c r="E136" s="10">
        <v>-44</v>
      </c>
      <c r="F136" s="10">
        <v>-903</v>
      </c>
      <c r="G136" s="10">
        <v>78</v>
      </c>
      <c r="H136" s="10">
        <v>60</v>
      </c>
    </row>
    <row r="137" spans="2:8" x14ac:dyDescent="0.2">
      <c r="B137" s="10" t="s">
        <v>481</v>
      </c>
      <c r="C137" s="10">
        <v>-775</v>
      </c>
      <c r="D137" s="10">
        <v>-430</v>
      </c>
      <c r="E137" s="10">
        <v>-664</v>
      </c>
      <c r="F137" s="10">
        <v>-547</v>
      </c>
      <c r="G137" s="10">
        <v>-184</v>
      </c>
      <c r="H137" s="10">
        <v>-389</v>
      </c>
    </row>
    <row r="138" spans="2:8" x14ac:dyDescent="0.2">
      <c r="B138" s="10" t="s">
        <v>482</v>
      </c>
      <c r="C138" s="11"/>
      <c r="D138" s="11"/>
      <c r="E138" s="11"/>
      <c r="F138" s="11"/>
      <c r="G138" s="11"/>
      <c r="H138" s="11"/>
    </row>
    <row r="139" spans="2:8" x14ac:dyDescent="0.2">
      <c r="B139" s="10" t="s">
        <v>483</v>
      </c>
      <c r="C139" s="10">
        <v>-492</v>
      </c>
      <c r="D139" s="10">
        <v>-105</v>
      </c>
      <c r="E139" s="10">
        <v>-500</v>
      </c>
      <c r="F139" s="21">
        <v>-1261</v>
      </c>
      <c r="G139" s="10">
        <v>85</v>
      </c>
      <c r="H139" s="10">
        <v>-138</v>
      </c>
    </row>
    <row r="140" spans="2:8" x14ac:dyDescent="0.2">
      <c r="B140" s="10" t="s">
        <v>484</v>
      </c>
      <c r="C140" s="10">
        <v>396</v>
      </c>
      <c r="D140" s="10">
        <v>492</v>
      </c>
      <c r="E140" s="10">
        <v>595</v>
      </c>
      <c r="F140" s="10">
        <v>60</v>
      </c>
      <c r="G140" s="10">
        <v>66</v>
      </c>
      <c r="H140" s="10">
        <v>87</v>
      </c>
    </row>
    <row r="141" spans="2:8" x14ac:dyDescent="0.2">
      <c r="B141" s="10" t="s">
        <v>485</v>
      </c>
      <c r="C141" s="10">
        <v>-572</v>
      </c>
      <c r="D141" s="21">
        <v>1590</v>
      </c>
      <c r="E141" s="21">
        <v>1276</v>
      </c>
      <c r="F141" s="10">
        <v>-213</v>
      </c>
      <c r="G141" s="10">
        <v>-222</v>
      </c>
      <c r="H141" s="10">
        <v>-217</v>
      </c>
    </row>
    <row r="142" spans="2:8" x14ac:dyDescent="0.2">
      <c r="B142" s="10" t="s">
        <v>486</v>
      </c>
      <c r="C142" s="10">
        <v>-176</v>
      </c>
      <c r="D142" s="21">
        <v>2082</v>
      </c>
      <c r="E142" s="21">
        <v>1871</v>
      </c>
      <c r="F142" s="10">
        <v>-154</v>
      </c>
      <c r="G142" s="10">
        <v>-156</v>
      </c>
      <c r="H142" s="10">
        <v>-130</v>
      </c>
    </row>
    <row r="143" spans="2:8" x14ac:dyDescent="0.2">
      <c r="B143" s="10" t="s">
        <v>479</v>
      </c>
      <c r="C143" s="10">
        <v>-668</v>
      </c>
      <c r="D143" s="21">
        <v>1977</v>
      </c>
      <c r="E143" s="21">
        <v>1371</v>
      </c>
      <c r="F143" s="21">
        <v>-1415</v>
      </c>
      <c r="G143" s="10">
        <v>-71</v>
      </c>
      <c r="H143" s="10">
        <v>-268</v>
      </c>
    </row>
    <row r="146" spans="2:8" ht="14.4" x14ac:dyDescent="0.3">
      <c r="B146" s="1" t="s">
        <v>3</v>
      </c>
      <c r="C146" s="2" t="s">
        <v>24</v>
      </c>
      <c r="D146" s="1" t="s">
        <v>3</v>
      </c>
      <c r="E146" s="1" t="s">
        <v>3</v>
      </c>
      <c r="F146" s="2" t="s">
        <v>25</v>
      </c>
      <c r="G146" s="1" t="s">
        <v>3</v>
      </c>
    </row>
    <row r="147" spans="2:8" ht="14.4" x14ac:dyDescent="0.3">
      <c r="C147" s="2" t="s">
        <v>0</v>
      </c>
      <c r="D147" s="2" t="s">
        <v>1</v>
      </c>
      <c r="E147" s="2" t="s">
        <v>2</v>
      </c>
      <c r="F147" s="2" t="s">
        <v>0</v>
      </c>
      <c r="G147" s="2" t="s">
        <v>1</v>
      </c>
      <c r="H147" s="2" t="s">
        <v>2</v>
      </c>
    </row>
    <row r="148" spans="2:8" ht="14.4" x14ac:dyDescent="0.3">
      <c r="B148" s="2" t="s">
        <v>531</v>
      </c>
      <c r="C148" s="40">
        <v>21379</v>
      </c>
      <c r="D148" s="3">
        <f>C97</f>
        <v>23635</v>
      </c>
      <c r="E148" s="3">
        <f>D97</f>
        <v>26186</v>
      </c>
      <c r="F148" s="3">
        <v>10965</v>
      </c>
      <c r="G148" s="3">
        <f>F97</f>
        <v>13341</v>
      </c>
      <c r="H148" s="3">
        <f>G97</f>
        <v>14151</v>
      </c>
    </row>
    <row r="149" spans="2:8" ht="14.4" x14ac:dyDescent="0.3">
      <c r="B149" s="2" t="s">
        <v>532</v>
      </c>
      <c r="C149" s="108">
        <v>0.10100000000000001</v>
      </c>
      <c r="D149" s="77">
        <v>0.09</v>
      </c>
      <c r="E149" s="77">
        <v>9.2999999999999999E-2</v>
      </c>
      <c r="F149" s="77">
        <v>9.8000000000000004E-2</v>
      </c>
      <c r="G149" s="77">
        <v>8.7999999999999995E-2</v>
      </c>
      <c r="H149" s="77">
        <v>9.0999999999999998E-2</v>
      </c>
    </row>
    <row r="150" spans="2:8" ht="14.4" x14ac:dyDescent="0.3">
      <c r="B150" s="2" t="s">
        <v>533</v>
      </c>
      <c r="C150" s="40">
        <f t="shared" ref="C150:H150" si="61">C149*C148</f>
        <v>2159.279</v>
      </c>
      <c r="D150" s="40">
        <f t="shared" si="61"/>
        <v>2127.15</v>
      </c>
      <c r="E150" s="40">
        <f t="shared" si="61"/>
        <v>2435.2979999999998</v>
      </c>
      <c r="F150" s="40">
        <f t="shared" si="61"/>
        <v>1074.57</v>
      </c>
      <c r="G150" s="40">
        <f t="shared" si="61"/>
        <v>1174.008</v>
      </c>
      <c r="H150" s="40">
        <f t="shared" si="61"/>
        <v>1287.741</v>
      </c>
    </row>
    <row r="151" spans="2:8" ht="14.4" x14ac:dyDescent="0.3">
      <c r="B151" s="2" t="s">
        <v>534</v>
      </c>
      <c r="C151" s="40">
        <f>C25</f>
        <v>3206.4300000000003</v>
      </c>
      <c r="D151" s="40">
        <f t="shared" ref="D151:H151" si="62">D25</f>
        <v>3977.98</v>
      </c>
      <c r="E151" s="40">
        <f t="shared" si="62"/>
        <v>5080.1900000000005</v>
      </c>
      <c r="F151" s="40">
        <f t="shared" si="62"/>
        <v>1246.8</v>
      </c>
      <c r="G151" s="40">
        <f t="shared" si="62"/>
        <v>1819.68</v>
      </c>
      <c r="H151" s="40">
        <f t="shared" si="62"/>
        <v>2220.34</v>
      </c>
    </row>
    <row r="152" spans="2:8" ht="14.4" x14ac:dyDescent="0.3">
      <c r="B152" s="2" t="s">
        <v>533</v>
      </c>
      <c r="C152" s="40">
        <f>-C150</f>
        <v>-2159.279</v>
      </c>
      <c r="D152" s="40">
        <f t="shared" ref="D152:H152" si="63">-D150</f>
        <v>-2127.15</v>
      </c>
      <c r="E152" s="40">
        <f t="shared" si="63"/>
        <v>-2435.2979999999998</v>
      </c>
      <c r="F152" s="40">
        <f t="shared" si="63"/>
        <v>-1074.57</v>
      </c>
      <c r="G152" s="40">
        <f t="shared" si="63"/>
        <v>-1174.008</v>
      </c>
      <c r="H152" s="40">
        <f t="shared" si="63"/>
        <v>-1287.741</v>
      </c>
    </row>
    <row r="153" spans="2:8" x14ac:dyDescent="0.2">
      <c r="B153" s="109" t="s">
        <v>536</v>
      </c>
      <c r="C153" s="40">
        <f>C151+C152</f>
        <v>1047.1510000000003</v>
      </c>
      <c r="D153" s="40">
        <f t="shared" ref="D153:H153" si="64">D151+D152</f>
        <v>1850.83</v>
      </c>
      <c r="E153" s="40">
        <f t="shared" si="64"/>
        <v>2644.8920000000007</v>
      </c>
      <c r="F153" s="40">
        <f t="shared" si="64"/>
        <v>172.23000000000002</v>
      </c>
      <c r="G153" s="40">
        <f t="shared" si="64"/>
        <v>645.67200000000003</v>
      </c>
      <c r="H153" s="40">
        <f t="shared" si="64"/>
        <v>932.59900000000016</v>
      </c>
    </row>
    <row r="154" spans="2:8" ht="14.4" x14ac:dyDescent="0.3">
      <c r="B154" s="9" t="s">
        <v>537</v>
      </c>
      <c r="C154" s="110">
        <f>C151/C148</f>
        <v>0.14998035455353387</v>
      </c>
      <c r="D154" s="110">
        <f t="shared" ref="D154:H154" si="65">D151/D148</f>
        <v>0.16830886397292152</v>
      </c>
      <c r="E154" s="110">
        <f t="shared" si="65"/>
        <v>0.19400404796456125</v>
      </c>
      <c r="F154" s="110">
        <f t="shared" si="65"/>
        <v>0.11370725034199726</v>
      </c>
      <c r="G154" s="110">
        <f t="shared" si="65"/>
        <v>0.13639757139644704</v>
      </c>
      <c r="H154" s="110">
        <f t="shared" si="65"/>
        <v>0.15690339905307046</v>
      </c>
    </row>
    <row r="155" spans="2:8" x14ac:dyDescent="0.2">
      <c r="B155" s="9" t="s">
        <v>538</v>
      </c>
      <c r="C155" s="108">
        <f>C149</f>
        <v>0.10100000000000001</v>
      </c>
      <c r="D155" s="108">
        <f t="shared" ref="D155:H155" si="66">D149</f>
        <v>0.09</v>
      </c>
      <c r="E155" s="108">
        <f t="shared" si="66"/>
        <v>9.2999999999999999E-2</v>
      </c>
      <c r="F155" s="108">
        <f t="shared" si="66"/>
        <v>9.8000000000000004E-2</v>
      </c>
      <c r="G155" s="108">
        <f t="shared" si="66"/>
        <v>8.7999999999999995E-2</v>
      </c>
      <c r="H155" s="108">
        <f t="shared" si="66"/>
        <v>9.0999999999999998E-2</v>
      </c>
    </row>
    <row r="156" spans="2:8" x14ac:dyDescent="0.2">
      <c r="B156" s="9" t="str">
        <f>B153</f>
        <v>Economic profit</v>
      </c>
      <c r="C156" s="9">
        <f>(C154-C155)*C148</f>
        <v>1047.1510000000005</v>
      </c>
      <c r="D156" s="9">
        <f t="shared" ref="D156:H156" si="67">(D154-D155)*D148</f>
        <v>1850.8300000000004</v>
      </c>
      <c r="E156" s="9">
        <f t="shared" si="67"/>
        <v>2644.8920000000007</v>
      </c>
      <c r="F156" s="9">
        <f t="shared" si="67"/>
        <v>172.2299999999999</v>
      </c>
      <c r="G156" s="9">
        <f t="shared" si="67"/>
        <v>645.67200000000003</v>
      </c>
      <c r="H156" s="9">
        <f t="shared" si="67"/>
        <v>932.59900000000016</v>
      </c>
    </row>
    <row r="159" spans="2:8" ht="14.4" x14ac:dyDescent="0.3">
      <c r="B159" s="2" t="s">
        <v>535</v>
      </c>
    </row>
  </sheetData>
  <mergeCells count="8">
    <mergeCell ref="C115:E115"/>
    <mergeCell ref="F115:H115"/>
    <mergeCell ref="C2:E2"/>
    <mergeCell ref="F2:H2"/>
    <mergeCell ref="C48:E48"/>
    <mergeCell ref="F48:H48"/>
    <mergeCell ref="C78:E78"/>
    <mergeCell ref="F78:H7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"/>
  <sheetViews>
    <sheetView workbookViewId="0">
      <selection activeCell="C4" sqref="C4"/>
    </sheetView>
  </sheetViews>
  <sheetFormatPr defaultRowHeight="14.4" x14ac:dyDescent="0.3"/>
  <cols>
    <col min="1" max="1" width="2" customWidth="1"/>
    <col min="2" max="2" width="25.33203125" bestFit="1" customWidth="1"/>
  </cols>
  <sheetData>
    <row r="2" spans="2:8" x14ac:dyDescent="0.3">
      <c r="C2" s="8">
        <v>2001</v>
      </c>
      <c r="D2" s="8">
        <v>2002</v>
      </c>
      <c r="E2" s="8">
        <v>2003</v>
      </c>
      <c r="F2" s="8">
        <v>2001</v>
      </c>
      <c r="G2" s="8">
        <v>2002</v>
      </c>
      <c r="H2" s="8">
        <v>2003</v>
      </c>
    </row>
    <row r="3" spans="2:8" x14ac:dyDescent="0.3">
      <c r="B3" s="2" t="s">
        <v>49</v>
      </c>
      <c r="C3" s="3">
        <v>2477</v>
      </c>
      <c r="D3" s="3">
        <v>2188</v>
      </c>
      <c r="E3" s="3">
        <v>2826</v>
      </c>
      <c r="F3" s="2">
        <v>799</v>
      </c>
      <c r="G3" s="2">
        <v>853</v>
      </c>
      <c r="H3" s="3">
        <v>1446</v>
      </c>
    </row>
    <row r="4" spans="2:8" x14ac:dyDescent="0.3">
      <c r="B4" s="2" t="s">
        <v>50</v>
      </c>
      <c r="C4" s="2">
        <v>69</v>
      </c>
      <c r="D4" s="2">
        <v>65</v>
      </c>
      <c r="E4" s="2">
        <v>26</v>
      </c>
      <c r="F4" s="2">
        <v>54</v>
      </c>
      <c r="G4" s="2">
        <v>273</v>
      </c>
      <c r="H4" s="2">
        <v>178</v>
      </c>
    </row>
    <row r="5" spans="2:8" x14ac:dyDescent="0.3">
      <c r="B5" s="2" t="s">
        <v>51</v>
      </c>
      <c r="C5" s="2">
        <v>920</v>
      </c>
      <c r="D5" s="3">
        <v>1072</v>
      </c>
      <c r="E5" s="3">
        <v>1097</v>
      </c>
      <c r="F5" s="2">
        <v>166</v>
      </c>
      <c r="G5" s="2">
        <v>172</v>
      </c>
      <c r="H5" s="2">
        <v>131</v>
      </c>
    </row>
    <row r="6" spans="2:8" x14ac:dyDescent="0.3">
      <c r="B6" s="2" t="s">
        <v>52</v>
      </c>
      <c r="C6" s="3">
        <v>6725</v>
      </c>
      <c r="D6" s="3">
        <v>8338</v>
      </c>
      <c r="E6" s="3">
        <v>9076</v>
      </c>
      <c r="F6" s="3">
        <v>3611</v>
      </c>
      <c r="G6" s="3">
        <v>3068</v>
      </c>
      <c r="H6" s="3">
        <v>4584</v>
      </c>
    </row>
    <row r="7" spans="2:8" x14ac:dyDescent="0.3">
      <c r="B7" s="2" t="s">
        <v>53</v>
      </c>
      <c r="C7" s="2">
        <v>170</v>
      </c>
      <c r="D7" s="2">
        <v>254</v>
      </c>
      <c r="E7" s="2">
        <v>303</v>
      </c>
      <c r="F7" s="2">
        <v>291</v>
      </c>
      <c r="G7" s="2">
        <v>302</v>
      </c>
      <c r="H7" s="2">
        <v>348</v>
      </c>
    </row>
    <row r="8" spans="2:8" x14ac:dyDescent="0.3">
      <c r="B8" s="2" t="s">
        <v>54</v>
      </c>
      <c r="C8" s="3">
        <f t="shared" ref="C8:H8" si="0">SUM(C3:C7)</f>
        <v>10361</v>
      </c>
      <c r="D8" s="3">
        <f t="shared" si="0"/>
        <v>11917</v>
      </c>
      <c r="E8" s="3">
        <f t="shared" si="0"/>
        <v>13328</v>
      </c>
      <c r="F8" s="3">
        <f t="shared" si="0"/>
        <v>4921</v>
      </c>
      <c r="G8" s="3">
        <f t="shared" si="0"/>
        <v>4668</v>
      </c>
      <c r="H8" s="3">
        <f t="shared" si="0"/>
        <v>6687</v>
      </c>
    </row>
    <row r="9" spans="2:8" x14ac:dyDescent="0.3">
      <c r="B9" s="2" t="s">
        <v>55</v>
      </c>
      <c r="C9" s="3">
        <v>15375</v>
      </c>
      <c r="D9" s="3">
        <v>17168</v>
      </c>
      <c r="E9" s="3">
        <v>20063</v>
      </c>
      <c r="F9" s="3">
        <v>8653</v>
      </c>
      <c r="G9" s="3">
        <v>10352</v>
      </c>
      <c r="H9" s="3">
        <v>11945</v>
      </c>
    </row>
    <row r="10" spans="2:8" x14ac:dyDescent="0.3">
      <c r="B10" s="2" t="s">
        <v>56</v>
      </c>
      <c r="C10" s="2">
        <v>83</v>
      </c>
      <c r="D10" s="2">
        <v>107</v>
      </c>
      <c r="E10" s="2">
        <v>84</v>
      </c>
      <c r="F10" s="2">
        <v>22</v>
      </c>
      <c r="G10" s="2">
        <v>29</v>
      </c>
      <c r="H10" s="2">
        <v>169</v>
      </c>
    </row>
    <row r="11" spans="2:8" x14ac:dyDescent="0.3">
      <c r="B11" s="2" t="s">
        <v>57</v>
      </c>
      <c r="C11" s="2">
        <v>419</v>
      </c>
      <c r="D11" s="2">
        <v>575</v>
      </c>
      <c r="E11" s="2">
        <v>833</v>
      </c>
      <c r="F11" s="2">
        <v>0</v>
      </c>
      <c r="G11" s="2">
        <v>0</v>
      </c>
      <c r="H11" s="2">
        <v>0</v>
      </c>
    </row>
    <row r="12" spans="2:8" x14ac:dyDescent="0.3">
      <c r="B12" s="2" t="s">
        <v>58</v>
      </c>
      <c r="C12" s="2">
        <v>156</v>
      </c>
      <c r="D12" s="2">
        <v>244</v>
      </c>
      <c r="E12" s="2">
        <v>129</v>
      </c>
      <c r="F12" s="2">
        <v>141</v>
      </c>
      <c r="G12" s="2">
        <v>160</v>
      </c>
      <c r="H12" s="2">
        <v>241</v>
      </c>
    </row>
    <row r="13" spans="2:8" x14ac:dyDescent="0.3">
      <c r="B13" s="2" t="s">
        <v>59</v>
      </c>
      <c r="C13" s="3">
        <f>SUM(C8:C12)</f>
        <v>26394</v>
      </c>
      <c r="D13" s="3">
        <f t="shared" ref="D13:H13" si="1">SUM(D8:D12)</f>
        <v>30011</v>
      </c>
      <c r="E13" s="3">
        <f t="shared" si="1"/>
        <v>34437</v>
      </c>
      <c r="F13" s="3">
        <f t="shared" si="1"/>
        <v>13737</v>
      </c>
      <c r="G13" s="3">
        <f t="shared" si="1"/>
        <v>15209</v>
      </c>
      <c r="H13" s="3">
        <f t="shared" si="1"/>
        <v>19042</v>
      </c>
    </row>
    <row r="14" spans="2:8" ht="23.25" customHeight="1" x14ac:dyDescent="0.3">
      <c r="B14" s="2" t="s">
        <v>60</v>
      </c>
      <c r="C14" s="2">
        <v>2001</v>
      </c>
      <c r="D14" s="2">
        <v>2002</v>
      </c>
      <c r="E14" s="2">
        <v>2003</v>
      </c>
      <c r="F14" s="2">
        <v>2001</v>
      </c>
      <c r="G14" s="2">
        <v>2002</v>
      </c>
      <c r="H14" s="2">
        <v>2003</v>
      </c>
    </row>
    <row r="15" spans="2:8" x14ac:dyDescent="0.3">
      <c r="B15" s="2" t="s">
        <v>61</v>
      </c>
      <c r="C15" s="2">
        <v>211</v>
      </c>
      <c r="D15" s="2">
        <v>0</v>
      </c>
      <c r="E15" s="2">
        <v>509</v>
      </c>
      <c r="F15" s="2">
        <v>159</v>
      </c>
      <c r="G15" s="2">
        <v>79</v>
      </c>
      <c r="H15" s="2">
        <v>77</v>
      </c>
    </row>
    <row r="16" spans="2:8" x14ac:dyDescent="0.3">
      <c r="B16" s="2" t="s">
        <v>62</v>
      </c>
      <c r="C16" s="3">
        <v>3436</v>
      </c>
      <c r="D16" s="3">
        <v>4560</v>
      </c>
      <c r="E16" s="3">
        <v>5159</v>
      </c>
      <c r="F16" s="3">
        <v>1715</v>
      </c>
      <c r="G16" s="3">
        <v>1943</v>
      </c>
      <c r="H16" s="3">
        <v>2366</v>
      </c>
    </row>
    <row r="17" spans="2:8" x14ac:dyDescent="0.3">
      <c r="B17" s="2" t="s">
        <v>63</v>
      </c>
      <c r="C17" s="2">
        <v>717</v>
      </c>
      <c r="D17" s="2">
        <v>809</v>
      </c>
      <c r="E17" s="2">
        <v>801</v>
      </c>
      <c r="F17" s="2">
        <v>347</v>
      </c>
      <c r="G17" s="2">
        <v>394</v>
      </c>
      <c r="H17" s="2">
        <v>409</v>
      </c>
    </row>
    <row r="18" spans="2:8" x14ac:dyDescent="0.3">
      <c r="B18" s="2" t="s">
        <v>64</v>
      </c>
      <c r="C18" s="2">
        <v>933</v>
      </c>
      <c r="D18" s="2">
        <v>998</v>
      </c>
      <c r="E18" s="3">
        <v>1281</v>
      </c>
      <c r="F18" s="2">
        <v>0</v>
      </c>
      <c r="G18" s="2">
        <v>0</v>
      </c>
      <c r="H18" s="2">
        <v>0</v>
      </c>
    </row>
    <row r="19" spans="2:8" x14ac:dyDescent="0.3">
      <c r="B19" s="2" t="s">
        <v>65</v>
      </c>
      <c r="C19" s="3">
        <v>1204</v>
      </c>
      <c r="D19" s="3">
        <v>1668</v>
      </c>
      <c r="E19" s="3">
        <v>1804</v>
      </c>
      <c r="F19" s="2">
        <v>796</v>
      </c>
      <c r="G19" s="3">
        <v>1162</v>
      </c>
      <c r="H19" s="3">
        <v>1516</v>
      </c>
    </row>
    <row r="20" spans="2:8" x14ac:dyDescent="0.3">
      <c r="B20" s="4" t="s">
        <v>73</v>
      </c>
      <c r="C20" s="5">
        <f>SUM(C15:C19)</f>
        <v>6501</v>
      </c>
      <c r="D20" s="5">
        <f t="shared" ref="D20:H20" si="2">SUM(D15:D19)</f>
        <v>8035</v>
      </c>
      <c r="E20" s="5">
        <f t="shared" si="2"/>
        <v>9554</v>
      </c>
      <c r="F20" s="5">
        <f t="shared" si="2"/>
        <v>3017</v>
      </c>
      <c r="G20" s="5">
        <f t="shared" si="2"/>
        <v>3578</v>
      </c>
      <c r="H20" s="5">
        <f t="shared" si="2"/>
        <v>4368</v>
      </c>
    </row>
    <row r="21" spans="2:8" x14ac:dyDescent="0.3">
      <c r="B21" s="2" t="s">
        <v>66</v>
      </c>
      <c r="C21" s="3">
        <v>1250</v>
      </c>
      <c r="D21" s="3">
        <v>1321</v>
      </c>
      <c r="E21" s="2">
        <v>856</v>
      </c>
      <c r="F21" s="3">
        <v>3734</v>
      </c>
      <c r="G21" s="3">
        <v>3736</v>
      </c>
      <c r="H21" s="3">
        <v>3678</v>
      </c>
    </row>
    <row r="22" spans="2:8" x14ac:dyDescent="0.3">
      <c r="B22" s="2" t="s">
        <v>67</v>
      </c>
      <c r="C22" s="2">
        <v>189</v>
      </c>
      <c r="D22" s="2">
        <v>362</v>
      </c>
      <c r="E22" s="2">
        <v>967</v>
      </c>
      <c r="F22" s="2">
        <v>305</v>
      </c>
      <c r="G22" s="2">
        <v>478</v>
      </c>
      <c r="H22" s="2">
        <v>657</v>
      </c>
    </row>
    <row r="23" spans="2:8" x14ac:dyDescent="0.3">
      <c r="B23" s="2" t="s">
        <v>68</v>
      </c>
      <c r="C23" s="2">
        <v>372</v>
      </c>
      <c r="D23" s="2">
        <v>491</v>
      </c>
      <c r="E23" s="2">
        <v>653</v>
      </c>
      <c r="F23" s="2">
        <v>6</v>
      </c>
      <c r="G23" s="2">
        <v>15</v>
      </c>
      <c r="H23" s="2">
        <v>30</v>
      </c>
    </row>
    <row r="24" spans="2:8" x14ac:dyDescent="0.3">
      <c r="B24" s="2" t="s">
        <v>69</v>
      </c>
      <c r="C24" s="3">
        <v>5503</v>
      </c>
      <c r="D24" s="3">
        <v>3913</v>
      </c>
      <c r="E24" s="3">
        <v>2637</v>
      </c>
      <c r="F24" s="3">
        <v>2192</v>
      </c>
      <c r="G24" s="3">
        <v>2414</v>
      </c>
      <c r="H24" s="3">
        <v>2631</v>
      </c>
    </row>
    <row r="25" spans="2:8" x14ac:dyDescent="0.3">
      <c r="B25" s="2" t="s">
        <v>70</v>
      </c>
      <c r="C25" s="3">
        <v>12799</v>
      </c>
      <c r="D25" s="3">
        <v>15971</v>
      </c>
      <c r="E25" s="3">
        <v>19680</v>
      </c>
      <c r="F25" s="3">
        <v>4482</v>
      </c>
      <c r="G25" s="3">
        <v>5887</v>
      </c>
      <c r="H25" s="3">
        <v>7677</v>
      </c>
    </row>
    <row r="26" spans="2:8" x14ac:dyDescent="0.3">
      <c r="B26" s="2" t="s">
        <v>71</v>
      </c>
      <c r="C26" s="2">
        <v>-220</v>
      </c>
      <c r="D26" s="2">
        <v>-82</v>
      </c>
      <c r="E26" s="2">
        <v>90</v>
      </c>
      <c r="F26" s="2">
        <v>1</v>
      </c>
      <c r="G26" s="2">
        <v>1</v>
      </c>
      <c r="H26" s="2">
        <v>1</v>
      </c>
    </row>
    <row r="27" spans="2:8" x14ac:dyDescent="0.3">
      <c r="B27" s="4" t="s">
        <v>72</v>
      </c>
      <c r="C27" s="7">
        <f t="shared" ref="C27:H27" si="3">SUM(C20:C26)</f>
        <v>26394</v>
      </c>
      <c r="D27" s="7">
        <f t="shared" si="3"/>
        <v>30011</v>
      </c>
      <c r="E27" s="7">
        <f t="shared" si="3"/>
        <v>34437</v>
      </c>
      <c r="F27" s="7">
        <f t="shared" si="3"/>
        <v>13737</v>
      </c>
      <c r="G27" s="7">
        <f t="shared" si="3"/>
        <v>16109</v>
      </c>
      <c r="H27" s="7">
        <f t="shared" si="3"/>
        <v>19042</v>
      </c>
    </row>
    <row r="28" spans="2:8" x14ac:dyDescent="0.3">
      <c r="C28" s="6"/>
      <c r="D28" s="6"/>
      <c r="E28" s="6"/>
      <c r="F28" s="6"/>
      <c r="G28" s="6"/>
      <c r="H28" s="6"/>
    </row>
    <row r="29" spans="2:8" x14ac:dyDescent="0.3">
      <c r="B29" s="2" t="s">
        <v>74</v>
      </c>
      <c r="C29" s="3">
        <v>1027</v>
      </c>
      <c r="D29" s="3">
        <v>1117</v>
      </c>
      <c r="E29" s="3">
        <v>1243</v>
      </c>
      <c r="F29" s="2">
        <v>424</v>
      </c>
      <c r="G29" s="2">
        <v>508</v>
      </c>
      <c r="H29" s="2">
        <v>591</v>
      </c>
    </row>
    <row r="30" spans="2:8" x14ac:dyDescent="0.3">
      <c r="B30" s="2" t="s">
        <v>51</v>
      </c>
      <c r="C30" s="2">
        <f>C5</f>
        <v>920</v>
      </c>
      <c r="D30" s="2">
        <f t="shared" ref="D30:H30" si="4">D5</f>
        <v>1072</v>
      </c>
      <c r="E30" s="2">
        <f t="shared" si="4"/>
        <v>1097</v>
      </c>
      <c r="F30" s="2">
        <f t="shared" si="4"/>
        <v>166</v>
      </c>
      <c r="G30" s="2">
        <f t="shared" si="4"/>
        <v>172</v>
      </c>
      <c r="H30" s="2">
        <f t="shared" si="4"/>
        <v>131</v>
      </c>
    </row>
    <row r="31" spans="2:8" x14ac:dyDescent="0.3">
      <c r="B31" s="2" t="s">
        <v>52</v>
      </c>
      <c r="C31" s="3">
        <f>C6</f>
        <v>6725</v>
      </c>
      <c r="D31" s="3">
        <f t="shared" ref="D31:H31" si="5">D6</f>
        <v>8338</v>
      </c>
      <c r="E31" s="3">
        <f t="shared" si="5"/>
        <v>9076</v>
      </c>
      <c r="F31" s="3">
        <f t="shared" si="5"/>
        <v>3611</v>
      </c>
      <c r="G31" s="3">
        <f t="shared" si="5"/>
        <v>3068</v>
      </c>
      <c r="H31" s="3">
        <f t="shared" si="5"/>
        <v>4584</v>
      </c>
    </row>
    <row r="32" spans="2:8" x14ac:dyDescent="0.3">
      <c r="B32" s="2" t="s">
        <v>53</v>
      </c>
      <c r="C32" s="2">
        <f>C7</f>
        <v>170</v>
      </c>
      <c r="D32" s="2">
        <f t="shared" ref="D32:H32" si="6">D7</f>
        <v>254</v>
      </c>
      <c r="E32" s="2">
        <f t="shared" si="6"/>
        <v>303</v>
      </c>
      <c r="F32" s="2">
        <f t="shared" si="6"/>
        <v>291</v>
      </c>
      <c r="G32" s="2">
        <f t="shared" si="6"/>
        <v>302</v>
      </c>
      <c r="H32" s="2">
        <f t="shared" si="6"/>
        <v>348</v>
      </c>
    </row>
    <row r="33" spans="2:8" x14ac:dyDescent="0.3">
      <c r="B33" s="2" t="s">
        <v>75</v>
      </c>
      <c r="C33" s="3">
        <f>SUM(C29:C32)</f>
        <v>8842</v>
      </c>
      <c r="D33" s="3">
        <f t="shared" ref="D33:H33" si="7">SUM(D29:D32)</f>
        <v>10781</v>
      </c>
      <c r="E33" s="3">
        <f t="shared" si="7"/>
        <v>11719</v>
      </c>
      <c r="F33" s="3">
        <f t="shared" si="7"/>
        <v>4492</v>
      </c>
      <c r="G33" s="3">
        <f t="shared" si="7"/>
        <v>4050</v>
      </c>
      <c r="H33" s="3">
        <f t="shared" si="7"/>
        <v>5654</v>
      </c>
    </row>
    <row r="34" spans="2:8" ht="26.25" customHeight="1" x14ac:dyDescent="0.3">
      <c r="B34" s="2" t="s">
        <v>62</v>
      </c>
      <c r="C34" s="3">
        <f>C16</f>
        <v>3436</v>
      </c>
      <c r="D34" s="3">
        <f t="shared" ref="D34:H34" si="8">D16</f>
        <v>4560</v>
      </c>
      <c r="E34" s="3">
        <f t="shared" si="8"/>
        <v>5159</v>
      </c>
      <c r="F34" s="3">
        <f t="shared" si="8"/>
        <v>1715</v>
      </c>
      <c r="G34" s="3">
        <f t="shared" si="8"/>
        <v>1943</v>
      </c>
      <c r="H34" s="3">
        <f t="shared" si="8"/>
        <v>2366</v>
      </c>
    </row>
    <row r="35" spans="2:8" x14ac:dyDescent="0.3">
      <c r="B35" s="2" t="s">
        <v>63</v>
      </c>
      <c r="C35" s="2">
        <f>C17</f>
        <v>717</v>
      </c>
      <c r="D35" s="2">
        <f t="shared" ref="D35:H35" si="9">D17</f>
        <v>809</v>
      </c>
      <c r="E35" s="2">
        <f t="shared" si="9"/>
        <v>801</v>
      </c>
      <c r="F35" s="2">
        <f t="shared" si="9"/>
        <v>347</v>
      </c>
      <c r="G35" s="2">
        <f t="shared" si="9"/>
        <v>394</v>
      </c>
      <c r="H35" s="2">
        <f t="shared" si="9"/>
        <v>409</v>
      </c>
    </row>
    <row r="36" spans="2:8" x14ac:dyDescent="0.3">
      <c r="B36" s="2" t="s">
        <v>64</v>
      </c>
      <c r="C36" s="2">
        <f>C18</f>
        <v>933</v>
      </c>
      <c r="D36" s="2">
        <f t="shared" ref="D36:H36" si="10">D18</f>
        <v>998</v>
      </c>
      <c r="E36" s="2">
        <f t="shared" si="10"/>
        <v>1281</v>
      </c>
      <c r="F36" s="2">
        <f t="shared" si="10"/>
        <v>0</v>
      </c>
      <c r="G36" s="2">
        <f t="shared" si="10"/>
        <v>0</v>
      </c>
      <c r="H36" s="2">
        <f t="shared" si="10"/>
        <v>0</v>
      </c>
    </row>
    <row r="37" spans="2:8" x14ac:dyDescent="0.3">
      <c r="B37" s="2" t="s">
        <v>65</v>
      </c>
      <c r="C37" s="3">
        <f>C19</f>
        <v>1204</v>
      </c>
      <c r="D37" s="3">
        <f t="shared" ref="D37:H37" si="11">D19</f>
        <v>1668</v>
      </c>
      <c r="E37" s="3">
        <f t="shared" si="11"/>
        <v>1804</v>
      </c>
      <c r="F37" s="3">
        <f t="shared" si="11"/>
        <v>796</v>
      </c>
      <c r="G37" s="3">
        <f t="shared" si="11"/>
        <v>1162</v>
      </c>
      <c r="H37" s="3">
        <f t="shared" si="11"/>
        <v>1516</v>
      </c>
    </row>
    <row r="38" spans="2:8" x14ac:dyDescent="0.3">
      <c r="B38" s="2" t="s">
        <v>76</v>
      </c>
      <c r="C38" s="3">
        <f>SUM(C34:C37)</f>
        <v>6290</v>
      </c>
      <c r="D38" s="3">
        <f t="shared" ref="D38:H38" si="12">SUM(D34:D37)</f>
        <v>8035</v>
      </c>
      <c r="E38" s="3">
        <f t="shared" si="12"/>
        <v>9045</v>
      </c>
      <c r="F38" s="3">
        <f t="shared" si="12"/>
        <v>2858</v>
      </c>
      <c r="G38" s="3">
        <f t="shared" si="12"/>
        <v>3499</v>
      </c>
      <c r="H38" s="3">
        <f t="shared" si="12"/>
        <v>4291</v>
      </c>
    </row>
    <row r="39" spans="2:8" ht="19.5" customHeight="1" x14ac:dyDescent="0.3">
      <c r="B39" s="2" t="s">
        <v>77</v>
      </c>
      <c r="C39" s="3">
        <f>C33-C38</f>
        <v>2552</v>
      </c>
      <c r="D39" s="3">
        <f t="shared" ref="D39:H39" si="13">D33-D38</f>
        <v>2746</v>
      </c>
      <c r="E39" s="3">
        <f t="shared" si="13"/>
        <v>2674</v>
      </c>
      <c r="F39" s="3">
        <f t="shared" si="13"/>
        <v>1634</v>
      </c>
      <c r="G39" s="3">
        <f t="shared" si="13"/>
        <v>551</v>
      </c>
      <c r="H39" s="3">
        <f t="shared" si="13"/>
        <v>1363</v>
      </c>
    </row>
    <row r="40" spans="2:8" x14ac:dyDescent="0.3">
      <c r="B40" s="2" t="s">
        <v>55</v>
      </c>
      <c r="C40" s="3">
        <f>C9</f>
        <v>15375</v>
      </c>
      <c r="D40" s="3">
        <f t="shared" ref="D40:H40" si="14">D9</f>
        <v>17168</v>
      </c>
      <c r="E40" s="3">
        <f t="shared" si="14"/>
        <v>20063</v>
      </c>
      <c r="F40" s="3">
        <f t="shared" si="14"/>
        <v>8653</v>
      </c>
      <c r="G40" s="3">
        <f t="shared" si="14"/>
        <v>10352</v>
      </c>
      <c r="H40" s="3">
        <f t="shared" si="14"/>
        <v>11945</v>
      </c>
    </row>
    <row r="41" spans="2:8" x14ac:dyDescent="0.3">
      <c r="B41" s="2" t="s">
        <v>78</v>
      </c>
      <c r="C41" s="3">
        <v>5459</v>
      </c>
      <c r="D41" s="3">
        <v>5890</v>
      </c>
      <c r="E41" s="3">
        <v>6554</v>
      </c>
      <c r="F41" s="3">
        <v>2189</v>
      </c>
      <c r="G41" s="3">
        <v>2373</v>
      </c>
      <c r="H41" s="3">
        <v>2762</v>
      </c>
    </row>
    <row r="42" spans="2:8" x14ac:dyDescent="0.3">
      <c r="B42" s="2" t="s">
        <v>79</v>
      </c>
      <c r="C42" s="2">
        <v>-216</v>
      </c>
      <c r="D42" s="2">
        <v>-247</v>
      </c>
      <c r="E42" s="2">
        <v>-524</v>
      </c>
      <c r="F42" s="2">
        <v>134</v>
      </c>
      <c r="G42" s="2">
        <v>145</v>
      </c>
      <c r="H42" s="2">
        <v>211</v>
      </c>
    </row>
    <row r="43" spans="2:8" x14ac:dyDescent="0.3">
      <c r="B43" s="2" t="s">
        <v>80</v>
      </c>
      <c r="C43" s="3">
        <f>SUM(C39:C42)</f>
        <v>23170</v>
      </c>
      <c r="D43" s="3">
        <f t="shared" ref="D43:H43" si="15">SUM(D39:D42)</f>
        <v>25557</v>
      </c>
      <c r="E43" s="3">
        <f t="shared" si="15"/>
        <v>28767</v>
      </c>
      <c r="F43" s="3">
        <f t="shared" si="15"/>
        <v>12610</v>
      </c>
      <c r="G43" s="3">
        <f t="shared" si="15"/>
        <v>13421</v>
      </c>
      <c r="H43" s="3">
        <f t="shared" si="15"/>
        <v>16281</v>
      </c>
    </row>
    <row r="44" spans="2:8" x14ac:dyDescent="0.3">
      <c r="B44" s="2" t="s">
        <v>57</v>
      </c>
      <c r="C44" s="2">
        <v>419</v>
      </c>
      <c r="D44" s="2">
        <v>575</v>
      </c>
      <c r="E44" s="2">
        <v>833</v>
      </c>
      <c r="F44" s="2">
        <v>0</v>
      </c>
      <c r="G44" s="2">
        <v>0</v>
      </c>
      <c r="H44" s="2">
        <v>0</v>
      </c>
    </row>
    <row r="45" spans="2:8" x14ac:dyDescent="0.3">
      <c r="B45" s="2" t="s">
        <v>81</v>
      </c>
      <c r="C45" s="2">
        <v>46</v>
      </c>
      <c r="D45" s="2">
        <v>54</v>
      </c>
      <c r="E45" s="2">
        <v>55</v>
      </c>
      <c r="F45" s="2">
        <v>730</v>
      </c>
      <c r="G45" s="2">
        <v>730</v>
      </c>
      <c r="H45" s="2">
        <v>730</v>
      </c>
    </row>
    <row r="46" spans="2:8" x14ac:dyDescent="0.3">
      <c r="B46" s="2" t="s">
        <v>82</v>
      </c>
      <c r="C46" s="3">
        <f>SUM(C43:C45)</f>
        <v>23635</v>
      </c>
      <c r="D46" s="3">
        <f t="shared" ref="D46:H46" si="16">SUM(D43:D45)</f>
        <v>26186</v>
      </c>
      <c r="E46" s="3">
        <f t="shared" si="16"/>
        <v>29655</v>
      </c>
      <c r="F46" s="3">
        <f t="shared" si="16"/>
        <v>13340</v>
      </c>
      <c r="G46" s="3">
        <f t="shared" si="16"/>
        <v>14151</v>
      </c>
      <c r="H46" s="3">
        <f t="shared" si="16"/>
        <v>17011</v>
      </c>
    </row>
    <row r="47" spans="2:8" x14ac:dyDescent="0.3">
      <c r="B47" s="2" t="s">
        <v>83</v>
      </c>
      <c r="C47" s="3">
        <v>1519</v>
      </c>
      <c r="D47" s="3">
        <v>1136</v>
      </c>
      <c r="E47" s="3">
        <v>1609</v>
      </c>
      <c r="F47" s="2">
        <v>429</v>
      </c>
      <c r="G47" s="2">
        <v>618</v>
      </c>
      <c r="H47" s="3">
        <v>1033</v>
      </c>
    </row>
    <row r="48" spans="2:8" x14ac:dyDescent="0.3">
      <c r="B48" s="2" t="s">
        <v>56</v>
      </c>
      <c r="C48" s="2">
        <v>83</v>
      </c>
      <c r="D48" s="2">
        <v>107</v>
      </c>
      <c r="E48" s="2">
        <v>84</v>
      </c>
      <c r="F48" s="2">
        <v>22</v>
      </c>
      <c r="G48" s="2">
        <v>29</v>
      </c>
      <c r="H48" s="2">
        <v>169</v>
      </c>
    </row>
    <row r="49" spans="2:8" x14ac:dyDescent="0.3">
      <c r="B49" s="2" t="s">
        <v>84</v>
      </c>
      <c r="C49" s="3">
        <v>25237</v>
      </c>
      <c r="D49" s="3">
        <v>27428</v>
      </c>
      <c r="E49" s="3">
        <v>31348</v>
      </c>
      <c r="F49" s="3">
        <v>13792</v>
      </c>
      <c r="G49" s="3">
        <v>15698</v>
      </c>
      <c r="H49" s="3">
        <v>18213</v>
      </c>
    </row>
    <row r="50" spans="2:8" x14ac:dyDescent="0.3">
      <c r="C50" s="2">
        <v>2001</v>
      </c>
      <c r="D50" s="2">
        <v>2002</v>
      </c>
      <c r="E50" s="2">
        <v>2003</v>
      </c>
      <c r="F50" s="2">
        <v>2001</v>
      </c>
      <c r="G50" s="2">
        <v>2002</v>
      </c>
      <c r="H50" s="2">
        <v>2003</v>
      </c>
    </row>
    <row r="51" spans="2:8" x14ac:dyDescent="0.3">
      <c r="B51" s="2" t="s">
        <v>61</v>
      </c>
      <c r="C51" s="2">
        <v>211</v>
      </c>
      <c r="D51" s="2">
        <v>0</v>
      </c>
      <c r="E51" s="2">
        <v>509</v>
      </c>
      <c r="F51" s="2">
        <v>159</v>
      </c>
      <c r="G51" s="2">
        <v>79</v>
      </c>
      <c r="H51" s="2">
        <v>77</v>
      </c>
    </row>
    <row r="52" spans="2:8" x14ac:dyDescent="0.3">
      <c r="B52" s="2" t="s">
        <v>66</v>
      </c>
      <c r="C52" s="3">
        <v>1250</v>
      </c>
      <c r="D52" s="3">
        <v>1321</v>
      </c>
      <c r="E52" s="2">
        <v>856</v>
      </c>
      <c r="F52" s="3">
        <v>3734</v>
      </c>
      <c r="G52" s="3">
        <v>3736</v>
      </c>
      <c r="H52" s="3">
        <v>3678</v>
      </c>
    </row>
    <row r="53" spans="2:8" x14ac:dyDescent="0.3">
      <c r="B53" s="2" t="s">
        <v>78</v>
      </c>
      <c r="C53" s="3">
        <v>5459</v>
      </c>
      <c r="D53" s="3">
        <v>5890</v>
      </c>
      <c r="E53" s="3">
        <v>6554</v>
      </c>
      <c r="F53" s="3">
        <v>2189</v>
      </c>
      <c r="G53" s="3">
        <v>2373</v>
      </c>
      <c r="H53" s="3">
        <v>2762</v>
      </c>
    </row>
    <row r="54" spans="2:8" x14ac:dyDescent="0.3">
      <c r="B54" s="2" t="s">
        <v>85</v>
      </c>
      <c r="C54" s="3">
        <v>6920</v>
      </c>
      <c r="D54" s="3">
        <v>7211</v>
      </c>
      <c r="E54" s="3">
        <v>7919</v>
      </c>
      <c r="F54" s="3">
        <v>6082</v>
      </c>
      <c r="G54" s="3">
        <v>6188</v>
      </c>
      <c r="H54" s="3">
        <v>6517</v>
      </c>
    </row>
    <row r="55" spans="2:8" x14ac:dyDescent="0.3">
      <c r="B55" s="2" t="s">
        <v>67</v>
      </c>
      <c r="C55" s="2">
        <v>189</v>
      </c>
      <c r="D55" s="2">
        <v>362</v>
      </c>
      <c r="E55" s="2">
        <v>967</v>
      </c>
      <c r="F55" s="2">
        <v>305</v>
      </c>
      <c r="G55" s="2">
        <v>478</v>
      </c>
      <c r="H55" s="2">
        <v>657</v>
      </c>
    </row>
    <row r="56" spans="2:8" x14ac:dyDescent="0.3">
      <c r="B56" s="2" t="s">
        <v>81</v>
      </c>
      <c r="C56" s="2">
        <v>46</v>
      </c>
      <c r="D56" s="2">
        <v>54</v>
      </c>
      <c r="E56" s="2">
        <v>55</v>
      </c>
      <c r="F56" s="2">
        <v>730</v>
      </c>
      <c r="G56" s="2">
        <v>730</v>
      </c>
      <c r="H56" s="2">
        <v>730</v>
      </c>
    </row>
    <row r="57" spans="2:8" x14ac:dyDescent="0.3">
      <c r="B57" s="2" t="s">
        <v>86</v>
      </c>
      <c r="C57" s="3">
        <v>5503</v>
      </c>
      <c r="D57" s="3">
        <v>3913</v>
      </c>
      <c r="E57" s="3">
        <v>2637</v>
      </c>
      <c r="F57" s="3">
        <v>2192</v>
      </c>
      <c r="G57" s="3">
        <v>2414</v>
      </c>
      <c r="H57" s="3">
        <v>2631</v>
      </c>
    </row>
    <row r="58" spans="2:8" x14ac:dyDescent="0.3">
      <c r="B58" s="2" t="s">
        <v>70</v>
      </c>
      <c r="C58" s="3">
        <v>12799</v>
      </c>
      <c r="D58" s="3">
        <v>15971</v>
      </c>
      <c r="E58" s="3">
        <v>19680</v>
      </c>
      <c r="F58" s="3">
        <v>4482</v>
      </c>
      <c r="G58" s="3">
        <v>5887</v>
      </c>
      <c r="H58" s="3">
        <v>7677</v>
      </c>
    </row>
    <row r="59" spans="2:8" x14ac:dyDescent="0.3">
      <c r="B59" s="2" t="s">
        <v>87</v>
      </c>
      <c r="C59" s="2">
        <v>-220</v>
      </c>
      <c r="D59" s="2">
        <v>-82</v>
      </c>
      <c r="E59" s="2">
        <v>90</v>
      </c>
      <c r="F59" s="2">
        <v>1</v>
      </c>
      <c r="G59" s="2">
        <v>1</v>
      </c>
      <c r="H59" s="2">
        <v>1</v>
      </c>
    </row>
    <row r="60" spans="2:8" x14ac:dyDescent="0.3">
      <c r="B60" s="2" t="s">
        <v>88</v>
      </c>
      <c r="C60" s="3">
        <v>18317</v>
      </c>
      <c r="D60" s="3">
        <v>20218</v>
      </c>
      <c r="E60" s="3">
        <v>23429</v>
      </c>
      <c r="F60" s="3">
        <v>7709</v>
      </c>
      <c r="G60" s="3">
        <v>9510</v>
      </c>
      <c r="H60" s="3">
        <v>11696</v>
      </c>
    </row>
    <row r="61" spans="2:8" x14ac:dyDescent="0.3">
      <c r="B61" s="2" t="s">
        <v>84</v>
      </c>
      <c r="C61" s="3">
        <v>25237</v>
      </c>
      <c r="D61" s="3">
        <v>27428</v>
      </c>
      <c r="E61" s="3">
        <v>31348</v>
      </c>
      <c r="F61" s="3">
        <v>13792</v>
      </c>
      <c r="G61" s="3">
        <v>15698</v>
      </c>
      <c r="H61" s="3">
        <v>18213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3"/>
  <sheetViews>
    <sheetView topLeftCell="A130" workbookViewId="0">
      <selection activeCell="A148" sqref="A148"/>
    </sheetView>
  </sheetViews>
  <sheetFormatPr defaultRowHeight="14.4" x14ac:dyDescent="0.3"/>
  <cols>
    <col min="2" max="2" width="37.44140625" bestFit="1" customWidth="1"/>
    <col min="3" max="3" width="22.6640625" bestFit="1" customWidth="1"/>
    <col min="5" max="5" width="52.33203125" bestFit="1" customWidth="1"/>
  </cols>
  <sheetData>
    <row r="4" spans="2:8" x14ac:dyDescent="0.3">
      <c r="B4" s="1"/>
      <c r="C4" s="2" t="s">
        <v>344</v>
      </c>
      <c r="D4" s="2" t="s">
        <v>345</v>
      </c>
      <c r="E4" s="1"/>
      <c r="F4" s="1"/>
      <c r="G4" s="1"/>
      <c r="H4" s="1"/>
    </row>
    <row r="5" spans="2:8" x14ac:dyDescent="0.3">
      <c r="B5" s="1"/>
      <c r="C5" s="2" t="s">
        <v>346</v>
      </c>
      <c r="D5" s="2" t="s">
        <v>347</v>
      </c>
      <c r="E5" s="2" t="s">
        <v>348</v>
      </c>
      <c r="F5" s="1"/>
      <c r="G5" s="1"/>
      <c r="H5" s="1"/>
    </row>
    <row r="6" spans="2:8" x14ac:dyDescent="0.3">
      <c r="B6" s="2" t="s">
        <v>349</v>
      </c>
      <c r="C6" s="2" t="s">
        <v>350</v>
      </c>
      <c r="D6" s="2" t="s">
        <v>351</v>
      </c>
      <c r="E6" s="2" t="s">
        <v>351</v>
      </c>
      <c r="F6" s="1"/>
      <c r="G6" s="1"/>
      <c r="H6" s="1"/>
    </row>
    <row r="7" spans="2:8" x14ac:dyDescent="0.3">
      <c r="B7" s="2" t="s">
        <v>352</v>
      </c>
      <c r="C7" s="2">
        <v>200</v>
      </c>
      <c r="D7" s="2">
        <v>225</v>
      </c>
      <c r="E7" s="2" t="s">
        <v>352</v>
      </c>
      <c r="F7" s="2">
        <f>C7</f>
        <v>200</v>
      </c>
      <c r="G7" s="2">
        <f>D7</f>
        <v>225</v>
      </c>
      <c r="H7" s="2" t="s">
        <v>353</v>
      </c>
    </row>
    <row r="8" spans="2:8" x14ac:dyDescent="0.3">
      <c r="B8" s="2" t="s">
        <v>354</v>
      </c>
      <c r="C8" s="2">
        <v>300</v>
      </c>
      <c r="D8" s="2">
        <v>350</v>
      </c>
      <c r="E8" s="2" t="s">
        <v>355</v>
      </c>
      <c r="F8" s="2">
        <f>-C12</f>
        <v>-125</v>
      </c>
      <c r="G8" s="2">
        <f>-D12</f>
        <v>-150</v>
      </c>
      <c r="H8" s="2" t="s">
        <v>356</v>
      </c>
    </row>
    <row r="9" spans="2:8" x14ac:dyDescent="0.3">
      <c r="B9" s="2" t="s">
        <v>357</v>
      </c>
      <c r="C9" s="2">
        <v>15</v>
      </c>
      <c r="D9" s="2">
        <v>25</v>
      </c>
      <c r="E9" s="2" t="s">
        <v>358</v>
      </c>
      <c r="F9" s="2">
        <f>SUM(F7:F8)</f>
        <v>75</v>
      </c>
      <c r="G9" s="2">
        <f>SUM(G7:G8)</f>
        <v>75</v>
      </c>
      <c r="H9" s="2" t="s">
        <v>359</v>
      </c>
    </row>
    <row r="10" spans="2:8" x14ac:dyDescent="0.3">
      <c r="B10" s="2" t="s">
        <v>360</v>
      </c>
      <c r="C10" s="2">
        <f>SUM(C7:C9)</f>
        <v>515</v>
      </c>
      <c r="D10" s="2">
        <v>600</v>
      </c>
      <c r="E10" s="2" t="s">
        <v>354</v>
      </c>
      <c r="F10" s="2">
        <f>C8</f>
        <v>300</v>
      </c>
      <c r="G10" s="2">
        <f>D8</f>
        <v>350</v>
      </c>
      <c r="H10" s="1"/>
    </row>
    <row r="11" spans="2:8" x14ac:dyDescent="0.3">
      <c r="B11" s="4" t="s">
        <v>361</v>
      </c>
      <c r="C11" s="1"/>
      <c r="D11" s="1"/>
      <c r="E11" s="2" t="s">
        <v>362</v>
      </c>
      <c r="F11" s="2">
        <f>F10+F9</f>
        <v>375</v>
      </c>
      <c r="G11" s="2">
        <f>G10+G9</f>
        <v>425</v>
      </c>
      <c r="H11" s="2" t="s">
        <v>363</v>
      </c>
    </row>
    <row r="12" spans="2:8" x14ac:dyDescent="0.3">
      <c r="B12" s="2" t="s">
        <v>355</v>
      </c>
      <c r="C12" s="2">
        <v>125</v>
      </c>
      <c r="D12" s="2">
        <v>150</v>
      </c>
      <c r="E12" s="2" t="s">
        <v>357</v>
      </c>
      <c r="F12" s="2">
        <f>C9</f>
        <v>15</v>
      </c>
      <c r="G12" s="2">
        <f>D9</f>
        <v>25</v>
      </c>
      <c r="H12" s="2" t="s">
        <v>364</v>
      </c>
    </row>
    <row r="13" spans="2:8" x14ac:dyDescent="0.3">
      <c r="B13" s="2" t="s">
        <v>365</v>
      </c>
      <c r="C13" s="2">
        <v>225</v>
      </c>
      <c r="D13" s="2">
        <v>200</v>
      </c>
      <c r="E13" s="4" t="s">
        <v>366</v>
      </c>
      <c r="F13" s="4">
        <f>F11+F12</f>
        <v>390</v>
      </c>
      <c r="G13" s="4">
        <f>G11+G12</f>
        <v>450</v>
      </c>
      <c r="H13" s="2" t="s">
        <v>367</v>
      </c>
    </row>
    <row r="14" spans="2:8" x14ac:dyDescent="0.3">
      <c r="B14" s="2" t="s">
        <v>368</v>
      </c>
      <c r="C14" s="2">
        <v>50</v>
      </c>
      <c r="D14" s="2">
        <v>50</v>
      </c>
      <c r="H14" s="2"/>
    </row>
    <row r="15" spans="2:8" x14ac:dyDescent="0.3">
      <c r="B15" s="2" t="s">
        <v>369</v>
      </c>
      <c r="C15" s="2">
        <v>115</v>
      </c>
      <c r="D15" s="2">
        <v>200</v>
      </c>
      <c r="E15" s="4" t="s">
        <v>366</v>
      </c>
      <c r="F15" s="2"/>
      <c r="G15" s="2"/>
      <c r="H15" s="1"/>
    </row>
    <row r="16" spans="2:8" x14ac:dyDescent="0.3">
      <c r="B16" s="2" t="s">
        <v>370</v>
      </c>
      <c r="C16" s="2">
        <f>SUM(C12:C15)</f>
        <v>515</v>
      </c>
      <c r="D16" s="2">
        <f>SUM(D12:D15)</f>
        <v>600</v>
      </c>
      <c r="E16" s="2" t="s">
        <v>365</v>
      </c>
      <c r="F16" s="1">
        <f t="shared" ref="F16:G18" si="0">C13</f>
        <v>225</v>
      </c>
      <c r="G16" s="1">
        <f t="shared" si="0"/>
        <v>200</v>
      </c>
      <c r="H16" s="1"/>
    </row>
    <row r="17" spans="2:8" x14ac:dyDescent="0.3">
      <c r="B17" s="1"/>
      <c r="C17" s="1"/>
      <c r="D17" s="1"/>
      <c r="E17" s="1" t="s">
        <v>368</v>
      </c>
      <c r="F17" s="1">
        <f t="shared" si="0"/>
        <v>50</v>
      </c>
      <c r="G17" s="1">
        <f t="shared" si="0"/>
        <v>50</v>
      </c>
      <c r="H17" s="1"/>
    </row>
    <row r="18" spans="2:8" x14ac:dyDescent="0.3">
      <c r="B18" s="1"/>
      <c r="C18" s="1"/>
      <c r="D18" s="1"/>
      <c r="E18" t="s">
        <v>369</v>
      </c>
      <c r="F18">
        <f t="shared" si="0"/>
        <v>115</v>
      </c>
      <c r="G18">
        <f t="shared" si="0"/>
        <v>200</v>
      </c>
      <c r="H18" s="1"/>
    </row>
    <row r="19" spans="2:8" x14ac:dyDescent="0.3">
      <c r="B19" s="1"/>
      <c r="C19" s="1"/>
      <c r="D19" s="1"/>
      <c r="E19" s="2" t="s">
        <v>366</v>
      </c>
      <c r="F19" s="2">
        <f>SUM(F16:F18)</f>
        <v>390</v>
      </c>
      <c r="G19" s="2">
        <f>SUM(G16:G18)</f>
        <v>450</v>
      </c>
    </row>
    <row r="23" spans="2:8" x14ac:dyDescent="0.3">
      <c r="B23" s="2" t="s">
        <v>371</v>
      </c>
      <c r="C23" s="1"/>
      <c r="D23" s="1"/>
      <c r="E23" s="1"/>
      <c r="F23" s="1"/>
      <c r="G23" s="1"/>
      <c r="H23" s="1"/>
    </row>
    <row r="24" spans="2:8" x14ac:dyDescent="0.3">
      <c r="B24" s="2" t="s">
        <v>372</v>
      </c>
      <c r="C24" s="1"/>
      <c r="D24" s="1"/>
      <c r="E24" s="1"/>
      <c r="F24" s="1"/>
      <c r="G24" s="1"/>
      <c r="H24" s="1"/>
    </row>
    <row r="25" spans="2:8" x14ac:dyDescent="0.3">
      <c r="B25" s="2" t="s">
        <v>373</v>
      </c>
      <c r="C25" s="114"/>
      <c r="D25" s="114"/>
      <c r="E25" s="114"/>
      <c r="F25" s="113" t="s">
        <v>374</v>
      </c>
      <c r="G25" s="113"/>
      <c r="H25" s="113"/>
    </row>
    <row r="26" spans="2:8" x14ac:dyDescent="0.3">
      <c r="B26" s="2" t="s">
        <v>349</v>
      </c>
      <c r="C26">
        <v>2001</v>
      </c>
      <c r="D26" s="2">
        <v>2002</v>
      </c>
      <c r="E26" s="2">
        <v>2003</v>
      </c>
      <c r="F26" s="1"/>
      <c r="G26" s="1"/>
      <c r="H26" s="1"/>
    </row>
    <row r="27" spans="2:8" x14ac:dyDescent="0.3">
      <c r="B27" s="2" t="s">
        <v>375</v>
      </c>
      <c r="C27" s="3">
        <v>2477</v>
      </c>
      <c r="D27" s="3">
        <v>2188</v>
      </c>
      <c r="E27" s="3">
        <v>2826</v>
      </c>
      <c r="F27" s="2">
        <v>799</v>
      </c>
      <c r="G27" s="2">
        <v>853</v>
      </c>
      <c r="H27" s="3">
        <v>1446</v>
      </c>
    </row>
    <row r="28" spans="2:8" x14ac:dyDescent="0.3">
      <c r="B28" s="2" t="s">
        <v>376</v>
      </c>
      <c r="C28" s="2">
        <v>69</v>
      </c>
      <c r="D28" s="2">
        <v>65</v>
      </c>
      <c r="E28" s="2">
        <v>26</v>
      </c>
      <c r="F28" s="2">
        <v>54</v>
      </c>
      <c r="G28" s="2">
        <v>273</v>
      </c>
      <c r="H28" s="2">
        <v>178</v>
      </c>
    </row>
    <row r="29" spans="2:8" x14ac:dyDescent="0.3">
      <c r="B29" s="2" t="s">
        <v>377</v>
      </c>
      <c r="C29" s="2">
        <v>920</v>
      </c>
      <c r="D29" s="3">
        <v>1072</v>
      </c>
      <c r="E29" s="3">
        <v>1097</v>
      </c>
      <c r="F29" s="2">
        <v>166</v>
      </c>
      <c r="G29" s="2">
        <v>172</v>
      </c>
      <c r="H29" s="2">
        <v>131</v>
      </c>
    </row>
    <row r="30" spans="2:8" x14ac:dyDescent="0.3">
      <c r="B30" s="2" t="s">
        <v>378</v>
      </c>
      <c r="C30" s="3">
        <v>6725</v>
      </c>
      <c r="D30" s="3">
        <v>8338</v>
      </c>
      <c r="E30" s="3">
        <v>9076</v>
      </c>
      <c r="F30" s="3">
        <v>3611</v>
      </c>
      <c r="G30" s="3">
        <f>3068+900</f>
        <v>3968</v>
      </c>
      <c r="H30" s="3">
        <v>4584</v>
      </c>
    </row>
    <row r="31" spans="2:8" x14ac:dyDescent="0.3">
      <c r="B31" s="2" t="s">
        <v>379</v>
      </c>
      <c r="C31" s="2">
        <v>170</v>
      </c>
      <c r="D31" s="2">
        <v>254</v>
      </c>
      <c r="E31" s="2">
        <v>303</v>
      </c>
      <c r="F31" s="2">
        <v>291</v>
      </c>
      <c r="G31" s="2">
        <v>302</v>
      </c>
      <c r="H31" s="2">
        <v>348</v>
      </c>
    </row>
    <row r="32" spans="2:8" x14ac:dyDescent="0.3">
      <c r="B32" s="4" t="s">
        <v>380</v>
      </c>
      <c r="C32" s="5">
        <f>SUM(C27:C31)</f>
        <v>10361</v>
      </c>
      <c r="D32" s="5">
        <f t="shared" ref="D32:H32" si="1">SUM(D27:D31)</f>
        <v>11917</v>
      </c>
      <c r="E32" s="5">
        <f t="shared" si="1"/>
        <v>13328</v>
      </c>
      <c r="F32" s="5">
        <f t="shared" si="1"/>
        <v>4921</v>
      </c>
      <c r="G32" s="5">
        <f t="shared" si="1"/>
        <v>5568</v>
      </c>
      <c r="H32" s="5">
        <f t="shared" si="1"/>
        <v>6687</v>
      </c>
    </row>
    <row r="33" spans="2:8" x14ac:dyDescent="0.3">
      <c r="B33" s="2" t="s">
        <v>381</v>
      </c>
      <c r="C33" s="3">
        <v>15375</v>
      </c>
      <c r="D33" s="3">
        <v>17168</v>
      </c>
      <c r="E33" s="3">
        <v>20063</v>
      </c>
      <c r="F33" s="3">
        <v>8653</v>
      </c>
      <c r="G33" s="3">
        <v>10352</v>
      </c>
      <c r="H33" s="3">
        <v>11945</v>
      </c>
    </row>
    <row r="34" spans="2:8" x14ac:dyDescent="0.3">
      <c r="B34" s="2" t="s">
        <v>382</v>
      </c>
      <c r="C34" s="2">
        <v>83</v>
      </c>
      <c r="D34" s="2">
        <v>107</v>
      </c>
      <c r="E34" s="2">
        <v>84</v>
      </c>
      <c r="F34" s="2">
        <v>22</v>
      </c>
      <c r="G34" s="2">
        <v>29</v>
      </c>
      <c r="H34" s="2">
        <v>169</v>
      </c>
    </row>
    <row r="35" spans="2:8" x14ac:dyDescent="0.3">
      <c r="B35" s="2" t="s">
        <v>383</v>
      </c>
      <c r="C35" s="2">
        <v>419</v>
      </c>
      <c r="D35" s="2">
        <v>575</v>
      </c>
      <c r="E35" s="2">
        <v>833</v>
      </c>
      <c r="F35" s="2">
        <v>0</v>
      </c>
      <c r="G35" s="2">
        <v>0</v>
      </c>
      <c r="H35" s="2">
        <v>0</v>
      </c>
    </row>
    <row r="36" spans="2:8" x14ac:dyDescent="0.3">
      <c r="B36" s="2" t="s">
        <v>384</v>
      </c>
      <c r="C36" s="2">
        <v>156</v>
      </c>
      <c r="D36" s="2">
        <v>244</v>
      </c>
      <c r="E36" s="2">
        <v>129</v>
      </c>
      <c r="F36" s="2">
        <v>141</v>
      </c>
      <c r="G36" s="2">
        <v>160</v>
      </c>
      <c r="H36" s="2">
        <v>241</v>
      </c>
    </row>
    <row r="37" spans="2:8" x14ac:dyDescent="0.3">
      <c r="B37" s="4" t="s">
        <v>360</v>
      </c>
      <c r="C37" s="5">
        <f>C32+SUM(C33:C36)</f>
        <v>26394</v>
      </c>
      <c r="D37" s="5">
        <f t="shared" ref="D37:H37" si="2">D32+SUM(D33:D36)</f>
        <v>30011</v>
      </c>
      <c r="E37" s="5">
        <f t="shared" si="2"/>
        <v>34437</v>
      </c>
      <c r="F37" s="5">
        <f t="shared" si="2"/>
        <v>13737</v>
      </c>
      <c r="G37" s="5">
        <f t="shared" si="2"/>
        <v>16109</v>
      </c>
      <c r="H37" s="5">
        <f t="shared" si="2"/>
        <v>19042</v>
      </c>
    </row>
    <row r="38" spans="2:8" x14ac:dyDescent="0.3">
      <c r="B38" s="2" t="s">
        <v>361</v>
      </c>
      <c r="C38" s="2">
        <v>2001</v>
      </c>
      <c r="D38" s="2">
        <v>2002</v>
      </c>
      <c r="E38" s="2">
        <v>2003</v>
      </c>
      <c r="F38" s="2">
        <v>2001</v>
      </c>
      <c r="G38" s="2">
        <v>2002</v>
      </c>
      <c r="H38" s="2">
        <v>2003</v>
      </c>
    </row>
    <row r="39" spans="2:8" x14ac:dyDescent="0.3">
      <c r="B39" s="2" t="s">
        <v>385</v>
      </c>
      <c r="C39" s="2">
        <v>211</v>
      </c>
      <c r="D39" s="2">
        <v>0</v>
      </c>
      <c r="E39" s="2">
        <v>509</v>
      </c>
      <c r="F39" s="2">
        <v>159</v>
      </c>
      <c r="G39" s="2">
        <v>79</v>
      </c>
      <c r="H39" s="2">
        <v>77</v>
      </c>
    </row>
    <row r="40" spans="2:8" x14ac:dyDescent="0.3">
      <c r="B40" s="2" t="s">
        <v>355</v>
      </c>
      <c r="C40" s="3">
        <v>3436</v>
      </c>
      <c r="D40" s="3">
        <v>4560</v>
      </c>
      <c r="E40" s="3">
        <v>5159</v>
      </c>
      <c r="F40" s="3">
        <v>1715</v>
      </c>
      <c r="G40" s="3">
        <v>1943</v>
      </c>
      <c r="H40" s="3">
        <v>2366</v>
      </c>
    </row>
    <row r="41" spans="2:8" x14ac:dyDescent="0.3">
      <c r="B41" s="2" t="s">
        <v>386</v>
      </c>
      <c r="C41" s="2">
        <v>717</v>
      </c>
      <c r="D41" s="2">
        <v>809</v>
      </c>
      <c r="E41" s="2">
        <v>801</v>
      </c>
      <c r="F41" s="2">
        <v>347</v>
      </c>
      <c r="G41" s="2">
        <v>394</v>
      </c>
      <c r="H41" s="2">
        <v>409</v>
      </c>
    </row>
    <row r="42" spans="2:8" x14ac:dyDescent="0.3">
      <c r="B42" s="2" t="s">
        <v>387</v>
      </c>
      <c r="C42" s="2">
        <v>933</v>
      </c>
      <c r="D42" s="2">
        <v>998</v>
      </c>
      <c r="E42" s="3">
        <v>1281</v>
      </c>
      <c r="F42" s="2">
        <v>0</v>
      </c>
      <c r="G42" s="2">
        <v>0</v>
      </c>
      <c r="H42" s="2">
        <v>0</v>
      </c>
    </row>
    <row r="43" spans="2:8" x14ac:dyDescent="0.3">
      <c r="B43" s="2" t="s">
        <v>388</v>
      </c>
      <c r="C43" s="3">
        <v>1204</v>
      </c>
      <c r="D43" s="3">
        <v>1668</v>
      </c>
      <c r="E43" s="3">
        <v>1804</v>
      </c>
      <c r="F43" s="2">
        <v>796</v>
      </c>
      <c r="G43" s="3">
        <v>1162</v>
      </c>
      <c r="H43" s="3">
        <v>1516</v>
      </c>
    </row>
    <row r="44" spans="2:8" x14ac:dyDescent="0.3">
      <c r="B44" s="4" t="s">
        <v>389</v>
      </c>
      <c r="C44" s="5">
        <f>SUM(C39:C43)</f>
        <v>6501</v>
      </c>
      <c r="D44" s="5">
        <f t="shared" ref="D44:H44" si="3">SUM(D39:D43)</f>
        <v>8035</v>
      </c>
      <c r="E44" s="5">
        <f t="shared" si="3"/>
        <v>9554</v>
      </c>
      <c r="F44" s="5">
        <f t="shared" si="3"/>
        <v>3017</v>
      </c>
      <c r="G44" s="5">
        <f t="shared" si="3"/>
        <v>3578</v>
      </c>
      <c r="H44" s="5">
        <f t="shared" si="3"/>
        <v>4368</v>
      </c>
    </row>
    <row r="45" spans="2:8" x14ac:dyDescent="0.3">
      <c r="B45" s="2" t="s">
        <v>390</v>
      </c>
      <c r="C45" s="3">
        <v>1250</v>
      </c>
      <c r="D45" s="3">
        <v>1321</v>
      </c>
      <c r="E45" s="2">
        <v>856</v>
      </c>
      <c r="F45" s="3">
        <v>3734</v>
      </c>
      <c r="G45" s="3">
        <v>3736</v>
      </c>
      <c r="H45" s="3">
        <v>3678</v>
      </c>
    </row>
    <row r="46" spans="2:8" x14ac:dyDescent="0.3">
      <c r="B46" s="2" t="s">
        <v>391</v>
      </c>
      <c r="C46" s="2">
        <v>189</v>
      </c>
      <c r="D46" s="2">
        <v>362</v>
      </c>
      <c r="E46" s="2">
        <v>967</v>
      </c>
      <c r="F46" s="2">
        <v>305</v>
      </c>
      <c r="G46" s="2">
        <v>478</v>
      </c>
      <c r="H46" s="2">
        <v>657</v>
      </c>
    </row>
    <row r="47" spans="2:8" x14ac:dyDescent="0.3">
      <c r="B47" s="2" t="s">
        <v>392</v>
      </c>
      <c r="C47" s="2">
        <v>372</v>
      </c>
      <c r="D47" s="2">
        <v>491</v>
      </c>
      <c r="E47" s="2">
        <v>653</v>
      </c>
      <c r="F47" s="2">
        <v>6</v>
      </c>
      <c r="G47" s="2">
        <v>15</v>
      </c>
      <c r="H47" s="2">
        <v>30</v>
      </c>
    </row>
    <row r="48" spans="2:8" x14ac:dyDescent="0.3">
      <c r="B48" s="2" t="s">
        <v>393</v>
      </c>
      <c r="C48" s="3">
        <v>5503</v>
      </c>
      <c r="D48" s="3">
        <v>3913</v>
      </c>
      <c r="E48" s="3">
        <v>2637</v>
      </c>
      <c r="F48" s="3">
        <v>2192</v>
      </c>
      <c r="G48" s="3">
        <v>2414</v>
      </c>
      <c r="H48" s="3">
        <v>2631</v>
      </c>
    </row>
    <row r="49" spans="2:8" x14ac:dyDescent="0.3">
      <c r="B49" s="2" t="s">
        <v>369</v>
      </c>
      <c r="C49" s="3">
        <v>12799</v>
      </c>
      <c r="D49" s="3">
        <v>15971</v>
      </c>
      <c r="E49" s="3">
        <v>19680</v>
      </c>
      <c r="F49" s="3">
        <v>4482</v>
      </c>
      <c r="G49" s="3">
        <v>5887</v>
      </c>
      <c r="H49" s="3">
        <v>7677</v>
      </c>
    </row>
    <row r="50" spans="2:8" x14ac:dyDescent="0.3">
      <c r="B50" s="2" t="s">
        <v>394</v>
      </c>
      <c r="C50" s="2">
        <v>-220</v>
      </c>
      <c r="D50" s="2">
        <v>-82</v>
      </c>
      <c r="E50" s="2">
        <v>90</v>
      </c>
      <c r="F50" s="2">
        <v>1</v>
      </c>
      <c r="G50" s="2">
        <v>1</v>
      </c>
      <c r="H50" s="2">
        <v>1</v>
      </c>
    </row>
    <row r="51" spans="2:8" x14ac:dyDescent="0.3">
      <c r="B51" s="4" t="s">
        <v>370</v>
      </c>
      <c r="C51" s="5">
        <f>SUM(C44:C50)</f>
        <v>26394</v>
      </c>
      <c r="D51" s="5">
        <f t="shared" ref="D51:H51" si="4">SUM(D44:D50)</f>
        <v>30011</v>
      </c>
      <c r="E51" s="5">
        <f t="shared" si="4"/>
        <v>34437</v>
      </c>
      <c r="F51" s="5">
        <f t="shared" si="4"/>
        <v>13737</v>
      </c>
      <c r="G51" s="5">
        <f t="shared" si="4"/>
        <v>16109</v>
      </c>
      <c r="H51" s="5">
        <f t="shared" si="4"/>
        <v>19042</v>
      </c>
    </row>
    <row r="52" spans="2:8" x14ac:dyDescent="0.3">
      <c r="C52" s="7">
        <f>C51-C37</f>
        <v>0</v>
      </c>
      <c r="D52" s="7">
        <f t="shared" ref="D52:H52" si="5">D51-D37</f>
        <v>0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7">
        <f t="shared" si="5"/>
        <v>0</v>
      </c>
    </row>
    <row r="54" spans="2:8" x14ac:dyDescent="0.3">
      <c r="B54" s="2" t="s">
        <v>395</v>
      </c>
      <c r="C54" s="1" t="s">
        <v>3</v>
      </c>
      <c r="D54" s="1"/>
      <c r="E54" s="1"/>
      <c r="F54" s="1"/>
      <c r="G54" s="1"/>
      <c r="H54" s="1"/>
    </row>
    <row r="55" spans="2:8" x14ac:dyDescent="0.3">
      <c r="B55" s="2" t="s">
        <v>343</v>
      </c>
      <c r="C55" s="1" t="s">
        <v>3</v>
      </c>
      <c r="D55" s="1"/>
      <c r="E55" s="1"/>
      <c r="F55" s="1"/>
      <c r="G55" s="1"/>
      <c r="H55" s="1"/>
    </row>
    <row r="56" spans="2:8" x14ac:dyDescent="0.3">
      <c r="B56" s="2" t="s">
        <v>396</v>
      </c>
      <c r="C56" s="1" t="s">
        <v>3</v>
      </c>
      <c r="D56" s="1"/>
      <c r="E56" s="1"/>
      <c r="F56" s="1"/>
      <c r="G56" s="1"/>
      <c r="H56" s="1"/>
    </row>
    <row r="57" spans="2:8" x14ac:dyDescent="0.3">
      <c r="B57" s="2" t="s">
        <v>397</v>
      </c>
      <c r="C57" s="113" t="s">
        <v>2</v>
      </c>
      <c r="D57" s="113"/>
      <c r="E57" s="113"/>
      <c r="F57" s="1"/>
      <c r="G57" s="1"/>
      <c r="H57" s="1"/>
    </row>
    <row r="58" spans="2:8" x14ac:dyDescent="0.3">
      <c r="B58" s="2" t="s">
        <v>74</v>
      </c>
      <c r="C58" s="3">
        <v>1027</v>
      </c>
      <c r="D58" s="3">
        <v>1117</v>
      </c>
      <c r="E58" s="3">
        <v>1243</v>
      </c>
      <c r="F58" s="2">
        <v>424</v>
      </c>
      <c r="G58" s="2">
        <v>508</v>
      </c>
      <c r="H58" s="2">
        <v>591</v>
      </c>
    </row>
    <row r="59" spans="2:8" x14ac:dyDescent="0.3">
      <c r="B59" s="2" t="s">
        <v>51</v>
      </c>
      <c r="C59" s="2">
        <f>C29</f>
        <v>920</v>
      </c>
      <c r="D59" s="2">
        <f t="shared" ref="D59:H59" si="6">D29</f>
        <v>1072</v>
      </c>
      <c r="E59" s="2">
        <f t="shared" si="6"/>
        <v>1097</v>
      </c>
      <c r="F59" s="2">
        <f t="shared" si="6"/>
        <v>166</v>
      </c>
      <c r="G59" s="2">
        <f t="shared" si="6"/>
        <v>172</v>
      </c>
      <c r="H59" s="2">
        <f t="shared" si="6"/>
        <v>131</v>
      </c>
    </row>
    <row r="60" spans="2:8" x14ac:dyDescent="0.3">
      <c r="B60" s="2" t="s">
        <v>52</v>
      </c>
      <c r="C60" s="3">
        <f>C30</f>
        <v>6725</v>
      </c>
      <c r="D60" s="3">
        <f t="shared" ref="D60:G60" si="7">D30</f>
        <v>8338</v>
      </c>
      <c r="E60" s="3">
        <f t="shared" si="7"/>
        <v>9076</v>
      </c>
      <c r="F60" s="3">
        <f t="shared" si="7"/>
        <v>3611</v>
      </c>
      <c r="G60" s="3">
        <f t="shared" si="7"/>
        <v>3968</v>
      </c>
      <c r="H60" s="3">
        <f>H30</f>
        <v>4584</v>
      </c>
    </row>
    <row r="61" spans="2:8" x14ac:dyDescent="0.3">
      <c r="B61" s="2" t="s">
        <v>53</v>
      </c>
      <c r="C61" s="2">
        <f>C31</f>
        <v>170</v>
      </c>
      <c r="D61" s="2">
        <f t="shared" ref="D61:H61" si="8">D31</f>
        <v>254</v>
      </c>
      <c r="E61" s="2">
        <f t="shared" si="8"/>
        <v>303</v>
      </c>
      <c r="F61" s="2">
        <f t="shared" si="8"/>
        <v>291</v>
      </c>
      <c r="G61" s="2">
        <f t="shared" si="8"/>
        <v>302</v>
      </c>
      <c r="H61" s="2">
        <f t="shared" si="8"/>
        <v>348</v>
      </c>
    </row>
    <row r="62" spans="2:8" x14ac:dyDescent="0.3">
      <c r="B62" s="4" t="s">
        <v>399</v>
      </c>
      <c r="C62" s="5">
        <f>SUM(C58:C61)</f>
        <v>8842</v>
      </c>
      <c r="D62" s="5">
        <f t="shared" ref="D62:H62" si="9">SUM(D58:D61)</f>
        <v>10781</v>
      </c>
      <c r="E62" s="5">
        <f t="shared" si="9"/>
        <v>11719</v>
      </c>
      <c r="F62" s="5">
        <f t="shared" si="9"/>
        <v>4492</v>
      </c>
      <c r="G62" s="5">
        <f t="shared" si="9"/>
        <v>4950</v>
      </c>
      <c r="H62" s="5">
        <f t="shared" si="9"/>
        <v>5654</v>
      </c>
    </row>
    <row r="63" spans="2:8" x14ac:dyDescent="0.3">
      <c r="B63" s="2" t="s">
        <v>62</v>
      </c>
      <c r="C63" s="3">
        <f>C40</f>
        <v>3436</v>
      </c>
      <c r="D63" s="3">
        <f t="shared" ref="D63:H63" si="10">D40</f>
        <v>4560</v>
      </c>
      <c r="E63" s="3">
        <f t="shared" si="10"/>
        <v>5159</v>
      </c>
      <c r="F63" s="3">
        <f t="shared" si="10"/>
        <v>1715</v>
      </c>
      <c r="G63" s="3">
        <f t="shared" si="10"/>
        <v>1943</v>
      </c>
      <c r="H63" s="3">
        <f t="shared" si="10"/>
        <v>2366</v>
      </c>
    </row>
    <row r="64" spans="2:8" x14ac:dyDescent="0.3">
      <c r="B64" s="2" t="s">
        <v>63</v>
      </c>
      <c r="C64" s="2">
        <f>C41</f>
        <v>717</v>
      </c>
      <c r="D64" s="2">
        <f t="shared" ref="D64:H64" si="11">D41</f>
        <v>809</v>
      </c>
      <c r="E64" s="2">
        <f t="shared" si="11"/>
        <v>801</v>
      </c>
      <c r="F64" s="2">
        <f t="shared" si="11"/>
        <v>347</v>
      </c>
      <c r="G64" s="2">
        <f t="shared" si="11"/>
        <v>394</v>
      </c>
      <c r="H64" s="2">
        <f t="shared" si="11"/>
        <v>409</v>
      </c>
    </row>
    <row r="65" spans="1:8" x14ac:dyDescent="0.3">
      <c r="B65" s="2" t="s">
        <v>64</v>
      </c>
      <c r="C65" s="2">
        <f>C42</f>
        <v>933</v>
      </c>
      <c r="D65" s="2">
        <f t="shared" ref="D65:H65" si="12">D42</f>
        <v>998</v>
      </c>
      <c r="E65" s="2">
        <f t="shared" si="12"/>
        <v>1281</v>
      </c>
      <c r="F65" s="2">
        <f t="shared" si="12"/>
        <v>0</v>
      </c>
      <c r="G65" s="2">
        <f t="shared" si="12"/>
        <v>0</v>
      </c>
      <c r="H65" s="2">
        <f t="shared" si="12"/>
        <v>0</v>
      </c>
    </row>
    <row r="66" spans="1:8" x14ac:dyDescent="0.3">
      <c r="B66" s="2" t="s">
        <v>65</v>
      </c>
      <c r="C66" s="3">
        <f>C43</f>
        <v>1204</v>
      </c>
      <c r="D66" s="3">
        <f t="shared" ref="D66:H66" si="13">D43</f>
        <v>1668</v>
      </c>
      <c r="E66" s="3">
        <f t="shared" si="13"/>
        <v>1804</v>
      </c>
      <c r="F66" s="3">
        <f t="shared" si="13"/>
        <v>796</v>
      </c>
      <c r="G66" s="3">
        <f t="shared" si="13"/>
        <v>1162</v>
      </c>
      <c r="H66" s="3">
        <f t="shared" si="13"/>
        <v>1516</v>
      </c>
    </row>
    <row r="67" spans="1:8" x14ac:dyDescent="0.3">
      <c r="B67" s="4" t="s">
        <v>400</v>
      </c>
      <c r="C67" s="5">
        <f>SUM(C63:C66)</f>
        <v>6290</v>
      </c>
      <c r="D67" s="5">
        <f t="shared" ref="D67:H67" si="14">SUM(D63:D66)</f>
        <v>8035</v>
      </c>
      <c r="E67" s="5">
        <f t="shared" si="14"/>
        <v>9045</v>
      </c>
      <c r="F67" s="5">
        <f t="shared" si="14"/>
        <v>2858</v>
      </c>
      <c r="G67" s="5">
        <f t="shared" si="14"/>
        <v>3499</v>
      </c>
      <c r="H67" s="5">
        <f t="shared" si="14"/>
        <v>4291</v>
      </c>
    </row>
    <row r="68" spans="1:8" x14ac:dyDescent="0.3">
      <c r="B68" s="2" t="s">
        <v>77</v>
      </c>
      <c r="C68" s="3">
        <f>C62-C67</f>
        <v>2552</v>
      </c>
      <c r="D68" s="3">
        <f t="shared" ref="D68:H68" si="15">D62-D67</f>
        <v>2746</v>
      </c>
      <c r="E68" s="3">
        <f t="shared" si="15"/>
        <v>2674</v>
      </c>
      <c r="F68" s="3">
        <f t="shared" si="15"/>
        <v>1634</v>
      </c>
      <c r="G68" s="3">
        <f t="shared" si="15"/>
        <v>1451</v>
      </c>
      <c r="H68" s="3">
        <f t="shared" si="15"/>
        <v>1363</v>
      </c>
    </row>
    <row r="69" spans="1:8" x14ac:dyDescent="0.3">
      <c r="B69" s="2" t="s">
        <v>55</v>
      </c>
      <c r="C69" s="3">
        <f>C33</f>
        <v>15375</v>
      </c>
      <c r="D69" s="3">
        <f t="shared" ref="D69:H69" si="16">D33</f>
        <v>17168</v>
      </c>
      <c r="E69" s="3">
        <f t="shared" si="16"/>
        <v>20063</v>
      </c>
      <c r="F69" s="3">
        <f t="shared" si="16"/>
        <v>8653</v>
      </c>
      <c r="G69" s="3">
        <f t="shared" si="16"/>
        <v>10352</v>
      </c>
      <c r="H69" s="3">
        <f t="shared" si="16"/>
        <v>11945</v>
      </c>
    </row>
    <row r="70" spans="1:8" x14ac:dyDescent="0.3">
      <c r="B70" s="2" t="s">
        <v>78</v>
      </c>
      <c r="C70" s="3">
        <v>5459</v>
      </c>
      <c r="D70" s="3">
        <v>5890</v>
      </c>
      <c r="E70" s="3">
        <v>6554</v>
      </c>
      <c r="F70" s="3">
        <v>2189</v>
      </c>
      <c r="G70" s="3">
        <v>2373</v>
      </c>
      <c r="H70" s="3">
        <v>2762</v>
      </c>
    </row>
    <row r="71" spans="1:8" x14ac:dyDescent="0.3">
      <c r="B71" s="2" t="s">
        <v>79</v>
      </c>
      <c r="C71" s="2">
        <f>C36-C47</f>
        <v>-216</v>
      </c>
      <c r="D71" s="2">
        <f t="shared" ref="D71:H71" si="17">D36-D47</f>
        <v>-247</v>
      </c>
      <c r="E71" s="2">
        <f t="shared" si="17"/>
        <v>-524</v>
      </c>
      <c r="F71" s="2">
        <f t="shared" si="17"/>
        <v>135</v>
      </c>
      <c r="G71" s="2">
        <f t="shared" si="17"/>
        <v>145</v>
      </c>
      <c r="H71" s="2">
        <f t="shared" si="17"/>
        <v>211</v>
      </c>
    </row>
    <row r="72" spans="1:8" x14ac:dyDescent="0.3">
      <c r="B72" s="4" t="s">
        <v>401</v>
      </c>
      <c r="C72" s="5">
        <f>SUM(C68:C71)</f>
        <v>23170</v>
      </c>
      <c r="D72" s="5">
        <f t="shared" ref="D72:H72" si="18">SUM(D68:D71)</f>
        <v>25557</v>
      </c>
      <c r="E72" s="5">
        <f t="shared" si="18"/>
        <v>28767</v>
      </c>
      <c r="F72" s="5">
        <f t="shared" si="18"/>
        <v>12611</v>
      </c>
      <c r="G72" s="5">
        <f t="shared" si="18"/>
        <v>14321</v>
      </c>
      <c r="H72" s="5">
        <f t="shared" si="18"/>
        <v>16281</v>
      </c>
    </row>
    <row r="73" spans="1:8" x14ac:dyDescent="0.3">
      <c r="B73" s="2" t="s">
        <v>57</v>
      </c>
      <c r="C73" s="2">
        <f>C35</f>
        <v>419</v>
      </c>
      <c r="D73" s="2">
        <f t="shared" ref="D73:H73" si="19">D35</f>
        <v>575</v>
      </c>
      <c r="E73" s="2">
        <f t="shared" si="19"/>
        <v>833</v>
      </c>
      <c r="F73" s="2">
        <f t="shared" si="19"/>
        <v>0</v>
      </c>
      <c r="G73" s="2">
        <f t="shared" si="19"/>
        <v>0</v>
      </c>
      <c r="H73" s="2">
        <f t="shared" si="19"/>
        <v>0</v>
      </c>
    </row>
    <row r="74" spans="1:8" x14ac:dyDescent="0.3">
      <c r="B74" s="2" t="s">
        <v>81</v>
      </c>
      <c r="C74" s="2">
        <v>46</v>
      </c>
      <c r="D74" s="2">
        <v>54</v>
      </c>
      <c r="E74" s="2">
        <v>55</v>
      </c>
      <c r="F74" s="2">
        <v>730</v>
      </c>
      <c r="G74" s="2">
        <v>730</v>
      </c>
      <c r="H74" s="2">
        <v>730</v>
      </c>
    </row>
    <row r="75" spans="1:8" x14ac:dyDescent="0.3">
      <c r="B75" s="2" t="s">
        <v>82</v>
      </c>
      <c r="C75" s="5">
        <f>SUM(C72:C74)</f>
        <v>23635</v>
      </c>
      <c r="D75" s="5">
        <f t="shared" ref="D75:H75" si="20">SUM(D72:D74)</f>
        <v>26186</v>
      </c>
      <c r="E75" s="5">
        <f t="shared" si="20"/>
        <v>29655</v>
      </c>
      <c r="F75" s="5">
        <f t="shared" si="20"/>
        <v>13341</v>
      </c>
      <c r="G75" s="5">
        <f t="shared" si="20"/>
        <v>15051</v>
      </c>
      <c r="H75" s="5">
        <f t="shared" si="20"/>
        <v>17011</v>
      </c>
    </row>
    <row r="76" spans="1:8" x14ac:dyDescent="0.3">
      <c r="A76" s="6"/>
      <c r="B76" s="2" t="s">
        <v>83</v>
      </c>
      <c r="C76" s="3">
        <v>1519</v>
      </c>
      <c r="D76" s="3">
        <v>1136</v>
      </c>
      <c r="E76" s="3">
        <v>1609</v>
      </c>
      <c r="F76" s="2">
        <v>429</v>
      </c>
      <c r="G76" s="2">
        <v>618</v>
      </c>
      <c r="H76" s="3">
        <v>1033</v>
      </c>
    </row>
    <row r="77" spans="1:8" x14ac:dyDescent="0.3">
      <c r="B77" s="2" t="s">
        <v>56</v>
      </c>
      <c r="C77" s="2">
        <f>C34</f>
        <v>83</v>
      </c>
      <c r="D77" s="2">
        <f t="shared" ref="D77:H77" si="21">D34</f>
        <v>107</v>
      </c>
      <c r="E77" s="2">
        <f t="shared" si="21"/>
        <v>84</v>
      </c>
      <c r="F77" s="2">
        <f t="shared" si="21"/>
        <v>22</v>
      </c>
      <c r="G77" s="2">
        <f t="shared" si="21"/>
        <v>29</v>
      </c>
      <c r="H77" s="2">
        <f t="shared" si="21"/>
        <v>169</v>
      </c>
    </row>
    <row r="78" spans="1:8" x14ac:dyDescent="0.3">
      <c r="B78" s="4" t="s">
        <v>402</v>
      </c>
      <c r="C78" s="5">
        <f>SUM(C75:C77)</f>
        <v>25237</v>
      </c>
      <c r="D78" s="5">
        <f t="shared" ref="D78:H78" si="22">SUM(D75:D77)</f>
        <v>27429</v>
      </c>
      <c r="E78" s="5">
        <f t="shared" si="22"/>
        <v>31348</v>
      </c>
      <c r="F78" s="5">
        <f t="shared" si="22"/>
        <v>13792</v>
      </c>
      <c r="G78" s="5">
        <f t="shared" si="22"/>
        <v>15698</v>
      </c>
      <c r="H78" s="5">
        <f t="shared" si="22"/>
        <v>18213</v>
      </c>
    </row>
    <row r="79" spans="1:8" x14ac:dyDescent="0.3">
      <c r="B79" s="2" t="s">
        <v>0</v>
      </c>
      <c r="C79" s="2">
        <v>2002</v>
      </c>
      <c r="D79" s="2">
        <v>2003</v>
      </c>
      <c r="E79" s="2">
        <v>2001</v>
      </c>
      <c r="F79" s="2">
        <v>2002</v>
      </c>
      <c r="G79" s="2">
        <v>2003</v>
      </c>
      <c r="H79" s="1"/>
    </row>
    <row r="80" spans="1:8" x14ac:dyDescent="0.3">
      <c r="B80" s="2" t="s">
        <v>407</v>
      </c>
      <c r="C80">
        <f>C39</f>
        <v>211</v>
      </c>
      <c r="D80">
        <f t="shared" ref="D80:H80" si="23">D39</f>
        <v>0</v>
      </c>
      <c r="E80">
        <f t="shared" si="23"/>
        <v>509</v>
      </c>
      <c r="F80">
        <f t="shared" si="23"/>
        <v>159</v>
      </c>
      <c r="G80">
        <f t="shared" si="23"/>
        <v>79</v>
      </c>
      <c r="H80">
        <f t="shared" si="23"/>
        <v>77</v>
      </c>
    </row>
    <row r="81" spans="2:8" x14ac:dyDescent="0.3">
      <c r="B81" s="2" t="s">
        <v>406</v>
      </c>
      <c r="C81" s="6">
        <f>C45</f>
        <v>1250</v>
      </c>
      <c r="D81" s="6">
        <f t="shared" ref="D81:H81" si="24">D45</f>
        <v>1321</v>
      </c>
      <c r="E81" s="6">
        <f t="shared" si="24"/>
        <v>856</v>
      </c>
      <c r="F81" s="6">
        <f t="shared" si="24"/>
        <v>3734</v>
      </c>
      <c r="G81" s="6">
        <f t="shared" si="24"/>
        <v>3736</v>
      </c>
      <c r="H81" s="6">
        <f t="shared" si="24"/>
        <v>3678</v>
      </c>
    </row>
    <row r="82" spans="2:8" x14ac:dyDescent="0.3">
      <c r="B82" s="2" t="s">
        <v>405</v>
      </c>
      <c r="C82" s="6">
        <f>C70</f>
        <v>5459</v>
      </c>
      <c r="D82" s="6">
        <f t="shared" ref="D82:H82" si="25">D70</f>
        <v>5890</v>
      </c>
      <c r="E82" s="6">
        <f t="shared" si="25"/>
        <v>6554</v>
      </c>
      <c r="F82" s="6">
        <f t="shared" si="25"/>
        <v>2189</v>
      </c>
      <c r="G82" s="6">
        <f t="shared" si="25"/>
        <v>2373</v>
      </c>
      <c r="H82" s="6">
        <f t="shared" si="25"/>
        <v>2762</v>
      </c>
    </row>
    <row r="83" spans="2:8" x14ac:dyDescent="0.3">
      <c r="B83" s="2" t="s">
        <v>404</v>
      </c>
      <c r="C83">
        <f>SUM(C80:C82)</f>
        <v>6920</v>
      </c>
      <c r="D83">
        <f t="shared" ref="D83:H83" si="26">SUM(D80:D82)</f>
        <v>7211</v>
      </c>
      <c r="E83">
        <f t="shared" si="26"/>
        <v>7919</v>
      </c>
      <c r="F83">
        <f t="shared" si="26"/>
        <v>6082</v>
      </c>
      <c r="G83">
        <f t="shared" si="26"/>
        <v>6188</v>
      </c>
      <c r="H83">
        <f t="shared" si="26"/>
        <v>6517</v>
      </c>
    </row>
    <row r="84" spans="2:8" x14ac:dyDescent="0.3">
      <c r="B84" s="2" t="s">
        <v>403</v>
      </c>
      <c r="C84">
        <f>C46</f>
        <v>189</v>
      </c>
      <c r="D84">
        <f t="shared" ref="D84:H84" si="27">D46</f>
        <v>362</v>
      </c>
      <c r="E84">
        <f t="shared" si="27"/>
        <v>967</v>
      </c>
      <c r="F84">
        <f t="shared" si="27"/>
        <v>305</v>
      </c>
      <c r="G84">
        <f t="shared" si="27"/>
        <v>478</v>
      </c>
      <c r="H84">
        <f t="shared" si="27"/>
        <v>657</v>
      </c>
    </row>
    <row r="85" spans="2:8" x14ac:dyDescent="0.3">
      <c r="B85" s="2" t="s">
        <v>412</v>
      </c>
      <c r="C85">
        <f>C74</f>
        <v>46</v>
      </c>
      <c r="D85">
        <f t="shared" ref="D85:H85" si="28">D74</f>
        <v>54</v>
      </c>
      <c r="E85">
        <f t="shared" si="28"/>
        <v>55</v>
      </c>
      <c r="F85">
        <f t="shared" si="28"/>
        <v>730</v>
      </c>
      <c r="G85">
        <f t="shared" si="28"/>
        <v>730</v>
      </c>
      <c r="H85">
        <f t="shared" si="28"/>
        <v>730</v>
      </c>
    </row>
    <row r="86" spans="2:8" x14ac:dyDescent="0.3">
      <c r="B86" s="2" t="s">
        <v>411</v>
      </c>
      <c r="C86" s="6">
        <f>C48</f>
        <v>5503</v>
      </c>
      <c r="D86" s="6">
        <f t="shared" ref="D86:H86" si="29">D48</f>
        <v>3913</v>
      </c>
      <c r="E86" s="6">
        <f t="shared" si="29"/>
        <v>2637</v>
      </c>
      <c r="F86" s="6">
        <f t="shared" si="29"/>
        <v>2192</v>
      </c>
      <c r="G86" s="6">
        <f t="shared" si="29"/>
        <v>2414</v>
      </c>
      <c r="H86" s="6">
        <f t="shared" si="29"/>
        <v>2631</v>
      </c>
    </row>
    <row r="87" spans="2:8" x14ac:dyDescent="0.3">
      <c r="B87" s="2" t="s">
        <v>410</v>
      </c>
      <c r="C87" s="6">
        <f>C49</f>
        <v>12799</v>
      </c>
      <c r="D87" s="6">
        <f t="shared" ref="D87:H87" si="30">D49</f>
        <v>15971</v>
      </c>
      <c r="E87" s="6">
        <f t="shared" si="30"/>
        <v>19680</v>
      </c>
      <c r="F87" s="6">
        <f t="shared" si="30"/>
        <v>4482</v>
      </c>
      <c r="G87" s="6">
        <f t="shared" si="30"/>
        <v>5887</v>
      </c>
      <c r="H87" s="6">
        <f t="shared" si="30"/>
        <v>7677</v>
      </c>
    </row>
    <row r="88" spans="2:8" x14ac:dyDescent="0.3">
      <c r="B88" s="2" t="s">
        <v>409</v>
      </c>
      <c r="C88">
        <f>C50</f>
        <v>-220</v>
      </c>
      <c r="D88">
        <f t="shared" ref="D88:H88" si="31">D50</f>
        <v>-82</v>
      </c>
      <c r="E88">
        <f t="shared" si="31"/>
        <v>90</v>
      </c>
      <c r="F88">
        <f t="shared" si="31"/>
        <v>1</v>
      </c>
      <c r="G88">
        <f t="shared" si="31"/>
        <v>1</v>
      </c>
      <c r="H88">
        <f t="shared" si="31"/>
        <v>1</v>
      </c>
    </row>
    <row r="89" spans="2:8" x14ac:dyDescent="0.3">
      <c r="B89" s="2" t="s">
        <v>408</v>
      </c>
      <c r="C89">
        <f>SUM(C84:C88)</f>
        <v>18317</v>
      </c>
      <c r="D89">
        <f t="shared" ref="D89:H89" si="32">SUM(D84:D88)</f>
        <v>20218</v>
      </c>
      <c r="E89">
        <f t="shared" si="32"/>
        <v>23429</v>
      </c>
      <c r="F89">
        <f t="shared" si="32"/>
        <v>7710</v>
      </c>
      <c r="G89">
        <f t="shared" si="32"/>
        <v>9510</v>
      </c>
      <c r="H89">
        <f t="shared" si="32"/>
        <v>11696</v>
      </c>
    </row>
    <row r="90" spans="2:8" x14ac:dyDescent="0.3">
      <c r="B90" s="2" t="s">
        <v>342</v>
      </c>
      <c r="C90">
        <f>C89+C83</f>
        <v>25237</v>
      </c>
      <c r="D90">
        <f t="shared" ref="D90:H90" si="33">D89+D83</f>
        <v>27429</v>
      </c>
      <c r="E90">
        <f t="shared" si="33"/>
        <v>31348</v>
      </c>
      <c r="F90">
        <f t="shared" si="33"/>
        <v>13792</v>
      </c>
      <c r="G90">
        <f t="shared" si="33"/>
        <v>15698</v>
      </c>
      <c r="H90">
        <f t="shared" si="33"/>
        <v>18213</v>
      </c>
    </row>
    <row r="91" spans="2:8" x14ac:dyDescent="0.3">
      <c r="B91" s="2" t="s">
        <v>398</v>
      </c>
      <c r="C91" s="1" t="s">
        <v>3</v>
      </c>
      <c r="D91" s="1" t="s">
        <v>3</v>
      </c>
      <c r="E91" s="1" t="s">
        <v>3</v>
      </c>
      <c r="F91" s="1" t="s">
        <v>3</v>
      </c>
      <c r="G91" s="1"/>
      <c r="H91" s="1"/>
    </row>
    <row r="95" spans="2:8" x14ac:dyDescent="0.3">
      <c r="B95" s="2" t="s">
        <v>413</v>
      </c>
      <c r="C95" s="2" t="s">
        <v>2</v>
      </c>
      <c r="D95" s="1"/>
      <c r="E95" s="1"/>
      <c r="F95" s="1"/>
      <c r="G95" s="1"/>
      <c r="H95" s="1"/>
    </row>
    <row r="96" spans="2:8" x14ac:dyDescent="0.3">
      <c r="B96" s="2" t="s">
        <v>12</v>
      </c>
      <c r="C96" s="3">
        <v>53553</v>
      </c>
      <c r="D96" s="3">
        <v>58247</v>
      </c>
      <c r="E96" s="3">
        <v>64816</v>
      </c>
      <c r="F96" s="3">
        <v>22111</v>
      </c>
      <c r="G96" s="3">
        <v>26491</v>
      </c>
      <c r="H96" s="3">
        <v>30838</v>
      </c>
    </row>
    <row r="97" spans="2:8" x14ac:dyDescent="0.3">
      <c r="B97" s="2" t="s">
        <v>13</v>
      </c>
      <c r="C97" s="3">
        <v>-37406</v>
      </c>
      <c r="D97" s="3">
        <v>-40139</v>
      </c>
      <c r="E97" s="3">
        <v>-44236</v>
      </c>
      <c r="F97" s="3">
        <v>-15743</v>
      </c>
      <c r="G97" s="3">
        <v>-18465</v>
      </c>
      <c r="H97" s="3">
        <v>-21231</v>
      </c>
    </row>
    <row r="98" spans="2:8" x14ac:dyDescent="0.3">
      <c r="B98" s="2" t="s">
        <v>14</v>
      </c>
      <c r="C98" s="3">
        <v>-10451</v>
      </c>
      <c r="D98" s="3">
        <v>-11375</v>
      </c>
      <c r="E98" s="3">
        <v>-12658</v>
      </c>
      <c r="F98" s="3">
        <v>-4053</v>
      </c>
      <c r="G98" s="3">
        <v>-4859</v>
      </c>
      <c r="H98" s="3">
        <v>-5671</v>
      </c>
    </row>
    <row r="99" spans="2:8" x14ac:dyDescent="0.3">
      <c r="B99" s="2" t="s">
        <v>15</v>
      </c>
      <c r="C99" s="2">
        <v>-756</v>
      </c>
      <c r="D99" s="2">
        <v>-895</v>
      </c>
      <c r="E99" s="3">
        <v>-1075</v>
      </c>
      <c r="F99" s="2">
        <v>-517</v>
      </c>
      <c r="G99" s="2">
        <v>-626</v>
      </c>
      <c r="H99" s="2">
        <v>-758</v>
      </c>
    </row>
    <row r="100" spans="2:8" x14ac:dyDescent="0.3">
      <c r="B100" s="2" t="s">
        <v>16</v>
      </c>
      <c r="C100" s="2">
        <v>-8</v>
      </c>
      <c r="D100" s="2">
        <v>-8</v>
      </c>
      <c r="E100" s="2">
        <v>-1</v>
      </c>
      <c r="F100" s="2">
        <v>0</v>
      </c>
      <c r="G100" s="2">
        <v>0</v>
      </c>
      <c r="H100" s="2">
        <v>0</v>
      </c>
    </row>
    <row r="101" spans="2:8" x14ac:dyDescent="0.3">
      <c r="B101" s="2" t="s">
        <v>17</v>
      </c>
      <c r="C101" s="3">
        <v>4932</v>
      </c>
      <c r="D101" s="3">
        <v>5830</v>
      </c>
      <c r="E101" s="3">
        <v>6846</v>
      </c>
      <c r="F101" s="3">
        <v>1798</v>
      </c>
      <c r="G101" s="3">
        <v>2541</v>
      </c>
      <c r="H101" s="3">
        <v>3178</v>
      </c>
    </row>
    <row r="102" spans="2:8" x14ac:dyDescent="0.3">
      <c r="B102" s="2" t="s">
        <v>18</v>
      </c>
      <c r="C102" s="2">
        <v>53</v>
      </c>
      <c r="D102" s="2">
        <v>79</v>
      </c>
      <c r="E102" s="2">
        <v>59</v>
      </c>
      <c r="F102" s="2">
        <v>25</v>
      </c>
      <c r="G102" s="2">
        <v>21</v>
      </c>
      <c r="H102" s="2">
        <v>15</v>
      </c>
    </row>
    <row r="103" spans="2:8" x14ac:dyDescent="0.3">
      <c r="B103" s="2" t="s">
        <v>19</v>
      </c>
      <c r="C103" s="2">
        <v>-28</v>
      </c>
      <c r="D103" s="2">
        <v>-37</v>
      </c>
      <c r="E103" s="2">
        <v>-62</v>
      </c>
      <c r="F103" s="2">
        <v>-199</v>
      </c>
      <c r="G103" s="2">
        <v>-203</v>
      </c>
      <c r="H103" s="2">
        <v>-195</v>
      </c>
    </row>
    <row r="104" spans="2:8" x14ac:dyDescent="0.3">
      <c r="B104" s="2" t="s">
        <v>20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15</v>
      </c>
    </row>
    <row r="105" spans="2:8" x14ac:dyDescent="0.3">
      <c r="B105" s="2" t="s">
        <v>21</v>
      </c>
      <c r="C105" s="3">
        <v>4957</v>
      </c>
      <c r="D105" s="3">
        <v>5872</v>
      </c>
      <c r="E105" s="3">
        <v>6843</v>
      </c>
      <c r="F105" s="3">
        <v>1624</v>
      </c>
      <c r="G105" s="3">
        <v>2359</v>
      </c>
      <c r="H105" s="3">
        <v>3013</v>
      </c>
    </row>
    <row r="106" spans="2:8" x14ac:dyDescent="0.3">
      <c r="B106" s="2" t="s">
        <v>22</v>
      </c>
      <c r="C106" s="3">
        <v>-1913</v>
      </c>
      <c r="D106" s="3">
        <v>-2208</v>
      </c>
      <c r="E106" s="3">
        <v>-2539</v>
      </c>
      <c r="F106" s="2">
        <v>-601</v>
      </c>
      <c r="G106" s="2">
        <v>-888</v>
      </c>
      <c r="H106" s="3">
        <v>-1136</v>
      </c>
    </row>
    <row r="107" spans="2:8" x14ac:dyDescent="0.3">
      <c r="B107" s="2" t="s">
        <v>23</v>
      </c>
      <c r="C107" s="3">
        <v>3044</v>
      </c>
      <c r="D107" s="3">
        <v>3664</v>
      </c>
      <c r="E107" s="3">
        <v>4304</v>
      </c>
      <c r="F107" s="3">
        <v>1023</v>
      </c>
      <c r="G107" s="3">
        <v>1471</v>
      </c>
      <c r="H107" s="3">
        <v>1877</v>
      </c>
    </row>
    <row r="110" spans="2:8" x14ac:dyDescent="0.3">
      <c r="B110" s="2" t="s">
        <v>414</v>
      </c>
      <c r="C110" s="1" t="s">
        <v>3</v>
      </c>
      <c r="D110" s="1" t="s">
        <v>3</v>
      </c>
      <c r="E110" s="1"/>
      <c r="F110" s="1"/>
      <c r="G110" s="1"/>
      <c r="H110" s="1"/>
    </row>
    <row r="111" spans="2:8" x14ac:dyDescent="0.3">
      <c r="B111" s="2" t="s">
        <v>343</v>
      </c>
      <c r="C111" s="1" t="s">
        <v>3</v>
      </c>
      <c r="D111" s="2"/>
      <c r="E111" s="2"/>
      <c r="F111" s="2"/>
      <c r="G111" s="2"/>
      <c r="H111" s="2"/>
    </row>
    <row r="112" spans="2:8" x14ac:dyDescent="0.3">
      <c r="B112" s="2" t="s">
        <v>24</v>
      </c>
      <c r="C112" s="2" t="s">
        <v>25</v>
      </c>
      <c r="D112" s="1" t="s">
        <v>3</v>
      </c>
      <c r="E112" s="1"/>
      <c r="F112" s="1"/>
      <c r="G112" s="1"/>
      <c r="H112" s="1"/>
    </row>
    <row r="113" spans="2:8" x14ac:dyDescent="0.3">
      <c r="C113" s="2" t="s">
        <v>415</v>
      </c>
      <c r="F113" s="1"/>
      <c r="G113" s="2" t="s">
        <v>1</v>
      </c>
      <c r="H113" s="2" t="s">
        <v>2</v>
      </c>
    </row>
    <row r="114" spans="2:8" x14ac:dyDescent="0.3">
      <c r="B114" s="2" t="s">
        <v>12</v>
      </c>
      <c r="C114" s="3">
        <f>C96</f>
        <v>53553</v>
      </c>
      <c r="D114" s="3">
        <f t="shared" ref="D114:H114" si="34">D96</f>
        <v>58247</v>
      </c>
      <c r="E114" s="3">
        <f t="shared" si="34"/>
        <v>64816</v>
      </c>
      <c r="F114" s="3">
        <f t="shared" si="34"/>
        <v>22111</v>
      </c>
      <c r="G114" s="3">
        <f t="shared" si="34"/>
        <v>26491</v>
      </c>
      <c r="H114" s="3">
        <f t="shared" si="34"/>
        <v>30838</v>
      </c>
    </row>
    <row r="115" spans="2:8" x14ac:dyDescent="0.3">
      <c r="B115" s="2" t="s">
        <v>13</v>
      </c>
      <c r="C115" s="3">
        <f>C97</f>
        <v>-37406</v>
      </c>
      <c r="D115" s="3">
        <f t="shared" ref="D115:H115" si="35">D97</f>
        <v>-40139</v>
      </c>
      <c r="E115" s="3">
        <f t="shared" si="35"/>
        <v>-44236</v>
      </c>
      <c r="F115" s="3">
        <f t="shared" si="35"/>
        <v>-15743</v>
      </c>
      <c r="G115" s="3">
        <f t="shared" si="35"/>
        <v>-18465</v>
      </c>
      <c r="H115" s="3">
        <f t="shared" si="35"/>
        <v>-21231</v>
      </c>
    </row>
    <row r="116" spans="2:8" x14ac:dyDescent="0.3">
      <c r="B116" s="2" t="s">
        <v>14</v>
      </c>
      <c r="C116" s="3">
        <f>C98</f>
        <v>-10451</v>
      </c>
      <c r="D116" s="3">
        <f t="shared" ref="D116:H116" si="36">D98</f>
        <v>-11375</v>
      </c>
      <c r="E116" s="3">
        <f t="shared" si="36"/>
        <v>-12658</v>
      </c>
      <c r="F116" s="3">
        <f t="shared" si="36"/>
        <v>-4053</v>
      </c>
      <c r="G116" s="3">
        <f t="shared" si="36"/>
        <v>-4859</v>
      </c>
      <c r="H116" s="3">
        <f t="shared" si="36"/>
        <v>-5671</v>
      </c>
    </row>
    <row r="117" spans="2:8" x14ac:dyDescent="0.3">
      <c r="B117" s="2" t="s">
        <v>15</v>
      </c>
      <c r="C117" s="2">
        <f>C99</f>
        <v>-756</v>
      </c>
      <c r="D117" s="2">
        <f t="shared" ref="D117:H117" si="37">D99</f>
        <v>-895</v>
      </c>
      <c r="E117" s="2">
        <f t="shared" si="37"/>
        <v>-1075</v>
      </c>
      <c r="F117" s="2">
        <f t="shared" si="37"/>
        <v>-517</v>
      </c>
      <c r="G117" s="2">
        <f t="shared" si="37"/>
        <v>-626</v>
      </c>
      <c r="H117" s="2">
        <f t="shared" si="37"/>
        <v>-758</v>
      </c>
    </row>
    <row r="118" spans="2:8" x14ac:dyDescent="0.3">
      <c r="B118" s="2" t="s">
        <v>26</v>
      </c>
      <c r="C118" s="2">
        <v>288</v>
      </c>
      <c r="D118" s="2">
        <v>260</v>
      </c>
      <c r="E118" s="2">
        <v>276</v>
      </c>
      <c r="F118" s="2">
        <v>106</v>
      </c>
      <c r="G118" s="2">
        <v>106</v>
      </c>
      <c r="H118" s="2">
        <v>114</v>
      </c>
    </row>
    <row r="119" spans="2:8" x14ac:dyDescent="0.3">
      <c r="B119" s="2" t="s">
        <v>27</v>
      </c>
      <c r="C119" s="3">
        <f>SUM(C114:C118)</f>
        <v>5228</v>
      </c>
      <c r="D119" s="3">
        <f t="shared" ref="D119:H119" si="38">SUM(D114:D118)</f>
        <v>6098</v>
      </c>
      <c r="E119" s="3">
        <f t="shared" si="38"/>
        <v>7123</v>
      </c>
      <c r="F119" s="3">
        <f t="shared" si="38"/>
        <v>1904</v>
      </c>
      <c r="G119" s="3">
        <f t="shared" si="38"/>
        <v>2647</v>
      </c>
      <c r="H119" s="3">
        <f t="shared" si="38"/>
        <v>3292</v>
      </c>
    </row>
    <row r="120" spans="2:8" x14ac:dyDescent="0.3">
      <c r="B120" s="2" t="s">
        <v>28</v>
      </c>
      <c r="C120" s="3">
        <f>-C129</f>
        <v>-2021</v>
      </c>
      <c r="D120" s="3">
        <f t="shared" ref="D120:H120" si="39">-D129</f>
        <v>-2117</v>
      </c>
      <c r="E120" s="3">
        <f t="shared" si="39"/>
        <v>-2040</v>
      </c>
      <c r="F120" s="3">
        <f t="shared" si="39"/>
        <v>-654</v>
      </c>
      <c r="G120" s="3">
        <f t="shared" si="39"/>
        <v>-826</v>
      </c>
      <c r="H120" s="3">
        <f t="shared" si="39"/>
        <v>-1069</v>
      </c>
    </row>
    <row r="121" spans="2:8" x14ac:dyDescent="0.3">
      <c r="B121" s="2" t="s">
        <v>29</v>
      </c>
      <c r="C121" s="3">
        <f>SUM(C119:C120)</f>
        <v>3207</v>
      </c>
      <c r="D121" s="3">
        <f t="shared" ref="D121:H121" si="40">SUM(D119:D120)</f>
        <v>3981</v>
      </c>
      <c r="E121" s="3">
        <f t="shared" si="40"/>
        <v>5083</v>
      </c>
      <c r="F121" s="3">
        <f t="shared" si="40"/>
        <v>1250</v>
      </c>
      <c r="G121" s="3">
        <f t="shared" si="40"/>
        <v>1821</v>
      </c>
      <c r="H121" s="3">
        <f t="shared" si="40"/>
        <v>2223</v>
      </c>
    </row>
    <row r="122" spans="2:8" x14ac:dyDescent="0.3">
      <c r="B122" s="2" t="s">
        <v>30</v>
      </c>
      <c r="C122" s="1"/>
      <c r="D122" s="1"/>
      <c r="E122" s="1"/>
      <c r="F122" s="1"/>
      <c r="G122" s="1"/>
      <c r="H122" s="1"/>
    </row>
    <row r="123" spans="2:8" x14ac:dyDescent="0.3">
      <c r="B123" s="2" t="s">
        <v>31</v>
      </c>
      <c r="C123" s="3">
        <f>-C106</f>
        <v>1913</v>
      </c>
      <c r="D123" s="3">
        <f t="shared" ref="D123:H123" si="41">-D106</f>
        <v>2208</v>
      </c>
      <c r="E123" s="3">
        <f t="shared" si="41"/>
        <v>2539</v>
      </c>
      <c r="F123" s="3">
        <f t="shared" si="41"/>
        <v>601</v>
      </c>
      <c r="G123" s="3">
        <f t="shared" si="41"/>
        <v>888</v>
      </c>
      <c r="H123" s="3">
        <f t="shared" si="41"/>
        <v>1136</v>
      </c>
    </row>
    <row r="124" spans="2:8" x14ac:dyDescent="0.3">
      <c r="B124" s="2" t="s">
        <v>32</v>
      </c>
      <c r="C124" s="2">
        <v>-20</v>
      </c>
      <c r="D124" s="2">
        <v>-30</v>
      </c>
      <c r="E124" s="2">
        <v>-23</v>
      </c>
      <c r="F124" s="2">
        <v>-9</v>
      </c>
      <c r="G124" s="2">
        <v>-8</v>
      </c>
      <c r="H124" s="2">
        <v>-6</v>
      </c>
    </row>
    <row r="125" spans="2:8" x14ac:dyDescent="0.3">
      <c r="B125" s="2" t="s">
        <v>33</v>
      </c>
      <c r="C125" s="2">
        <v>11</v>
      </c>
      <c r="D125" s="2">
        <v>14</v>
      </c>
      <c r="E125" s="2">
        <v>24</v>
      </c>
      <c r="F125" s="2">
        <v>75</v>
      </c>
      <c r="G125" s="2">
        <v>78</v>
      </c>
      <c r="H125" s="2">
        <v>74</v>
      </c>
    </row>
    <row r="126" spans="2:8" x14ac:dyDescent="0.3">
      <c r="B126" s="2" t="s">
        <v>34</v>
      </c>
      <c r="C126" s="2">
        <v>111</v>
      </c>
      <c r="D126" s="2">
        <v>98</v>
      </c>
      <c r="E126" s="2">
        <v>105</v>
      </c>
      <c r="F126" s="2">
        <v>40</v>
      </c>
      <c r="G126" s="2">
        <v>41</v>
      </c>
      <c r="H126" s="2">
        <v>44</v>
      </c>
    </row>
    <row r="127" spans="2:8" x14ac:dyDescent="0.3">
      <c r="B127" s="2" t="s">
        <v>35</v>
      </c>
      <c r="C127" s="3">
        <f>SUM(C123:C126)</f>
        <v>2015</v>
      </c>
      <c r="D127" s="3">
        <f t="shared" ref="D127:H127" si="42">SUM(D123:D126)</f>
        <v>2290</v>
      </c>
      <c r="E127" s="3">
        <f t="shared" si="42"/>
        <v>2645</v>
      </c>
      <c r="F127" s="3">
        <f t="shared" si="42"/>
        <v>707</v>
      </c>
      <c r="G127" s="3">
        <f t="shared" si="42"/>
        <v>999</v>
      </c>
      <c r="H127" s="3">
        <f t="shared" si="42"/>
        <v>1248</v>
      </c>
    </row>
    <row r="128" spans="2:8" x14ac:dyDescent="0.3">
      <c r="B128" s="2" t="s">
        <v>36</v>
      </c>
      <c r="C128" s="2">
        <v>6</v>
      </c>
      <c r="D128" s="2">
        <f>C46-D46</f>
        <v>-173</v>
      </c>
      <c r="E128" s="2">
        <f>D46-E46</f>
        <v>-605</v>
      </c>
      <c r="F128" s="2">
        <v>-53</v>
      </c>
      <c r="G128" s="2">
        <f>F46-G46</f>
        <v>-173</v>
      </c>
      <c r="H128" s="2">
        <f>G46-H46</f>
        <v>-179</v>
      </c>
    </row>
    <row r="129" spans="2:8" x14ac:dyDescent="0.3">
      <c r="B129" s="2" t="s">
        <v>37</v>
      </c>
      <c r="C129" s="3">
        <f>SUM(C127:C128)</f>
        <v>2021</v>
      </c>
      <c r="D129" s="3">
        <f t="shared" ref="D129:H129" si="43">SUM(D127:D128)</f>
        <v>2117</v>
      </c>
      <c r="E129" s="3">
        <f t="shared" si="43"/>
        <v>2040</v>
      </c>
      <c r="F129" s="3">
        <f t="shared" si="43"/>
        <v>654</v>
      </c>
      <c r="G129" s="3">
        <f t="shared" si="43"/>
        <v>826</v>
      </c>
      <c r="H129" s="3">
        <f t="shared" si="43"/>
        <v>1069</v>
      </c>
    </row>
    <row r="130" spans="2:8" x14ac:dyDescent="0.3">
      <c r="B130" s="2" t="s">
        <v>38</v>
      </c>
      <c r="C130" s="2">
        <v>2001</v>
      </c>
      <c r="D130" s="2">
        <v>2002</v>
      </c>
      <c r="E130" s="2">
        <v>2003</v>
      </c>
      <c r="F130" s="2">
        <v>2001</v>
      </c>
      <c r="G130" s="2">
        <v>2002</v>
      </c>
      <c r="H130" s="2">
        <v>2003</v>
      </c>
    </row>
    <row r="131" spans="2:8" x14ac:dyDescent="0.3">
      <c r="B131" s="2" t="s">
        <v>39</v>
      </c>
      <c r="C131" s="3">
        <v>3044</v>
      </c>
      <c r="D131" s="3">
        <v>3664</v>
      </c>
      <c r="E131" s="3">
        <v>4304</v>
      </c>
      <c r="F131" s="3">
        <v>1023</v>
      </c>
      <c r="G131" s="3">
        <v>1471</v>
      </c>
      <c r="H131" s="3">
        <v>1877</v>
      </c>
    </row>
    <row r="132" spans="2:8" x14ac:dyDescent="0.3">
      <c r="B132" s="2" t="s">
        <v>40</v>
      </c>
      <c r="C132" s="2">
        <v>-6</v>
      </c>
      <c r="D132" s="2">
        <v>173</v>
      </c>
      <c r="E132" s="2">
        <v>605</v>
      </c>
      <c r="F132" s="2">
        <v>53</v>
      </c>
      <c r="G132" s="2">
        <v>173</v>
      </c>
      <c r="H132" s="2">
        <v>179</v>
      </c>
    </row>
    <row r="133" spans="2:8" x14ac:dyDescent="0.3">
      <c r="B133" s="2" t="s">
        <v>41</v>
      </c>
      <c r="C133" s="2">
        <v>8</v>
      </c>
      <c r="D133" s="2">
        <v>8</v>
      </c>
      <c r="E133" s="2">
        <v>1</v>
      </c>
      <c r="F133" s="2">
        <v>0</v>
      </c>
      <c r="G133" s="2">
        <v>0</v>
      </c>
      <c r="H133" s="2">
        <v>0</v>
      </c>
    </row>
    <row r="134" spans="2:8" x14ac:dyDescent="0.3">
      <c r="B134" s="2" t="s">
        <v>42</v>
      </c>
      <c r="C134" s="3">
        <v>3046</v>
      </c>
      <c r="D134" s="3">
        <v>3845</v>
      </c>
      <c r="E134" s="3">
        <v>4910</v>
      </c>
      <c r="F134" s="3">
        <v>1076</v>
      </c>
      <c r="G134" s="3">
        <v>1644</v>
      </c>
      <c r="H134" s="3">
        <v>2056</v>
      </c>
    </row>
    <row r="135" spans="2:8" x14ac:dyDescent="0.3">
      <c r="B135" s="2" t="s">
        <v>43</v>
      </c>
      <c r="C135" s="2">
        <v>17</v>
      </c>
      <c r="D135" s="2">
        <v>23</v>
      </c>
      <c r="E135" s="2">
        <v>38</v>
      </c>
      <c r="F135" s="2">
        <v>123</v>
      </c>
      <c r="G135" s="2">
        <v>125</v>
      </c>
      <c r="H135" s="2">
        <v>121</v>
      </c>
    </row>
    <row r="136" spans="2:8" x14ac:dyDescent="0.3">
      <c r="B136" s="2" t="s">
        <v>44</v>
      </c>
      <c r="C136" s="2">
        <v>177</v>
      </c>
      <c r="D136" s="2">
        <v>162</v>
      </c>
      <c r="E136" s="2">
        <v>170</v>
      </c>
      <c r="F136" s="2">
        <v>66</v>
      </c>
      <c r="G136" s="2">
        <v>65</v>
      </c>
      <c r="H136" s="2">
        <v>71</v>
      </c>
    </row>
    <row r="137" spans="2:8" x14ac:dyDescent="0.3">
      <c r="B137" s="2" t="s">
        <v>45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-15</v>
      </c>
    </row>
    <row r="138" spans="2:8" x14ac:dyDescent="0.3">
      <c r="B138" s="2" t="s">
        <v>46</v>
      </c>
      <c r="C138" s="3">
        <v>3240</v>
      </c>
      <c r="D138" s="3">
        <v>4030</v>
      </c>
      <c r="E138" s="3">
        <v>5119</v>
      </c>
      <c r="F138" s="3">
        <v>1265</v>
      </c>
      <c r="G138" s="3">
        <v>1835</v>
      </c>
      <c r="H138" s="3">
        <v>2232</v>
      </c>
    </row>
    <row r="139" spans="2:8" x14ac:dyDescent="0.3">
      <c r="B139" s="2" t="s">
        <v>47</v>
      </c>
      <c r="C139" s="2">
        <v>-33</v>
      </c>
      <c r="D139" s="2">
        <v>-49</v>
      </c>
      <c r="E139" s="2">
        <v>-36</v>
      </c>
      <c r="F139" s="2">
        <v>-15</v>
      </c>
      <c r="G139" s="2">
        <v>-13</v>
      </c>
      <c r="H139" s="2">
        <v>-9</v>
      </c>
    </row>
    <row r="140" spans="2:8" x14ac:dyDescent="0.3">
      <c r="B140" s="2" t="s">
        <v>48</v>
      </c>
      <c r="C140" s="3">
        <v>3208</v>
      </c>
      <c r="D140" s="3">
        <v>3981</v>
      </c>
      <c r="E140" s="3">
        <v>5083</v>
      </c>
      <c r="F140" s="3">
        <v>1250</v>
      </c>
      <c r="G140" s="3">
        <v>1822</v>
      </c>
      <c r="H140" s="3">
        <v>2223</v>
      </c>
    </row>
    <row r="143" spans="2:8" x14ac:dyDescent="0.3">
      <c r="B143" s="2" t="s">
        <v>416</v>
      </c>
      <c r="C143" s="1" t="s">
        <v>3</v>
      </c>
      <c r="D143" s="1"/>
      <c r="E143" s="1"/>
      <c r="F143" s="1"/>
      <c r="G143" s="1"/>
    </row>
    <row r="144" spans="2:8" x14ac:dyDescent="0.3">
      <c r="B144" s="2" t="s">
        <v>343</v>
      </c>
      <c r="C144" s="1" t="s">
        <v>3</v>
      </c>
      <c r="D144" s="1"/>
      <c r="E144" s="1"/>
      <c r="F144" s="1"/>
      <c r="G144" s="1"/>
    </row>
    <row r="145" spans="2:8" x14ac:dyDescent="0.3">
      <c r="B145" s="2" t="s">
        <v>396</v>
      </c>
      <c r="C145" s="1" t="s">
        <v>3</v>
      </c>
      <c r="D145" s="1"/>
      <c r="E145" s="1"/>
      <c r="F145" s="1"/>
      <c r="G145" s="1"/>
    </row>
    <row r="146" spans="2:8" x14ac:dyDescent="0.3">
      <c r="B146" s="2" t="s">
        <v>397</v>
      </c>
      <c r="C146" s="2" t="s">
        <v>2</v>
      </c>
      <c r="D146" s="1"/>
      <c r="E146" s="1"/>
      <c r="F146" s="1"/>
      <c r="G146" s="1"/>
    </row>
    <row r="147" spans="2:8" x14ac:dyDescent="0.3">
      <c r="B147" s="2" t="s">
        <v>417</v>
      </c>
      <c r="C147">
        <v>21379</v>
      </c>
      <c r="D147" s="3">
        <f>C75</f>
        <v>23635</v>
      </c>
      <c r="E147" s="3">
        <f t="shared" ref="E147" si="44">D75</f>
        <v>26186</v>
      </c>
      <c r="F147" s="3">
        <v>10965</v>
      </c>
      <c r="G147" s="3">
        <f>F75</f>
        <v>13341</v>
      </c>
      <c r="H147" s="3">
        <f t="shared" ref="H147" si="45">G75</f>
        <v>15051</v>
      </c>
    </row>
    <row r="148" spans="2:8" x14ac:dyDescent="0.3">
      <c r="B148" s="2" t="s">
        <v>418</v>
      </c>
      <c r="C148" s="76">
        <v>0.10100000000000001</v>
      </c>
      <c r="D148" s="77">
        <v>0.09</v>
      </c>
      <c r="E148" s="77">
        <v>9.2999999999999999E-2</v>
      </c>
      <c r="F148" s="77">
        <v>9.8000000000000004E-2</v>
      </c>
      <c r="G148" s="77">
        <v>8.7999999999999995E-2</v>
      </c>
      <c r="H148" s="77">
        <v>9.0999999999999998E-2</v>
      </c>
    </row>
    <row r="149" spans="2:8" x14ac:dyDescent="0.3">
      <c r="B149" s="2" t="s">
        <v>419</v>
      </c>
      <c r="C149">
        <f>C147*C148</f>
        <v>2159.279</v>
      </c>
      <c r="D149">
        <f t="shared" ref="D149:H149" si="46">D147*D148</f>
        <v>2127.15</v>
      </c>
      <c r="E149">
        <f t="shared" si="46"/>
        <v>2435.2979999999998</v>
      </c>
      <c r="F149">
        <f t="shared" si="46"/>
        <v>1074.57</v>
      </c>
      <c r="G149">
        <f t="shared" si="46"/>
        <v>1174.008</v>
      </c>
      <c r="H149">
        <f t="shared" si="46"/>
        <v>1369.6410000000001</v>
      </c>
    </row>
    <row r="150" spans="2:8" x14ac:dyDescent="0.3">
      <c r="B150" s="2" t="s">
        <v>420</v>
      </c>
      <c r="C150" s="6">
        <f>C121</f>
        <v>3207</v>
      </c>
      <c r="D150" s="6">
        <f t="shared" ref="D150:H150" si="47">D121</f>
        <v>3981</v>
      </c>
      <c r="E150" s="6">
        <f t="shared" si="47"/>
        <v>5083</v>
      </c>
      <c r="F150" s="6">
        <f t="shared" si="47"/>
        <v>1250</v>
      </c>
      <c r="G150" s="6">
        <f t="shared" si="47"/>
        <v>1821</v>
      </c>
      <c r="H150" s="6">
        <f t="shared" si="47"/>
        <v>2223</v>
      </c>
    </row>
    <row r="151" spans="2:8" x14ac:dyDescent="0.3">
      <c r="B151" s="2" t="s">
        <v>421</v>
      </c>
      <c r="C151">
        <f>-C149</f>
        <v>-2159.279</v>
      </c>
      <c r="D151">
        <f t="shared" ref="D151:H151" si="48">-D149</f>
        <v>-2127.15</v>
      </c>
      <c r="E151">
        <f t="shared" si="48"/>
        <v>-2435.2979999999998</v>
      </c>
      <c r="F151">
        <f t="shared" si="48"/>
        <v>-1074.57</v>
      </c>
      <c r="G151">
        <f t="shared" si="48"/>
        <v>-1174.008</v>
      </c>
      <c r="H151">
        <f t="shared" si="48"/>
        <v>-1369.6410000000001</v>
      </c>
    </row>
    <row r="152" spans="2:8" x14ac:dyDescent="0.3">
      <c r="B152" s="2" t="s">
        <v>423</v>
      </c>
      <c r="C152" s="6">
        <f>C150+C151</f>
        <v>1047.721</v>
      </c>
      <c r="D152" s="6">
        <f t="shared" ref="D152:H152" si="49">D150+D151</f>
        <v>1853.85</v>
      </c>
      <c r="E152" s="6">
        <f t="shared" si="49"/>
        <v>2647.7020000000002</v>
      </c>
      <c r="F152" s="6">
        <f t="shared" si="49"/>
        <v>175.43000000000006</v>
      </c>
      <c r="G152" s="6">
        <f t="shared" si="49"/>
        <v>646.99199999999996</v>
      </c>
      <c r="H152" s="6">
        <f t="shared" si="49"/>
        <v>853.35899999999992</v>
      </c>
    </row>
    <row r="153" spans="2:8" x14ac:dyDescent="0.3">
      <c r="B153" s="2" t="s">
        <v>422</v>
      </c>
      <c r="C153" s="1" t="s">
        <v>3</v>
      </c>
      <c r="D153" s="1" t="s">
        <v>3</v>
      </c>
      <c r="E153" s="1" t="s">
        <v>3</v>
      </c>
      <c r="F153" s="1" t="s">
        <v>3</v>
      </c>
      <c r="G153" s="1"/>
    </row>
  </sheetData>
  <mergeCells count="3">
    <mergeCell ref="F25:H25"/>
    <mergeCell ref="C25:E25"/>
    <mergeCell ref="C57:E5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"/>
  <sheetViews>
    <sheetView workbookViewId="0">
      <selection activeCell="B17" sqref="B17"/>
    </sheetView>
  </sheetViews>
  <sheetFormatPr defaultRowHeight="14.4" x14ac:dyDescent="0.3"/>
  <cols>
    <col min="2" max="2" width="45.5546875" bestFit="1" customWidth="1"/>
    <col min="5" max="5" width="10.5546875" bestFit="1" customWidth="1"/>
  </cols>
  <sheetData>
    <row r="3" spans="2:11" x14ac:dyDescent="0.3">
      <c r="B3" s="1" t="s">
        <v>3</v>
      </c>
      <c r="C3" s="2" t="s">
        <v>443</v>
      </c>
    </row>
    <row r="4" spans="2:11" x14ac:dyDescent="0.3">
      <c r="B4" s="2" t="s">
        <v>435</v>
      </c>
      <c r="C4" s="6">
        <v>1113</v>
      </c>
      <c r="D4" s="92">
        <f>C4/$C$11</f>
        <v>0.13476207773338175</v>
      </c>
      <c r="E4" s="93">
        <f>C4</f>
        <v>1113</v>
      </c>
      <c r="F4" s="92">
        <f>E4/$E$11</f>
        <v>7.5051585321447359E-2</v>
      </c>
    </row>
    <row r="5" spans="2:11" x14ac:dyDescent="0.3">
      <c r="B5" s="2" t="s">
        <v>436</v>
      </c>
      <c r="C5" s="6">
        <v>2721</v>
      </c>
      <c r="D5" s="92">
        <f t="shared" ref="D5:D11" si="0">C5/$C$11</f>
        <v>0.32945877224845621</v>
      </c>
      <c r="E5" s="93"/>
      <c r="F5" s="92">
        <f t="shared" ref="F5:F11" si="1">E5/$E$11</f>
        <v>0</v>
      </c>
    </row>
    <row r="6" spans="2:11" x14ac:dyDescent="0.3">
      <c r="B6" s="2" t="s">
        <v>437</v>
      </c>
      <c r="C6" s="2">
        <v>526</v>
      </c>
      <c r="D6" s="92">
        <f t="shared" si="0"/>
        <v>6.3688097832667392E-2</v>
      </c>
      <c r="E6" s="93">
        <f>C6</f>
        <v>526</v>
      </c>
      <c r="F6" s="92">
        <f t="shared" si="1"/>
        <v>3.5469122982103606E-2</v>
      </c>
    </row>
    <row r="7" spans="2:11" x14ac:dyDescent="0.3">
      <c r="B7" s="2" t="s">
        <v>438</v>
      </c>
      <c r="C7" s="5">
        <f>SUM(C4:C6)</f>
        <v>4360</v>
      </c>
      <c r="D7" s="92">
        <f t="shared" si="0"/>
        <v>0.52790894781450537</v>
      </c>
      <c r="E7" s="94">
        <f>SUM(E4:E6)</f>
        <v>1639</v>
      </c>
      <c r="F7" s="92">
        <f t="shared" si="1"/>
        <v>0.11052070830355096</v>
      </c>
    </row>
    <row r="8" spans="2:11" x14ac:dyDescent="0.3">
      <c r="B8" s="2" t="s">
        <v>439</v>
      </c>
      <c r="C8" s="6">
        <v>3167</v>
      </c>
      <c r="D8" s="92">
        <f t="shared" si="0"/>
        <v>0.38346046736893086</v>
      </c>
      <c r="E8" s="93">
        <f>K8</f>
        <v>13190.8</v>
      </c>
      <c r="F8" s="92">
        <f t="shared" si="1"/>
        <v>0.88947929169644901</v>
      </c>
      <c r="I8">
        <v>392</v>
      </c>
      <c r="J8">
        <v>33.65</v>
      </c>
      <c r="K8">
        <f>I8*J8</f>
        <v>13190.8</v>
      </c>
    </row>
    <row r="9" spans="2:11" x14ac:dyDescent="0.3">
      <c r="B9" s="2" t="s">
        <v>440</v>
      </c>
      <c r="C9" s="2">
        <v>732</v>
      </c>
      <c r="D9" s="92">
        <f t="shared" si="0"/>
        <v>8.8630584816563746E-2</v>
      </c>
      <c r="E9" s="93"/>
      <c r="F9" s="92">
        <f t="shared" si="1"/>
        <v>0</v>
      </c>
    </row>
    <row r="10" spans="2:11" x14ac:dyDescent="0.3">
      <c r="B10" s="2" t="s">
        <v>441</v>
      </c>
      <c r="C10" s="3">
        <f>SUM(C8:C9)</f>
        <v>3899</v>
      </c>
      <c r="D10" s="92">
        <f t="shared" si="0"/>
        <v>0.47209105218549463</v>
      </c>
      <c r="E10" s="95">
        <f>SUM(E8:E9)</f>
        <v>13190.8</v>
      </c>
      <c r="F10" s="92">
        <f t="shared" si="1"/>
        <v>0.88947929169644901</v>
      </c>
    </row>
    <row r="11" spans="2:11" x14ac:dyDescent="0.3">
      <c r="B11" s="2" t="s">
        <v>442</v>
      </c>
      <c r="C11" s="3">
        <f>C10+C7</f>
        <v>8259</v>
      </c>
      <c r="D11" s="92">
        <f t="shared" si="0"/>
        <v>1</v>
      </c>
      <c r="E11" s="95">
        <f>E10+E7</f>
        <v>14829.8</v>
      </c>
      <c r="F11" s="92">
        <f t="shared" si="1"/>
        <v>1</v>
      </c>
    </row>
    <row r="12" spans="2:11" x14ac:dyDescent="0.3">
      <c r="B12" s="2"/>
      <c r="C12" s="2"/>
    </row>
    <row r="13" spans="2:11" x14ac:dyDescent="0.3">
      <c r="B13" s="2"/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Assumptions</vt:lpstr>
      <vt:lpstr>Economic Profit</vt:lpstr>
      <vt:lpstr>Financial Statement</vt:lpstr>
      <vt:lpstr>NOPLAT and IC</vt:lpstr>
      <vt:lpstr>Operating ratios</vt:lpstr>
      <vt:lpstr>Sheet2</vt:lpstr>
      <vt:lpstr>Sheet3</vt:lpstr>
      <vt:lpstr>Sheet5</vt:lpstr>
      <vt:lpstr>Sheet6</vt:lpstr>
      <vt:lpstr>'Financial Statement'!Print_Area</vt:lpstr>
      <vt:lpstr>'Financial Statement'!Print_Titles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jamal.qamar</dc:creator>
  <cp:lastModifiedBy>Windows User</cp:lastModifiedBy>
  <cp:lastPrinted>2011-01-20T10:55:42Z</cp:lastPrinted>
  <dcterms:created xsi:type="dcterms:W3CDTF">2011-01-14T06:23:54Z</dcterms:created>
  <dcterms:modified xsi:type="dcterms:W3CDTF">2017-12-21T08:50:52Z</dcterms:modified>
</cp:coreProperties>
</file>