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388" documentId="11_BFB3C3682653F65B3CE608BDAFB3BEA02C73F590" xr6:coauthVersionLast="47" xr6:coauthVersionMax="47" xr10:uidLastSave="{ECBACA0E-30A7-4234-98C2-440A3B4346B0}"/>
  <bookViews>
    <workbookView xWindow="240" yWindow="105" windowWidth="14805" windowHeight="8010" firstSheet="2" activeTab="2" xr2:uid="{00000000-000D-0000-FFFF-FFFF00000000}"/>
  </bookViews>
  <sheets>
    <sheet name="Wuhan" sheetId="1" r:id="rId1"/>
    <sheet name="Cruise" sheetId="2" r:id="rId2"/>
    <sheet name="Flu" sheetId="3" r:id="rId3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50" i="3"/>
  <c r="C49" i="3"/>
  <c r="C48" i="3"/>
  <c r="C47" i="3"/>
  <c r="C46" i="3"/>
  <c r="C45" i="3"/>
  <c r="C44" i="3"/>
  <c r="C61" i="3"/>
  <c r="C60" i="3"/>
  <c r="C59" i="3"/>
  <c r="C58" i="3"/>
  <c r="C57" i="3"/>
  <c r="C56" i="3"/>
  <c r="C55" i="3"/>
  <c r="C54" i="3"/>
  <c r="C53" i="3"/>
  <c r="C44" i="2"/>
  <c r="C43" i="2"/>
  <c r="C42" i="2"/>
  <c r="C40" i="2"/>
  <c r="C39" i="2"/>
  <c r="C38" i="2"/>
  <c r="C36" i="2"/>
  <c r="C37" i="2"/>
  <c r="C35" i="2"/>
  <c r="C36" i="3"/>
  <c r="C34" i="2"/>
  <c r="C35" i="3"/>
  <c r="C33" i="2"/>
  <c r="C32" i="3"/>
  <c r="C31" i="2"/>
  <c r="C30" i="2"/>
  <c r="C29" i="2"/>
  <c r="C28" i="2"/>
  <c r="C31" i="3"/>
  <c r="C27" i="2"/>
  <c r="C30" i="3"/>
  <c r="C26" i="2"/>
  <c r="C25" i="2"/>
  <c r="C28" i="3"/>
  <c r="C24" i="2"/>
  <c r="C23" i="2"/>
  <c r="C27" i="3"/>
  <c r="C22" i="2"/>
  <c r="C26" i="3"/>
  <c r="C25" i="3"/>
  <c r="C22" i="3"/>
  <c r="C21" i="3"/>
  <c r="C20" i="3"/>
  <c r="C19" i="3"/>
  <c r="C16" i="3"/>
  <c r="C15" i="3"/>
  <c r="C14" i="3"/>
  <c r="C20" i="2"/>
  <c r="C11" i="3"/>
  <c r="C19" i="2"/>
  <c r="C10" i="3"/>
  <c r="C18" i="2"/>
  <c r="C17" i="2"/>
  <c r="C16" i="2"/>
  <c r="C15" i="2"/>
  <c r="C9" i="3"/>
  <c r="C8" i="3"/>
  <c r="C7" i="3"/>
  <c r="C6" i="3"/>
  <c r="C74" i="1"/>
  <c r="C73" i="1"/>
  <c r="C72" i="1"/>
  <c r="C71" i="1"/>
  <c r="C70" i="1"/>
  <c r="C69" i="1"/>
  <c r="C68" i="1"/>
  <c r="C67" i="1"/>
  <c r="C66" i="1"/>
  <c r="C65" i="1"/>
  <c r="C63" i="1"/>
  <c r="C62" i="1"/>
  <c r="C61" i="1"/>
  <c r="C60" i="1"/>
  <c r="C58" i="1"/>
  <c r="C57" i="1"/>
  <c r="C56" i="1"/>
  <c r="C30" i="1"/>
  <c r="C55" i="1"/>
  <c r="C29" i="1"/>
  <c r="C28" i="1"/>
  <c r="C54" i="1"/>
  <c r="C27" i="1"/>
  <c r="C26" i="1"/>
  <c r="C53" i="1"/>
  <c r="C52" i="1"/>
  <c r="C51" i="1"/>
  <c r="C50" i="1"/>
  <c r="C49" i="1"/>
  <c r="C48" i="1"/>
  <c r="C47" i="1"/>
  <c r="C46" i="1"/>
  <c r="C24" i="1"/>
  <c r="C23" i="1"/>
  <c r="C22" i="1"/>
  <c r="C21" i="1"/>
  <c r="C20" i="1"/>
  <c r="C18" i="1"/>
  <c r="C17" i="1"/>
  <c r="C16" i="1"/>
  <c r="C15" i="1"/>
  <c r="C13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<sst xmlns="http://schemas.openxmlformats.org/spreadsheetml/2006/main" count="144" uniqueCount="122">
  <si>
    <t>Probability of Feature Given Severe</t>
  </si>
  <si>
    <t>Column 3</t>
  </si>
  <si>
    <t>Age</t>
  </si>
  <si>
    <t>0-14</t>
  </si>
  <si>
    <t>15-49</t>
  </si>
  <si>
    <t>50-64</t>
  </si>
  <si>
    <t>≥65</t>
  </si>
  <si>
    <t>Female</t>
  </si>
  <si>
    <t>Smoking</t>
  </si>
  <si>
    <t>Never</t>
  </si>
  <si>
    <t>Former</t>
  </si>
  <si>
    <t>Current</t>
  </si>
  <si>
    <t>Exposure</t>
  </si>
  <si>
    <t>Living</t>
  </si>
  <si>
    <t>Wildlife</t>
  </si>
  <si>
    <t>Visited</t>
  </si>
  <si>
    <t>Resident</t>
  </si>
  <si>
    <t>Fever (Admission)</t>
  </si>
  <si>
    <t>Yes</t>
  </si>
  <si>
    <t>&lt;37.5</t>
  </si>
  <si>
    <t>37.5–38.0</t>
  </si>
  <si>
    <t>38.1–39.0</t>
  </si>
  <si>
    <t>&gt;39.0</t>
  </si>
  <si>
    <t>Fever (Hospitalization)</t>
  </si>
  <si>
    <t>Symptoms</t>
  </si>
  <si>
    <t>Conjunctival congestion</t>
  </si>
  <si>
    <t>Nasal congestion</t>
  </si>
  <si>
    <t>Headache</t>
  </si>
  <si>
    <t>Cough</t>
  </si>
  <si>
    <t>Sore Throat</t>
  </si>
  <si>
    <t>Sputum production</t>
  </si>
  <si>
    <t>Fatigue</t>
  </si>
  <si>
    <t>Hemoptysis</t>
  </si>
  <si>
    <t>Shortness of breath</t>
  </si>
  <si>
    <t>nausea or vomiting</t>
  </si>
  <si>
    <t>Diarrhea</t>
  </si>
  <si>
    <t>Myalgia or arthralgia</t>
  </si>
  <si>
    <t>Chills</t>
  </si>
  <si>
    <t>Signs of infection</t>
  </si>
  <si>
    <t>Throat congestion</t>
  </si>
  <si>
    <t>Tonsil swelling</t>
  </si>
  <si>
    <t>Enlargement of lymph nodes</t>
  </si>
  <si>
    <t>Rash</t>
  </si>
  <si>
    <t>Coexisting disorder</t>
  </si>
  <si>
    <t>Any</t>
  </si>
  <si>
    <t>Chronic obstructive pulmonary disease</t>
  </si>
  <si>
    <t>Diabetes</t>
  </si>
  <si>
    <t>Hypertension</t>
  </si>
  <si>
    <t xml:space="preserve">Coronary heart disease </t>
  </si>
  <si>
    <t>Cerebrovascular disease</t>
  </si>
  <si>
    <t>Hepatitis B infection</t>
  </si>
  <si>
    <t>Cancer</t>
  </si>
  <si>
    <t>Chronic renal disease</t>
  </si>
  <si>
    <t xml:space="preserve">Immunodeficiency </t>
  </si>
  <si>
    <t>yes</t>
  </si>
  <si>
    <t>Comorbid Condition</t>
  </si>
  <si>
    <t>Total</t>
  </si>
  <si>
    <t>Cardiovascular disease</t>
  </si>
  <si>
    <t>Endocrine Disorder</t>
  </si>
  <si>
    <t>Diabetes mellitus</t>
  </si>
  <si>
    <t>Respiratory disorder</t>
  </si>
  <si>
    <t>Malignancy</t>
  </si>
  <si>
    <t>Signs and symptoms on admission</t>
  </si>
  <si>
    <t>Fever</t>
  </si>
  <si>
    <t>Malaise</t>
  </si>
  <si>
    <t>Sore throat</t>
  </si>
  <si>
    <t>Runny nose</t>
  </si>
  <si>
    <t>Dyspnea</t>
  </si>
  <si>
    <t>Tachypnea</t>
  </si>
  <si>
    <t>SpO2&lt;9%</t>
  </si>
  <si>
    <t>Radiography findings on admissions</t>
  </si>
  <si>
    <t>Abnormal hing finding</t>
  </si>
  <si>
    <t>Lateral</t>
  </si>
  <si>
    <t>Bilateral</t>
  </si>
  <si>
    <t>GGO</t>
  </si>
  <si>
    <t>Multifocal GGO</t>
  </si>
  <si>
    <t>Consolidation</t>
  </si>
  <si>
    <t>Crazy-paving appearance</t>
  </si>
  <si>
    <t>Nodular lesion</t>
  </si>
  <si>
    <t>Lab  findings on admission</t>
  </si>
  <si>
    <t>AST&gt;38</t>
  </si>
  <si>
    <t>ALT&gt;45</t>
  </si>
  <si>
    <t>LDH&gt;230</t>
  </si>
  <si>
    <t>CRP</t>
  </si>
  <si>
    <t>&lt;15</t>
  </si>
  <si>
    <t>15-24</t>
  </si>
  <si>
    <t>25-44</t>
  </si>
  <si>
    <t>45-64</t>
  </si>
  <si>
    <t>Male</t>
  </si>
  <si>
    <t>Residential Status</t>
  </si>
  <si>
    <t>Urban</t>
  </si>
  <si>
    <t>Rural</t>
  </si>
  <si>
    <t>First Treated at general practitioner/Physician</t>
  </si>
  <si>
    <t>Hospital Stay</t>
  </si>
  <si>
    <t>&lt; or 2</t>
  </si>
  <si>
    <t xml:space="preserve"> 3-5</t>
  </si>
  <si>
    <t xml:space="preserve"> 6-10</t>
  </si>
  <si>
    <t>≥11</t>
  </si>
  <si>
    <t>Time interval from onset of illness to hospital admisssion and diagnosis</t>
  </si>
  <si>
    <t>&lt; or = 1</t>
  </si>
  <si>
    <t xml:space="preserve"> 2-4</t>
  </si>
  <si>
    <t xml:space="preserve"> 5-10</t>
  </si>
  <si>
    <t>&gt;10</t>
  </si>
  <si>
    <t>Antiviral treatment received</t>
  </si>
  <si>
    <t>&lt; or = 2 days after onset of symptoms</t>
  </si>
  <si>
    <t>Patients kept on ventilators</t>
  </si>
  <si>
    <t>Hospital outcome</t>
  </si>
  <si>
    <t>Intensive care and survised</t>
  </si>
  <si>
    <t>Intensive care and died</t>
  </si>
  <si>
    <t>Fever (≥37.5 C)</t>
  </si>
  <si>
    <t>Shortness/difficulty in breathing</t>
  </si>
  <si>
    <t>Nasal Catarch</t>
  </si>
  <si>
    <t>Vomiting</t>
  </si>
  <si>
    <t>Co-existing condition</t>
  </si>
  <si>
    <t>Any one condition</t>
  </si>
  <si>
    <t>Diabetes Mellitus</t>
  </si>
  <si>
    <t>Chronic Pulmonary diseases</t>
  </si>
  <si>
    <t>Pregnancy</t>
  </si>
  <si>
    <t>Seizure disorder</t>
  </si>
  <si>
    <t>Chronic heart disease</t>
  </si>
  <si>
    <t>Thalassemia</t>
  </si>
  <si>
    <t>Chronic rental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</si>
</sst>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workbookViewId="0">
      <selection activeCell="C5" sqref="C5"/>
    </sheetView>
  </sheetViews>
  <sheetFormatPr defaultRowHeight="15"/>
  <cols>
    <col min="1" max="1" width="15.7109375" customWidth="1"/>
    <col min="2" max="2" width="33.7109375" customWidth="1"/>
  </cols>
  <sheetData>
    <row r="1" spans="1:3">
      <c r="C1" t="s">
        <v>0</v>
      </c>
    </row>
    <row r="2" spans="1:3">
      <c r="C2" t="s">
        <v>1</v>
      </c>
    </row>
    <row r="4" spans="1:3">
      <c r="A4" t="s">
        <v>2</v>
      </c>
    </row>
    <row r="5" spans="1:3">
      <c r="B5" t="s">
        <v>3</v>
      </c>
      <c r="C5">
        <f>1/163</f>
        <v>6.1349693251533744E-3</v>
      </c>
    </row>
    <row r="6" spans="1:3">
      <c r="B6" t="s">
        <v>4</v>
      </c>
      <c r="C6">
        <f>67/163</f>
        <v>0.41104294478527609</v>
      </c>
    </row>
    <row r="7" spans="1:3">
      <c r="B7" t="s">
        <v>5</v>
      </c>
      <c r="C7">
        <f>51/163</f>
        <v>0.31288343558282211</v>
      </c>
    </row>
    <row r="8" spans="1:3">
      <c r="B8" t="s">
        <v>6</v>
      </c>
      <c r="C8">
        <f>44/163</f>
        <v>0.26993865030674846</v>
      </c>
    </row>
    <row r="9" spans="1:3">
      <c r="A9" t="s">
        <v>7</v>
      </c>
      <c r="C9">
        <f>73/173</f>
        <v>0.42196531791907516</v>
      </c>
    </row>
    <row r="10" spans="1:3">
      <c r="A10" t="s">
        <v>8</v>
      </c>
    </row>
    <row r="11" spans="1:3">
      <c r="B11" t="s">
        <v>9</v>
      </c>
      <c r="C11">
        <f>134/172</f>
        <v>0.77906976744186052</v>
      </c>
    </row>
    <row r="12" spans="1:3">
      <c r="B12" t="s">
        <v>10</v>
      </c>
      <c r="C12">
        <f>9/172</f>
        <v>5.232558139534884E-2</v>
      </c>
    </row>
    <row r="13" spans="1:3">
      <c r="B13" t="s">
        <v>11</v>
      </c>
      <c r="C13">
        <f>29/172</f>
        <v>0.16860465116279069</v>
      </c>
    </row>
    <row r="14" spans="1:3">
      <c r="A14" t="s">
        <v>12</v>
      </c>
    </row>
    <row r="15" spans="1:3">
      <c r="B15" t="s">
        <v>13</v>
      </c>
      <c r="C15">
        <f>83/173</f>
        <v>0.47976878612716761</v>
      </c>
    </row>
    <row r="16" spans="1:3">
      <c r="B16" t="s">
        <v>14</v>
      </c>
      <c r="C16">
        <f>3/128</f>
        <v>2.34375E-2</v>
      </c>
    </row>
    <row r="17" spans="1:3">
      <c r="B17" t="s">
        <v>15</v>
      </c>
      <c r="C17">
        <f>27/90</f>
        <v>0.3</v>
      </c>
    </row>
    <row r="18" spans="1:3">
      <c r="B18" t="s">
        <v>16</v>
      </c>
      <c r="C18">
        <f>66/89</f>
        <v>0.7415730337078652</v>
      </c>
    </row>
    <row r="19" spans="1:3">
      <c r="A19" t="s">
        <v>17</v>
      </c>
    </row>
    <row r="20" spans="1:3">
      <c r="B20" t="s">
        <v>18</v>
      </c>
      <c r="C20">
        <f>82/171</f>
        <v>0.47953216374269003</v>
      </c>
    </row>
    <row r="21" spans="1:3">
      <c r="B21" t="s">
        <v>19</v>
      </c>
      <c r="C21">
        <f>89/171</f>
        <v>0.52046783625730997</v>
      </c>
    </row>
    <row r="22" spans="1:3">
      <c r="B22" t="s">
        <v>20</v>
      </c>
      <c r="C22">
        <f>37/171</f>
        <v>0.21637426900584794</v>
      </c>
    </row>
    <row r="23" spans="1:3">
      <c r="B23" t="s">
        <v>21</v>
      </c>
      <c r="C23">
        <f>37/171</f>
        <v>0.21637426900584794</v>
      </c>
    </row>
    <row r="24" spans="1:3">
      <c r="B24" t="s">
        <v>22</v>
      </c>
      <c r="C24">
        <f>8/171</f>
        <v>4.6783625730994149E-2</v>
      </c>
    </row>
    <row r="25" spans="1:3">
      <c r="A25" t="s">
        <v>23</v>
      </c>
    </row>
    <row r="26" spans="1:3">
      <c r="B26" t="s">
        <v>18</v>
      </c>
      <c r="C26">
        <f>816/926</f>
        <v>0.88120950323974079</v>
      </c>
    </row>
    <row r="27" spans="1:3">
      <c r="B27" t="s">
        <v>19</v>
      </c>
      <c r="C27">
        <f>79/774</f>
        <v>0.1020671834625323</v>
      </c>
    </row>
    <row r="28" spans="1:3">
      <c r="B28" t="s">
        <v>20</v>
      </c>
      <c r="C28">
        <f>251/774</f>
        <v>0.32428940568475451</v>
      </c>
    </row>
    <row r="29" spans="1:3">
      <c r="B29" t="s">
        <v>21</v>
      </c>
      <c r="C29">
        <f>356/774</f>
        <v>0.4599483204134367</v>
      </c>
    </row>
    <row r="30" spans="1:3">
      <c r="B30" t="s">
        <v>22</v>
      </c>
      <c r="C30">
        <f>88/774</f>
        <v>0.11369509043927649</v>
      </c>
    </row>
    <row r="45" spans="1:3">
      <c r="A45" t="s">
        <v>24</v>
      </c>
      <c r="C45" t="s">
        <v>1</v>
      </c>
    </row>
    <row r="46" spans="1:3">
      <c r="B46" t="s">
        <v>25</v>
      </c>
      <c r="C46">
        <f>4/173</f>
        <v>2.3121387283236993E-2</v>
      </c>
    </row>
    <row r="47" spans="1:3">
      <c r="B47" t="s">
        <v>26</v>
      </c>
      <c r="C47">
        <f>6/173</f>
        <v>3.4682080924855488E-2</v>
      </c>
    </row>
    <row r="48" spans="1:3">
      <c r="B48" t="s">
        <v>27</v>
      </c>
      <c r="C48">
        <f>26/173</f>
        <v>0.15028901734104047</v>
      </c>
    </row>
    <row r="49" spans="1:3">
      <c r="B49" t="s">
        <v>28</v>
      </c>
      <c r="C49">
        <f>122/173</f>
        <v>0.7052023121387283</v>
      </c>
    </row>
    <row r="50" spans="1:3">
      <c r="B50" t="s">
        <v>29</v>
      </c>
      <c r="C50">
        <f>23/173</f>
        <v>0.13294797687861271</v>
      </c>
    </row>
    <row r="51" spans="1:3">
      <c r="B51" t="s">
        <v>30</v>
      </c>
      <c r="C51">
        <f>61/173</f>
        <v>0.35260115606936415</v>
      </c>
    </row>
    <row r="52" spans="1:3">
      <c r="B52" t="s">
        <v>31</v>
      </c>
      <c r="C52">
        <f>69/173</f>
        <v>0.39884393063583817</v>
      </c>
    </row>
    <row r="53" spans="1:3">
      <c r="B53" t="s">
        <v>32</v>
      </c>
      <c r="C53">
        <f>4/173</f>
        <v>2.3121387283236993E-2</v>
      </c>
    </row>
    <row r="54" spans="1:3">
      <c r="B54" t="s">
        <v>33</v>
      </c>
      <c r="C54">
        <f>65/173</f>
        <v>0.37572254335260113</v>
      </c>
    </row>
    <row r="55" spans="1:3">
      <c r="B55" t="s">
        <v>34</v>
      </c>
      <c r="C55">
        <f>12/173</f>
        <v>6.9364161849710976E-2</v>
      </c>
    </row>
    <row r="56" spans="1:3">
      <c r="B56" t="s">
        <v>35</v>
      </c>
      <c r="C56">
        <f>10/173</f>
        <v>5.7803468208092484E-2</v>
      </c>
    </row>
    <row r="57" spans="1:3">
      <c r="B57" t="s">
        <v>36</v>
      </c>
      <c r="C57">
        <f>30/173</f>
        <v>0.17341040462427745</v>
      </c>
    </row>
    <row r="58" spans="1:3">
      <c r="B58" t="s">
        <v>37</v>
      </c>
      <c r="C58">
        <f>26/173</f>
        <v>0.15028901734104047</v>
      </c>
    </row>
    <row r="59" spans="1:3">
      <c r="A59" t="s">
        <v>38</v>
      </c>
    </row>
    <row r="60" spans="1:3">
      <c r="B60" t="s">
        <v>39</v>
      </c>
      <c r="C60">
        <f>2/173</f>
        <v>1.1560693641618497E-2</v>
      </c>
    </row>
    <row r="61" spans="1:3">
      <c r="B61" t="s">
        <v>40</v>
      </c>
      <c r="C61">
        <f>6/173</f>
        <v>3.4682080924855488E-2</v>
      </c>
    </row>
    <row r="62" spans="1:3">
      <c r="B62" t="s">
        <v>41</v>
      </c>
      <c r="C62">
        <f>1/173</f>
        <v>5.7803468208092483E-3</v>
      </c>
    </row>
    <row r="63" spans="1:3">
      <c r="B63" t="s">
        <v>42</v>
      </c>
      <c r="C63">
        <f>2/173</f>
        <v>1.1560693641618497E-2</v>
      </c>
    </row>
    <row r="64" spans="1:3">
      <c r="A64" t="s">
        <v>43</v>
      </c>
    </row>
    <row r="65" spans="2:3">
      <c r="B65" t="s">
        <v>44</v>
      </c>
      <c r="C65">
        <f>67/173</f>
        <v>0.38728323699421963</v>
      </c>
    </row>
    <row r="66" spans="2:3">
      <c r="B66" t="s">
        <v>45</v>
      </c>
      <c r="C66">
        <f>6/173</f>
        <v>3.4682080924855488E-2</v>
      </c>
    </row>
    <row r="67" spans="2:3">
      <c r="B67" t="s">
        <v>46</v>
      </c>
      <c r="C67">
        <f>28/173</f>
        <v>0.16184971098265896</v>
      </c>
    </row>
    <row r="68" spans="2:3">
      <c r="B68" t="s">
        <v>47</v>
      </c>
      <c r="C68">
        <f>41/173</f>
        <v>0.23699421965317918</v>
      </c>
    </row>
    <row r="69" spans="2:3">
      <c r="B69" t="s">
        <v>48</v>
      </c>
      <c r="C69">
        <f>10/173</f>
        <v>5.7803468208092484E-2</v>
      </c>
    </row>
    <row r="70" spans="2:3">
      <c r="B70" t="s">
        <v>49</v>
      </c>
      <c r="C70">
        <f>4/173</f>
        <v>2.3121387283236993E-2</v>
      </c>
    </row>
    <row r="71" spans="2:3">
      <c r="B71" t="s">
        <v>50</v>
      </c>
      <c r="C71">
        <f>1/173</f>
        <v>5.7803468208092483E-3</v>
      </c>
    </row>
    <row r="72" spans="2:3">
      <c r="B72" t="s">
        <v>51</v>
      </c>
      <c r="C72">
        <f>3/173</f>
        <v>1.7341040462427744E-2</v>
      </c>
    </row>
    <row r="73" spans="2:3">
      <c r="B73" t="s">
        <v>52</v>
      </c>
      <c r="C73">
        <f>3/173</f>
        <v>1.7341040462427744E-2</v>
      </c>
    </row>
    <row r="74" spans="2:3">
      <c r="B74" t="s">
        <v>53</v>
      </c>
      <c r="C74">
        <f>0/173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ECEC-536B-450A-A0F2-A9FCFE0C7690}">
  <dimension ref="A1:C45"/>
  <sheetViews>
    <sheetView workbookViewId="0">
      <selection activeCell="C4" sqref="C4"/>
    </sheetView>
  </sheetViews>
  <sheetFormatPr defaultRowHeight="15"/>
  <sheetData>
    <row r="1" spans="1:3">
      <c r="C1" t="s">
        <v>0</v>
      </c>
    </row>
    <row r="2" spans="1:3">
      <c r="C2" t="s">
        <v>1</v>
      </c>
    </row>
    <row r="4" spans="1:3">
      <c r="A4" t="s">
        <v>2</v>
      </c>
    </row>
    <row r="10" spans="1:3">
      <c r="A10" t="s">
        <v>8</v>
      </c>
      <c r="C10" t="s">
        <v>54</v>
      </c>
    </row>
    <row r="14" spans="1:3">
      <c r="A14" t="s">
        <v>55</v>
      </c>
    </row>
    <row r="15" spans="1:3">
      <c r="B15" t="s">
        <v>56</v>
      </c>
      <c r="C15">
        <f>18/28</f>
        <v>0.6428571428571429</v>
      </c>
    </row>
    <row r="16" spans="1:3">
      <c r="B16" t="s">
        <v>57</v>
      </c>
      <c r="C16">
        <f>11/28</f>
        <v>0.39285714285714285</v>
      </c>
    </row>
    <row r="17" spans="1:3">
      <c r="B17" t="s">
        <v>58</v>
      </c>
      <c r="C17">
        <f>4/28</f>
        <v>0.14285714285714285</v>
      </c>
    </row>
    <row r="18" spans="1:3">
      <c r="B18" t="s">
        <v>59</v>
      </c>
      <c r="C18">
        <f>1/28</f>
        <v>3.5714285714285712E-2</v>
      </c>
    </row>
    <row r="19" spans="1:3">
      <c r="B19" t="s">
        <v>60</v>
      </c>
      <c r="C19">
        <f>3/28</f>
        <v>0.10714285714285714</v>
      </c>
    </row>
    <row r="20" spans="1:3">
      <c r="B20" t="s">
        <v>61</v>
      </c>
      <c r="C20">
        <f>1/28</f>
        <v>3.5714285714285712E-2</v>
      </c>
    </row>
    <row r="21" spans="1:3">
      <c r="A21" t="s">
        <v>62</v>
      </c>
    </row>
    <row r="22" spans="1:3">
      <c r="B22" t="s">
        <v>63</v>
      </c>
      <c r="C22">
        <f>11/28</f>
        <v>0.39285714285714285</v>
      </c>
    </row>
    <row r="23" spans="1:3">
      <c r="B23" t="s">
        <v>28</v>
      </c>
      <c r="C23">
        <f>13/28</f>
        <v>0.4642857142857143</v>
      </c>
    </row>
    <row r="24" spans="1:3">
      <c r="B24" t="s">
        <v>64</v>
      </c>
      <c r="C24">
        <f>6/28</f>
        <v>0.21428571428571427</v>
      </c>
    </row>
    <row r="25" spans="1:3">
      <c r="B25" t="s">
        <v>27</v>
      </c>
      <c r="C25">
        <f>2/28</f>
        <v>7.1428571428571425E-2</v>
      </c>
    </row>
    <row r="26" spans="1:3">
      <c r="B26" t="s">
        <v>65</v>
      </c>
      <c r="C26">
        <f>4/28</f>
        <v>0.14285714285714285</v>
      </c>
    </row>
    <row r="27" spans="1:3">
      <c r="B27" t="s">
        <v>66</v>
      </c>
      <c r="C27">
        <f>8/28</f>
        <v>0.2857142857142857</v>
      </c>
    </row>
    <row r="28" spans="1:3">
      <c r="B28" t="s">
        <v>35</v>
      </c>
      <c r="C28">
        <f>3/28</f>
        <v>0.10714285714285714</v>
      </c>
    </row>
    <row r="29" spans="1:3">
      <c r="B29" t="s">
        <v>67</v>
      </c>
      <c r="C29">
        <f>7/28</f>
        <v>0.25</v>
      </c>
    </row>
    <row r="30" spans="1:3">
      <c r="B30" t="s">
        <v>68</v>
      </c>
      <c r="C30">
        <f>16/28</f>
        <v>0.5714285714285714</v>
      </c>
    </row>
    <row r="31" spans="1:3">
      <c r="B31" t="s">
        <v>69</v>
      </c>
      <c r="C31">
        <f>3/28</f>
        <v>0.10714285714285714</v>
      </c>
    </row>
    <row r="32" spans="1:3">
      <c r="A32" t="s">
        <v>70</v>
      </c>
    </row>
    <row r="33" spans="1:3">
      <c r="B33" t="s">
        <v>71</v>
      </c>
      <c r="C33">
        <f>23/28</f>
        <v>0.8214285714285714</v>
      </c>
    </row>
    <row r="34" spans="1:3">
      <c r="B34" t="s">
        <v>72</v>
      </c>
      <c r="C34">
        <f>6/28</f>
        <v>0.21428571428571427</v>
      </c>
    </row>
    <row r="35" spans="1:3">
      <c r="B35" t="s">
        <v>73</v>
      </c>
      <c r="C35">
        <f>16/28</f>
        <v>0.5714285714285714</v>
      </c>
    </row>
    <row r="36" spans="1:3">
      <c r="B36" t="s">
        <v>74</v>
      </c>
      <c r="C36">
        <f>19/28</f>
        <v>0.6785714285714286</v>
      </c>
    </row>
    <row r="37" spans="1:3">
      <c r="B37" t="s">
        <v>75</v>
      </c>
      <c r="C37">
        <f>17/28</f>
        <v>0.6071428571428571</v>
      </c>
    </row>
    <row r="38" spans="1:3">
      <c r="B38" t="s">
        <v>76</v>
      </c>
      <c r="C38">
        <f>13/28</f>
        <v>0.4642857142857143</v>
      </c>
    </row>
    <row r="39" spans="1:3">
      <c r="B39" t="s">
        <v>77</v>
      </c>
      <c r="C39">
        <f>11/28</f>
        <v>0.39285714285714285</v>
      </c>
    </row>
    <row r="40" spans="1:3">
      <c r="B40" t="s">
        <v>78</v>
      </c>
      <c r="C40">
        <f>1/28</f>
        <v>3.5714285714285712E-2</v>
      </c>
    </row>
    <row r="41" spans="1:3">
      <c r="A41" t="s">
        <v>79</v>
      </c>
    </row>
    <row r="42" spans="1:3">
      <c r="B42" t="s">
        <v>80</v>
      </c>
      <c r="C42" s="3">
        <f>9/28</f>
        <v>0.32142857142857145</v>
      </c>
    </row>
    <row r="43" spans="1:3">
      <c r="B43" t="s">
        <v>81</v>
      </c>
      <c r="C43">
        <f>7/28</f>
        <v>0.25</v>
      </c>
    </row>
    <row r="44" spans="1:3">
      <c r="B44" t="s">
        <v>82</v>
      </c>
      <c r="C44">
        <f>10/28</f>
        <v>0.35714285714285715</v>
      </c>
    </row>
    <row r="45" spans="1:3">
      <c r="B4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319D-16FD-47E0-B454-80BB50695D10}">
  <dimension ref="A1:C61"/>
  <sheetViews>
    <sheetView tabSelected="1" workbookViewId="0">
      <selection activeCell="C5" sqref="C5"/>
    </sheetView>
  </sheetViews>
  <sheetFormatPr defaultRowHeight="15"/>
  <cols>
    <col min="1" max="1" width="25.7109375" customWidth="1"/>
    <col min="2" max="2" width="39" customWidth="1"/>
    <col min="3" max="3" width="39.140625" customWidth="1"/>
  </cols>
  <sheetData>
    <row r="1" spans="1:3">
      <c r="C1" t="s">
        <v>0</v>
      </c>
    </row>
    <row r="2" spans="1:3">
      <c r="C2" t="s">
        <v>1</v>
      </c>
    </row>
    <row r="4" spans="1:3">
      <c r="A4" t="s">
        <v>2</v>
      </c>
    </row>
    <row r="5" spans="1:3">
      <c r="B5" t="s">
        <v>84</v>
      </c>
      <c r="C5">
        <f xml:space="preserve"> (34/140)</f>
        <v>0.24285714285714285</v>
      </c>
    </row>
    <row r="6" spans="1:3">
      <c r="B6" t="s">
        <v>85</v>
      </c>
      <c r="C6">
        <f xml:space="preserve"> (14/140)</f>
        <v>0.1</v>
      </c>
    </row>
    <row r="7" spans="1:3">
      <c r="B7" t="s">
        <v>86</v>
      </c>
      <c r="C7">
        <f>(54/140)</f>
        <v>0.38571428571428573</v>
      </c>
    </row>
    <row r="8" spans="1:3">
      <c r="B8" t="s">
        <v>87</v>
      </c>
      <c r="C8">
        <f>(36/140)</f>
        <v>0.25714285714285712</v>
      </c>
    </row>
    <row r="9" spans="1:3">
      <c r="B9" s="1" t="s">
        <v>6</v>
      </c>
      <c r="C9">
        <f>(2/140)</f>
        <v>1.4285714285714285E-2</v>
      </c>
    </row>
    <row r="10" spans="1:3">
      <c r="A10" t="s">
        <v>7</v>
      </c>
      <c r="C10">
        <f>(85/140)</f>
        <v>0.6071428571428571</v>
      </c>
    </row>
    <row r="11" spans="1:3">
      <c r="A11" t="s">
        <v>88</v>
      </c>
      <c r="C11">
        <f>(55/140)</f>
        <v>0.39285714285714285</v>
      </c>
    </row>
    <row r="13" spans="1:3">
      <c r="A13" t="s">
        <v>89</v>
      </c>
    </row>
    <row r="14" spans="1:3">
      <c r="B14" t="s">
        <v>90</v>
      </c>
      <c r="C14">
        <f>(73/140)</f>
        <v>0.52142857142857146</v>
      </c>
    </row>
    <row r="15" spans="1:3">
      <c r="B15" t="s">
        <v>91</v>
      </c>
      <c r="C15">
        <f>(67/140)</f>
        <v>0.47857142857142859</v>
      </c>
    </row>
    <row r="16" spans="1:3">
      <c r="B16" t="s">
        <v>92</v>
      </c>
      <c r="C16">
        <f>(82/140)</f>
        <v>0.58571428571428574</v>
      </c>
    </row>
    <row r="18" spans="1:3">
      <c r="A18" t="s">
        <v>93</v>
      </c>
    </row>
    <row r="19" spans="1:3">
      <c r="B19" t="s">
        <v>94</v>
      </c>
      <c r="C19">
        <f>(50/140)</f>
        <v>0.35714285714285715</v>
      </c>
    </row>
    <row r="20" spans="1:3">
      <c r="B20" s="2" t="s">
        <v>95</v>
      </c>
      <c r="C20">
        <f>(42/140)</f>
        <v>0.3</v>
      </c>
    </row>
    <row r="21" spans="1:3">
      <c r="B21" s="2" t="s">
        <v>96</v>
      </c>
      <c r="C21">
        <f>(21/140)</f>
        <v>0.15</v>
      </c>
    </row>
    <row r="22" spans="1:3">
      <c r="B22" t="s">
        <v>97</v>
      </c>
      <c r="C22">
        <f>(27/140)</f>
        <v>0.19285714285714287</v>
      </c>
    </row>
    <row r="24" spans="1:3">
      <c r="A24" t="s">
        <v>98</v>
      </c>
    </row>
    <row r="25" spans="1:3">
      <c r="B25" t="s">
        <v>99</v>
      </c>
      <c r="C25">
        <f>(12/140)</f>
        <v>8.5714285714285715E-2</v>
      </c>
    </row>
    <row r="26" spans="1:3">
      <c r="B26" s="2" t="s">
        <v>100</v>
      </c>
      <c r="C26">
        <f>(45/140)</f>
        <v>0.32142857142857145</v>
      </c>
    </row>
    <row r="27" spans="1:3">
      <c r="B27" s="2" t="s">
        <v>101</v>
      </c>
      <c r="C27">
        <f>(76/140)</f>
        <v>0.54285714285714282</v>
      </c>
    </row>
    <row r="28" spans="1:3">
      <c r="B28" t="s">
        <v>102</v>
      </c>
      <c r="C28">
        <f>(7/140)</f>
        <v>0.05</v>
      </c>
    </row>
    <row r="30" spans="1:3">
      <c r="A30" t="s">
        <v>103</v>
      </c>
      <c r="C30">
        <f>(140/140)</f>
        <v>1</v>
      </c>
    </row>
    <row r="31" spans="1:3">
      <c r="A31" t="s">
        <v>104</v>
      </c>
      <c r="C31">
        <f>(38/140)</f>
        <v>0.27142857142857141</v>
      </c>
    </row>
    <row r="32" spans="1:3">
      <c r="A32" t="s">
        <v>105</v>
      </c>
      <c r="C32">
        <f>(109/140)</f>
        <v>0.77857142857142858</v>
      </c>
    </row>
    <row r="34" spans="1:3">
      <c r="A34" t="s">
        <v>106</v>
      </c>
    </row>
    <row r="35" spans="1:3">
      <c r="B35" t="s">
        <v>107</v>
      </c>
      <c r="C35">
        <f>(13/140)</f>
        <v>9.285714285714286E-2</v>
      </c>
    </row>
    <row r="36" spans="1:3">
      <c r="B36" t="s">
        <v>108</v>
      </c>
      <c r="C36">
        <f>(127/140)</f>
        <v>0.90714285714285714</v>
      </c>
    </row>
    <row r="44" spans="1:3">
      <c r="A44" t="s">
        <v>28</v>
      </c>
      <c r="C44">
        <f>(137/140)</f>
        <v>0.97857142857142854</v>
      </c>
    </row>
    <row r="45" spans="1:3">
      <c r="A45" t="s">
        <v>109</v>
      </c>
      <c r="C45">
        <f>(132/140)</f>
        <v>0.94285714285714284</v>
      </c>
    </row>
    <row r="46" spans="1:3">
      <c r="A46" t="s">
        <v>65</v>
      </c>
      <c r="C46">
        <f>(74/140)</f>
        <v>0.52857142857142858</v>
      </c>
    </row>
    <row r="47" spans="1:3">
      <c r="A47" t="s">
        <v>110</v>
      </c>
      <c r="C47">
        <f>(99/140)</f>
        <v>0.70714285714285718</v>
      </c>
    </row>
    <row r="48" spans="1:3">
      <c r="A48" t="s">
        <v>111</v>
      </c>
      <c r="C48">
        <f>(48/140)</f>
        <v>0.34285714285714286</v>
      </c>
    </row>
    <row r="49" spans="1:3">
      <c r="A49" t="s">
        <v>27</v>
      </c>
      <c r="C49">
        <f>(42/140)</f>
        <v>0.3</v>
      </c>
    </row>
    <row r="50" spans="1:3">
      <c r="A50" t="s">
        <v>112</v>
      </c>
      <c r="C50">
        <f>(17/140)</f>
        <v>0.12142857142857143</v>
      </c>
    </row>
    <row r="52" spans="1:3">
      <c r="A52" t="s">
        <v>113</v>
      </c>
    </row>
    <row r="53" spans="1:3">
      <c r="B53" t="s">
        <v>114</v>
      </c>
      <c r="C53">
        <f>(47/140)</f>
        <v>0.33571428571428569</v>
      </c>
    </row>
    <row r="54" spans="1:3">
      <c r="B54" t="s">
        <v>47</v>
      </c>
      <c r="C54">
        <f>(9/140)</f>
        <v>6.4285714285714279E-2</v>
      </c>
    </row>
    <row r="55" spans="1:3">
      <c r="B55" t="s">
        <v>115</v>
      </c>
      <c r="C55">
        <f>(10/140)</f>
        <v>7.1428571428571425E-2</v>
      </c>
    </row>
    <row r="56" spans="1:3">
      <c r="B56" t="s">
        <v>116</v>
      </c>
      <c r="C56">
        <f>(3/140)</f>
        <v>2.1428571428571429E-2</v>
      </c>
    </row>
    <row r="57" spans="1:3">
      <c r="B57" t="s">
        <v>117</v>
      </c>
      <c r="C57">
        <f>(14/140)</f>
        <v>0.1</v>
      </c>
    </row>
    <row r="58" spans="1:3">
      <c r="B58" t="s">
        <v>118</v>
      </c>
      <c r="C58">
        <f>(3/140)</f>
        <v>2.1428571428571429E-2</v>
      </c>
    </row>
    <row r="59" spans="1:3">
      <c r="B59" t="s">
        <v>119</v>
      </c>
      <c r="C59">
        <f>(4/140)</f>
        <v>2.8571428571428571E-2</v>
      </c>
    </row>
    <row r="60" spans="1:3">
      <c r="B60" t="s">
        <v>120</v>
      </c>
      <c r="C60">
        <f>(3/140)</f>
        <v>2.1428571428571429E-2</v>
      </c>
    </row>
    <row r="61" spans="1:3">
      <c r="B61" t="s">
        <v>121</v>
      </c>
      <c r="C61">
        <f>(1/140)</f>
        <v>7.1428571428571426E-3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227BEC927FD419FFEF846AF5482AB" ma:contentTypeVersion="10" ma:contentTypeDescription="Create a new document." ma:contentTypeScope="" ma:versionID="81461c88dc0bf0c6217d6a508eb85977">
  <xsd:schema xmlns:xsd="http://www.w3.org/2001/XMLSchema" xmlns:xs="http://www.w3.org/2001/XMLSchema" xmlns:p="http://schemas.microsoft.com/office/2006/metadata/properties" xmlns:ns2="8147a798-deaf-4b42-99c4-43b208b26aae" targetNamespace="http://schemas.microsoft.com/office/2006/metadata/properties" ma:root="true" ma:fieldsID="0f1ebc7903b0153e89362d2718872dab" ns2:_="">
    <xsd:import namespace="8147a798-deaf-4b42-99c4-43b208b26a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7a798-deaf-4b42-99c4-43b208b26a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6CC5F3-F1DC-41B0-9E23-93657F0D0DE7}"/>
</file>

<file path=customXml/itemProps2.xml><?xml version="1.0" encoding="utf-8"?>
<ds:datastoreItem xmlns:ds="http://schemas.openxmlformats.org/officeDocument/2006/customXml" ds:itemID="{CE34DD81-8282-4747-8296-82357F8395C4}"/>
</file>

<file path=customXml/itemProps3.xml><?xml version="1.0" encoding="utf-8"?>
<ds:datastoreItem xmlns:ds="http://schemas.openxmlformats.org/officeDocument/2006/customXml" ds:itemID="{5D832C82-CD6A-4C58-9E1A-AE1F193D84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sann4824</cp:lastModifiedBy>
  <cp:revision/>
  <dcterms:created xsi:type="dcterms:W3CDTF">2021-06-14T18:49:59Z</dcterms:created>
  <dcterms:modified xsi:type="dcterms:W3CDTF">2021-06-15T09:23:39Z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0x0101000B4227BEC927FD419FFEF846AF5482AB</vt:lpwstr>
  </property>
</Properties>
</file>