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753" documentId="11_BFB3C3682653F65B3CE608BDAFB3BEA02C73F590" xr6:coauthVersionLast="47" xr6:coauthVersionMax="47" xr10:uidLastSave="{B400F8B5-D4EB-481A-B073-39FFE568282D}"/>
  <bookViews>
    <workbookView xWindow="240" yWindow="105" windowWidth="14805" windowHeight="8010" firstSheet="3" activeTab="2" xr2:uid="{00000000-000D-0000-FFFF-FFFF00000000}"/>
  </bookViews>
  <sheets>
    <sheet name="BMC (line 19)" sheetId="1" r:id="rId1"/>
    <sheet name="Thorax (line 44)" sheetId="3" r:id="rId2"/>
    <sheet name="RCCM (line 45)" sheetId="2" r:id="rId3"/>
    <sheet name="Final Weighted Probabilities 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4" l="1"/>
  <c r="G5" i="4"/>
  <c r="G4" i="4"/>
  <c r="G17" i="4"/>
  <c r="G16" i="4"/>
  <c r="G15" i="4"/>
  <c r="G14" i="4"/>
  <c r="G13" i="4"/>
  <c r="G12" i="4"/>
  <c r="G11" i="4"/>
  <c r="G10" i="4"/>
  <c r="G9" i="4"/>
  <c r="G8" i="4"/>
  <c r="G6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C6" i="4"/>
  <c r="B6" i="4"/>
  <c r="C7" i="4"/>
  <c r="B7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5" i="4"/>
  <c r="B5" i="4"/>
  <c r="E5" i="4"/>
  <c r="D5" i="4"/>
  <c r="E4" i="4"/>
  <c r="C4" i="4"/>
  <c r="D19" i="3"/>
  <c r="D18" i="3"/>
  <c r="D17" i="3"/>
  <c r="D16" i="3"/>
  <c r="D15" i="3"/>
  <c r="D14" i="3"/>
  <c r="D13" i="3"/>
  <c r="D12" i="3"/>
  <c r="D11" i="3"/>
  <c r="D10" i="3"/>
  <c r="D8" i="3"/>
  <c r="D7" i="3"/>
  <c r="D6" i="3"/>
  <c r="D9" i="2"/>
  <c r="D8" i="2"/>
  <c r="D6" i="2"/>
  <c r="D5" i="2"/>
  <c r="D4" i="3"/>
  <c r="D4" i="2"/>
  <c r="D4" i="4"/>
  <c r="B4" i="4"/>
  <c r="C10" i="3"/>
  <c r="C11" i="3"/>
  <c r="C12" i="3"/>
  <c r="C13" i="3"/>
  <c r="C14" i="3"/>
  <c r="C15" i="3"/>
  <c r="C16" i="3"/>
  <c r="C17" i="3"/>
  <c r="C18" i="3"/>
  <c r="C19" i="3"/>
  <c r="C8" i="3"/>
  <c r="C7" i="3"/>
  <c r="C6" i="3"/>
  <c r="C4" i="3"/>
  <c r="C9" i="2"/>
  <c r="C6" i="2"/>
  <c r="C5" i="2"/>
  <c r="C4" i="2"/>
  <c r="C8" i="2"/>
  <c r="C21" i="1"/>
  <c r="C20" i="1"/>
  <c r="C19" i="1"/>
  <c r="C18" i="1"/>
  <c r="C17" i="1"/>
  <c r="C15" i="1"/>
  <c r="C14" i="1"/>
  <c r="C13" i="1"/>
  <c r="C12" i="1"/>
  <c r="C11" i="1"/>
  <c r="C10" i="1"/>
  <c r="C8" i="1"/>
  <c r="C7" i="1"/>
  <c r="C6" i="1"/>
  <c r="C4" i="1"/>
</calcChain>
</file>

<file path=xl/sharedStrings.xml><?xml version="1.0" encoding="utf-8"?>
<sst xmlns="http://schemas.openxmlformats.org/spreadsheetml/2006/main" count="141" uniqueCount="87">
  <si>
    <t>Probability of Feature Given Acute Exacerbation</t>
  </si>
  <si>
    <t>(This is the only data listed)</t>
  </si>
  <si>
    <t>Table 1</t>
  </si>
  <si>
    <t>Female</t>
  </si>
  <si>
    <t>Stage</t>
  </si>
  <si>
    <t>Moderate</t>
  </si>
  <si>
    <t>Severe</t>
  </si>
  <si>
    <t>Very Severe</t>
  </si>
  <si>
    <t>Co-Morbidities</t>
  </si>
  <si>
    <t>Hypertension</t>
  </si>
  <si>
    <t>Alcoholism</t>
  </si>
  <si>
    <t>Type II Diabeted</t>
  </si>
  <si>
    <t>TB</t>
  </si>
  <si>
    <t>Coronary</t>
  </si>
  <si>
    <t>Renal</t>
  </si>
  <si>
    <t>Number Co-Morbidities</t>
  </si>
  <si>
    <t>Table 2</t>
  </si>
  <si>
    <t>Symptoms</t>
  </si>
  <si>
    <t>Cough</t>
  </si>
  <si>
    <t>Increased sputum volume</t>
  </si>
  <si>
    <t>Increased sputum purulence</t>
  </si>
  <si>
    <t>Recent rapid woresening of dyspnea</t>
  </si>
  <si>
    <t>Accessory muscle use</t>
  </si>
  <si>
    <t>Inability to complete a full sentence while talking</t>
  </si>
  <si>
    <t xml:space="preserve">Pedal edema </t>
  </si>
  <si>
    <t>Fever</t>
  </si>
  <si>
    <t>Altered sensorium</t>
  </si>
  <si>
    <t>Upper respiratory infection</t>
  </si>
  <si>
    <t xml:space="preserve">Gastroesophageal refulx </t>
  </si>
  <si>
    <t>Signs</t>
  </si>
  <si>
    <t>Wheezing</t>
  </si>
  <si>
    <t>Respiratory rate &gt;24/min</t>
  </si>
  <si>
    <t>Crepitations</t>
  </si>
  <si>
    <t>Cyanosis</t>
  </si>
  <si>
    <t>Heart rate &gt; 100/min</t>
  </si>
  <si>
    <t>Elevated JVP (jugular venous pulse)</t>
  </si>
  <si>
    <t>Systolic BP &lt; 90 mm Hg</t>
  </si>
  <si>
    <t>Table 3</t>
  </si>
  <si>
    <t>Lab Abnormalities</t>
  </si>
  <si>
    <t>Polycythemia</t>
  </si>
  <si>
    <t>Leukocytosis</t>
  </si>
  <si>
    <t>Neutrophilia</t>
  </si>
  <si>
    <t>Elevated ESR</t>
  </si>
  <si>
    <t>Hypoalmuninemia</t>
  </si>
  <si>
    <t>Hyponatremia</t>
  </si>
  <si>
    <t>Kypokalemia</t>
  </si>
  <si>
    <t>Hyperbilirubinemia</t>
  </si>
  <si>
    <t>Transaminases</t>
  </si>
  <si>
    <t>Blood Urea</t>
  </si>
  <si>
    <t>Creatinine</t>
  </si>
  <si>
    <t>Probability of Feature Given</t>
  </si>
  <si>
    <t>Acute</t>
  </si>
  <si>
    <t>Stable</t>
  </si>
  <si>
    <t>Smoking</t>
  </si>
  <si>
    <t>Never</t>
  </si>
  <si>
    <t>Ex</t>
  </si>
  <si>
    <t>Current</t>
  </si>
  <si>
    <t>Congestion</t>
  </si>
  <si>
    <t>Rhinorrhea</t>
  </si>
  <si>
    <t>Sore Throat</t>
  </si>
  <si>
    <t>Sputum</t>
  </si>
  <si>
    <t>Headache</t>
  </si>
  <si>
    <t>Muscle Pain</t>
  </si>
  <si>
    <t>Hoarse</t>
  </si>
  <si>
    <t>Steroids preadmission</t>
  </si>
  <si>
    <t>Mean</t>
  </si>
  <si>
    <t>Stdev</t>
  </si>
  <si>
    <t>White</t>
  </si>
  <si>
    <t>Retired</t>
  </si>
  <si>
    <t>Clinical</t>
  </si>
  <si>
    <t>Bronchitis</t>
  </si>
  <si>
    <t>Smoker</t>
  </si>
  <si>
    <t>Age</t>
  </si>
  <si>
    <t>COPD diagnosis, yr</t>
  </si>
  <si>
    <t>FEV_1, L</t>
  </si>
  <si>
    <t xml:space="preserve">SGRQ-C Total </t>
  </si>
  <si>
    <t>EXACT scores Day 1, Total</t>
  </si>
  <si>
    <t>EXACT scores Day 60, Total</t>
  </si>
  <si>
    <t xml:space="preserve">Thorax </t>
  </si>
  <si>
    <t>RCCM</t>
  </si>
  <si>
    <t>Total</t>
  </si>
  <si>
    <t xml:space="preserve">Stable </t>
  </si>
  <si>
    <t>N</t>
  </si>
  <si>
    <t xml:space="preserve">Female </t>
  </si>
  <si>
    <t>Ex-smoker</t>
  </si>
  <si>
    <t>-</t>
  </si>
  <si>
    <t>Never smoked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</si>
</sst>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A17" workbookViewId="0">
      <selection activeCell="C4" sqref="C4"/>
    </sheetView>
  </sheetViews>
  <sheetFormatPr defaultRowHeight="15"/>
  <cols>
    <col min="1" max="1" width="15.7109375" customWidth="1"/>
    <col min="2" max="2" width="33.7109375" customWidth="1"/>
  </cols>
  <sheetData>
    <row r="1" spans="1:3">
      <c r="C1" t="s">
        <v>0</v>
      </c>
    </row>
    <row r="2" spans="1:3">
      <c r="C2" t="s">
        <v>1</v>
      </c>
    </row>
    <row r="3" spans="1:3">
      <c r="A3" s="1" t="s">
        <v>2</v>
      </c>
    </row>
    <row r="4" spans="1:3">
      <c r="A4" t="s">
        <v>3</v>
      </c>
      <c r="C4">
        <f>14/116</f>
        <v>0.1206896551724138</v>
      </c>
    </row>
    <row r="5" spans="1:3">
      <c r="A5" t="s">
        <v>4</v>
      </c>
    </row>
    <row r="6" spans="1:3">
      <c r="B6" t="s">
        <v>5</v>
      </c>
      <c r="C6">
        <f>25/116</f>
        <v>0.21551724137931033</v>
      </c>
    </row>
    <row r="7" spans="1:3">
      <c r="B7" t="s">
        <v>6</v>
      </c>
      <c r="C7">
        <f>55/116</f>
        <v>0.47413793103448276</v>
      </c>
    </row>
    <row r="8" spans="1:3">
      <c r="B8" t="s">
        <v>7</v>
      </c>
      <c r="C8">
        <f>36/116</f>
        <v>0.31034482758620691</v>
      </c>
    </row>
    <row r="9" spans="1:3">
      <c r="A9" t="s">
        <v>8</v>
      </c>
    </row>
    <row r="10" spans="1:3">
      <c r="B10" t="s">
        <v>9</v>
      </c>
      <c r="C10">
        <f>40/116</f>
        <v>0.34482758620689657</v>
      </c>
    </row>
    <row r="11" spans="1:3">
      <c r="B11" t="s">
        <v>10</v>
      </c>
      <c r="C11">
        <f>38/116</f>
        <v>0.32758620689655171</v>
      </c>
    </row>
    <row r="12" spans="1:3">
      <c r="B12" t="s">
        <v>11</v>
      </c>
      <c r="C12">
        <f>36/116</f>
        <v>0.31034482758620691</v>
      </c>
    </row>
    <row r="13" spans="1:3">
      <c r="B13" t="s">
        <v>12</v>
      </c>
      <c r="C13">
        <f>33/116</f>
        <v>0.28448275862068967</v>
      </c>
    </row>
    <row r="14" spans="1:3">
      <c r="B14" t="s">
        <v>13</v>
      </c>
      <c r="C14">
        <f>12/116</f>
        <v>0.10344827586206896</v>
      </c>
    </row>
    <row r="15" spans="1:3">
      <c r="B15" t="s">
        <v>14</v>
      </c>
      <c r="C15">
        <f>10/116</f>
        <v>8.6206896551724144E-2</v>
      </c>
    </row>
    <row r="16" spans="1:3">
      <c r="A16" t="s">
        <v>15</v>
      </c>
    </row>
    <row r="17" spans="1:3">
      <c r="B17">
        <v>0</v>
      </c>
      <c r="C17">
        <f>35/116</f>
        <v>0.30172413793103448</v>
      </c>
    </row>
    <row r="18" spans="1:3">
      <c r="B18">
        <v>1</v>
      </c>
      <c r="C18">
        <f>53/116</f>
        <v>0.45689655172413796</v>
      </c>
    </row>
    <row r="19" spans="1:3">
      <c r="B19">
        <v>2</v>
      </c>
      <c r="C19">
        <f>18/116</f>
        <v>0.15517241379310345</v>
      </c>
    </row>
    <row r="20" spans="1:3">
      <c r="B20">
        <v>3</v>
      </c>
      <c r="C20">
        <f>7/116</f>
        <v>6.0344827586206899E-2</v>
      </c>
    </row>
    <row r="21" spans="1:3">
      <c r="B21">
        <v>4</v>
      </c>
      <c r="C21">
        <f>3/116</f>
        <v>2.5862068965517241E-2</v>
      </c>
    </row>
    <row r="22" spans="1:3">
      <c r="A22" s="1" t="s">
        <v>16</v>
      </c>
    </row>
    <row r="23" spans="1:3">
      <c r="A23" t="s">
        <v>17</v>
      </c>
    </row>
    <row r="24" spans="1:3">
      <c r="B24" t="s">
        <v>18</v>
      </c>
      <c r="C24">
        <v>1</v>
      </c>
    </row>
    <row r="25" spans="1:3">
      <c r="B25" t="s">
        <v>19</v>
      </c>
      <c r="C25">
        <v>1</v>
      </c>
    </row>
    <row r="26" spans="1:3">
      <c r="B26" t="s">
        <v>20</v>
      </c>
      <c r="C26">
        <v>1</v>
      </c>
    </row>
    <row r="27" spans="1:3">
      <c r="B27" t="s">
        <v>21</v>
      </c>
      <c r="C27">
        <v>1</v>
      </c>
    </row>
    <row r="28" spans="1:3">
      <c r="B28" t="s">
        <v>22</v>
      </c>
      <c r="C28">
        <v>0.60299999999999998</v>
      </c>
    </row>
    <row r="29" spans="1:3">
      <c r="B29" t="s">
        <v>23</v>
      </c>
      <c r="C29">
        <v>0.60299999999999998</v>
      </c>
    </row>
    <row r="30" spans="1:3">
      <c r="B30" t="s">
        <v>24</v>
      </c>
      <c r="C30">
        <v>0.19800000000000001</v>
      </c>
    </row>
    <row r="31" spans="1:3">
      <c r="B31" t="s">
        <v>25</v>
      </c>
      <c r="C31">
        <v>0.29299999999999998</v>
      </c>
    </row>
    <row r="32" spans="1:3">
      <c r="B32" t="s">
        <v>26</v>
      </c>
      <c r="C32">
        <v>0.129</v>
      </c>
    </row>
    <row r="33" spans="1:3">
      <c r="B33" t="s">
        <v>27</v>
      </c>
      <c r="C33">
        <v>8.5999999999999993E-2</v>
      </c>
    </row>
    <row r="34" spans="1:3">
      <c r="B34" t="s">
        <v>28</v>
      </c>
      <c r="C34">
        <v>7.8E-2</v>
      </c>
    </row>
    <row r="35" spans="1:3">
      <c r="A35" t="s">
        <v>29</v>
      </c>
    </row>
    <row r="36" spans="1:3">
      <c r="B36" t="s">
        <v>30</v>
      </c>
      <c r="C36">
        <v>1</v>
      </c>
    </row>
    <row r="37" spans="1:3">
      <c r="B37" t="s">
        <v>31</v>
      </c>
      <c r="C37">
        <v>0.94</v>
      </c>
    </row>
    <row r="38" spans="1:3">
      <c r="B38" t="s">
        <v>32</v>
      </c>
      <c r="C38">
        <v>0.56000000000000005</v>
      </c>
    </row>
    <row r="39" spans="1:3">
      <c r="B39" t="s">
        <v>33</v>
      </c>
      <c r="C39">
        <v>0.33600000000000002</v>
      </c>
    </row>
    <row r="40" spans="1:3">
      <c r="B40" t="s">
        <v>34</v>
      </c>
      <c r="C40">
        <v>0.25</v>
      </c>
    </row>
    <row r="41" spans="1:3">
      <c r="B41" t="s">
        <v>35</v>
      </c>
      <c r="C41">
        <v>0.129</v>
      </c>
    </row>
    <row r="42" spans="1:3">
      <c r="B42" t="s">
        <v>36</v>
      </c>
      <c r="C42">
        <v>3.4000000000000002E-2</v>
      </c>
    </row>
    <row r="43" spans="1:3">
      <c r="A43" s="1" t="s">
        <v>37</v>
      </c>
    </row>
    <row r="44" spans="1:3">
      <c r="A44" t="s">
        <v>38</v>
      </c>
    </row>
    <row r="45" spans="1:3">
      <c r="B45" t="s">
        <v>39</v>
      </c>
      <c r="C45">
        <v>32.799999999999997</v>
      </c>
    </row>
    <row r="46" spans="1:3">
      <c r="B46" t="s">
        <v>40</v>
      </c>
      <c r="C46">
        <v>64.7</v>
      </c>
    </row>
    <row r="47" spans="1:3">
      <c r="B47" t="s">
        <v>41</v>
      </c>
      <c r="C47">
        <v>77.599999999999994</v>
      </c>
    </row>
    <row r="48" spans="1:3">
      <c r="B48" t="s">
        <v>42</v>
      </c>
      <c r="C48">
        <v>64.7</v>
      </c>
    </row>
    <row r="49" spans="2:3">
      <c r="B49" t="s">
        <v>43</v>
      </c>
      <c r="C49">
        <v>19</v>
      </c>
    </row>
    <row r="50" spans="2:3">
      <c r="B50" t="s">
        <v>44</v>
      </c>
      <c r="C50">
        <v>16.399999999999999</v>
      </c>
    </row>
    <row r="51" spans="2:3">
      <c r="B51" t="s">
        <v>45</v>
      </c>
      <c r="C51">
        <v>16.399999999999999</v>
      </c>
    </row>
    <row r="52" spans="2:3">
      <c r="B52" t="s">
        <v>46</v>
      </c>
      <c r="C52">
        <v>6</v>
      </c>
    </row>
    <row r="53" spans="2:3">
      <c r="B53" t="s">
        <v>47</v>
      </c>
      <c r="C53">
        <v>22.4</v>
      </c>
    </row>
    <row r="54" spans="2:3">
      <c r="B54" t="s">
        <v>48</v>
      </c>
      <c r="C54">
        <v>45.7</v>
      </c>
    </row>
    <row r="55" spans="2:3">
      <c r="B55" t="s">
        <v>49</v>
      </c>
      <c r="C5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ECB4-7461-4D08-8633-BDE7C4FEDA55}">
  <dimension ref="A1:D35"/>
  <sheetViews>
    <sheetView workbookViewId="0">
      <selection activeCell="C7" sqref="C7:D7"/>
    </sheetView>
  </sheetViews>
  <sheetFormatPr defaultRowHeight="15"/>
  <cols>
    <col min="2" max="2" width="46" bestFit="1" customWidth="1"/>
    <col min="3" max="3" width="12.5703125" customWidth="1"/>
    <col min="4" max="4" width="17.5703125" customWidth="1"/>
  </cols>
  <sheetData>
    <row r="1" spans="1:4">
      <c r="C1" s="2" t="s">
        <v>50</v>
      </c>
      <c r="D1" s="2"/>
    </row>
    <row r="2" spans="1:4">
      <c r="C2" t="s">
        <v>51</v>
      </c>
      <c r="D2" t="s">
        <v>52</v>
      </c>
    </row>
    <row r="3" spans="1:4">
      <c r="A3" s="1" t="s">
        <v>16</v>
      </c>
    </row>
    <row r="4" spans="1:4">
      <c r="A4" t="s">
        <v>3</v>
      </c>
      <c r="C4">
        <f>17/85</f>
        <v>0.2</v>
      </c>
      <c r="D4">
        <f>4/42</f>
        <v>9.5238095238095233E-2</v>
      </c>
    </row>
    <row r="5" spans="1:4">
      <c r="A5" t="s">
        <v>53</v>
      </c>
    </row>
    <row r="6" spans="1:4">
      <c r="B6" t="s">
        <v>54</v>
      </c>
      <c r="C6">
        <f>11/85</f>
        <v>0.12941176470588237</v>
      </c>
      <c r="D6">
        <f>7/42</f>
        <v>0.16666666666666666</v>
      </c>
    </row>
    <row r="7" spans="1:4">
      <c r="B7" t="s">
        <v>55</v>
      </c>
      <c r="C7">
        <f>42/85</f>
        <v>0.49411764705882355</v>
      </c>
      <c r="D7">
        <f>23/42</f>
        <v>0.54761904761904767</v>
      </c>
    </row>
    <row r="8" spans="1:4">
      <c r="B8" t="s">
        <v>56</v>
      </c>
      <c r="C8">
        <f>32/85</f>
        <v>0.37647058823529411</v>
      </c>
      <c r="D8">
        <f>12/42</f>
        <v>0.2857142857142857</v>
      </c>
    </row>
    <row r="9" spans="1:4">
      <c r="A9" s="1" t="s">
        <v>37</v>
      </c>
    </row>
    <row r="10" spans="1:4">
      <c r="B10" t="s">
        <v>30</v>
      </c>
      <c r="C10">
        <f>76/85</f>
        <v>0.89411764705882357</v>
      </c>
      <c r="D10">
        <f>22/42</f>
        <v>0.52380952380952384</v>
      </c>
    </row>
    <row r="11" spans="1:4">
      <c r="B11" t="s">
        <v>57</v>
      </c>
      <c r="C11">
        <f>42/85</f>
        <v>0.49411764705882355</v>
      </c>
      <c r="D11">
        <f>9/42</f>
        <v>0.21428571428571427</v>
      </c>
    </row>
    <row r="12" spans="1:4">
      <c r="B12" t="s">
        <v>58</v>
      </c>
      <c r="C12">
        <f>33/85</f>
        <v>0.38823529411764707</v>
      </c>
      <c r="D12">
        <f>10/42</f>
        <v>0.23809523809523808</v>
      </c>
    </row>
    <row r="13" spans="1:4">
      <c r="B13" t="s">
        <v>59</v>
      </c>
      <c r="C13">
        <f>19/85</f>
        <v>0.22352941176470589</v>
      </c>
      <c r="D13">
        <f>1/42</f>
        <v>2.3809523809523808E-2</v>
      </c>
    </row>
    <row r="14" spans="1:4">
      <c r="B14" t="s">
        <v>60</v>
      </c>
      <c r="C14">
        <f>49/85</f>
        <v>0.57647058823529407</v>
      </c>
      <c r="D14">
        <f>14/42</f>
        <v>0.33333333333333331</v>
      </c>
    </row>
    <row r="15" spans="1:4">
      <c r="B15" t="s">
        <v>25</v>
      </c>
      <c r="C15">
        <f>14/85</f>
        <v>0.16470588235294117</v>
      </c>
      <c r="D15">
        <f>0/42</f>
        <v>0</v>
      </c>
    </row>
    <row r="16" spans="1:4">
      <c r="B16" t="s">
        <v>61</v>
      </c>
      <c r="C16">
        <f>27/85</f>
        <v>0.31764705882352939</v>
      </c>
      <c r="D16">
        <f>4/42</f>
        <v>9.5238095238095233E-2</v>
      </c>
    </row>
    <row r="17" spans="1:4">
      <c r="B17" t="s">
        <v>62</v>
      </c>
      <c r="C17">
        <f>16/85</f>
        <v>0.18823529411764706</v>
      </c>
      <c r="D17">
        <f>1/42</f>
        <v>2.3809523809523808E-2</v>
      </c>
    </row>
    <row r="18" spans="1:4">
      <c r="B18" t="s">
        <v>63</v>
      </c>
      <c r="C18">
        <f>34/85</f>
        <v>0.4</v>
      </c>
      <c r="D18">
        <f>13/42</f>
        <v>0.30952380952380953</v>
      </c>
    </row>
    <row r="19" spans="1:4">
      <c r="B19" t="s">
        <v>64</v>
      </c>
      <c r="C19">
        <f>49/85</f>
        <v>0.57647058823529407</v>
      </c>
      <c r="D19">
        <f>23/42</f>
        <v>0.54761904761904767</v>
      </c>
    </row>
    <row r="22" spans="1:4">
      <c r="A22" s="1"/>
    </row>
    <row r="35" spans="1:1">
      <c r="A35" s="1"/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BC3F-6EED-4257-AE2C-2862610F6822}">
  <dimension ref="A1:H43"/>
  <sheetViews>
    <sheetView tabSelected="1" workbookViewId="0">
      <selection activeCell="C25" sqref="C25"/>
    </sheetView>
  </sheetViews>
  <sheetFormatPr defaultRowHeight="15"/>
  <cols>
    <col min="2" max="2" width="46" bestFit="1" customWidth="1"/>
    <col min="3" max="4" width="17.42578125" customWidth="1"/>
  </cols>
  <sheetData>
    <row r="1" spans="1:8">
      <c r="C1" s="2" t="s">
        <v>50</v>
      </c>
      <c r="D1" s="2"/>
      <c r="E1" s="2" t="s">
        <v>51</v>
      </c>
      <c r="F1" s="2"/>
      <c r="G1" s="2" t="s">
        <v>52</v>
      </c>
      <c r="H1" s="2"/>
    </row>
    <row r="2" spans="1:8">
      <c r="C2" t="s">
        <v>51</v>
      </c>
      <c r="D2" t="s">
        <v>52</v>
      </c>
      <c r="E2" t="s">
        <v>65</v>
      </c>
      <c r="F2" t="s">
        <v>66</v>
      </c>
      <c r="G2" t="s">
        <v>65</v>
      </c>
      <c r="H2" t="s">
        <v>66</v>
      </c>
    </row>
    <row r="3" spans="1:8">
      <c r="A3" s="1" t="s">
        <v>2</v>
      </c>
    </row>
    <row r="4" spans="1:8">
      <c r="A4" t="s">
        <v>3</v>
      </c>
      <c r="C4">
        <f>118/222</f>
        <v>0.53153153153153154</v>
      </c>
      <c r="D4">
        <f>97/188</f>
        <v>0.51595744680851063</v>
      </c>
    </row>
    <row r="5" spans="1:8">
      <c r="A5" t="s">
        <v>67</v>
      </c>
      <c r="C5">
        <f>207/222</f>
        <v>0.93243243243243246</v>
      </c>
      <c r="D5">
        <f>166/188</f>
        <v>0.88297872340425532</v>
      </c>
    </row>
    <row r="6" spans="1:8">
      <c r="A6" t="s">
        <v>68</v>
      </c>
      <c r="C6">
        <f>117/222</f>
        <v>0.52702702702702697</v>
      </c>
      <c r="D6">
        <f>110/188</f>
        <v>0.58510638297872342</v>
      </c>
    </row>
    <row r="7" spans="1:8">
      <c r="A7" t="s">
        <v>69</v>
      </c>
    </row>
    <row r="8" spans="1:8">
      <c r="B8" t="s">
        <v>70</v>
      </c>
      <c r="C8">
        <f>36/116</f>
        <v>0.31034482758620691</v>
      </c>
      <c r="D8">
        <f>51/188</f>
        <v>0.27127659574468083</v>
      </c>
    </row>
    <row r="9" spans="1:8">
      <c r="B9" t="s">
        <v>71</v>
      </c>
      <c r="C9">
        <f>71/222</f>
        <v>0.31981981981981983</v>
      </c>
      <c r="D9">
        <f>58/188</f>
        <v>0.30851063829787234</v>
      </c>
    </row>
    <row r="11" spans="1:8">
      <c r="A11" t="s">
        <v>72</v>
      </c>
      <c r="E11">
        <v>65.099999999999994</v>
      </c>
      <c r="F11">
        <v>10.5</v>
      </c>
      <c r="G11">
        <v>65.8</v>
      </c>
      <c r="H11">
        <v>9.6999999999999993</v>
      </c>
    </row>
    <row r="12" spans="1:8">
      <c r="A12" t="s">
        <v>73</v>
      </c>
      <c r="E12">
        <v>6.4</v>
      </c>
      <c r="F12">
        <v>4.9000000000000004</v>
      </c>
      <c r="G12">
        <v>7.8</v>
      </c>
      <c r="H12">
        <v>6.7</v>
      </c>
    </row>
    <row r="13" spans="1:8">
      <c r="A13" t="s">
        <v>74</v>
      </c>
      <c r="E13">
        <v>1.4</v>
      </c>
      <c r="F13">
        <v>0.6</v>
      </c>
      <c r="G13">
        <v>1.3</v>
      </c>
      <c r="H13">
        <v>0.6</v>
      </c>
    </row>
    <row r="14" spans="1:8">
      <c r="A14" t="s">
        <v>75</v>
      </c>
      <c r="E14">
        <v>62.1</v>
      </c>
      <c r="F14">
        <v>17.7</v>
      </c>
      <c r="G14">
        <v>50.8</v>
      </c>
      <c r="H14">
        <v>19.899999999999999</v>
      </c>
    </row>
    <row r="15" spans="1:8">
      <c r="A15" t="s">
        <v>76</v>
      </c>
      <c r="E15">
        <v>47.9</v>
      </c>
      <c r="F15">
        <v>9.6</v>
      </c>
      <c r="G15">
        <v>36.1</v>
      </c>
      <c r="H15">
        <v>12.7</v>
      </c>
    </row>
    <row r="16" spans="1:8">
      <c r="A16" t="s">
        <v>77</v>
      </c>
      <c r="E16">
        <v>37.299999999999997</v>
      </c>
      <c r="F16">
        <v>14</v>
      </c>
    </row>
    <row r="20" spans="1:1">
      <c r="A20" s="1"/>
    </row>
    <row r="22" spans="1:1">
      <c r="A22" s="1"/>
    </row>
    <row r="43" spans="1:1">
      <c r="A43" s="1"/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F143-7397-4EAB-8546-727648C540EB}">
  <dimension ref="A1:G17"/>
  <sheetViews>
    <sheetView workbookViewId="0">
      <selection activeCell="G7" sqref="G7"/>
    </sheetView>
  </sheetViews>
  <sheetFormatPr defaultRowHeight="15"/>
  <sheetData>
    <row r="1" spans="1:7">
      <c r="B1" t="s">
        <v>78</v>
      </c>
      <c r="D1" t="s">
        <v>79</v>
      </c>
      <c r="F1" t="s">
        <v>80</v>
      </c>
      <c r="G1" t="s">
        <v>80</v>
      </c>
    </row>
    <row r="2" spans="1:7">
      <c r="B2" t="s">
        <v>51</v>
      </c>
      <c r="C2" t="s">
        <v>81</v>
      </c>
      <c r="D2" t="s">
        <v>51</v>
      </c>
      <c r="E2" t="s">
        <v>81</v>
      </c>
      <c r="F2" t="s">
        <v>51</v>
      </c>
      <c r="G2" t="s">
        <v>52</v>
      </c>
    </row>
    <row r="3" spans="1:7">
      <c r="A3" t="s">
        <v>82</v>
      </c>
      <c r="B3">
        <v>85</v>
      </c>
      <c r="C3">
        <v>42</v>
      </c>
      <c r="D3">
        <v>222</v>
      </c>
      <c r="E3">
        <v>188</v>
      </c>
      <c r="F3">
        <v>307</v>
      </c>
      <c r="G3">
        <v>230</v>
      </c>
    </row>
    <row r="4" spans="1:7">
      <c r="A4" t="s">
        <v>83</v>
      </c>
      <c r="B4">
        <f>17/85</f>
        <v>0.2</v>
      </c>
      <c r="C4">
        <f>4/42</f>
        <v>9.5238095238095233E-2</v>
      </c>
      <c r="D4">
        <f>118/222</f>
        <v>0.53153153153153154</v>
      </c>
      <c r="E4">
        <f>97/188</f>
        <v>0.51595744680851063</v>
      </c>
      <c r="F4">
        <f>B4*(85/307) + D4*(222/307)</f>
        <v>0.43973941368078179</v>
      </c>
      <c r="G4">
        <f>C4*(42/230) + E4*(42/230)</f>
        <v>0.11160962072155411</v>
      </c>
    </row>
    <row r="5" spans="1:7">
      <c r="A5" t="s">
        <v>71</v>
      </c>
      <c r="B5">
        <f>32/85</f>
        <v>0.37647058823529411</v>
      </c>
      <c r="C5">
        <f>12/42</f>
        <v>0.2857142857142857</v>
      </c>
      <c r="D5">
        <f>71/222</f>
        <v>0.31981981981981983</v>
      </c>
      <c r="E5">
        <f>58/188</f>
        <v>0.30851063829787234</v>
      </c>
      <c r="F5">
        <f t="shared" ref="F5:F17" si="0">B5*(85/307) + D5*(222/307)</f>
        <v>0.33550488599348532</v>
      </c>
      <c r="G5">
        <f>C5*(42/230) + E5*(42/230)</f>
        <v>0.10851063829787233</v>
      </c>
    </row>
    <row r="6" spans="1:7">
      <c r="A6" t="s">
        <v>84</v>
      </c>
      <c r="B6">
        <f>42/85</f>
        <v>0.49411764705882355</v>
      </c>
      <c r="C6">
        <f>23/42</f>
        <v>0.54761904761904767</v>
      </c>
      <c r="D6" t="s">
        <v>85</v>
      </c>
      <c r="E6" t="s">
        <v>85</v>
      </c>
      <c r="F6">
        <f>42/85</f>
        <v>0.49411764705882355</v>
      </c>
      <c r="G6">
        <f>23/42</f>
        <v>0.54761904761904767</v>
      </c>
    </row>
    <row r="7" spans="1:7">
      <c r="A7" t="s">
        <v>86</v>
      </c>
      <c r="B7">
        <f>11/85</f>
        <v>0.12941176470588237</v>
      </c>
      <c r="C7">
        <f>7/42</f>
        <v>0.16666666666666666</v>
      </c>
      <c r="D7" t="s">
        <v>85</v>
      </c>
      <c r="E7" t="s">
        <v>85</v>
      </c>
      <c r="F7">
        <f>11/85</f>
        <v>0.12941176470588237</v>
      </c>
      <c r="G7">
        <f>7/42</f>
        <v>0.16666666666666666</v>
      </c>
    </row>
    <row r="8" spans="1:7">
      <c r="A8" t="s">
        <v>30</v>
      </c>
      <c r="B8">
        <f>76/85</f>
        <v>0.89411764705882357</v>
      </c>
      <c r="C8">
        <f>22/42</f>
        <v>0.52380952380952384</v>
      </c>
      <c r="D8" t="s">
        <v>85</v>
      </c>
      <c r="E8" t="s">
        <v>85</v>
      </c>
      <c r="F8">
        <f>76/85</f>
        <v>0.89411764705882357</v>
      </c>
      <c r="G8">
        <f>22/42</f>
        <v>0.52380952380952384</v>
      </c>
    </row>
    <row r="9" spans="1:7">
      <c r="A9" t="s">
        <v>57</v>
      </c>
      <c r="B9">
        <f>42/85</f>
        <v>0.49411764705882355</v>
      </c>
      <c r="C9">
        <f>9/42</f>
        <v>0.21428571428571427</v>
      </c>
      <c r="D9" t="s">
        <v>85</v>
      </c>
      <c r="E9" t="s">
        <v>85</v>
      </c>
      <c r="F9">
        <f>42/85</f>
        <v>0.49411764705882355</v>
      </c>
      <c r="G9">
        <f>9/42</f>
        <v>0.21428571428571427</v>
      </c>
    </row>
    <row r="10" spans="1:7">
      <c r="A10" t="s">
        <v>58</v>
      </c>
      <c r="B10">
        <f>33/85</f>
        <v>0.38823529411764707</v>
      </c>
      <c r="C10">
        <f>10/42</f>
        <v>0.23809523809523808</v>
      </c>
      <c r="D10" t="s">
        <v>85</v>
      </c>
      <c r="E10" t="s">
        <v>85</v>
      </c>
      <c r="F10">
        <f>33/85</f>
        <v>0.38823529411764707</v>
      </c>
      <c r="G10">
        <f>10/42</f>
        <v>0.23809523809523808</v>
      </c>
    </row>
    <row r="11" spans="1:7">
      <c r="A11" t="s">
        <v>59</v>
      </c>
      <c r="B11">
        <f>19/85</f>
        <v>0.22352941176470589</v>
      </c>
      <c r="C11">
        <f>1/42</f>
        <v>2.3809523809523808E-2</v>
      </c>
      <c r="D11" t="s">
        <v>85</v>
      </c>
      <c r="E11" t="s">
        <v>85</v>
      </c>
      <c r="F11">
        <f>19/85</f>
        <v>0.22352941176470589</v>
      </c>
      <c r="G11">
        <f>1/42</f>
        <v>2.3809523809523808E-2</v>
      </c>
    </row>
    <row r="12" spans="1:7">
      <c r="A12" t="s">
        <v>60</v>
      </c>
      <c r="B12">
        <f>49/85</f>
        <v>0.57647058823529407</v>
      </c>
      <c r="C12">
        <f>14/42</f>
        <v>0.33333333333333331</v>
      </c>
      <c r="D12" t="s">
        <v>85</v>
      </c>
      <c r="E12" t="s">
        <v>85</v>
      </c>
      <c r="F12">
        <f>49/85</f>
        <v>0.57647058823529407</v>
      </c>
      <c r="G12">
        <f>14/42</f>
        <v>0.33333333333333331</v>
      </c>
    </row>
    <row r="13" spans="1:7">
      <c r="A13" t="s">
        <v>25</v>
      </c>
      <c r="B13">
        <f>14/85</f>
        <v>0.16470588235294117</v>
      </c>
      <c r="C13">
        <f>0/42</f>
        <v>0</v>
      </c>
      <c r="D13" t="s">
        <v>85</v>
      </c>
      <c r="E13" t="s">
        <v>85</v>
      </c>
      <c r="F13">
        <f>14/85</f>
        <v>0.16470588235294117</v>
      </c>
      <c r="G13">
        <f>0/42</f>
        <v>0</v>
      </c>
    </row>
    <row r="14" spans="1:7">
      <c r="A14" t="s">
        <v>61</v>
      </c>
      <c r="B14">
        <f>27/85</f>
        <v>0.31764705882352939</v>
      </c>
      <c r="C14">
        <f>4/42</f>
        <v>9.5238095238095233E-2</v>
      </c>
      <c r="D14" t="s">
        <v>85</v>
      </c>
      <c r="E14" t="s">
        <v>85</v>
      </c>
      <c r="F14">
        <f>27/85</f>
        <v>0.31764705882352939</v>
      </c>
      <c r="G14">
        <f>4/42</f>
        <v>9.5238095238095233E-2</v>
      </c>
    </row>
    <row r="15" spans="1:7">
      <c r="A15" t="s">
        <v>62</v>
      </c>
      <c r="B15">
        <f>16/85</f>
        <v>0.18823529411764706</v>
      </c>
      <c r="C15">
        <f>1/42</f>
        <v>2.3809523809523808E-2</v>
      </c>
      <c r="D15" t="s">
        <v>85</v>
      </c>
      <c r="E15" t="s">
        <v>85</v>
      </c>
      <c r="F15">
        <f>16/85</f>
        <v>0.18823529411764706</v>
      </c>
      <c r="G15">
        <f>1/42</f>
        <v>2.3809523809523808E-2</v>
      </c>
    </row>
    <row r="16" spans="1:7">
      <c r="A16" t="s">
        <v>63</v>
      </c>
      <c r="B16">
        <f>34/85</f>
        <v>0.4</v>
      </c>
      <c r="C16">
        <f>13/42</f>
        <v>0.30952380952380953</v>
      </c>
      <c r="D16" t="s">
        <v>85</v>
      </c>
      <c r="E16" t="s">
        <v>85</v>
      </c>
      <c r="F16">
        <f>34/85</f>
        <v>0.4</v>
      </c>
      <c r="G16">
        <f>13/42</f>
        <v>0.30952380952380953</v>
      </c>
    </row>
    <row r="17" spans="1:7">
      <c r="A17" t="s">
        <v>64</v>
      </c>
      <c r="B17">
        <f>49/85</f>
        <v>0.57647058823529407</v>
      </c>
      <c r="C17">
        <f>23/42</f>
        <v>0.54761904761904767</v>
      </c>
      <c r="D17" t="s">
        <v>85</v>
      </c>
      <c r="E17" t="s">
        <v>85</v>
      </c>
      <c r="F17">
        <f>49/85</f>
        <v>0.57647058823529407</v>
      </c>
      <c r="G17">
        <f>23/42</f>
        <v>0.54761904761904767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227BEC927FD419FFEF846AF5482AB" ma:contentTypeVersion="6" ma:contentTypeDescription="Create a new document." ma:contentTypeScope="" ma:versionID="2053fa08aa21c76a1558ec2424ee3d6c">
  <xsd:schema xmlns:xsd="http://www.w3.org/2001/XMLSchema" xmlns:xs="http://www.w3.org/2001/XMLSchema" xmlns:p="http://schemas.microsoft.com/office/2006/metadata/properties" xmlns:ns2="8147a798-deaf-4b42-99c4-43b208b26aae" targetNamespace="http://schemas.microsoft.com/office/2006/metadata/properties" ma:root="true" ma:fieldsID="f19b91c2928070b7ad764fac5f0acf1f" ns2:_="">
    <xsd:import namespace="8147a798-deaf-4b42-99c4-43b208b2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7a798-deaf-4b42-99c4-43b208b2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34DD81-8282-4747-8296-82357F8395C4}"/>
</file>

<file path=customXml/itemProps2.xml><?xml version="1.0" encoding="utf-8"?>
<ds:datastoreItem xmlns:ds="http://schemas.openxmlformats.org/officeDocument/2006/customXml" ds:itemID="{82F64F2A-F2DF-465C-AFC7-3A37C4247135}"/>
</file>

<file path=customXml/itemProps3.xml><?xml version="1.0" encoding="utf-8"?>
<ds:datastoreItem xmlns:ds="http://schemas.openxmlformats.org/officeDocument/2006/customXml" ds:itemID="{5D832C82-CD6A-4C58-9E1A-AE1F193D8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Khoa Huynh</cp:lastModifiedBy>
  <cp:revision/>
  <dcterms:created xsi:type="dcterms:W3CDTF">2021-06-14T18:49:59Z</dcterms:created>
  <dcterms:modified xsi:type="dcterms:W3CDTF">2021-06-14T22:27:33Z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0x0101000B4227BEC927FD419FFEF846AF5482AB</vt:lpwstr>
  </property>
</Properties>
</file>