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62B65D70-0741-7D4E-B8C9-34977772A989}" xr6:coauthVersionLast="47" xr6:coauthVersionMax="47" xr10:uidLastSave="{00000000-0000-0000-0000-000000000000}"/>
  <bookViews>
    <workbookView xWindow="27500" yWindow="500" windowWidth="23680" windowHeight="28300" xr2:uid="{C41622BE-9F07-764D-83F6-9802A34A6F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2" l="1"/>
  <c r="S8" i="2"/>
  <c r="AH8" i="2" s="1"/>
  <c r="S64" i="2"/>
  <c r="S54" i="2"/>
  <c r="S57" i="2" s="1"/>
  <c r="S59" i="2" s="1"/>
  <c r="S43" i="2"/>
  <c r="S49" i="2" s="1"/>
  <c r="S39" i="2"/>
  <c r="S22" i="2"/>
  <c r="S15" i="2"/>
  <c r="S10" i="2" s="1"/>
  <c r="H7" i="1"/>
  <c r="K64" i="2"/>
  <c r="O64" i="2"/>
  <c r="L63" i="2"/>
  <c r="L62" i="2"/>
  <c r="M62" i="2" s="1"/>
  <c r="P63" i="2"/>
  <c r="Q63" i="2" s="1"/>
  <c r="P62" i="2"/>
  <c r="P64" i="2" s="1"/>
  <c r="M63" i="2"/>
  <c r="N63" i="2" s="1"/>
  <c r="AF64" i="2"/>
  <c r="AE64" i="2"/>
  <c r="AD64" i="2"/>
  <c r="AC64" i="2"/>
  <c r="AB64" i="2"/>
  <c r="AG64" i="2"/>
  <c r="B35" i="2"/>
  <c r="M54" i="2"/>
  <c r="M57" i="2" s="1"/>
  <c r="M59" i="2" s="1"/>
  <c r="M43" i="2"/>
  <c r="M49" i="2" s="1"/>
  <c r="M39" i="2"/>
  <c r="O54" i="2"/>
  <c r="O57" i="2" s="1"/>
  <c r="O59" i="2" s="1"/>
  <c r="O43" i="2"/>
  <c r="O49" i="2" s="1"/>
  <c r="O39" i="2"/>
  <c r="P39" i="2"/>
  <c r="P54" i="2"/>
  <c r="P57" i="2" s="1"/>
  <c r="P59" i="2" s="1"/>
  <c r="P43" i="2"/>
  <c r="P49" i="2" s="1"/>
  <c r="Q39" i="2"/>
  <c r="Q54" i="2"/>
  <c r="Q57" i="2" s="1"/>
  <c r="Q59" i="2" s="1"/>
  <c r="Q43" i="2"/>
  <c r="Q49" i="2" s="1"/>
  <c r="N54" i="2"/>
  <c r="N57" i="2" s="1"/>
  <c r="N59" i="2" s="1"/>
  <c r="N43" i="2"/>
  <c r="N49" i="2" s="1"/>
  <c r="N39" i="2"/>
  <c r="R54" i="2"/>
  <c r="R57" i="2" s="1"/>
  <c r="R59" i="2" s="1"/>
  <c r="R43" i="2"/>
  <c r="R49" i="2" s="1"/>
  <c r="R39" i="2"/>
  <c r="AG39" i="2" s="1"/>
  <c r="AH24" i="2" s="1"/>
  <c r="R8" i="2"/>
  <c r="R30" i="2"/>
  <c r="R28" i="2"/>
  <c r="R26" i="2"/>
  <c r="R25" i="2"/>
  <c r="R24" i="2"/>
  <c r="R21" i="2"/>
  <c r="R20" i="2"/>
  <c r="R19" i="2"/>
  <c r="R18" i="2"/>
  <c r="R17" i="2"/>
  <c r="R16" i="2"/>
  <c r="R14" i="2"/>
  <c r="R13" i="2"/>
  <c r="R12" i="2"/>
  <c r="R15" i="2" s="1"/>
  <c r="AF8" i="2"/>
  <c r="N8" i="2"/>
  <c r="O22" i="2"/>
  <c r="O15" i="2"/>
  <c r="P8" i="2"/>
  <c r="P22" i="2"/>
  <c r="P15" i="2"/>
  <c r="Q8" i="2"/>
  <c r="O8" i="2"/>
  <c r="M22" i="2"/>
  <c r="M15" i="2"/>
  <c r="Q15" i="2"/>
  <c r="AF22" i="2"/>
  <c r="AF15" i="2"/>
  <c r="AG15" i="2"/>
  <c r="AG8" i="2"/>
  <c r="AU45" i="2"/>
  <c r="M8" i="2"/>
  <c r="K54" i="2"/>
  <c r="K57" i="2" s="1"/>
  <c r="K59" i="2" s="1"/>
  <c r="K43" i="2"/>
  <c r="K49" i="2" s="1"/>
  <c r="K39" i="2"/>
  <c r="J54" i="2"/>
  <c r="J57" i="2" s="1"/>
  <c r="J59" i="2" s="1"/>
  <c r="J43" i="2"/>
  <c r="J49" i="2" s="1"/>
  <c r="J39" i="2"/>
  <c r="L54" i="2"/>
  <c r="L57" i="2" s="1"/>
  <c r="L59" i="2" s="1"/>
  <c r="L43" i="2"/>
  <c r="L49" i="2" s="1"/>
  <c r="L39" i="2"/>
  <c r="AD8" i="2"/>
  <c r="AC8" i="2"/>
  <c r="AB8" i="2"/>
  <c r="AA8" i="2"/>
  <c r="Z8" i="2"/>
  <c r="Y8" i="2"/>
  <c r="J7" i="2"/>
  <c r="J6" i="2"/>
  <c r="J5" i="2"/>
  <c r="J4" i="2"/>
  <c r="L8" i="2"/>
  <c r="AE22" i="2"/>
  <c r="AE15" i="2"/>
  <c r="C22" i="2"/>
  <c r="C15" i="2"/>
  <c r="D22" i="2"/>
  <c r="D15" i="2"/>
  <c r="E22" i="2"/>
  <c r="E15" i="2"/>
  <c r="I22" i="2"/>
  <c r="I15" i="2"/>
  <c r="H22" i="2"/>
  <c r="H15" i="2"/>
  <c r="L22" i="2"/>
  <c r="L15" i="2"/>
  <c r="G22" i="2"/>
  <c r="G15" i="2"/>
  <c r="AE8" i="2"/>
  <c r="I8" i="2"/>
  <c r="H8" i="2"/>
  <c r="G8" i="2"/>
  <c r="F8" i="2"/>
  <c r="E8" i="2"/>
  <c r="D8" i="2"/>
  <c r="C8" i="2"/>
  <c r="K8" i="2"/>
  <c r="K15" i="2"/>
  <c r="I6" i="1"/>
  <c r="I7" i="1" s="1"/>
  <c r="AU43" i="2"/>
  <c r="AS72" i="2" s="1"/>
  <c r="F30" i="2"/>
  <c r="F28" i="2"/>
  <c r="F26" i="2"/>
  <c r="F25" i="2"/>
  <c r="F24" i="2"/>
  <c r="F21" i="2"/>
  <c r="F20" i="2"/>
  <c r="F19" i="2"/>
  <c r="F18" i="2"/>
  <c r="F17" i="2"/>
  <c r="F16" i="2"/>
  <c r="F14" i="2"/>
  <c r="F13" i="2"/>
  <c r="F12" i="2"/>
  <c r="J30" i="2"/>
  <c r="J28" i="2"/>
  <c r="J26" i="2"/>
  <c r="J25" i="2"/>
  <c r="J24" i="2"/>
  <c r="J21" i="2"/>
  <c r="J20" i="2"/>
  <c r="J19" i="2"/>
  <c r="J18" i="2"/>
  <c r="J17" i="2"/>
  <c r="J16" i="2"/>
  <c r="J14" i="2"/>
  <c r="N14" i="2" s="1"/>
  <c r="J13" i="2"/>
  <c r="N13" i="2" s="1"/>
  <c r="J12" i="2"/>
  <c r="N12" i="2" s="1"/>
  <c r="Y28" i="2"/>
  <c r="Y22" i="2"/>
  <c r="Z22" i="2"/>
  <c r="AA22" i="2"/>
  <c r="AB22" i="2"/>
  <c r="AC22" i="2"/>
  <c r="AD22" i="2"/>
  <c r="AI8" i="2" l="1"/>
  <c r="AJ8" i="2" s="1"/>
  <c r="AK8" i="2" s="1"/>
  <c r="AL8" i="2" s="1"/>
  <c r="AM8" i="2" s="1"/>
  <c r="AN8" i="2" s="1"/>
  <c r="AO8" i="2" s="1"/>
  <c r="AP8" i="2" s="1"/>
  <c r="AQ8" i="2" s="1"/>
  <c r="S34" i="2"/>
  <c r="S23" i="2"/>
  <c r="R22" i="2"/>
  <c r="R23" i="2" s="1"/>
  <c r="N62" i="2"/>
  <c r="N64" i="2"/>
  <c r="Q34" i="2"/>
  <c r="R63" i="2"/>
  <c r="L64" i="2"/>
  <c r="P34" i="2"/>
  <c r="R10" i="2"/>
  <c r="M64" i="2"/>
  <c r="Q62" i="2"/>
  <c r="R62" i="2" s="1"/>
  <c r="Q64" i="2"/>
  <c r="AH64" i="2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AF23" i="2"/>
  <c r="AF27" i="2" s="1"/>
  <c r="AF29" i="2" s="1"/>
  <c r="AF65" i="2" s="1"/>
  <c r="O10" i="2"/>
  <c r="P10" i="2"/>
  <c r="O34" i="2"/>
  <c r="H34" i="2"/>
  <c r="Q10" i="2"/>
  <c r="O23" i="2"/>
  <c r="P23" i="2"/>
  <c r="M23" i="2"/>
  <c r="M27" i="2" s="1"/>
  <c r="Q22" i="2"/>
  <c r="Q23" i="2" s="1"/>
  <c r="Q33" i="2" s="1"/>
  <c r="AE10" i="2"/>
  <c r="G34" i="2"/>
  <c r="J8" i="2"/>
  <c r="L10" i="2"/>
  <c r="I10" i="2"/>
  <c r="H10" i="2"/>
  <c r="K10" i="2"/>
  <c r="I34" i="2"/>
  <c r="G10" i="2"/>
  <c r="K34" i="2"/>
  <c r="N15" i="2"/>
  <c r="AE23" i="2"/>
  <c r="AE27" i="2" s="1"/>
  <c r="AE29" i="2" s="1"/>
  <c r="AE65" i="2" s="1"/>
  <c r="C23" i="2"/>
  <c r="D23" i="2"/>
  <c r="E23" i="2"/>
  <c r="E33" i="2" s="1"/>
  <c r="I23" i="2"/>
  <c r="L34" i="2"/>
  <c r="H23" i="2"/>
  <c r="L23" i="2"/>
  <c r="G23" i="2"/>
  <c r="G27" i="2" s="1"/>
  <c r="G29" i="2" s="1"/>
  <c r="G31" i="2" s="1"/>
  <c r="F22" i="2"/>
  <c r="J22" i="2"/>
  <c r="Y15" i="2"/>
  <c r="Y23" i="2" s="1"/>
  <c r="Z15" i="2"/>
  <c r="AA15" i="2"/>
  <c r="AD15" i="2"/>
  <c r="AC15" i="2"/>
  <c r="AC10" i="2" s="1"/>
  <c r="AB15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H5" i="1"/>
  <c r="H8" i="1" s="1"/>
  <c r="S67" i="2" l="1"/>
  <c r="S27" i="2"/>
  <c r="S29" i="2" s="1"/>
  <c r="S33" i="2"/>
  <c r="O67" i="2"/>
  <c r="R64" i="2"/>
  <c r="P67" i="2"/>
  <c r="R67" i="2"/>
  <c r="N67" i="2"/>
  <c r="R33" i="2"/>
  <c r="R27" i="2"/>
  <c r="R29" i="2" s="1"/>
  <c r="Q67" i="2"/>
  <c r="M29" i="2"/>
  <c r="N10" i="2"/>
  <c r="O27" i="2"/>
  <c r="O29" i="2" s="1"/>
  <c r="O33" i="2"/>
  <c r="P27" i="2"/>
  <c r="P29" i="2" s="1"/>
  <c r="P33" i="2"/>
  <c r="Q27" i="2"/>
  <c r="J15" i="2"/>
  <c r="N34" i="2" s="1"/>
  <c r="AD10" i="2"/>
  <c r="AF10" i="2"/>
  <c r="AG10" i="2" s="1"/>
  <c r="M10" i="2"/>
  <c r="AE31" i="2"/>
  <c r="M34" i="2"/>
  <c r="N21" i="2"/>
  <c r="N18" i="2"/>
  <c r="N17" i="2"/>
  <c r="N20" i="2"/>
  <c r="N19" i="2"/>
  <c r="N16" i="2"/>
  <c r="C33" i="2"/>
  <c r="C27" i="2"/>
  <c r="C29" i="2" s="1"/>
  <c r="C31" i="2" s="1"/>
  <c r="D27" i="2"/>
  <c r="D29" i="2" s="1"/>
  <c r="D31" i="2" s="1"/>
  <c r="D33" i="2"/>
  <c r="E27" i="2"/>
  <c r="E29" i="2" s="1"/>
  <c r="E31" i="2" s="1"/>
  <c r="I27" i="2"/>
  <c r="I29" i="2" s="1"/>
  <c r="I31" i="2" s="1"/>
  <c r="I33" i="2"/>
  <c r="H33" i="2"/>
  <c r="H27" i="2"/>
  <c r="H29" i="2" s="1"/>
  <c r="H31" i="2" s="1"/>
  <c r="L33" i="2"/>
  <c r="L27" i="2"/>
  <c r="G33" i="2"/>
  <c r="AS70" i="2"/>
  <c r="AS73" i="2" s="1"/>
  <c r="AA23" i="2"/>
  <c r="AA34" i="2"/>
  <c r="Z23" i="2"/>
  <c r="Z34" i="2"/>
  <c r="Y27" i="2"/>
  <c r="Y29" i="2" s="1"/>
  <c r="Y31" i="2" s="1"/>
  <c r="Y33" i="2"/>
  <c r="AB34" i="2"/>
  <c r="F15" i="2"/>
  <c r="AC34" i="2"/>
  <c r="AD23" i="2"/>
  <c r="J23" i="2" s="1"/>
  <c r="AD34" i="2"/>
  <c r="AB23" i="2"/>
  <c r="AB33" i="2" s="1"/>
  <c r="AC23" i="2"/>
  <c r="AC33" i="2" s="1"/>
  <c r="S31" i="2" l="1"/>
  <c r="S65" i="2"/>
  <c r="J33" i="2"/>
  <c r="J10" i="2"/>
  <c r="R31" i="2"/>
  <c r="R65" i="2"/>
  <c r="P31" i="2"/>
  <c r="P65" i="2"/>
  <c r="O31" i="2"/>
  <c r="O65" i="2"/>
  <c r="AH10" i="2"/>
  <c r="M31" i="2"/>
  <c r="M65" i="2"/>
  <c r="L29" i="2"/>
  <c r="Q29" i="2"/>
  <c r="J34" i="2"/>
  <c r="N22" i="2"/>
  <c r="N23" i="2" s="1"/>
  <c r="N33" i="2" s="1"/>
  <c r="K22" i="2"/>
  <c r="K23" i="2" s="1"/>
  <c r="AD27" i="2"/>
  <c r="AD33" i="2"/>
  <c r="Z27" i="2"/>
  <c r="Z29" i="2" s="1"/>
  <c r="Z31" i="2" s="1"/>
  <c r="Z33" i="2"/>
  <c r="AA27" i="2"/>
  <c r="AA29" i="2" s="1"/>
  <c r="AA31" i="2" s="1"/>
  <c r="AA33" i="2"/>
  <c r="AC27" i="2"/>
  <c r="F23" i="2"/>
  <c r="F33" i="2" s="1"/>
  <c r="AB27" i="2"/>
  <c r="AI10" i="2" l="1"/>
  <c r="AJ10" i="2" s="1"/>
  <c r="AK10" i="2" s="1"/>
  <c r="AL10" i="2" s="1"/>
  <c r="AM10" i="2" s="1"/>
  <c r="AN10" i="2" s="1"/>
  <c r="AO10" i="2" s="1"/>
  <c r="AP10" i="2" s="1"/>
  <c r="AQ10" i="2" s="1"/>
  <c r="AH15" i="2"/>
  <c r="Q31" i="2"/>
  <c r="Q65" i="2"/>
  <c r="R68" i="2" s="1"/>
  <c r="L31" i="2"/>
  <c r="N31" i="2" s="1"/>
  <c r="L65" i="2"/>
  <c r="AI15" i="2"/>
  <c r="N25" i="2"/>
  <c r="N26" i="2"/>
  <c r="M33" i="2"/>
  <c r="N24" i="2"/>
  <c r="AD29" i="2"/>
  <c r="J27" i="2"/>
  <c r="K33" i="2"/>
  <c r="AB29" i="2"/>
  <c r="AB65" i="2" s="1"/>
  <c r="AC29" i="2"/>
  <c r="AC65" i="2" s="1"/>
  <c r="F27" i="2"/>
  <c r="S68" i="2" l="1"/>
  <c r="AH17" i="2"/>
  <c r="AJ15" i="2"/>
  <c r="AH20" i="2"/>
  <c r="AH21" i="2"/>
  <c r="N27" i="2"/>
  <c r="AD65" i="2"/>
  <c r="AE34" i="2"/>
  <c r="K27" i="2"/>
  <c r="K29" i="2" s="1"/>
  <c r="K65" i="2" s="1"/>
  <c r="AD31" i="2"/>
  <c r="J29" i="2"/>
  <c r="AC31" i="2"/>
  <c r="F29" i="2"/>
  <c r="AB31" i="2"/>
  <c r="AI20" i="2" l="1"/>
  <c r="AI21" i="2"/>
  <c r="AI17" i="2"/>
  <c r="N28" i="2"/>
  <c r="N29" i="2" s="1"/>
  <c r="AF34" i="2"/>
  <c r="N30" i="2" l="1"/>
  <c r="N65" i="2"/>
  <c r="AJ17" i="2"/>
  <c r="AJ20" i="2"/>
  <c r="AJ21" i="2"/>
  <c r="AK15" i="2"/>
  <c r="AG34" i="2"/>
  <c r="K31" i="2"/>
  <c r="AE33" i="2"/>
  <c r="Q68" i="2" l="1"/>
  <c r="P68" i="2"/>
  <c r="O68" i="2"/>
  <c r="N68" i="2"/>
  <c r="AH16" i="2"/>
  <c r="AG22" i="2"/>
  <c r="AG23" i="2" s="1"/>
  <c r="AL15" i="2"/>
  <c r="AF31" i="2"/>
  <c r="AK21" i="2"/>
  <c r="AK20" i="2"/>
  <c r="AH19" i="2"/>
  <c r="AH18" i="2"/>
  <c r="AH34" i="2"/>
  <c r="AL20" i="2" l="1"/>
  <c r="AL21" i="2"/>
  <c r="AM15" i="2"/>
  <c r="AM20" i="2" s="1"/>
  <c r="AM21" i="2"/>
  <c r="AH22" i="2"/>
  <c r="AH23" i="2" s="1"/>
  <c r="AI18" i="2"/>
  <c r="AI34" i="2"/>
  <c r="AF33" i="2"/>
  <c r="AI16" i="2"/>
  <c r="AI19" i="2"/>
  <c r="AI22" i="2" l="1"/>
  <c r="AI23" i="2" s="1"/>
  <c r="AN15" i="2"/>
  <c r="AN20" i="2" s="1"/>
  <c r="AJ16" i="2"/>
  <c r="AG33" i="2"/>
  <c r="AJ34" i="2"/>
  <c r="AJ19" i="2"/>
  <c r="AJ18" i="2"/>
  <c r="AQ15" i="2" l="1"/>
  <c r="AP15" i="2"/>
  <c r="AJ22" i="2"/>
  <c r="AJ23" i="2" s="1"/>
  <c r="AO15" i="2"/>
  <c r="AN21" i="2"/>
  <c r="AH26" i="2"/>
  <c r="AG27" i="2"/>
  <c r="AG29" i="2" s="1"/>
  <c r="AK34" i="2"/>
  <c r="AK17" i="2"/>
  <c r="AK18" i="2"/>
  <c r="AK19" i="2"/>
  <c r="AH33" i="2"/>
  <c r="AK16" i="2"/>
  <c r="AH25" i="2"/>
  <c r="AH27" i="2" s="1"/>
  <c r="AG31" i="2" l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G65" i="2"/>
  <c r="AQ34" i="2"/>
  <c r="AO21" i="2"/>
  <c r="AP21" i="2" s="1"/>
  <c r="AQ21" i="2" s="1"/>
  <c r="AO34" i="2"/>
  <c r="AP34" i="2"/>
  <c r="AK22" i="2"/>
  <c r="AK23" i="2" s="1"/>
  <c r="AO20" i="2"/>
  <c r="AP20" i="2" s="1"/>
  <c r="AQ20" i="2" s="1"/>
  <c r="AL16" i="2"/>
  <c r="AL17" i="2"/>
  <c r="AL18" i="2"/>
  <c r="AI26" i="2"/>
  <c r="AL19" i="2"/>
  <c r="AI25" i="2"/>
  <c r="AL34" i="2"/>
  <c r="AI33" i="2"/>
  <c r="AL22" i="2" l="1"/>
  <c r="AL23" i="2" s="1"/>
  <c r="AJ26" i="2"/>
  <c r="AN34" i="2"/>
  <c r="AM34" i="2"/>
  <c r="AM16" i="2"/>
  <c r="AM18" i="2"/>
  <c r="AN18" i="2" s="1"/>
  <c r="AO18" i="2" s="1"/>
  <c r="AP18" i="2" s="1"/>
  <c r="AQ18" i="2" s="1"/>
  <c r="AJ33" i="2"/>
  <c r="AJ25" i="2"/>
  <c r="AM17" i="2"/>
  <c r="AM19" i="2"/>
  <c r="AM22" i="2" l="1"/>
  <c r="AM23" i="2" s="1"/>
  <c r="AH28" i="2"/>
  <c r="AN17" i="2"/>
  <c r="AO17" i="2" s="1"/>
  <c r="AP17" i="2" s="1"/>
  <c r="AQ17" i="2" s="1"/>
  <c r="AN16" i="2"/>
  <c r="AN19" i="2"/>
  <c r="AO19" i="2" s="1"/>
  <c r="AP19" i="2" s="1"/>
  <c r="AQ19" i="2" s="1"/>
  <c r="AK33" i="2"/>
  <c r="AK25" i="2"/>
  <c r="AK26" i="2"/>
  <c r="AO16" i="2" l="1"/>
  <c r="AN22" i="2"/>
  <c r="AN23" i="2" s="1"/>
  <c r="AL25" i="2"/>
  <c r="AL26" i="2"/>
  <c r="AH29" i="2"/>
  <c r="AH30" i="2" s="1"/>
  <c r="AL33" i="2"/>
  <c r="AO22" i="2" l="1"/>
  <c r="AO23" i="2" s="1"/>
  <c r="AP16" i="2"/>
  <c r="AH39" i="2"/>
  <c r="AM33" i="2"/>
  <c r="AM26" i="2"/>
  <c r="AM25" i="2"/>
  <c r="AI24" i="2" l="1"/>
  <c r="AI27" i="2" s="1"/>
  <c r="AQ16" i="2"/>
  <c r="AQ22" i="2" s="1"/>
  <c r="AQ23" i="2" s="1"/>
  <c r="AQ33" i="2" s="1"/>
  <c r="AP22" i="2"/>
  <c r="AP23" i="2" s="1"/>
  <c r="AP33" i="2" s="1"/>
  <c r="AN33" i="2"/>
  <c r="AO33" i="2"/>
  <c r="AN25" i="2"/>
  <c r="AN26" i="2"/>
  <c r="AI28" i="2" l="1"/>
  <c r="AI29" i="2"/>
  <c r="AI30" i="2" s="1"/>
  <c r="AO26" i="2"/>
  <c r="AP26" i="2" s="1"/>
  <c r="AQ26" i="2" s="1"/>
  <c r="AO25" i="2"/>
  <c r="AP25" i="2" s="1"/>
  <c r="AQ25" i="2" s="1"/>
  <c r="AI39" i="2" l="1"/>
  <c r="AJ24" i="2" l="1"/>
  <c r="AJ27" i="2" s="1"/>
  <c r="AJ28" i="2" l="1"/>
  <c r="AJ29" i="2"/>
  <c r="AJ30" i="2" l="1"/>
  <c r="AJ39" i="2"/>
  <c r="AK24" i="2" l="1"/>
  <c r="AK27" i="2" s="1"/>
  <c r="AK28" i="2" l="1"/>
  <c r="AK29" i="2"/>
  <c r="AK30" i="2" l="1"/>
  <c r="AK39" i="2"/>
  <c r="AL24" i="2" l="1"/>
  <c r="AL27" i="2" s="1"/>
  <c r="AL28" i="2" l="1"/>
  <c r="AL29" i="2" l="1"/>
  <c r="AL30" i="2" l="1"/>
  <c r="AL39" i="2"/>
  <c r="AM24" i="2" l="1"/>
  <c r="AM27" i="2" s="1"/>
  <c r="AM28" i="2" s="1"/>
  <c r="AM29" i="2" l="1"/>
  <c r="AM30" i="2" l="1"/>
  <c r="AM39" i="2"/>
  <c r="AN24" i="2" l="1"/>
  <c r="AN27" i="2" s="1"/>
  <c r="AN28" i="2" l="1"/>
  <c r="AN29" i="2" l="1"/>
  <c r="AN30" i="2" l="1"/>
  <c r="AN39" i="2"/>
  <c r="AO24" i="2" l="1"/>
  <c r="AO27" i="2" s="1"/>
  <c r="AO28" i="2" l="1"/>
  <c r="AO29" i="2" l="1"/>
  <c r="AO30" i="2" l="1"/>
  <c r="AO39" i="2"/>
  <c r="AP24" i="2" l="1"/>
  <c r="AP27" i="2" s="1"/>
  <c r="AP28" i="2" l="1"/>
  <c r="AP29" i="2" s="1"/>
  <c r="AP30" i="2" l="1"/>
  <c r="AP39" i="2"/>
  <c r="AQ24" i="2" s="1"/>
  <c r="AQ27" i="2" s="1"/>
  <c r="AQ28" i="2" s="1"/>
  <c r="AQ29" i="2" s="1"/>
  <c r="AQ39" i="2" l="1"/>
  <c r="AQ30" i="2"/>
  <c r="AR29" i="2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GN29" i="2" s="1"/>
  <c r="GO29" i="2" s="1"/>
  <c r="GP29" i="2" s="1"/>
  <c r="GQ29" i="2" s="1"/>
  <c r="GR29" i="2" s="1"/>
  <c r="GS29" i="2" s="1"/>
  <c r="GT29" i="2" s="1"/>
  <c r="GU29" i="2" s="1"/>
  <c r="GV29" i="2" s="1"/>
  <c r="GW29" i="2" s="1"/>
  <c r="GX29" i="2" s="1"/>
  <c r="GY29" i="2" s="1"/>
  <c r="GZ29" i="2" s="1"/>
  <c r="HA29" i="2" s="1"/>
  <c r="HB29" i="2" s="1"/>
  <c r="HC29" i="2" s="1"/>
  <c r="HD29" i="2" s="1"/>
  <c r="HE29" i="2" s="1"/>
  <c r="HF29" i="2" s="1"/>
  <c r="HG29" i="2" s="1"/>
  <c r="HH29" i="2" s="1"/>
  <c r="HI29" i="2" s="1"/>
  <c r="HJ29" i="2" s="1"/>
  <c r="HK29" i="2" s="1"/>
  <c r="HL29" i="2" s="1"/>
  <c r="HM29" i="2" s="1"/>
  <c r="HN29" i="2" s="1"/>
  <c r="HO29" i="2" s="1"/>
  <c r="HP29" i="2" s="1"/>
  <c r="HQ29" i="2" s="1"/>
  <c r="HR29" i="2" s="1"/>
  <c r="HS29" i="2" s="1"/>
  <c r="HT29" i="2" s="1"/>
  <c r="HU29" i="2" s="1"/>
  <c r="HV29" i="2" s="1"/>
  <c r="HW29" i="2" s="1"/>
  <c r="HX29" i="2" s="1"/>
  <c r="HY29" i="2" s="1"/>
  <c r="HZ29" i="2" s="1"/>
  <c r="IA29" i="2" s="1"/>
  <c r="IB29" i="2" s="1"/>
  <c r="IC29" i="2" s="1"/>
  <c r="ID29" i="2" s="1"/>
  <c r="IE29" i="2" s="1"/>
  <c r="IF29" i="2" s="1"/>
  <c r="IG29" i="2" s="1"/>
  <c r="IH29" i="2" s="1"/>
  <c r="II29" i="2" s="1"/>
  <c r="AU42" i="2" l="1"/>
  <c r="AU44" i="2" s="1"/>
  <c r="AU46" i="2" s="1"/>
</calcChain>
</file>

<file path=xl/sharedStrings.xml><?xml version="1.0" encoding="utf-8"?>
<sst xmlns="http://schemas.openxmlformats.org/spreadsheetml/2006/main" count="100" uniqueCount="89">
  <si>
    <t>Price</t>
  </si>
  <si>
    <t>Shares</t>
  </si>
  <si>
    <t>MC</t>
  </si>
  <si>
    <t>Cash</t>
  </si>
  <si>
    <t>Debt</t>
  </si>
  <si>
    <t>EV</t>
  </si>
  <si>
    <t>Company Sales</t>
  </si>
  <si>
    <t>Franchise &amp; ppty revenues</t>
  </si>
  <si>
    <t>Franchise contributions</t>
  </si>
  <si>
    <t xml:space="preserve">Total Revenue </t>
  </si>
  <si>
    <t>Q120</t>
  </si>
  <si>
    <t>Q220</t>
  </si>
  <si>
    <t>Q320</t>
  </si>
  <si>
    <t>Q420</t>
  </si>
  <si>
    <t>Refranchise loss</t>
  </si>
  <si>
    <t>Company restaurant expense</t>
  </si>
  <si>
    <t>G&amp;A</t>
  </si>
  <si>
    <t>Franchise &amp; ppty exp</t>
  </si>
  <si>
    <t>Franchise adv</t>
  </si>
  <si>
    <t>Other expense</t>
  </si>
  <si>
    <t>Total costs and expense</t>
  </si>
  <si>
    <t xml:space="preserve">Operating profit </t>
  </si>
  <si>
    <t>Investment expense</t>
  </si>
  <si>
    <t>Other pension</t>
  </si>
  <si>
    <t>Interest expense</t>
  </si>
  <si>
    <t>Income Before Taxes</t>
  </si>
  <si>
    <t>Taxes</t>
  </si>
  <si>
    <t xml:space="preserve">Net Income </t>
  </si>
  <si>
    <t>Eps</t>
  </si>
  <si>
    <t>Q121</t>
  </si>
  <si>
    <t>Q221</t>
  </si>
  <si>
    <t>Q321</t>
  </si>
  <si>
    <t>Q421</t>
  </si>
  <si>
    <t>Maturity</t>
  </si>
  <si>
    <t>Discount</t>
  </si>
  <si>
    <t>NPV</t>
  </si>
  <si>
    <t>Estimate</t>
  </si>
  <si>
    <t>IN $M</t>
  </si>
  <si>
    <t xml:space="preserve">Cash </t>
  </si>
  <si>
    <t>Account &amp; note Rec.</t>
  </si>
  <si>
    <t>Prepaid expense</t>
  </si>
  <si>
    <t xml:space="preserve">Current Assets </t>
  </si>
  <si>
    <t>PP&amp;E</t>
  </si>
  <si>
    <t>Goodwill</t>
  </si>
  <si>
    <t>Intangible Assets</t>
  </si>
  <si>
    <t>Other Assets</t>
  </si>
  <si>
    <t>Deferred income tax</t>
  </si>
  <si>
    <t xml:space="preserve">Total Assets </t>
  </si>
  <si>
    <t>Income Taxes Payable</t>
  </si>
  <si>
    <t>Short-term borrowings</t>
  </si>
  <si>
    <t>Current Liabilities</t>
  </si>
  <si>
    <t>Long term debt</t>
  </si>
  <si>
    <t>Other liabilities &amp; deferree cred</t>
  </si>
  <si>
    <t>Total Liabilities</t>
  </si>
  <si>
    <t>Equity</t>
  </si>
  <si>
    <t>TL+E</t>
  </si>
  <si>
    <t>Net Cash</t>
  </si>
  <si>
    <t>ROIC</t>
  </si>
  <si>
    <t>CFFO</t>
  </si>
  <si>
    <t>Capex</t>
  </si>
  <si>
    <t>Free Cash Flow</t>
  </si>
  <si>
    <t>Q122</t>
  </si>
  <si>
    <t>KFC</t>
  </si>
  <si>
    <t xml:space="preserve">Taco Bell </t>
  </si>
  <si>
    <t>Pizza Hut</t>
  </si>
  <si>
    <t>Habit Burger Grill</t>
  </si>
  <si>
    <t xml:space="preserve">YUM Units </t>
  </si>
  <si>
    <t>Q222</t>
  </si>
  <si>
    <t>Q322</t>
  </si>
  <si>
    <t>Q422</t>
  </si>
  <si>
    <t>RPU</t>
  </si>
  <si>
    <t>OM%</t>
  </si>
  <si>
    <t>Revenue y/y</t>
  </si>
  <si>
    <t>Current</t>
  </si>
  <si>
    <t>Delta</t>
  </si>
  <si>
    <t>Q123</t>
  </si>
  <si>
    <t>Q223</t>
  </si>
  <si>
    <t>Q323</t>
  </si>
  <si>
    <t>Q423</t>
  </si>
  <si>
    <t>A/P &amp; other current liabilities</t>
  </si>
  <si>
    <t>4Q FCF</t>
  </si>
  <si>
    <t>4Q NI</t>
  </si>
  <si>
    <t>Founder</t>
  </si>
  <si>
    <t>Founded</t>
  </si>
  <si>
    <t>Q124</t>
  </si>
  <si>
    <t>Release</t>
  </si>
  <si>
    <t>$M</t>
  </si>
  <si>
    <t>SSS</t>
  </si>
  <si>
    <t xml:space="preserve">Transcript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</si>
</sst>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&quot;M&quot;"/>
  </numFmts>
  <fonts count="8">
    <font>
      <sz val="10"/>
      <color theme="1"/>
      <name val="ArialMT"/>
      <family val="2"/>
    </font>
    <font>
      <sz val="10"/>
      <color theme="1"/>
      <name val="ArialMT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u/>
      <sz val="10"/>
      <color theme="10"/>
      <name val="ArialMT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2" applyFont="1"/>
    <xf numFmtId="165" fontId="2" fillId="0" borderId="0" xfId="0" applyNumberFormat="1" applyFont="1"/>
    <xf numFmtId="165" fontId="3" fillId="0" borderId="0" xfId="0" applyNumberFormat="1" applyFont="1"/>
    <xf numFmtId="14" fontId="2" fillId="0" borderId="0" xfId="0" applyNumberFormat="1" applyFont="1"/>
    <xf numFmtId="3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9" fontId="2" fillId="0" borderId="0" xfId="0" applyNumberFormat="1" applyFont="1"/>
    <xf numFmtId="9" fontId="3" fillId="0" borderId="0" xfId="2" applyFont="1"/>
    <xf numFmtId="9" fontId="2" fillId="2" borderId="0" xfId="2" applyFont="1" applyFill="1"/>
    <xf numFmtId="0" fontId="5" fillId="0" borderId="0" xfId="0" applyFont="1"/>
    <xf numFmtId="0" fontId="6" fillId="0" borderId="0" xfId="0" applyFont="1"/>
    <xf numFmtId="164" fontId="5" fillId="0" borderId="0" xfId="1" applyNumberFormat="1" applyFont="1"/>
    <xf numFmtId="166" fontId="5" fillId="0" borderId="0" xfId="1" applyNumberFormat="1" applyFont="1"/>
    <xf numFmtId="0" fontId="7" fillId="0" borderId="0" xfId="3" applyFont="1"/>
    <xf numFmtId="3" fontId="5" fillId="0" borderId="0" xfId="0" applyNumberFormat="1" applyFont="1"/>
    <xf numFmtId="3" fontId="6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2628</xdr:colOff>
      <xdr:row>0</xdr:row>
      <xdr:rowOff>0</xdr:rowOff>
    </xdr:from>
    <xdr:to>
      <xdr:col>19</xdr:col>
      <xdr:colOff>29735</xdr:colOff>
      <xdr:row>106</xdr:row>
      <xdr:rowOff>77304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8DB8C1-101A-7E43-830F-5074A6507112}"/>
            </a:ext>
          </a:extLst>
        </xdr:cNvPr>
        <xdr:cNvCxnSpPr/>
      </xdr:nvCxnSpPr>
      <xdr:spPr>
        <a:xfrm>
          <a:off x="11446432" y="0"/>
          <a:ext cx="27107" cy="1909969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11544</xdr:colOff>
      <xdr:row>0</xdr:row>
      <xdr:rowOff>0</xdr:rowOff>
    </xdr:from>
    <xdr:to>
      <xdr:col>33</xdr:col>
      <xdr:colOff>24244</xdr:colOff>
      <xdr:row>96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9573EB-4BBA-7D4B-8985-271B42A9BF80}"/>
            </a:ext>
          </a:extLst>
        </xdr:cNvPr>
        <xdr:cNvCxnSpPr/>
      </xdr:nvCxnSpPr>
      <xdr:spPr>
        <a:xfrm flipH="1">
          <a:off x="18530453" y="0"/>
          <a:ext cx="12700" cy="1679863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ool.com/earnings/call-transcripts/2024/05/01/yum-brands-yum-q1-2024-earnings-call-transcript/" TargetMode="External"/><Relationship Id="rId1" Type="http://schemas.openxmlformats.org/officeDocument/2006/relationships/hyperlink" Target="https://s2.q4cdn.com/890585342/files/doc_financials/2023/q4/Q4-2023-Earnings-Releas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87F5-6A72-034C-B2C6-F1A9655F11FB}">
  <dimension ref="B2:I13"/>
  <sheetViews>
    <sheetView tabSelected="1" zoomScale="200" zoomScaleNormal="140" workbookViewId="0">
      <selection activeCell="D21" sqref="D21"/>
    </sheetView>
  </sheetViews>
  <sheetFormatPr baseColWidth="10" defaultRowHeight="13"/>
  <cols>
    <col min="1" max="1" width="2.83203125" style="13" customWidth="1"/>
    <col min="2" max="2" width="8.1640625" style="13" bestFit="1" customWidth="1"/>
    <col min="3" max="6" width="10.83203125" style="13"/>
    <col min="7" max="7" width="6.33203125" style="13" bestFit="1" customWidth="1"/>
    <col min="8" max="8" width="7.5" style="15" bestFit="1" customWidth="1"/>
    <col min="9" max="9" width="4.83203125" style="13" bestFit="1" customWidth="1"/>
    <col min="10" max="16384" width="10.83203125" style="13"/>
  </cols>
  <sheetData>
    <row r="2" spans="2:9">
      <c r="B2" s="13" t="s">
        <v>82</v>
      </c>
      <c r="G2" s="14" t="s">
        <v>86</v>
      </c>
    </row>
    <row r="3" spans="2:9">
      <c r="B3" s="13" t="s">
        <v>83</v>
      </c>
      <c r="G3" s="13" t="s">
        <v>0</v>
      </c>
      <c r="H3" s="15">
        <v>137.65</v>
      </c>
    </row>
    <row r="4" spans="2:9">
      <c r="G4" s="13" t="s">
        <v>1</v>
      </c>
      <c r="H4" s="15">
        <v>281.63221199999998</v>
      </c>
      <c r="I4" s="13" t="s">
        <v>84</v>
      </c>
    </row>
    <row r="5" spans="2:9">
      <c r="G5" s="13" t="s">
        <v>2</v>
      </c>
      <c r="H5" s="15">
        <f>+H3*H4</f>
        <v>38766.673981799999</v>
      </c>
    </row>
    <row r="6" spans="2:9">
      <c r="G6" s="13" t="s">
        <v>3</v>
      </c>
      <c r="H6" s="16">
        <v>652</v>
      </c>
      <c r="I6" s="13" t="str">
        <f>+I4</f>
        <v>Q124</v>
      </c>
    </row>
    <row r="7" spans="2:9">
      <c r="G7" s="13" t="s">
        <v>4</v>
      </c>
      <c r="H7" s="15">
        <f>58+11130</f>
        <v>11188</v>
      </c>
      <c r="I7" s="13" t="str">
        <f>+I6</f>
        <v>Q124</v>
      </c>
    </row>
    <row r="8" spans="2:9">
      <c r="G8" s="13" t="s">
        <v>5</v>
      </c>
      <c r="H8" s="15">
        <f>+H5-H6+H7</f>
        <v>49302.673981799999</v>
      </c>
    </row>
    <row r="10" spans="2:9">
      <c r="B10" s="13" t="s">
        <v>85</v>
      </c>
      <c r="C10" s="13" t="s">
        <v>88</v>
      </c>
    </row>
    <row r="11" spans="2:9">
      <c r="B11" s="17" t="s">
        <v>84</v>
      </c>
      <c r="C11" s="17" t="s">
        <v>84</v>
      </c>
    </row>
    <row r="12" spans="2:9">
      <c r="G12" s="18"/>
    </row>
    <row r="13" spans="2:9">
      <c r="G13" s="19"/>
    </row>
  </sheetData>
  <hyperlinks>
    <hyperlink ref="B11" r:id="rId1" xr:uid="{D6AB8F98-98FE-534F-A1EA-04E159DDBFA3}"/>
    <hyperlink ref="C11" r:id="rId2" xr:uid="{1FCDFCEC-4FA4-7542-B14D-FA724A1322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B12E-E253-154A-9A6B-4C6C26B9C33B}">
  <dimension ref="B2:II73"/>
  <sheetViews>
    <sheetView zoomScale="92" zoomScaleNormal="70" workbookViewId="0">
      <pane xSplit="2" ySplit="3" topLeftCell="J4" activePane="bottomRight" state="frozen"/>
      <selection pane="topRight" activeCell="B1" sqref="B1"/>
      <selection pane="bottomLeft" activeCell="A2" sqref="A2"/>
      <selection pane="bottomRight" activeCell="X14" sqref="X14"/>
    </sheetView>
  </sheetViews>
  <sheetFormatPr baseColWidth="10" defaultRowHeight="14"/>
  <cols>
    <col min="1" max="1" width="2.83203125" style="1" customWidth="1"/>
    <col min="2" max="2" width="25.1640625" style="1" bestFit="1" customWidth="1"/>
    <col min="3" max="5" width="7.5" style="1" bestFit="1" customWidth="1"/>
    <col min="6" max="6" width="5.6640625" style="1" bestFit="1" customWidth="1"/>
    <col min="7" max="9" width="7.5" style="1" bestFit="1" customWidth="1"/>
    <col min="10" max="10" width="7" style="1" bestFit="1" customWidth="1"/>
    <col min="11" max="12" width="7.6640625" style="1" bestFit="1" customWidth="1"/>
    <col min="13" max="14" width="7" style="1" bestFit="1" customWidth="1"/>
    <col min="15" max="15" width="8" style="1" bestFit="1" customWidth="1"/>
    <col min="16" max="21" width="6.83203125" style="1" customWidth="1"/>
    <col min="22" max="24" width="8.1640625" style="1" customWidth="1"/>
    <col min="25" max="26" width="5.6640625" style="1" bestFit="1" customWidth="1"/>
    <col min="27" max="27" width="6.1640625" style="1" bestFit="1" customWidth="1"/>
    <col min="28" max="28" width="5.6640625" style="1" bestFit="1" customWidth="1"/>
    <col min="29" max="31" width="6.6640625" style="1" bestFit="1" customWidth="1"/>
    <col min="32" max="43" width="6.6640625" style="1" customWidth="1"/>
    <col min="44" max="44" width="8.1640625" style="1" bestFit="1" customWidth="1"/>
    <col min="45" max="45" width="6.5" style="1" bestFit="1" customWidth="1"/>
    <col min="46" max="46" width="8.1640625" style="1" bestFit="1" customWidth="1"/>
    <col min="47" max="47" width="6.6640625" style="1" bestFit="1" customWidth="1"/>
    <col min="48" max="110" width="5.6640625" style="1" bestFit="1" customWidth="1"/>
    <col min="111" max="16384" width="10.83203125" style="1"/>
  </cols>
  <sheetData>
    <row r="2" spans="2:243" s="7" customFormat="1">
      <c r="C2" s="7">
        <v>43921</v>
      </c>
      <c r="D2" s="7">
        <v>44012</v>
      </c>
      <c r="E2" s="7">
        <v>44104</v>
      </c>
      <c r="G2" s="7">
        <v>44286</v>
      </c>
      <c r="H2" s="7">
        <v>44377</v>
      </c>
      <c r="I2" s="7">
        <v>44469</v>
      </c>
      <c r="K2" s="7">
        <v>44651</v>
      </c>
      <c r="L2" s="7">
        <v>44742</v>
      </c>
    </row>
    <row r="3" spans="2:243" s="8" customFormat="1">
      <c r="B3" s="8" t="s">
        <v>37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61</v>
      </c>
      <c r="L3" s="8" t="s">
        <v>67</v>
      </c>
      <c r="M3" s="8" t="s">
        <v>68</v>
      </c>
      <c r="N3" s="8" t="s">
        <v>69</v>
      </c>
      <c r="O3" s="8" t="s">
        <v>75</v>
      </c>
      <c r="P3" s="8" t="s">
        <v>76</v>
      </c>
      <c r="Q3" s="8" t="s">
        <v>77</v>
      </c>
      <c r="R3" s="8" t="s">
        <v>78</v>
      </c>
      <c r="S3" s="8" t="s">
        <v>84</v>
      </c>
      <c r="Y3" s="9">
        <v>2015</v>
      </c>
      <c r="Z3" s="9">
        <f>+Y3+1</f>
        <v>2016</v>
      </c>
      <c r="AA3" s="9">
        <f t="shared" ref="AA3:AI3" si="0">+Z3+1</f>
        <v>2017</v>
      </c>
      <c r="AB3" s="9">
        <f t="shared" si="0"/>
        <v>2018</v>
      </c>
      <c r="AC3" s="9">
        <f t="shared" si="0"/>
        <v>2019</v>
      </c>
      <c r="AD3" s="9">
        <f t="shared" si="0"/>
        <v>2020</v>
      </c>
      <c r="AE3" s="9">
        <f t="shared" si="0"/>
        <v>2021</v>
      </c>
      <c r="AF3" s="9">
        <f t="shared" si="0"/>
        <v>2022</v>
      </c>
      <c r="AG3" s="9">
        <f t="shared" si="0"/>
        <v>2023</v>
      </c>
      <c r="AH3" s="9">
        <f t="shared" si="0"/>
        <v>2024</v>
      </c>
      <c r="AI3" s="9">
        <f t="shared" si="0"/>
        <v>2025</v>
      </c>
      <c r="AJ3" s="9">
        <f>+AI3+1</f>
        <v>2026</v>
      </c>
      <c r="AK3" s="9">
        <f t="shared" ref="AK3:AQ3" si="1">+AJ3+1</f>
        <v>2027</v>
      </c>
      <c r="AL3" s="9">
        <f t="shared" si="1"/>
        <v>2028</v>
      </c>
      <c r="AM3" s="9">
        <f t="shared" si="1"/>
        <v>2029</v>
      </c>
      <c r="AN3" s="9">
        <f t="shared" si="1"/>
        <v>2030</v>
      </c>
      <c r="AO3" s="9">
        <f t="shared" si="1"/>
        <v>2031</v>
      </c>
      <c r="AP3" s="9">
        <f t="shared" si="1"/>
        <v>2032</v>
      </c>
      <c r="AQ3" s="9">
        <f t="shared" si="1"/>
        <v>2033</v>
      </c>
      <c r="AR3" s="8">
        <f>+AQ3+1</f>
        <v>2034</v>
      </c>
      <c r="AS3" s="8">
        <f t="shared" ref="AS3:DD3" si="2">+AR3+1</f>
        <v>2035</v>
      </c>
      <c r="AT3" s="8">
        <f t="shared" si="2"/>
        <v>2036</v>
      </c>
      <c r="AU3" s="8">
        <f t="shared" si="2"/>
        <v>2037</v>
      </c>
      <c r="AV3" s="8">
        <f t="shared" si="2"/>
        <v>2038</v>
      </c>
      <c r="AW3" s="8">
        <f t="shared" si="2"/>
        <v>2039</v>
      </c>
      <c r="AX3" s="8">
        <f t="shared" si="2"/>
        <v>2040</v>
      </c>
      <c r="AY3" s="8">
        <f t="shared" si="2"/>
        <v>2041</v>
      </c>
      <c r="AZ3" s="8">
        <f t="shared" si="2"/>
        <v>2042</v>
      </c>
      <c r="BA3" s="8">
        <f t="shared" si="2"/>
        <v>2043</v>
      </c>
      <c r="BB3" s="8">
        <f t="shared" si="2"/>
        <v>2044</v>
      </c>
      <c r="BC3" s="8">
        <f t="shared" si="2"/>
        <v>2045</v>
      </c>
      <c r="BD3" s="8">
        <f t="shared" si="2"/>
        <v>2046</v>
      </c>
      <c r="BE3" s="8">
        <f t="shared" si="2"/>
        <v>2047</v>
      </c>
      <c r="BF3" s="8">
        <f t="shared" si="2"/>
        <v>2048</v>
      </c>
      <c r="BG3" s="8">
        <f t="shared" si="2"/>
        <v>2049</v>
      </c>
      <c r="BH3" s="8">
        <f t="shared" si="2"/>
        <v>2050</v>
      </c>
      <c r="BI3" s="8">
        <f t="shared" si="2"/>
        <v>2051</v>
      </c>
      <c r="BJ3" s="8">
        <f t="shared" si="2"/>
        <v>2052</v>
      </c>
      <c r="BK3" s="8">
        <f t="shared" si="2"/>
        <v>2053</v>
      </c>
      <c r="BL3" s="8">
        <f t="shared" si="2"/>
        <v>2054</v>
      </c>
      <c r="BM3" s="8">
        <f t="shared" si="2"/>
        <v>2055</v>
      </c>
      <c r="BN3" s="8">
        <f t="shared" si="2"/>
        <v>2056</v>
      </c>
      <c r="BO3" s="8">
        <f t="shared" si="2"/>
        <v>2057</v>
      </c>
      <c r="BP3" s="8">
        <f t="shared" si="2"/>
        <v>2058</v>
      </c>
      <c r="BQ3" s="8">
        <f t="shared" si="2"/>
        <v>2059</v>
      </c>
      <c r="BR3" s="8">
        <f t="shared" si="2"/>
        <v>2060</v>
      </c>
      <c r="BS3" s="8">
        <f t="shared" si="2"/>
        <v>2061</v>
      </c>
      <c r="BT3" s="8">
        <f t="shared" si="2"/>
        <v>2062</v>
      </c>
      <c r="BU3" s="8">
        <f t="shared" si="2"/>
        <v>2063</v>
      </c>
      <c r="BV3" s="8">
        <f t="shared" si="2"/>
        <v>2064</v>
      </c>
      <c r="BW3" s="8">
        <f t="shared" si="2"/>
        <v>2065</v>
      </c>
      <c r="BX3" s="8">
        <f t="shared" si="2"/>
        <v>2066</v>
      </c>
      <c r="BY3" s="8">
        <f t="shared" si="2"/>
        <v>2067</v>
      </c>
      <c r="BZ3" s="8">
        <f t="shared" si="2"/>
        <v>2068</v>
      </c>
      <c r="CA3" s="8">
        <f t="shared" si="2"/>
        <v>2069</v>
      </c>
      <c r="CB3" s="8">
        <f t="shared" si="2"/>
        <v>2070</v>
      </c>
      <c r="CC3" s="8">
        <f t="shared" si="2"/>
        <v>2071</v>
      </c>
      <c r="CD3" s="8">
        <f t="shared" si="2"/>
        <v>2072</v>
      </c>
      <c r="CE3" s="8">
        <f t="shared" si="2"/>
        <v>2073</v>
      </c>
      <c r="CF3" s="8">
        <f t="shared" si="2"/>
        <v>2074</v>
      </c>
      <c r="CG3" s="8">
        <f t="shared" si="2"/>
        <v>2075</v>
      </c>
      <c r="CH3" s="8">
        <f t="shared" si="2"/>
        <v>2076</v>
      </c>
      <c r="CI3" s="8">
        <f t="shared" si="2"/>
        <v>2077</v>
      </c>
      <c r="CJ3" s="8">
        <f t="shared" si="2"/>
        <v>2078</v>
      </c>
      <c r="CK3" s="8">
        <f t="shared" si="2"/>
        <v>2079</v>
      </c>
      <c r="CL3" s="8">
        <f t="shared" si="2"/>
        <v>2080</v>
      </c>
      <c r="CM3" s="8">
        <f t="shared" si="2"/>
        <v>2081</v>
      </c>
      <c r="CN3" s="8">
        <f t="shared" si="2"/>
        <v>2082</v>
      </c>
      <c r="CO3" s="8">
        <f t="shared" si="2"/>
        <v>2083</v>
      </c>
      <c r="CP3" s="8">
        <f t="shared" si="2"/>
        <v>2084</v>
      </c>
      <c r="CQ3" s="8">
        <f t="shared" si="2"/>
        <v>2085</v>
      </c>
      <c r="CR3" s="8">
        <f t="shared" si="2"/>
        <v>2086</v>
      </c>
      <c r="CS3" s="8">
        <f t="shared" si="2"/>
        <v>2087</v>
      </c>
      <c r="CT3" s="8">
        <f t="shared" si="2"/>
        <v>2088</v>
      </c>
      <c r="CU3" s="8">
        <f t="shared" si="2"/>
        <v>2089</v>
      </c>
      <c r="CV3" s="8">
        <f t="shared" si="2"/>
        <v>2090</v>
      </c>
      <c r="CW3" s="8">
        <f t="shared" si="2"/>
        <v>2091</v>
      </c>
      <c r="CX3" s="8">
        <f t="shared" si="2"/>
        <v>2092</v>
      </c>
      <c r="CY3" s="8">
        <f t="shared" si="2"/>
        <v>2093</v>
      </c>
      <c r="CZ3" s="8">
        <f t="shared" si="2"/>
        <v>2094</v>
      </c>
      <c r="DA3" s="8">
        <f t="shared" si="2"/>
        <v>2095</v>
      </c>
      <c r="DB3" s="8">
        <f t="shared" si="2"/>
        <v>2096</v>
      </c>
      <c r="DC3" s="8">
        <f t="shared" si="2"/>
        <v>2097</v>
      </c>
      <c r="DD3" s="8">
        <f t="shared" si="2"/>
        <v>2098</v>
      </c>
      <c r="DE3" s="8">
        <f t="shared" ref="DE3:DF3" si="3">+DD3+1</f>
        <v>2099</v>
      </c>
      <c r="DF3" s="8">
        <f t="shared" si="3"/>
        <v>2100</v>
      </c>
      <c r="DG3" s="8">
        <f t="shared" ref="DG3:ER3" si="4">+DF3+1</f>
        <v>2101</v>
      </c>
      <c r="DH3" s="8">
        <f t="shared" si="4"/>
        <v>2102</v>
      </c>
      <c r="DI3" s="8">
        <f t="shared" si="4"/>
        <v>2103</v>
      </c>
      <c r="DJ3" s="8">
        <f t="shared" si="4"/>
        <v>2104</v>
      </c>
      <c r="DK3" s="8">
        <f t="shared" si="4"/>
        <v>2105</v>
      </c>
      <c r="DL3" s="8">
        <f t="shared" si="4"/>
        <v>2106</v>
      </c>
      <c r="DM3" s="8">
        <f t="shared" si="4"/>
        <v>2107</v>
      </c>
      <c r="DN3" s="8">
        <f t="shared" si="4"/>
        <v>2108</v>
      </c>
      <c r="DO3" s="8">
        <f t="shared" si="4"/>
        <v>2109</v>
      </c>
      <c r="DP3" s="8">
        <f t="shared" si="4"/>
        <v>2110</v>
      </c>
      <c r="DQ3" s="8">
        <f t="shared" si="4"/>
        <v>2111</v>
      </c>
      <c r="DR3" s="8">
        <f t="shared" si="4"/>
        <v>2112</v>
      </c>
      <c r="DS3" s="8">
        <f t="shared" si="4"/>
        <v>2113</v>
      </c>
      <c r="DT3" s="8">
        <f t="shared" si="4"/>
        <v>2114</v>
      </c>
      <c r="DU3" s="8">
        <f t="shared" si="4"/>
        <v>2115</v>
      </c>
      <c r="DV3" s="8">
        <f t="shared" si="4"/>
        <v>2116</v>
      </c>
      <c r="DW3" s="8">
        <f t="shared" si="4"/>
        <v>2117</v>
      </c>
      <c r="DX3" s="8">
        <f t="shared" si="4"/>
        <v>2118</v>
      </c>
      <c r="DY3" s="8">
        <f t="shared" si="4"/>
        <v>2119</v>
      </c>
      <c r="DZ3" s="8">
        <f t="shared" si="4"/>
        <v>2120</v>
      </c>
      <c r="EA3" s="8">
        <f t="shared" si="4"/>
        <v>2121</v>
      </c>
      <c r="EB3" s="8">
        <f t="shared" si="4"/>
        <v>2122</v>
      </c>
      <c r="EC3" s="8">
        <f t="shared" si="4"/>
        <v>2123</v>
      </c>
      <c r="ED3" s="8">
        <f t="shared" si="4"/>
        <v>2124</v>
      </c>
      <c r="EE3" s="8">
        <f t="shared" si="4"/>
        <v>2125</v>
      </c>
      <c r="EF3" s="8">
        <f t="shared" si="4"/>
        <v>2126</v>
      </c>
      <c r="EG3" s="8">
        <f t="shared" si="4"/>
        <v>2127</v>
      </c>
      <c r="EH3" s="8">
        <f t="shared" si="4"/>
        <v>2128</v>
      </c>
      <c r="EI3" s="8">
        <f t="shared" si="4"/>
        <v>2129</v>
      </c>
      <c r="EJ3" s="8">
        <f t="shared" si="4"/>
        <v>2130</v>
      </c>
      <c r="EK3" s="8">
        <f t="shared" si="4"/>
        <v>2131</v>
      </c>
      <c r="EL3" s="8">
        <f t="shared" si="4"/>
        <v>2132</v>
      </c>
      <c r="EM3" s="8">
        <f t="shared" si="4"/>
        <v>2133</v>
      </c>
      <c r="EN3" s="8">
        <f t="shared" si="4"/>
        <v>2134</v>
      </c>
      <c r="EO3" s="8">
        <f t="shared" si="4"/>
        <v>2135</v>
      </c>
      <c r="EP3" s="8">
        <f t="shared" si="4"/>
        <v>2136</v>
      </c>
      <c r="EQ3" s="8">
        <f t="shared" si="4"/>
        <v>2137</v>
      </c>
      <c r="ER3" s="8">
        <f t="shared" si="4"/>
        <v>2138</v>
      </c>
      <c r="ES3" s="8">
        <f t="shared" ref="ES3:FI3" si="5">+ER3+1</f>
        <v>2139</v>
      </c>
      <c r="ET3" s="8">
        <f t="shared" si="5"/>
        <v>2140</v>
      </c>
      <c r="EU3" s="8">
        <f t="shared" si="5"/>
        <v>2141</v>
      </c>
      <c r="EV3" s="8">
        <f t="shared" si="5"/>
        <v>2142</v>
      </c>
      <c r="EW3" s="8">
        <f t="shared" si="5"/>
        <v>2143</v>
      </c>
      <c r="EX3" s="8">
        <f t="shared" si="5"/>
        <v>2144</v>
      </c>
      <c r="EY3" s="8">
        <f t="shared" si="5"/>
        <v>2145</v>
      </c>
      <c r="EZ3" s="8">
        <f t="shared" si="5"/>
        <v>2146</v>
      </c>
      <c r="FA3" s="8">
        <f t="shared" si="5"/>
        <v>2147</v>
      </c>
      <c r="FB3" s="8">
        <f t="shared" si="5"/>
        <v>2148</v>
      </c>
      <c r="FC3" s="8">
        <f t="shared" si="5"/>
        <v>2149</v>
      </c>
      <c r="FD3" s="8">
        <f t="shared" si="5"/>
        <v>2150</v>
      </c>
      <c r="FE3" s="8">
        <f t="shared" si="5"/>
        <v>2151</v>
      </c>
      <c r="FF3" s="8">
        <f t="shared" si="5"/>
        <v>2152</v>
      </c>
      <c r="FG3" s="8">
        <f t="shared" si="5"/>
        <v>2153</v>
      </c>
      <c r="FH3" s="8">
        <f t="shared" si="5"/>
        <v>2154</v>
      </c>
      <c r="FI3" s="8">
        <f t="shared" si="5"/>
        <v>2155</v>
      </c>
      <c r="FJ3" s="8">
        <f t="shared" ref="FJ3:GQ3" si="6">+FI3+1</f>
        <v>2156</v>
      </c>
      <c r="FK3" s="8">
        <f t="shared" si="6"/>
        <v>2157</v>
      </c>
      <c r="FL3" s="8">
        <f t="shared" si="6"/>
        <v>2158</v>
      </c>
      <c r="FM3" s="8">
        <f t="shared" si="6"/>
        <v>2159</v>
      </c>
      <c r="FN3" s="8">
        <f t="shared" si="6"/>
        <v>2160</v>
      </c>
      <c r="FO3" s="8">
        <f t="shared" si="6"/>
        <v>2161</v>
      </c>
      <c r="FP3" s="8">
        <f t="shared" si="6"/>
        <v>2162</v>
      </c>
      <c r="FQ3" s="8">
        <f t="shared" si="6"/>
        <v>2163</v>
      </c>
      <c r="FR3" s="8">
        <f t="shared" si="6"/>
        <v>2164</v>
      </c>
      <c r="FS3" s="8">
        <f t="shared" si="6"/>
        <v>2165</v>
      </c>
      <c r="FT3" s="8">
        <f t="shared" si="6"/>
        <v>2166</v>
      </c>
      <c r="FU3" s="8">
        <f t="shared" si="6"/>
        <v>2167</v>
      </c>
      <c r="FV3" s="8">
        <f t="shared" si="6"/>
        <v>2168</v>
      </c>
      <c r="FW3" s="8">
        <f t="shared" si="6"/>
        <v>2169</v>
      </c>
      <c r="FX3" s="8">
        <f t="shared" si="6"/>
        <v>2170</v>
      </c>
      <c r="FY3" s="8">
        <f t="shared" si="6"/>
        <v>2171</v>
      </c>
      <c r="FZ3" s="8">
        <f t="shared" si="6"/>
        <v>2172</v>
      </c>
      <c r="GA3" s="8">
        <f t="shared" si="6"/>
        <v>2173</v>
      </c>
      <c r="GB3" s="8">
        <f t="shared" si="6"/>
        <v>2174</v>
      </c>
      <c r="GC3" s="8">
        <f t="shared" si="6"/>
        <v>2175</v>
      </c>
      <c r="GD3" s="8">
        <f t="shared" si="6"/>
        <v>2176</v>
      </c>
      <c r="GE3" s="8">
        <f t="shared" si="6"/>
        <v>2177</v>
      </c>
      <c r="GF3" s="8">
        <f t="shared" si="6"/>
        <v>2178</v>
      </c>
      <c r="GG3" s="8">
        <f t="shared" si="6"/>
        <v>2179</v>
      </c>
      <c r="GH3" s="8">
        <f t="shared" si="6"/>
        <v>2180</v>
      </c>
      <c r="GI3" s="8">
        <f t="shared" si="6"/>
        <v>2181</v>
      </c>
      <c r="GJ3" s="8">
        <f t="shared" si="6"/>
        <v>2182</v>
      </c>
      <c r="GK3" s="8">
        <f t="shared" si="6"/>
        <v>2183</v>
      </c>
      <c r="GL3" s="8">
        <f t="shared" si="6"/>
        <v>2184</v>
      </c>
      <c r="GM3" s="8">
        <f t="shared" si="6"/>
        <v>2185</v>
      </c>
      <c r="GN3" s="8">
        <f t="shared" si="6"/>
        <v>2186</v>
      </c>
      <c r="GO3" s="8">
        <f t="shared" si="6"/>
        <v>2187</v>
      </c>
      <c r="GP3" s="8">
        <f t="shared" si="6"/>
        <v>2188</v>
      </c>
      <c r="GQ3" s="8">
        <f t="shared" si="6"/>
        <v>2189</v>
      </c>
      <c r="GR3" s="8">
        <f t="shared" ref="GR3:HX3" si="7">+GQ3+1</f>
        <v>2190</v>
      </c>
      <c r="GS3" s="8">
        <f t="shared" si="7"/>
        <v>2191</v>
      </c>
      <c r="GT3" s="8">
        <f t="shared" si="7"/>
        <v>2192</v>
      </c>
      <c r="GU3" s="8">
        <f t="shared" si="7"/>
        <v>2193</v>
      </c>
      <c r="GV3" s="8">
        <f t="shared" si="7"/>
        <v>2194</v>
      </c>
      <c r="GW3" s="8">
        <f t="shared" si="7"/>
        <v>2195</v>
      </c>
      <c r="GX3" s="8">
        <f t="shared" si="7"/>
        <v>2196</v>
      </c>
      <c r="GY3" s="8">
        <f t="shared" si="7"/>
        <v>2197</v>
      </c>
      <c r="GZ3" s="8">
        <f t="shared" si="7"/>
        <v>2198</v>
      </c>
      <c r="HA3" s="8">
        <f t="shared" si="7"/>
        <v>2199</v>
      </c>
      <c r="HB3" s="8">
        <f t="shared" si="7"/>
        <v>2200</v>
      </c>
      <c r="HC3" s="8">
        <f t="shared" si="7"/>
        <v>2201</v>
      </c>
      <c r="HD3" s="8">
        <f t="shared" si="7"/>
        <v>2202</v>
      </c>
      <c r="HE3" s="8">
        <f t="shared" si="7"/>
        <v>2203</v>
      </c>
      <c r="HF3" s="8">
        <f t="shared" si="7"/>
        <v>2204</v>
      </c>
      <c r="HG3" s="8">
        <f t="shared" si="7"/>
        <v>2205</v>
      </c>
      <c r="HH3" s="8">
        <f t="shared" si="7"/>
        <v>2206</v>
      </c>
      <c r="HI3" s="8">
        <f t="shared" si="7"/>
        <v>2207</v>
      </c>
      <c r="HJ3" s="8">
        <f t="shared" si="7"/>
        <v>2208</v>
      </c>
      <c r="HK3" s="8">
        <f t="shared" si="7"/>
        <v>2209</v>
      </c>
      <c r="HL3" s="8">
        <f t="shared" si="7"/>
        <v>2210</v>
      </c>
      <c r="HM3" s="8">
        <f t="shared" si="7"/>
        <v>2211</v>
      </c>
      <c r="HN3" s="8">
        <f t="shared" si="7"/>
        <v>2212</v>
      </c>
      <c r="HO3" s="8">
        <f t="shared" si="7"/>
        <v>2213</v>
      </c>
      <c r="HP3" s="8">
        <f t="shared" si="7"/>
        <v>2214</v>
      </c>
      <c r="HQ3" s="8">
        <f t="shared" si="7"/>
        <v>2215</v>
      </c>
      <c r="HR3" s="8">
        <f t="shared" si="7"/>
        <v>2216</v>
      </c>
      <c r="HS3" s="8">
        <f t="shared" si="7"/>
        <v>2217</v>
      </c>
      <c r="HT3" s="8">
        <f t="shared" si="7"/>
        <v>2218</v>
      </c>
      <c r="HU3" s="8">
        <f t="shared" si="7"/>
        <v>2219</v>
      </c>
      <c r="HV3" s="8">
        <f t="shared" si="7"/>
        <v>2220</v>
      </c>
      <c r="HW3" s="8">
        <f t="shared" si="7"/>
        <v>2221</v>
      </c>
      <c r="HX3" s="8">
        <f t="shared" si="7"/>
        <v>2222</v>
      </c>
      <c r="HY3" s="8">
        <f t="shared" ref="HY3:IH3" si="8">+HX3+1</f>
        <v>2223</v>
      </c>
      <c r="HZ3" s="8">
        <f t="shared" si="8"/>
        <v>2224</v>
      </c>
      <c r="IA3" s="8">
        <f t="shared" si="8"/>
        <v>2225</v>
      </c>
      <c r="IB3" s="8">
        <f t="shared" si="8"/>
        <v>2226</v>
      </c>
      <c r="IC3" s="8">
        <f t="shared" si="8"/>
        <v>2227</v>
      </c>
      <c r="ID3" s="8">
        <f t="shared" si="8"/>
        <v>2228</v>
      </c>
      <c r="IE3" s="8">
        <f t="shared" si="8"/>
        <v>2229</v>
      </c>
      <c r="IF3" s="8">
        <f t="shared" si="8"/>
        <v>2230</v>
      </c>
      <c r="IG3" s="8">
        <f t="shared" si="8"/>
        <v>2231</v>
      </c>
      <c r="IH3" s="8">
        <f t="shared" si="8"/>
        <v>2232</v>
      </c>
      <c r="II3" s="8">
        <f t="shared" ref="II3" si="9">+IH3+1</f>
        <v>2233</v>
      </c>
    </row>
    <row r="4" spans="2:243">
      <c r="B4" s="1" t="s">
        <v>62</v>
      </c>
      <c r="E4" s="1">
        <v>24602</v>
      </c>
      <c r="G4" s="1">
        <v>25292</v>
      </c>
      <c r="H4" s="1">
        <v>25720</v>
      </c>
      <c r="I4" s="1">
        <v>26222</v>
      </c>
      <c r="J4" s="1">
        <f>+AE4</f>
        <v>26934</v>
      </c>
      <c r="K4" s="1">
        <v>27372</v>
      </c>
      <c r="L4" s="1">
        <v>26521</v>
      </c>
      <c r="M4" s="1">
        <v>26872</v>
      </c>
      <c r="N4" s="1">
        <v>27760</v>
      </c>
      <c r="O4" s="1">
        <v>28003</v>
      </c>
      <c r="P4" s="1">
        <v>28500</v>
      </c>
      <c r="Q4" s="1">
        <v>29051</v>
      </c>
      <c r="R4" s="2">
        <v>29900</v>
      </c>
      <c r="S4" s="1">
        <v>30251</v>
      </c>
      <c r="Y4" s="2"/>
      <c r="Z4" s="2"/>
      <c r="AA4" s="2"/>
      <c r="AB4" s="2"/>
      <c r="AC4" s="2">
        <v>24104</v>
      </c>
      <c r="AD4" s="1">
        <v>25000</v>
      </c>
      <c r="AE4" s="1">
        <v>26934</v>
      </c>
      <c r="AF4" s="1">
        <v>27760</v>
      </c>
      <c r="AG4" s="2">
        <v>29900</v>
      </c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243">
      <c r="B5" s="1" t="s">
        <v>63</v>
      </c>
      <c r="E5" s="1">
        <v>17842</v>
      </c>
      <c r="G5" s="1">
        <v>7493</v>
      </c>
      <c r="H5" s="1">
        <v>7567</v>
      </c>
      <c r="I5" s="1">
        <v>7619</v>
      </c>
      <c r="J5" s="1">
        <f>+AE5</f>
        <v>7791</v>
      </c>
      <c r="K5" s="1">
        <v>7831</v>
      </c>
      <c r="L5" s="1">
        <v>7900</v>
      </c>
      <c r="M5" s="1">
        <v>7974</v>
      </c>
      <c r="N5" s="1">
        <v>8218</v>
      </c>
      <c r="O5" s="1">
        <v>8276</v>
      </c>
      <c r="P5" s="1">
        <v>8320</v>
      </c>
      <c r="Q5" s="1">
        <v>8385</v>
      </c>
      <c r="R5" s="2">
        <v>8564</v>
      </c>
      <c r="S5" s="1">
        <v>8555</v>
      </c>
      <c r="Y5" s="2"/>
      <c r="Z5" s="2"/>
      <c r="AA5" s="2"/>
      <c r="AB5" s="2"/>
      <c r="AC5" s="2">
        <v>7363</v>
      </c>
      <c r="AD5" s="1">
        <v>7427</v>
      </c>
      <c r="AE5" s="1">
        <v>7791</v>
      </c>
      <c r="AF5" s="1">
        <v>8218</v>
      </c>
      <c r="AG5" s="2">
        <v>8564</v>
      </c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2:243">
      <c r="B6" s="1" t="s">
        <v>64</v>
      </c>
      <c r="E6" s="1">
        <v>7400</v>
      </c>
      <c r="G6" s="1">
        <v>17710</v>
      </c>
      <c r="H6" s="1">
        <v>17809</v>
      </c>
      <c r="I6" s="1">
        <v>18007</v>
      </c>
      <c r="J6" s="1">
        <f>+AE6</f>
        <v>18381</v>
      </c>
      <c r="K6" s="1">
        <v>18518</v>
      </c>
      <c r="L6" s="1">
        <v>18591</v>
      </c>
      <c r="M6" s="1">
        <v>18807</v>
      </c>
      <c r="N6" s="1">
        <v>19034</v>
      </c>
      <c r="O6" s="1">
        <v>19046</v>
      </c>
      <c r="P6" s="1">
        <v>19242</v>
      </c>
      <c r="Q6" s="1">
        <v>19469</v>
      </c>
      <c r="R6" s="2">
        <v>19866</v>
      </c>
      <c r="S6" s="1">
        <v>19942</v>
      </c>
      <c r="Y6" s="2"/>
      <c r="Z6" s="2"/>
      <c r="AA6" s="2"/>
      <c r="AB6" s="2"/>
      <c r="AC6" s="2">
        <v>18703</v>
      </c>
      <c r="AD6" s="1">
        <v>17639</v>
      </c>
      <c r="AE6" s="1">
        <v>18381</v>
      </c>
      <c r="AF6" s="1">
        <v>19034</v>
      </c>
      <c r="AG6" s="2">
        <v>19866</v>
      </c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2:243">
      <c r="B7" s="1" t="s">
        <v>65</v>
      </c>
      <c r="G7" s="1">
        <v>293</v>
      </c>
      <c r="H7" s="1">
        <v>295</v>
      </c>
      <c r="I7" s="1">
        <v>303</v>
      </c>
      <c r="J7" s="1">
        <f>+AE7</f>
        <v>318</v>
      </c>
      <c r="K7" s="1">
        <v>331</v>
      </c>
      <c r="L7" s="1">
        <v>338</v>
      </c>
      <c r="M7" s="1">
        <v>341</v>
      </c>
      <c r="N7" s="1">
        <v>349</v>
      </c>
      <c r="O7" s="1">
        <v>358</v>
      </c>
      <c r="P7" s="1">
        <v>363</v>
      </c>
      <c r="Q7" s="1">
        <v>369</v>
      </c>
      <c r="R7" s="2">
        <v>378</v>
      </c>
      <c r="S7" s="1">
        <v>381</v>
      </c>
      <c r="Y7" s="2"/>
      <c r="Z7" s="2"/>
      <c r="AA7" s="2"/>
      <c r="AB7" s="2"/>
      <c r="AC7" s="2">
        <v>287</v>
      </c>
      <c r="AD7" s="1">
        <v>318</v>
      </c>
      <c r="AE7" s="1">
        <v>318</v>
      </c>
      <c r="AF7" s="1">
        <v>349</v>
      </c>
      <c r="AG7" s="2">
        <v>378</v>
      </c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2:243" s="3" customFormat="1">
      <c r="B8" s="3" t="s">
        <v>66</v>
      </c>
      <c r="C8" s="3">
        <f t="shared" ref="C8:J8" si="10">+SUM(C4:C7)</f>
        <v>0</v>
      </c>
      <c r="D8" s="3">
        <f t="shared" si="10"/>
        <v>0</v>
      </c>
      <c r="E8" s="3">
        <f t="shared" si="10"/>
        <v>49844</v>
      </c>
      <c r="F8" s="3">
        <f t="shared" si="10"/>
        <v>0</v>
      </c>
      <c r="G8" s="3">
        <f t="shared" si="10"/>
        <v>50788</v>
      </c>
      <c r="H8" s="3">
        <f t="shared" si="10"/>
        <v>51391</v>
      </c>
      <c r="I8" s="3">
        <f t="shared" si="10"/>
        <v>52151</v>
      </c>
      <c r="J8" s="3">
        <f t="shared" si="10"/>
        <v>53424</v>
      </c>
      <c r="K8" s="3">
        <f t="shared" ref="K8:S8" si="11">+SUM(K4:K7)</f>
        <v>54052</v>
      </c>
      <c r="L8" s="3">
        <f t="shared" si="11"/>
        <v>53350</v>
      </c>
      <c r="M8" s="3">
        <f t="shared" si="11"/>
        <v>53994</v>
      </c>
      <c r="N8" s="3">
        <f t="shared" si="11"/>
        <v>55361</v>
      </c>
      <c r="O8" s="3">
        <f t="shared" si="11"/>
        <v>55683</v>
      </c>
      <c r="P8" s="3">
        <f t="shared" si="11"/>
        <v>56425</v>
      </c>
      <c r="Q8" s="3">
        <f t="shared" si="11"/>
        <v>57274</v>
      </c>
      <c r="R8" s="3">
        <f t="shared" si="11"/>
        <v>58708</v>
      </c>
      <c r="S8" s="3">
        <f t="shared" si="11"/>
        <v>59129</v>
      </c>
      <c r="Y8" s="3">
        <f t="shared" ref="Y8:AD8" si="12">+SUM(Y4:Y7)</f>
        <v>0</v>
      </c>
      <c r="Z8" s="3">
        <f t="shared" si="12"/>
        <v>0</v>
      </c>
      <c r="AA8" s="3">
        <f t="shared" si="12"/>
        <v>0</v>
      </c>
      <c r="AB8" s="3">
        <f t="shared" si="12"/>
        <v>0</v>
      </c>
      <c r="AC8" s="3">
        <f t="shared" si="12"/>
        <v>50457</v>
      </c>
      <c r="AD8" s="3">
        <f t="shared" si="12"/>
        <v>50384</v>
      </c>
      <c r="AE8" s="3">
        <f>+SUM(AE4:AE7)</f>
        <v>53424</v>
      </c>
      <c r="AF8" s="3">
        <f>+SUM(AF4:AF7)</f>
        <v>55361</v>
      </c>
      <c r="AG8" s="3">
        <f>+SUM(AG4:AG7)</f>
        <v>58708</v>
      </c>
      <c r="AH8" s="3">
        <f>+S8+1200</f>
        <v>60329</v>
      </c>
      <c r="AI8" s="3">
        <f>+AH8+1200</f>
        <v>61529</v>
      </c>
      <c r="AJ8" s="3">
        <f t="shared" ref="AJ8:AQ8" si="13">+AI8+1200</f>
        <v>62729</v>
      </c>
      <c r="AK8" s="3">
        <f t="shared" si="13"/>
        <v>63929</v>
      </c>
      <c r="AL8" s="3">
        <f t="shared" si="13"/>
        <v>65129</v>
      </c>
      <c r="AM8" s="3">
        <f t="shared" si="13"/>
        <v>66329</v>
      </c>
      <c r="AN8" s="3">
        <f t="shared" si="13"/>
        <v>67529</v>
      </c>
      <c r="AO8" s="3">
        <f t="shared" si="13"/>
        <v>68729</v>
      </c>
      <c r="AP8" s="3">
        <f t="shared" si="13"/>
        <v>69929</v>
      </c>
      <c r="AQ8" s="3">
        <f t="shared" si="13"/>
        <v>71129</v>
      </c>
    </row>
    <row r="9" spans="2:243"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2:243">
      <c r="B10" s="1" t="s">
        <v>70</v>
      </c>
      <c r="G10" s="1">
        <f t="shared" ref="G10:S10" si="14">(G15*1000)/G8</f>
        <v>29.258880050405608</v>
      </c>
      <c r="H10" s="1">
        <f t="shared" si="14"/>
        <v>31.172773442820727</v>
      </c>
      <c r="I10" s="1">
        <f t="shared" si="14"/>
        <v>30.795190887998313</v>
      </c>
      <c r="J10" s="1">
        <f t="shared" si="14"/>
        <v>17.932015573525007</v>
      </c>
      <c r="K10" s="1">
        <f t="shared" si="14"/>
        <v>28.620587582328127</v>
      </c>
      <c r="L10" s="1">
        <f t="shared" si="14"/>
        <v>30.665417057169634</v>
      </c>
      <c r="M10" s="1">
        <f t="shared" si="14"/>
        <v>30.373745230951588</v>
      </c>
      <c r="N10" s="1">
        <f t="shared" si="14"/>
        <v>17.650692725926195</v>
      </c>
      <c r="O10" s="1">
        <f t="shared" si="14"/>
        <v>29.542230124095326</v>
      </c>
      <c r="P10" s="1">
        <f t="shared" si="14"/>
        <v>29.898094816127603</v>
      </c>
      <c r="Q10" s="1">
        <f t="shared" si="14"/>
        <v>29.821559520899534</v>
      </c>
      <c r="R10" s="1">
        <f t="shared" si="14"/>
        <v>34.680111739456294</v>
      </c>
      <c r="S10" s="1">
        <f t="shared" si="14"/>
        <v>27.025655769588528</v>
      </c>
      <c r="Y10" s="2"/>
      <c r="Z10" s="2"/>
      <c r="AA10" s="2"/>
      <c r="AB10" s="2"/>
      <c r="AC10" s="2">
        <f>+AC15*1000/AC8</f>
        <v>110.92613512495788</v>
      </c>
      <c r="AD10" s="2">
        <f>+AD15*1000/AD8</f>
        <v>112.1784693553509</v>
      </c>
      <c r="AE10" s="2">
        <f>+AE15*1000/AE8</f>
        <v>123.24049116501946</v>
      </c>
      <c r="AF10" s="2">
        <f>+AF15*1000/AF8</f>
        <v>123.58880800563574</v>
      </c>
      <c r="AG10" s="2">
        <f t="shared" ref="AG10:AQ10" si="15">+AF10*(1+3%)</f>
        <v>127.29647224580482</v>
      </c>
      <c r="AH10" s="2">
        <f>+AG10*(1+3%)</f>
        <v>131.11536641317898</v>
      </c>
      <c r="AI10" s="2">
        <f>+AH10*(1+3%)</f>
        <v>135.04882740557434</v>
      </c>
      <c r="AJ10" s="2">
        <f t="shared" si="15"/>
        <v>139.10029222774159</v>
      </c>
      <c r="AK10" s="2">
        <f t="shared" si="15"/>
        <v>143.27330099457384</v>
      </c>
      <c r="AL10" s="2">
        <f t="shared" si="15"/>
        <v>147.57150002441105</v>
      </c>
      <c r="AM10" s="2">
        <f t="shared" si="15"/>
        <v>151.99864502514339</v>
      </c>
      <c r="AN10" s="2">
        <f t="shared" si="15"/>
        <v>156.55860437589769</v>
      </c>
      <c r="AO10" s="2">
        <f t="shared" si="15"/>
        <v>161.25536250717462</v>
      </c>
      <c r="AP10" s="2">
        <f t="shared" si="15"/>
        <v>166.09302338238987</v>
      </c>
      <c r="AQ10" s="2">
        <f t="shared" si="15"/>
        <v>171.07581408386159</v>
      </c>
    </row>
    <row r="11" spans="2:243" s="11" customFormat="1">
      <c r="B11" s="11" t="s">
        <v>87</v>
      </c>
      <c r="O11" s="11">
        <v>0.08</v>
      </c>
      <c r="R11" s="11">
        <v>0.06</v>
      </c>
      <c r="S11" s="11">
        <v>-0.03</v>
      </c>
    </row>
    <row r="12" spans="2:243">
      <c r="B12" s="1" t="s">
        <v>6</v>
      </c>
      <c r="C12" s="1">
        <v>355</v>
      </c>
      <c r="D12" s="1">
        <v>403</v>
      </c>
      <c r="E12" s="1">
        <v>486</v>
      </c>
      <c r="F12" s="1">
        <f t="shared" ref="F12:F30" si="16">+AC12-SUM(C12:E12)</f>
        <v>302</v>
      </c>
      <c r="G12" s="1">
        <v>476</v>
      </c>
      <c r="H12" s="1">
        <v>520</v>
      </c>
      <c r="I12" s="1">
        <v>513</v>
      </c>
      <c r="J12" s="1">
        <f t="shared" ref="J12:J30" si="17">+AD12-SUM(G12:I12)</f>
        <v>301</v>
      </c>
      <c r="K12" s="1">
        <v>470</v>
      </c>
      <c r="L12" s="1">
        <v>499</v>
      </c>
      <c r="M12" s="1">
        <v>479</v>
      </c>
      <c r="N12" s="1">
        <f>+J12*1.02</f>
        <v>307.02</v>
      </c>
      <c r="O12" s="1">
        <v>474</v>
      </c>
      <c r="P12" s="1">
        <v>511</v>
      </c>
      <c r="Q12" s="1">
        <v>510</v>
      </c>
      <c r="R12" s="1">
        <f>+AG12-SUM(O12:Q12)</f>
        <v>647</v>
      </c>
      <c r="S12" s="1">
        <v>474</v>
      </c>
      <c r="Y12" s="1">
        <v>4336</v>
      </c>
      <c r="Z12" s="1">
        <v>4189</v>
      </c>
      <c r="AA12" s="1">
        <v>3572</v>
      </c>
      <c r="AB12" s="1">
        <v>2000</v>
      </c>
      <c r="AC12" s="1">
        <v>1546</v>
      </c>
      <c r="AD12" s="1">
        <v>1810</v>
      </c>
      <c r="AE12" s="1">
        <v>2106</v>
      </c>
      <c r="AF12" s="1">
        <v>2072</v>
      </c>
      <c r="AG12" s="1">
        <v>2142</v>
      </c>
    </row>
    <row r="13" spans="2:243">
      <c r="B13" s="1" t="s">
        <v>7</v>
      </c>
      <c r="C13" s="1">
        <v>596</v>
      </c>
      <c r="D13" s="1">
        <v>525</v>
      </c>
      <c r="E13" s="1">
        <v>639</v>
      </c>
      <c r="F13" s="1">
        <f t="shared" si="16"/>
        <v>900</v>
      </c>
      <c r="G13" s="1">
        <v>658</v>
      </c>
      <c r="H13" s="1">
        <v>706</v>
      </c>
      <c r="I13" s="1">
        <v>716</v>
      </c>
      <c r="J13" s="1">
        <f t="shared" si="17"/>
        <v>430</v>
      </c>
      <c r="K13" s="1">
        <v>714</v>
      </c>
      <c r="L13" s="1">
        <v>737</v>
      </c>
      <c r="M13" s="1">
        <v>760</v>
      </c>
      <c r="N13" s="1">
        <f t="shared" ref="N13:N14" si="18">+J13*1.02</f>
        <v>438.6</v>
      </c>
      <c r="O13" s="1">
        <v>770</v>
      </c>
      <c r="P13" s="1">
        <v>785</v>
      </c>
      <c r="Q13" s="1">
        <v>796</v>
      </c>
      <c r="R13" s="1">
        <f>+AG13-SUM(O13:Q13)</f>
        <v>896</v>
      </c>
      <c r="S13" s="1">
        <v>757</v>
      </c>
      <c r="Y13" s="1">
        <v>2082</v>
      </c>
      <c r="Z13" s="1">
        <v>2167</v>
      </c>
      <c r="AA13" s="1">
        <v>2306</v>
      </c>
      <c r="AB13" s="1">
        <v>2482</v>
      </c>
      <c r="AC13" s="1">
        <v>2660</v>
      </c>
      <c r="AD13" s="1">
        <v>2510</v>
      </c>
      <c r="AE13" s="1">
        <v>2900</v>
      </c>
      <c r="AF13" s="1">
        <v>3096</v>
      </c>
      <c r="AG13" s="1">
        <v>3247</v>
      </c>
    </row>
    <row r="14" spans="2:243">
      <c r="B14" s="1" t="s">
        <v>8</v>
      </c>
      <c r="C14" s="1">
        <v>312</v>
      </c>
      <c r="D14" s="1">
        <v>270</v>
      </c>
      <c r="E14" s="1">
        <v>323</v>
      </c>
      <c r="F14" s="1">
        <f t="shared" si="16"/>
        <v>486</v>
      </c>
      <c r="G14" s="1">
        <v>352</v>
      </c>
      <c r="H14" s="1">
        <v>376</v>
      </c>
      <c r="I14" s="1">
        <v>377</v>
      </c>
      <c r="J14" s="1">
        <f t="shared" si="17"/>
        <v>227</v>
      </c>
      <c r="K14" s="1">
        <v>363</v>
      </c>
      <c r="L14" s="1">
        <v>400</v>
      </c>
      <c r="M14" s="1">
        <v>401</v>
      </c>
      <c r="N14" s="1">
        <f t="shared" si="18"/>
        <v>231.54</v>
      </c>
      <c r="O14" s="1">
        <v>401</v>
      </c>
      <c r="P14" s="1">
        <v>391</v>
      </c>
      <c r="Q14" s="1">
        <v>402</v>
      </c>
      <c r="R14" s="1">
        <f>+AG14-SUM(O14:Q14)</f>
        <v>493</v>
      </c>
      <c r="S14" s="1">
        <v>367</v>
      </c>
      <c r="Y14" s="1">
        <v>0</v>
      </c>
      <c r="Z14" s="1">
        <v>0</v>
      </c>
      <c r="AA14" s="1">
        <v>0</v>
      </c>
      <c r="AB14" s="1">
        <v>1206</v>
      </c>
      <c r="AC14" s="1">
        <v>1391</v>
      </c>
      <c r="AD14" s="1">
        <v>1332</v>
      </c>
      <c r="AE14" s="1">
        <v>1578</v>
      </c>
      <c r="AF14" s="1">
        <v>1674</v>
      </c>
      <c r="AG14" s="1">
        <v>1687</v>
      </c>
    </row>
    <row r="15" spans="2:243" s="3" customFormat="1">
      <c r="B15" s="3" t="s">
        <v>9</v>
      </c>
      <c r="C15" s="3">
        <f>+SUM(C12:C14)</f>
        <v>1263</v>
      </c>
      <c r="D15" s="3">
        <f>+SUM(D12:D14)</f>
        <v>1198</v>
      </c>
      <c r="E15" s="3">
        <f>+SUM(E12:E14)</f>
        <v>1448</v>
      </c>
      <c r="F15" s="3">
        <f t="shared" si="16"/>
        <v>1688</v>
      </c>
      <c r="G15" s="3">
        <f>+SUM(G12:G14)</f>
        <v>1486</v>
      </c>
      <c r="H15" s="3">
        <f>+SUM(H12:H14)</f>
        <v>1602</v>
      </c>
      <c r="I15" s="3">
        <f>+SUM(I12:I14)</f>
        <v>1606</v>
      </c>
      <c r="J15" s="3">
        <f t="shared" si="17"/>
        <v>958</v>
      </c>
      <c r="K15" s="3">
        <f t="shared" ref="K15:S15" si="19">+SUM(K12:K14)</f>
        <v>1547</v>
      </c>
      <c r="L15" s="3">
        <f t="shared" si="19"/>
        <v>1636</v>
      </c>
      <c r="M15" s="3">
        <f t="shared" si="19"/>
        <v>1640</v>
      </c>
      <c r="N15" s="3">
        <f t="shared" si="19"/>
        <v>977.16</v>
      </c>
      <c r="O15" s="3">
        <f t="shared" si="19"/>
        <v>1645</v>
      </c>
      <c r="P15" s="3">
        <f t="shared" si="19"/>
        <v>1687</v>
      </c>
      <c r="Q15" s="3">
        <f t="shared" si="19"/>
        <v>1708</v>
      </c>
      <c r="R15" s="3">
        <f t="shared" si="19"/>
        <v>2036</v>
      </c>
      <c r="S15" s="3">
        <f t="shared" si="19"/>
        <v>1598</v>
      </c>
      <c r="Y15" s="3">
        <f t="shared" ref="Y15:AD15" si="20">+SUM(Y12:Y14)</f>
        <v>6418</v>
      </c>
      <c r="Z15" s="3">
        <f t="shared" si="20"/>
        <v>6356</v>
      </c>
      <c r="AA15" s="3">
        <f t="shared" si="20"/>
        <v>5878</v>
      </c>
      <c r="AB15" s="3">
        <f t="shared" si="20"/>
        <v>5688</v>
      </c>
      <c r="AC15" s="3">
        <f t="shared" si="20"/>
        <v>5597</v>
      </c>
      <c r="AD15" s="3">
        <f t="shared" si="20"/>
        <v>5652</v>
      </c>
      <c r="AE15" s="3">
        <f t="shared" ref="AE15:AG15" si="21">+SUM(AE12:AE14)</f>
        <v>6584</v>
      </c>
      <c r="AF15" s="3">
        <f t="shared" si="21"/>
        <v>6842</v>
      </c>
      <c r="AG15" s="3">
        <f t="shared" si="21"/>
        <v>7076</v>
      </c>
      <c r="AH15" s="3">
        <f>+AH8*AH10/1000</f>
        <v>7910.0589403406748</v>
      </c>
      <c r="AI15" s="3">
        <f>+AI8*AI10/1000</f>
        <v>8309.4193014375833</v>
      </c>
      <c r="AJ15" s="3">
        <f>+AJ8*AJ10/1000</f>
        <v>8725.6222311540023</v>
      </c>
      <c r="AK15" s="3">
        <f t="shared" ref="AK15:AQ15" si="22">+AK8*AK10/1000</f>
        <v>9159.3188592821116</v>
      </c>
      <c r="AL15" s="3">
        <f t="shared" si="22"/>
        <v>9611.1842250898662</v>
      </c>
      <c r="AM15" s="3">
        <f t="shared" si="22"/>
        <v>10081.918125872737</v>
      </c>
      <c r="AN15" s="3">
        <f t="shared" si="22"/>
        <v>10572.245994899995</v>
      </c>
      <c r="AO15" s="3">
        <f t="shared" si="22"/>
        <v>11082.919809755605</v>
      </c>
      <c r="AP15" s="3">
        <f t="shared" si="22"/>
        <v>11614.719032107141</v>
      </c>
      <c r="AQ15" s="3">
        <f t="shared" si="22"/>
        <v>12168.451579970992</v>
      </c>
    </row>
    <row r="16" spans="2:243">
      <c r="B16" s="1" t="s">
        <v>15</v>
      </c>
      <c r="C16" s="1">
        <v>298</v>
      </c>
      <c r="D16" s="1">
        <v>349</v>
      </c>
      <c r="E16" s="1">
        <v>399</v>
      </c>
      <c r="F16" s="1">
        <f t="shared" si="16"/>
        <v>189</v>
      </c>
      <c r="G16" s="1">
        <v>392</v>
      </c>
      <c r="H16" s="1">
        <v>417</v>
      </c>
      <c r="I16" s="1">
        <v>421</v>
      </c>
      <c r="J16" s="1">
        <f t="shared" si="17"/>
        <v>276</v>
      </c>
      <c r="K16" s="1">
        <v>402</v>
      </c>
      <c r="L16" s="1">
        <v>415</v>
      </c>
      <c r="M16" s="1">
        <v>402</v>
      </c>
      <c r="N16" s="1">
        <f>+N$15*(L16/L$15)</f>
        <v>247.87371638141806</v>
      </c>
      <c r="O16" s="1">
        <v>403</v>
      </c>
      <c r="P16" s="1">
        <v>415</v>
      </c>
      <c r="Q16" s="1">
        <v>421</v>
      </c>
      <c r="R16" s="1">
        <f t="shared" ref="R16:R21" si="23">+AG16-SUM(O16:Q16)</f>
        <v>535</v>
      </c>
      <c r="S16" s="1">
        <v>400</v>
      </c>
      <c r="Y16" s="1">
        <v>3627</v>
      </c>
      <c r="Z16" s="1">
        <v>3489</v>
      </c>
      <c r="AA16" s="1">
        <v>2954</v>
      </c>
      <c r="AB16" s="1">
        <v>1634</v>
      </c>
      <c r="AC16" s="1">
        <v>1235</v>
      </c>
      <c r="AD16" s="1">
        <v>1506</v>
      </c>
      <c r="AE16" s="1">
        <v>1725</v>
      </c>
      <c r="AF16" s="1">
        <v>1745</v>
      </c>
      <c r="AG16" s="1">
        <v>1774</v>
      </c>
      <c r="AH16" s="1">
        <f>(AG16/AG$15)*AH$15</f>
        <v>1983.1040927309718</v>
      </c>
      <c r="AI16" s="1">
        <f t="shared" ref="AI16:AQ16" si="24">(AH16/AH$15)*AI$15</f>
        <v>2083.2263765899197</v>
      </c>
      <c r="AJ16" s="1">
        <f t="shared" si="24"/>
        <v>2187.5712037969474</v>
      </c>
      <c r="AK16" s="1">
        <f t="shared" si="24"/>
        <v>2296.3018168974654</v>
      </c>
      <c r="AL16" s="1">
        <f t="shared" si="24"/>
        <v>2409.5874527005967</v>
      </c>
      <c r="AM16" s="1">
        <f t="shared" si="24"/>
        <v>2527.6035550167094</v>
      </c>
      <c r="AN16" s="1">
        <f t="shared" si="24"/>
        <v>2650.531994764357</v>
      </c>
      <c r="AO16" s="1">
        <f t="shared" si="24"/>
        <v>2778.5612976973493</v>
      </c>
      <c r="AP16" s="1">
        <f t="shared" si="24"/>
        <v>2911.8868800110326</v>
      </c>
      <c r="AQ16" s="1">
        <f t="shared" si="24"/>
        <v>3050.7112920956101</v>
      </c>
    </row>
    <row r="17" spans="2:243">
      <c r="B17" s="1" t="s">
        <v>16</v>
      </c>
      <c r="C17" s="1">
        <v>208</v>
      </c>
      <c r="D17" s="1">
        <v>259</v>
      </c>
      <c r="E17" s="1">
        <v>257</v>
      </c>
      <c r="F17" s="1">
        <f t="shared" si="16"/>
        <v>193</v>
      </c>
      <c r="G17" s="1">
        <v>206</v>
      </c>
      <c r="H17" s="1">
        <v>230</v>
      </c>
      <c r="I17" s="1">
        <v>253</v>
      </c>
      <c r="J17" s="1">
        <f t="shared" si="17"/>
        <v>375</v>
      </c>
      <c r="K17" s="1">
        <v>253</v>
      </c>
      <c r="L17" s="1">
        <v>254</v>
      </c>
      <c r="M17" s="1">
        <v>261</v>
      </c>
      <c r="N17" s="1">
        <f t="shared" ref="N17:N21" si="25">+N$15*(L17/L$15)</f>
        <v>151.71066014669927</v>
      </c>
      <c r="O17" s="1">
        <v>282</v>
      </c>
      <c r="P17" s="1">
        <v>291</v>
      </c>
      <c r="Q17" s="1">
        <v>267</v>
      </c>
      <c r="R17" s="1">
        <f t="shared" si="23"/>
        <v>353</v>
      </c>
      <c r="S17" s="1">
        <v>286</v>
      </c>
      <c r="Y17" s="1">
        <v>1058</v>
      </c>
      <c r="Z17" s="1">
        <v>1129</v>
      </c>
      <c r="AA17" s="1">
        <v>999</v>
      </c>
      <c r="AB17" s="1">
        <v>895</v>
      </c>
      <c r="AC17" s="1">
        <v>917</v>
      </c>
      <c r="AD17" s="1">
        <v>1064</v>
      </c>
      <c r="AE17" s="1">
        <v>1060</v>
      </c>
      <c r="AF17" s="1">
        <v>1140</v>
      </c>
      <c r="AG17" s="1">
        <v>1193</v>
      </c>
      <c r="AH17" s="1">
        <f>(AG17/AG$15)*AH$15</f>
        <v>1333.6207342886412</v>
      </c>
      <c r="AI17" s="1">
        <f>(AH17/AH$15)*AI$15</f>
        <v>1400.9521236030296</v>
      </c>
      <c r="AJ17" s="1">
        <f>(AI17/AI$15)*AJ$15</f>
        <v>1471.1231376154217</v>
      </c>
      <c r="AK17" s="1">
        <f t="shared" ref="AH17:AQ21" si="26">(AJ17/AJ$15)*AK$15</f>
        <v>1544.2435555573147</v>
      </c>
      <c r="AL17" s="1">
        <f t="shared" si="26"/>
        <v>1620.4271877518668</v>
      </c>
      <c r="AM17" s="1">
        <f t="shared" si="26"/>
        <v>1699.7920186780914</v>
      </c>
      <c r="AN17" s="1">
        <f t="shared" si="26"/>
        <v>1782.460354990912</v>
      </c>
      <c r="AO17" s="1">
        <f t="shared" si="26"/>
        <v>1868.5589786656919</v>
      </c>
      <c r="AP17" s="1">
        <f t="shared" si="26"/>
        <v>1958.2193054414668</v>
      </c>
      <c r="AQ17" s="1">
        <f t="shared" si="26"/>
        <v>2051.5775487429892</v>
      </c>
    </row>
    <row r="18" spans="2:243">
      <c r="B18" s="1" t="s">
        <v>17</v>
      </c>
      <c r="C18" s="1">
        <v>58</v>
      </c>
      <c r="D18" s="1">
        <v>36</v>
      </c>
      <c r="E18" s="1">
        <v>13</v>
      </c>
      <c r="F18" s="1">
        <f t="shared" si="16"/>
        <v>73</v>
      </c>
      <c r="G18" s="1">
        <v>23</v>
      </c>
      <c r="H18" s="1">
        <v>27</v>
      </c>
      <c r="I18" s="1">
        <v>31</v>
      </c>
      <c r="J18" s="1">
        <f t="shared" si="17"/>
        <v>64</v>
      </c>
      <c r="K18" s="1">
        <v>32</v>
      </c>
      <c r="L18" s="1">
        <v>29</v>
      </c>
      <c r="M18" s="1">
        <v>28</v>
      </c>
      <c r="N18" s="1">
        <f t="shared" si="25"/>
        <v>17.32129584352078</v>
      </c>
      <c r="O18" s="1">
        <v>36</v>
      </c>
      <c r="P18" s="1">
        <v>32</v>
      </c>
      <c r="Q18" s="1">
        <v>27</v>
      </c>
      <c r="R18" s="1">
        <f t="shared" si="23"/>
        <v>28</v>
      </c>
      <c r="S18" s="1">
        <v>31</v>
      </c>
      <c r="Y18" s="1">
        <v>240</v>
      </c>
      <c r="Z18" s="1">
        <v>201</v>
      </c>
      <c r="AA18" s="1">
        <v>237</v>
      </c>
      <c r="AB18" s="1">
        <v>188</v>
      </c>
      <c r="AC18" s="1">
        <v>180</v>
      </c>
      <c r="AD18" s="1">
        <v>145</v>
      </c>
      <c r="AE18" s="1">
        <v>117</v>
      </c>
      <c r="AF18" s="1">
        <v>123</v>
      </c>
      <c r="AG18" s="1">
        <v>123</v>
      </c>
      <c r="AH18" s="1">
        <f t="shared" si="26"/>
        <v>137.49819808675849</v>
      </c>
      <c r="AI18" s="1">
        <f t="shared" si="26"/>
        <v>144.44016027089071</v>
      </c>
      <c r="AJ18" s="1">
        <f t="shared" si="26"/>
        <v>151.67489180779287</v>
      </c>
      <c r="AK18" s="1">
        <f t="shared" si="26"/>
        <v>159.21371109266531</v>
      </c>
      <c r="AL18" s="1">
        <f t="shared" si="26"/>
        <v>167.06835213200304</v>
      </c>
      <c r="AM18" s="1">
        <f t="shared" si="26"/>
        <v>175.25097929371773</v>
      </c>
      <c r="AN18" s="1">
        <f t="shared" si="26"/>
        <v>183.77420256821642</v>
      </c>
      <c r="AO18" s="1">
        <f t="shared" si="26"/>
        <v>192.65109335782074</v>
      </c>
      <c r="AP18" s="1">
        <f t="shared" si="26"/>
        <v>201.89520081248989</v>
      </c>
      <c r="AQ18" s="1">
        <f t="shared" si="26"/>
        <v>211.52056873041718</v>
      </c>
    </row>
    <row r="19" spans="2:243">
      <c r="B19" s="1" t="s">
        <v>18</v>
      </c>
      <c r="C19" s="1">
        <v>310</v>
      </c>
      <c r="D19" s="1">
        <v>264</v>
      </c>
      <c r="E19" s="1">
        <v>313</v>
      </c>
      <c r="F19" s="1">
        <f t="shared" si="16"/>
        <v>481</v>
      </c>
      <c r="G19" s="1">
        <v>343</v>
      </c>
      <c r="H19" s="1">
        <v>372</v>
      </c>
      <c r="I19" s="1">
        <v>375</v>
      </c>
      <c r="J19" s="1">
        <f t="shared" si="17"/>
        <v>224</v>
      </c>
      <c r="K19" s="1">
        <v>361</v>
      </c>
      <c r="L19" s="1">
        <v>396</v>
      </c>
      <c r="M19" s="1">
        <v>396</v>
      </c>
      <c r="N19" s="1">
        <f t="shared" si="25"/>
        <v>236.52528117359412</v>
      </c>
      <c r="O19" s="1">
        <v>395</v>
      </c>
      <c r="P19" s="1">
        <v>388</v>
      </c>
      <c r="Q19" s="1">
        <v>400</v>
      </c>
      <c r="R19" s="1">
        <f t="shared" si="23"/>
        <v>500</v>
      </c>
      <c r="S19" s="1">
        <v>367</v>
      </c>
      <c r="Y19" s="1">
        <v>16</v>
      </c>
      <c r="Z19" s="1">
        <v>0</v>
      </c>
      <c r="AA19" s="1">
        <v>0</v>
      </c>
      <c r="AB19" s="1">
        <v>1208</v>
      </c>
      <c r="AC19" s="1">
        <v>1368</v>
      </c>
      <c r="AD19" s="1">
        <v>1314</v>
      </c>
      <c r="AE19" s="1">
        <v>1576</v>
      </c>
      <c r="AF19" s="1">
        <v>1667</v>
      </c>
      <c r="AG19" s="1">
        <v>1683</v>
      </c>
      <c r="AH19" s="1">
        <f t="shared" si="26"/>
        <v>1881.377783577354</v>
      </c>
      <c r="AI19" s="1">
        <f t="shared" si="26"/>
        <v>1976.3641441943828</v>
      </c>
      <c r="AJ19" s="1">
        <f t="shared" si="26"/>
        <v>2075.3564464432147</v>
      </c>
      <c r="AK19" s="1">
        <f>(AJ19/AJ$15)*AK$15</f>
        <v>2178.5095590972014</v>
      </c>
      <c r="AL19" s="1">
        <f t="shared" si="26"/>
        <v>2285.9840377086275</v>
      </c>
      <c r="AM19" s="1">
        <f t="shared" si="26"/>
        <v>2397.9463264335527</v>
      </c>
      <c r="AN19" s="1">
        <f t="shared" si="26"/>
        <v>2514.568966848035</v>
      </c>
      <c r="AO19" s="1">
        <f t="shared" si="26"/>
        <v>2636.0308139935964</v>
      </c>
      <c r="AP19" s="1">
        <f t="shared" si="26"/>
        <v>2762.5172598977279</v>
      </c>
      <c r="AQ19" s="1">
        <f t="shared" si="26"/>
        <v>2894.2204648235133</v>
      </c>
    </row>
    <row r="20" spans="2:243">
      <c r="B20" s="1" t="s">
        <v>14</v>
      </c>
      <c r="C20" s="1">
        <v>-13</v>
      </c>
      <c r="D20" s="1">
        <v>-8</v>
      </c>
      <c r="E20" s="1">
        <v>-9</v>
      </c>
      <c r="F20" s="1">
        <f t="shared" si="16"/>
        <v>-7</v>
      </c>
      <c r="G20" s="1">
        <v>-15</v>
      </c>
      <c r="H20" s="1">
        <v>-7</v>
      </c>
      <c r="I20" s="1">
        <v>1</v>
      </c>
      <c r="J20" s="1">
        <f t="shared" si="17"/>
        <v>-13</v>
      </c>
      <c r="K20" s="1">
        <v>-4</v>
      </c>
      <c r="L20" s="1">
        <v>-8</v>
      </c>
      <c r="M20" s="1">
        <v>-3</v>
      </c>
      <c r="N20" s="1">
        <f t="shared" si="25"/>
        <v>-4.7782885085574573</v>
      </c>
      <c r="O20" s="1">
        <v>-4</v>
      </c>
      <c r="P20" s="1">
        <v>-17</v>
      </c>
      <c r="Q20" s="1">
        <v>-19</v>
      </c>
      <c r="R20" s="1">
        <f t="shared" si="23"/>
        <v>11</v>
      </c>
      <c r="S20" s="1">
        <v>-5</v>
      </c>
      <c r="Y20" s="1">
        <v>23</v>
      </c>
      <c r="Z20" s="1">
        <v>-163</v>
      </c>
      <c r="AA20" s="1">
        <v>-1083</v>
      </c>
      <c r="AB20" s="1">
        <v>-540</v>
      </c>
      <c r="AC20" s="1">
        <v>-37</v>
      </c>
      <c r="AD20" s="1">
        <v>-34</v>
      </c>
      <c r="AE20" s="1">
        <v>-35</v>
      </c>
      <c r="AF20" s="1">
        <v>-27</v>
      </c>
      <c r="AG20" s="1">
        <v>-29</v>
      </c>
      <c r="AH20" s="1">
        <f>(AG20/AG$15)*AH$15</f>
        <v>-32.418274345658503</v>
      </c>
      <c r="AI20" s="1">
        <f>(AH20/AH$15)*AI$15</f>
        <v>-34.05499713703928</v>
      </c>
      <c r="AJ20" s="1">
        <f>(AI20/AI$15)*AJ$15</f>
        <v>-35.760746848991815</v>
      </c>
      <c r="AK20" s="1">
        <f>(AJ20/AJ$15)*AK$15</f>
        <v>-37.538192046238166</v>
      </c>
      <c r="AL20" s="1">
        <f>(AK20/AK$15)*AL$15</f>
        <v>-39.390099283155195</v>
      </c>
      <c r="AM20" s="1">
        <f>(AL20/AL$15)*AM$15</f>
        <v>-41.319336581445647</v>
      </c>
      <c r="AN20" s="1">
        <f t="shared" si="26"/>
        <v>-43.328877028278669</v>
      </c>
      <c r="AO20" s="1">
        <f t="shared" si="26"/>
        <v>-45.421802498998389</v>
      </c>
      <c r="AP20" s="1">
        <f t="shared" si="26"/>
        <v>-47.601307508635827</v>
      </c>
      <c r="AQ20" s="1">
        <f t="shared" si="26"/>
        <v>-49.870703196602427</v>
      </c>
    </row>
    <row r="21" spans="2:243">
      <c r="B21" s="1" t="s">
        <v>19</v>
      </c>
      <c r="C21" s="1">
        <v>152</v>
      </c>
      <c r="D21" s="1">
        <v>-2</v>
      </c>
      <c r="E21" s="1">
        <v>4</v>
      </c>
      <c r="F21" s="1">
        <f t="shared" si="16"/>
        <v>-150</v>
      </c>
      <c r="G21" s="1">
        <v>-6</v>
      </c>
      <c r="H21" s="1">
        <v>-4</v>
      </c>
      <c r="I21" s="1">
        <v>-2</v>
      </c>
      <c r="J21" s="1">
        <f t="shared" si="17"/>
        <v>166</v>
      </c>
      <c r="K21" s="1">
        <v>-6</v>
      </c>
      <c r="L21" s="1">
        <v>-4</v>
      </c>
      <c r="M21" s="1">
        <v>10</v>
      </c>
      <c r="N21" s="1">
        <f t="shared" si="25"/>
        <v>-2.3891442542787287</v>
      </c>
      <c r="O21" s="1">
        <v>10</v>
      </c>
      <c r="P21" s="1">
        <v>5</v>
      </c>
      <c r="Q21" s="1">
        <v>-1</v>
      </c>
      <c r="R21" s="1">
        <f t="shared" si="23"/>
        <v>0</v>
      </c>
      <c r="S21" s="1">
        <v>-1</v>
      </c>
      <c r="Y21" s="1">
        <v>20</v>
      </c>
      <c r="Z21" s="1">
        <v>18</v>
      </c>
      <c r="AA21" s="1">
        <v>10</v>
      </c>
      <c r="AB21" s="1">
        <v>7</v>
      </c>
      <c r="AC21" s="1">
        <v>4</v>
      </c>
      <c r="AD21" s="1">
        <v>154</v>
      </c>
      <c r="AE21" s="1">
        <v>2</v>
      </c>
      <c r="AF21" s="1">
        <v>7</v>
      </c>
      <c r="AG21" s="1">
        <v>14</v>
      </c>
      <c r="AH21" s="1">
        <f t="shared" si="26"/>
        <v>15.650201408248932</v>
      </c>
      <c r="AI21" s="1">
        <f>(AH21/AH$15)*AI$15</f>
        <v>16.440343445467235</v>
      </c>
      <c r="AJ21" s="1">
        <f t="shared" si="26"/>
        <v>17.263808823651217</v>
      </c>
      <c r="AK21" s="1">
        <f t="shared" si="26"/>
        <v>18.121885815425319</v>
      </c>
      <c r="AL21" s="1">
        <f>(AK21/AK$15)*AL$15</f>
        <v>19.015909998764574</v>
      </c>
      <c r="AM21" s="1">
        <f>(AL21/AL$15)*AM$15</f>
        <v>19.947265935870309</v>
      </c>
      <c r="AN21" s="1">
        <f>(AM21/AM$15)*AN$15</f>
        <v>20.917388910203492</v>
      </c>
      <c r="AO21" s="1">
        <f>(AN21/AN$15)*AO$15</f>
        <v>21.92776672365439</v>
      </c>
      <c r="AP21" s="1">
        <f>(AO21/AO$15)*AP$15</f>
        <v>22.979941555893156</v>
      </c>
      <c r="AQ21" s="1">
        <f>(AP21/AP$15)*AQ$15</f>
        <v>24.075511888014962</v>
      </c>
    </row>
    <row r="22" spans="2:243">
      <c r="B22" s="1" t="s">
        <v>20</v>
      </c>
      <c r="C22" s="1">
        <f>SUM(C16:C21)</f>
        <v>1013</v>
      </c>
      <c r="D22" s="1">
        <f>SUM(D16:D21)</f>
        <v>898</v>
      </c>
      <c r="E22" s="1">
        <f>SUM(E16:E21)</f>
        <v>977</v>
      </c>
      <c r="F22" s="1">
        <f t="shared" si="16"/>
        <v>779</v>
      </c>
      <c r="G22" s="1">
        <f>SUM(G16:G21)</f>
        <v>943</v>
      </c>
      <c r="H22" s="1">
        <f>SUM(H16:H21)</f>
        <v>1035</v>
      </c>
      <c r="I22" s="1">
        <f>SUM(I16:I21)</f>
        <v>1079</v>
      </c>
      <c r="J22" s="1">
        <f t="shared" si="17"/>
        <v>1092</v>
      </c>
      <c r="K22" s="1">
        <f t="shared" ref="K22:S22" si="27">SUM(K16:K21)</f>
        <v>1038</v>
      </c>
      <c r="L22" s="1">
        <f t="shared" si="27"/>
        <v>1082</v>
      </c>
      <c r="M22" s="1">
        <f t="shared" si="27"/>
        <v>1094</v>
      </c>
      <c r="N22" s="1">
        <f t="shared" si="27"/>
        <v>646.26352078239609</v>
      </c>
      <c r="O22" s="1">
        <f t="shared" si="27"/>
        <v>1122</v>
      </c>
      <c r="P22" s="1">
        <f t="shared" si="27"/>
        <v>1114</v>
      </c>
      <c r="Q22" s="1">
        <f t="shared" si="27"/>
        <v>1095</v>
      </c>
      <c r="R22" s="1">
        <f t="shared" si="27"/>
        <v>1427</v>
      </c>
      <c r="S22" s="1">
        <f t="shared" si="27"/>
        <v>1078</v>
      </c>
      <c r="Y22" s="1">
        <f t="shared" ref="Y22:AD22" si="28">SUM(Y16:Y21)</f>
        <v>4984</v>
      </c>
      <c r="Z22" s="1">
        <f t="shared" si="28"/>
        <v>4674</v>
      </c>
      <c r="AA22" s="1">
        <f t="shared" si="28"/>
        <v>3117</v>
      </c>
      <c r="AB22" s="1">
        <f t="shared" si="28"/>
        <v>3392</v>
      </c>
      <c r="AC22" s="1">
        <f t="shared" si="28"/>
        <v>3667</v>
      </c>
      <c r="AD22" s="1">
        <f t="shared" si="28"/>
        <v>4149</v>
      </c>
      <c r="AE22" s="1">
        <f t="shared" ref="AE22:AF22" si="29">SUM(AE16:AE21)</f>
        <v>4445</v>
      </c>
      <c r="AF22" s="1">
        <f t="shared" si="29"/>
        <v>4655</v>
      </c>
      <c r="AG22" s="1">
        <f t="shared" ref="AG22:AO22" si="30">SUM(AG16:AG21)</f>
        <v>4758</v>
      </c>
      <c r="AH22" s="1">
        <f t="shared" si="30"/>
        <v>5318.8327357463158</v>
      </c>
      <c r="AI22" s="1">
        <f t="shared" si="30"/>
        <v>5587.3681509666503</v>
      </c>
      <c r="AJ22" s="1">
        <f t="shared" si="30"/>
        <v>5867.2287416380359</v>
      </c>
      <c r="AK22" s="1">
        <f t="shared" si="30"/>
        <v>6158.8523364138346</v>
      </c>
      <c r="AL22" s="1">
        <f t="shared" si="30"/>
        <v>6462.6928410087039</v>
      </c>
      <c r="AM22" s="1">
        <f t="shared" si="30"/>
        <v>6779.2208087764966</v>
      </c>
      <c r="AN22" s="1">
        <f t="shared" si="30"/>
        <v>7108.9240310534442</v>
      </c>
      <c r="AO22" s="1">
        <f t="shared" si="30"/>
        <v>7452.3081479391149</v>
      </c>
      <c r="AP22" s="1">
        <f t="shared" ref="AP22:AQ22" si="31">SUM(AP16:AP21)</f>
        <v>7809.8972802099743</v>
      </c>
      <c r="AQ22" s="1">
        <f t="shared" si="31"/>
        <v>8182.2346830839415</v>
      </c>
    </row>
    <row r="23" spans="2:243" s="3" customFormat="1">
      <c r="B23" s="3" t="s">
        <v>21</v>
      </c>
      <c r="C23" s="3">
        <f>+C15-C22</f>
        <v>250</v>
      </c>
      <c r="D23" s="3">
        <f>+D15-D22</f>
        <v>300</v>
      </c>
      <c r="E23" s="3">
        <f>+E15-E22</f>
        <v>471</v>
      </c>
      <c r="F23" s="3">
        <f t="shared" si="16"/>
        <v>909</v>
      </c>
      <c r="G23" s="3">
        <f>+G15-G22</f>
        <v>543</v>
      </c>
      <c r="H23" s="3">
        <f>+H15-H22</f>
        <v>567</v>
      </c>
      <c r="I23" s="3">
        <f>+I15-I22</f>
        <v>527</v>
      </c>
      <c r="J23" s="3">
        <f t="shared" si="17"/>
        <v>-134</v>
      </c>
      <c r="K23" s="3">
        <f t="shared" ref="K23:S23" si="32">+K15-K22</f>
        <v>509</v>
      </c>
      <c r="L23" s="3">
        <f t="shared" si="32"/>
        <v>554</v>
      </c>
      <c r="M23" s="3">
        <f t="shared" si="32"/>
        <v>546</v>
      </c>
      <c r="N23" s="3">
        <f t="shared" si="32"/>
        <v>330.89647921760388</v>
      </c>
      <c r="O23" s="3">
        <f t="shared" si="32"/>
        <v>523</v>
      </c>
      <c r="P23" s="3">
        <f t="shared" si="32"/>
        <v>573</v>
      </c>
      <c r="Q23" s="3">
        <f t="shared" si="32"/>
        <v>613</v>
      </c>
      <c r="R23" s="3">
        <f t="shared" si="32"/>
        <v>609</v>
      </c>
      <c r="S23" s="3">
        <f t="shared" si="32"/>
        <v>520</v>
      </c>
      <c r="Y23" s="3">
        <f t="shared" ref="Y23:AD23" si="33">+Y15-Y22</f>
        <v>1434</v>
      </c>
      <c r="Z23" s="3">
        <f t="shared" si="33"/>
        <v>1682</v>
      </c>
      <c r="AA23" s="3">
        <f t="shared" si="33"/>
        <v>2761</v>
      </c>
      <c r="AB23" s="3">
        <f t="shared" si="33"/>
        <v>2296</v>
      </c>
      <c r="AC23" s="3">
        <f t="shared" si="33"/>
        <v>1930</v>
      </c>
      <c r="AD23" s="3">
        <f t="shared" si="33"/>
        <v>1503</v>
      </c>
      <c r="AE23" s="3">
        <f t="shared" ref="AE23:AO23" si="34">+AE15-AE22</f>
        <v>2139</v>
      </c>
      <c r="AF23" s="3">
        <f t="shared" ref="AF23" si="35">+AF15-AF22</f>
        <v>2187</v>
      </c>
      <c r="AG23" s="3">
        <f t="shared" si="34"/>
        <v>2318</v>
      </c>
      <c r="AH23" s="3">
        <f t="shared" si="34"/>
        <v>2591.2262045943589</v>
      </c>
      <c r="AI23" s="3">
        <f t="shared" si="34"/>
        <v>2722.051150470933</v>
      </c>
      <c r="AJ23" s="3">
        <f t="shared" si="34"/>
        <v>2858.3934895159664</v>
      </c>
      <c r="AK23" s="3">
        <f t="shared" si="34"/>
        <v>3000.466522868277</v>
      </c>
      <c r="AL23" s="3">
        <f t="shared" si="34"/>
        <v>3148.4913840811623</v>
      </c>
      <c r="AM23" s="3">
        <f t="shared" si="34"/>
        <v>3302.6973170962401</v>
      </c>
      <c r="AN23" s="3">
        <f t="shared" si="34"/>
        <v>3463.3219638465507</v>
      </c>
      <c r="AO23" s="3">
        <f t="shared" si="34"/>
        <v>3630.6116618164906</v>
      </c>
      <c r="AP23" s="3">
        <f t="shared" ref="AP23:AQ23" si="36">+AP15-AP22</f>
        <v>3804.8217518971669</v>
      </c>
      <c r="AQ23" s="3">
        <f t="shared" si="36"/>
        <v>3986.2168968870501</v>
      </c>
    </row>
    <row r="24" spans="2:243">
      <c r="B24" s="1" t="s">
        <v>22</v>
      </c>
      <c r="C24" s="1">
        <v>34</v>
      </c>
      <c r="D24" s="1">
        <v>-91</v>
      </c>
      <c r="E24" s="1">
        <v>-10</v>
      </c>
      <c r="F24" s="1">
        <f t="shared" si="16"/>
        <v>134</v>
      </c>
      <c r="G24" s="1">
        <v>0</v>
      </c>
      <c r="H24" s="1">
        <v>-1</v>
      </c>
      <c r="I24" s="1">
        <v>-51</v>
      </c>
      <c r="J24" s="1">
        <f t="shared" si="17"/>
        <v>-22</v>
      </c>
      <c r="K24" s="1">
        <v>-7</v>
      </c>
      <c r="L24" s="1">
        <v>15</v>
      </c>
      <c r="M24" s="1">
        <v>-27</v>
      </c>
      <c r="N24" s="1">
        <f>+N$23*(J24/J$23)</f>
        <v>54.326287632740936</v>
      </c>
      <c r="O24" s="1">
        <v>24</v>
      </c>
      <c r="P24" s="1">
        <v>-29</v>
      </c>
      <c r="Q24" s="1">
        <v>-16</v>
      </c>
      <c r="R24" s="1">
        <f>+AG24-SUM(O24:Q24)</f>
        <v>14</v>
      </c>
      <c r="S24" s="1">
        <v>22</v>
      </c>
      <c r="Y24" s="1">
        <v>0</v>
      </c>
      <c r="Z24" s="1">
        <v>-2</v>
      </c>
      <c r="AA24" s="1">
        <v>-5</v>
      </c>
      <c r="AB24" s="1">
        <v>-9</v>
      </c>
      <c r="AC24" s="1">
        <v>67</v>
      </c>
      <c r="AD24" s="1">
        <v>-74</v>
      </c>
      <c r="AE24" s="1">
        <v>-86</v>
      </c>
      <c r="AF24" s="1">
        <v>-11</v>
      </c>
      <c r="AG24" s="1">
        <v>-7</v>
      </c>
      <c r="AH24" s="1">
        <f t="shared" ref="AH24:AQ24" si="37">+AG39*$AU$39</f>
        <v>-12.11</v>
      </c>
      <c r="AI24" s="1">
        <f t="shared" si="37"/>
        <v>5.7800484976784086</v>
      </c>
      <c r="AJ24" s="1">
        <f t="shared" si="37"/>
        <v>24.410799895342862</v>
      </c>
      <c r="AK24" s="1">
        <f t="shared" si="37"/>
        <v>43.813613627078212</v>
      </c>
      <c r="AL24" s="1">
        <f t="shared" si="37"/>
        <v>64.021037546482177</v>
      </c>
      <c r="AM24" s="1">
        <f t="shared" si="37"/>
        <v>85.066851241253772</v>
      </c>
      <c r="AN24" s="1">
        <f t="shared" si="37"/>
        <v>106.98611087503355</v>
      </c>
      <c r="AO24" s="1">
        <f t="shared" si="37"/>
        <v>129.81519560916544</v>
      </c>
      <c r="AP24" s="1">
        <f t="shared" si="37"/>
        <v>153.59185565883604</v>
      </c>
      <c r="AQ24" s="1">
        <f t="shared" si="37"/>
        <v>178.35526203989161</v>
      </c>
    </row>
    <row r="25" spans="2:243">
      <c r="B25" s="1" t="s">
        <v>23</v>
      </c>
      <c r="C25" s="1">
        <v>3</v>
      </c>
      <c r="D25" s="1">
        <v>2</v>
      </c>
      <c r="E25" s="1">
        <v>4</v>
      </c>
      <c r="F25" s="1">
        <f t="shared" si="16"/>
        <v>-5</v>
      </c>
      <c r="G25" s="1">
        <v>3</v>
      </c>
      <c r="H25" s="1">
        <v>2</v>
      </c>
      <c r="I25" s="1">
        <v>1</v>
      </c>
      <c r="J25" s="1">
        <f t="shared" si="17"/>
        <v>8</v>
      </c>
      <c r="K25" s="1">
        <v>0</v>
      </c>
      <c r="L25" s="1">
        <v>1</v>
      </c>
      <c r="M25" s="1">
        <v>2</v>
      </c>
      <c r="N25" s="1">
        <f>+$M$23*(J25/$I$23)</f>
        <v>8.2884250474383308</v>
      </c>
      <c r="O25" s="1">
        <v>-2</v>
      </c>
      <c r="P25" s="1">
        <v>-1</v>
      </c>
      <c r="Q25" s="1">
        <v>-2</v>
      </c>
      <c r="R25" s="1">
        <f>+AG25-SUM(O25:Q25)</f>
        <v>-1</v>
      </c>
      <c r="S25" s="1">
        <v>-2</v>
      </c>
      <c r="Y25" s="1">
        <v>40</v>
      </c>
      <c r="Z25" s="1">
        <v>32</v>
      </c>
      <c r="AA25" s="1">
        <v>47</v>
      </c>
      <c r="AB25" s="1">
        <v>14</v>
      </c>
      <c r="AC25" s="1">
        <v>4</v>
      </c>
      <c r="AD25" s="1">
        <v>14</v>
      </c>
      <c r="AE25" s="1">
        <v>7</v>
      </c>
      <c r="AF25" s="1">
        <v>9</v>
      </c>
      <c r="AG25" s="1">
        <v>-6</v>
      </c>
      <c r="AH25" s="1">
        <f t="shared" ref="AH25:AQ26" si="38">(AG25/AG$23)*AH$23</f>
        <v>-6.7072291749638273</v>
      </c>
      <c r="AI25" s="1">
        <f t="shared" si="38"/>
        <v>-7.0458614766288168</v>
      </c>
      <c r="AJ25" s="1">
        <f t="shared" si="38"/>
        <v>-7.398775210136237</v>
      </c>
      <c r="AK25" s="1">
        <f t="shared" si="38"/>
        <v>-7.7665224923251337</v>
      </c>
      <c r="AL25" s="1">
        <f t="shared" si="38"/>
        <v>-8.1496757137562437</v>
      </c>
      <c r="AM25" s="1">
        <f t="shared" si="38"/>
        <v>-8.5488282582301292</v>
      </c>
      <c r="AN25" s="1">
        <f t="shared" si="38"/>
        <v>-8.9645952472300703</v>
      </c>
      <c r="AO25" s="1">
        <f t="shared" si="38"/>
        <v>-9.3976143101375929</v>
      </c>
      <c r="AP25" s="1">
        <f t="shared" si="38"/>
        <v>-9.8485463810970657</v>
      </c>
      <c r="AQ25" s="1">
        <f t="shared" si="38"/>
        <v>-10.318076523434986</v>
      </c>
    </row>
    <row r="26" spans="2:243">
      <c r="B26" s="1" t="s">
        <v>24</v>
      </c>
      <c r="C26" s="1">
        <v>118</v>
      </c>
      <c r="D26" s="1">
        <v>132</v>
      </c>
      <c r="E26" s="1">
        <v>161</v>
      </c>
      <c r="F26" s="1">
        <f t="shared" si="16"/>
        <v>75</v>
      </c>
      <c r="G26" s="1">
        <v>131</v>
      </c>
      <c r="H26" s="1">
        <v>159</v>
      </c>
      <c r="I26" s="1">
        <v>126</v>
      </c>
      <c r="J26" s="1">
        <f t="shared" si="17"/>
        <v>127</v>
      </c>
      <c r="K26" s="1">
        <v>118</v>
      </c>
      <c r="L26" s="1">
        <v>148</v>
      </c>
      <c r="M26" s="1">
        <v>124</v>
      </c>
      <c r="N26" s="1">
        <f>+$M$23*(J26/$I$23)</f>
        <v>131.57874762808351</v>
      </c>
      <c r="O26" s="1">
        <v>130</v>
      </c>
      <c r="P26" s="1">
        <v>125</v>
      </c>
      <c r="Q26" s="1">
        <v>126</v>
      </c>
      <c r="R26" s="1">
        <f>+AG26-SUM(O26:Q26)</f>
        <v>132</v>
      </c>
      <c r="S26" s="1">
        <v>117</v>
      </c>
      <c r="Y26" s="1">
        <v>141</v>
      </c>
      <c r="Z26" s="1">
        <v>307</v>
      </c>
      <c r="AA26" s="1">
        <v>445</v>
      </c>
      <c r="AB26" s="1">
        <v>452</v>
      </c>
      <c r="AC26" s="1">
        <v>486</v>
      </c>
      <c r="AD26" s="1">
        <v>543</v>
      </c>
      <c r="AE26" s="1">
        <v>544</v>
      </c>
      <c r="AF26" s="1">
        <v>527</v>
      </c>
      <c r="AG26" s="1">
        <v>513</v>
      </c>
      <c r="AH26" s="1">
        <f t="shared" si="38"/>
        <v>573.46809445940733</v>
      </c>
      <c r="AI26" s="1">
        <f t="shared" si="38"/>
        <v>602.42115625176382</v>
      </c>
      <c r="AJ26" s="1">
        <f t="shared" si="38"/>
        <v>632.59528046664832</v>
      </c>
      <c r="AK26" s="1">
        <f t="shared" si="38"/>
        <v>664.03767309379896</v>
      </c>
      <c r="AL26" s="1">
        <f t="shared" si="38"/>
        <v>696.79727352615873</v>
      </c>
      <c r="AM26" s="1">
        <f t="shared" si="38"/>
        <v>730.92481607867603</v>
      </c>
      <c r="AN26" s="1">
        <f t="shared" si="38"/>
        <v>766.47289363817094</v>
      </c>
      <c r="AO26" s="1">
        <f t="shared" si="38"/>
        <v>803.49602351676424</v>
      </c>
      <c r="AP26" s="1">
        <f t="shared" si="38"/>
        <v>842.05071558379916</v>
      </c>
      <c r="AQ26" s="1">
        <f t="shared" si="38"/>
        <v>882.19554275369126</v>
      </c>
    </row>
    <row r="27" spans="2:243" s="3" customFormat="1">
      <c r="B27" s="3" t="s">
        <v>25</v>
      </c>
      <c r="C27" s="3">
        <f>+C23-SUM(C24:C26)</f>
        <v>95</v>
      </c>
      <c r="D27" s="3">
        <f>+D23-SUM(D24:D26)</f>
        <v>257</v>
      </c>
      <c r="E27" s="3">
        <f>+E23-SUM(E24:E26)</f>
        <v>316</v>
      </c>
      <c r="F27" s="3">
        <f t="shared" si="16"/>
        <v>705</v>
      </c>
      <c r="G27" s="3">
        <f>+G23-SUM(G24:G26)</f>
        <v>409</v>
      </c>
      <c r="H27" s="3">
        <f>+H23-SUM(H24:H26)</f>
        <v>407</v>
      </c>
      <c r="I27" s="3">
        <f>+I23-SUM(I24:I26)</f>
        <v>451</v>
      </c>
      <c r="J27" s="3">
        <f t="shared" si="17"/>
        <v>-247</v>
      </c>
      <c r="K27" s="3">
        <f t="shared" ref="K27:S27" si="39">+K23-SUM(K24:K26)</f>
        <v>398</v>
      </c>
      <c r="L27" s="3">
        <f t="shared" si="39"/>
        <v>390</v>
      </c>
      <c r="M27" s="3">
        <f t="shared" si="39"/>
        <v>447</v>
      </c>
      <c r="N27" s="3">
        <f t="shared" si="39"/>
        <v>136.7030189093411</v>
      </c>
      <c r="O27" s="3">
        <f t="shared" si="39"/>
        <v>371</v>
      </c>
      <c r="P27" s="3">
        <f t="shared" si="39"/>
        <v>478</v>
      </c>
      <c r="Q27" s="3">
        <f t="shared" si="39"/>
        <v>505</v>
      </c>
      <c r="R27" s="3">
        <f t="shared" si="39"/>
        <v>464</v>
      </c>
      <c r="S27" s="3">
        <f t="shared" si="39"/>
        <v>383</v>
      </c>
      <c r="Y27" s="3">
        <f t="shared" ref="Y27:AD27" si="40">+Y23-SUM(Y24:Y26)</f>
        <v>1253</v>
      </c>
      <c r="Z27" s="3">
        <f t="shared" si="40"/>
        <v>1345</v>
      </c>
      <c r="AA27" s="3">
        <f t="shared" si="40"/>
        <v>2274</v>
      </c>
      <c r="AB27" s="3">
        <f t="shared" si="40"/>
        <v>1839</v>
      </c>
      <c r="AC27" s="3">
        <f t="shared" si="40"/>
        <v>1373</v>
      </c>
      <c r="AD27" s="3">
        <f t="shared" si="40"/>
        <v>1020</v>
      </c>
      <c r="AE27" s="3">
        <f t="shared" ref="AE27:AF27" si="41">+AE23-SUM(AE24:AE26)</f>
        <v>1674</v>
      </c>
      <c r="AF27" s="3">
        <f t="shared" si="41"/>
        <v>1662</v>
      </c>
      <c r="AG27" s="3">
        <f>+AG23-SUM(AG24:AG26)</f>
        <v>1818</v>
      </c>
      <c r="AH27" s="3">
        <f>+AH23-SUM(AH24:AH26)</f>
        <v>2036.5753393099153</v>
      </c>
      <c r="AI27" s="3">
        <f t="shared" ref="AI27:AN27" si="42">+AI23-SUM(AI24:AI26)</f>
        <v>2120.8958071981197</v>
      </c>
      <c r="AJ27" s="3">
        <f t="shared" si="42"/>
        <v>2208.7861843641113</v>
      </c>
      <c r="AK27" s="3">
        <f t="shared" si="42"/>
        <v>2300.3817586397249</v>
      </c>
      <c r="AL27" s="3">
        <f t="shared" si="42"/>
        <v>2395.8227487222775</v>
      </c>
      <c r="AM27" s="3">
        <f t="shared" si="42"/>
        <v>2495.2544780345406</v>
      </c>
      <c r="AN27" s="3">
        <f t="shared" si="42"/>
        <v>2598.8275545805764</v>
      </c>
      <c r="AO27" s="3">
        <f t="shared" ref="AO27:AP27" si="43">+AO23-SUM(AO24:AO26)</f>
        <v>2706.6980570006986</v>
      </c>
      <c r="AP27" s="3">
        <f t="shared" si="43"/>
        <v>2819.0277270356287</v>
      </c>
      <c r="AQ27" s="3">
        <f t="shared" ref="AQ27" si="44">+AQ23-SUM(AQ24:AQ26)</f>
        <v>2935.984168616902</v>
      </c>
    </row>
    <row r="28" spans="2:243">
      <c r="B28" s="1" t="s">
        <v>26</v>
      </c>
      <c r="C28" s="1">
        <v>12</v>
      </c>
      <c r="D28" s="1">
        <v>51</v>
      </c>
      <c r="E28" s="1">
        <v>33</v>
      </c>
      <c r="F28" s="1">
        <f t="shared" si="16"/>
        <v>-17</v>
      </c>
      <c r="G28" s="1">
        <v>83</v>
      </c>
      <c r="H28" s="1">
        <v>16</v>
      </c>
      <c r="I28" s="1">
        <v>-77</v>
      </c>
      <c r="J28" s="1">
        <f t="shared" si="17"/>
        <v>94</v>
      </c>
      <c r="K28" s="1">
        <v>-1</v>
      </c>
      <c r="L28" s="1">
        <v>166</v>
      </c>
      <c r="M28" s="1">
        <v>116</v>
      </c>
      <c r="N28" s="1">
        <f>+N27*(M28/M27)</f>
        <v>35.475503788553837</v>
      </c>
      <c r="O28" s="1">
        <v>71</v>
      </c>
      <c r="P28" s="1">
        <v>60</v>
      </c>
      <c r="Q28" s="1">
        <v>89</v>
      </c>
      <c r="R28" s="1">
        <f>+AG28-SUM(O28:Q28)</f>
        <v>1</v>
      </c>
      <c r="S28" s="1">
        <v>69</v>
      </c>
      <c r="Y28" s="1">
        <f>-327+357</f>
        <v>30</v>
      </c>
      <c r="Z28" s="1">
        <v>327</v>
      </c>
      <c r="AA28" s="1">
        <v>934</v>
      </c>
      <c r="AB28" s="1">
        <v>297</v>
      </c>
      <c r="AC28" s="1">
        <v>79</v>
      </c>
      <c r="AD28" s="1">
        <v>116</v>
      </c>
      <c r="AE28" s="1">
        <v>99</v>
      </c>
      <c r="AF28" s="1">
        <v>337</v>
      </c>
      <c r="AG28" s="1">
        <v>221</v>
      </c>
      <c r="AH28" s="1">
        <f t="shared" ref="AH28:AQ28" si="45">(AG28/AG27)*AH27</f>
        <v>247.57048954207443</v>
      </c>
      <c r="AI28" s="1">
        <f t="shared" si="45"/>
        <v>257.82066743167462</v>
      </c>
      <c r="AJ28" s="1">
        <f t="shared" si="45"/>
        <v>268.50481119057679</v>
      </c>
      <c r="AK28" s="1">
        <f t="shared" si="45"/>
        <v>279.63936669932849</v>
      </c>
      <c r="AL28" s="1">
        <f t="shared" si="45"/>
        <v>291.24137924511734</v>
      </c>
      <c r="AM28" s="1">
        <f t="shared" si="45"/>
        <v>303.3285146565641</v>
      </c>
      <c r="AN28" s="1">
        <f t="shared" si="45"/>
        <v>315.9190811673858</v>
      </c>
      <c r="AO28" s="1">
        <f t="shared" si="45"/>
        <v>329.03205203363831</v>
      </c>
      <c r="AP28" s="1">
        <f t="shared" si="45"/>
        <v>342.68708893007374</v>
      </c>
      <c r="AQ28" s="1">
        <f t="shared" si="45"/>
        <v>356.90456615199969</v>
      </c>
    </row>
    <row r="29" spans="2:243" s="3" customFormat="1">
      <c r="B29" s="3" t="s">
        <v>27</v>
      </c>
      <c r="C29" s="3">
        <f>+C27+C28</f>
        <v>107</v>
      </c>
      <c r="D29" s="3">
        <f>+D27+D28</f>
        <v>308</v>
      </c>
      <c r="E29" s="3">
        <f>+E27+E28</f>
        <v>349</v>
      </c>
      <c r="F29" s="3">
        <f t="shared" si="16"/>
        <v>530</v>
      </c>
      <c r="G29" s="3">
        <f>+G27+G28</f>
        <v>492</v>
      </c>
      <c r="H29" s="3">
        <f>+H27+H28</f>
        <v>423</v>
      </c>
      <c r="I29" s="3">
        <f>+I27+I28</f>
        <v>374</v>
      </c>
      <c r="J29" s="3">
        <f t="shared" si="17"/>
        <v>-385</v>
      </c>
      <c r="K29" s="3">
        <f>+K27-K28</f>
        <v>399</v>
      </c>
      <c r="L29" s="3">
        <f>+L27-L28</f>
        <v>224</v>
      </c>
      <c r="M29" s="3">
        <f>+M27-M28</f>
        <v>331</v>
      </c>
      <c r="N29" s="3">
        <f>+N27+N28</f>
        <v>172.17852269789495</v>
      </c>
      <c r="O29" s="3">
        <f>+O27-O28</f>
        <v>300</v>
      </c>
      <c r="P29" s="3">
        <f>+P27-P28</f>
        <v>418</v>
      </c>
      <c r="Q29" s="3">
        <f>+Q27+Q28</f>
        <v>594</v>
      </c>
      <c r="R29" s="3">
        <f>+R27+R28</f>
        <v>465</v>
      </c>
      <c r="S29" s="3">
        <f>+S27-S28</f>
        <v>314</v>
      </c>
      <c r="Y29" s="3">
        <f>+Y27+Y28</f>
        <v>1283</v>
      </c>
      <c r="Z29" s="3">
        <f t="shared" ref="Z29:AF29" si="46">+Z27-Z28</f>
        <v>1018</v>
      </c>
      <c r="AA29" s="3">
        <f t="shared" si="46"/>
        <v>1340</v>
      </c>
      <c r="AB29" s="3">
        <f t="shared" si="46"/>
        <v>1542</v>
      </c>
      <c r="AC29" s="3">
        <f t="shared" si="46"/>
        <v>1294</v>
      </c>
      <c r="AD29" s="3">
        <f t="shared" si="46"/>
        <v>904</v>
      </c>
      <c r="AE29" s="3">
        <f t="shared" si="46"/>
        <v>1575</v>
      </c>
      <c r="AF29" s="3">
        <f t="shared" si="46"/>
        <v>1325</v>
      </c>
      <c r="AG29" s="3">
        <f>+AG27-AG28</f>
        <v>1597</v>
      </c>
      <c r="AH29" s="3">
        <f t="shared" ref="AH29:AN29" si="47">+AH27-AH28</f>
        <v>1789.0048497678408</v>
      </c>
      <c r="AI29" s="3">
        <f t="shared" si="47"/>
        <v>1863.0751397664451</v>
      </c>
      <c r="AJ29" s="3">
        <f t="shared" si="47"/>
        <v>1940.2813731735346</v>
      </c>
      <c r="AK29" s="3">
        <f t="shared" si="47"/>
        <v>2020.7423919403964</v>
      </c>
      <c r="AL29" s="3">
        <f t="shared" si="47"/>
        <v>2104.58136947716</v>
      </c>
      <c r="AM29" s="3">
        <f t="shared" si="47"/>
        <v>2191.9259633779766</v>
      </c>
      <c r="AN29" s="3">
        <f t="shared" si="47"/>
        <v>2282.9084734131907</v>
      </c>
      <c r="AO29" s="3">
        <f t="shared" ref="AO29:AP29" si="48">+AO27-AO28</f>
        <v>2377.6660049670604</v>
      </c>
      <c r="AP29" s="3">
        <f t="shared" si="48"/>
        <v>2476.3406381055547</v>
      </c>
      <c r="AQ29" s="3">
        <f t="shared" ref="AQ29" si="49">+AQ27-AQ28</f>
        <v>2579.0796024649026</v>
      </c>
      <c r="AR29" s="3">
        <f t="shared" ref="AR29:BW29" si="50">AQ29*(1+$AU$40)</f>
        <v>2604.8703984895515</v>
      </c>
      <c r="AS29" s="3">
        <f t="shared" si="50"/>
        <v>2630.9191024744468</v>
      </c>
      <c r="AT29" s="3">
        <f t="shared" si="50"/>
        <v>2657.2282934991913</v>
      </c>
      <c r="AU29" s="3">
        <f t="shared" si="50"/>
        <v>2683.8005764341833</v>
      </c>
      <c r="AV29" s="3">
        <f t="shared" si="50"/>
        <v>2710.638582198525</v>
      </c>
      <c r="AW29" s="3">
        <f t="shared" si="50"/>
        <v>2737.7449680205104</v>
      </c>
      <c r="AX29" s="3">
        <f t="shared" si="50"/>
        <v>2765.1224177007157</v>
      </c>
      <c r="AY29" s="3">
        <f t="shared" si="50"/>
        <v>2792.7736418777231</v>
      </c>
      <c r="AZ29" s="3">
        <f t="shared" si="50"/>
        <v>2820.7013782965005</v>
      </c>
      <c r="BA29" s="3">
        <f t="shared" si="50"/>
        <v>2848.9083920794656</v>
      </c>
      <c r="BB29" s="3">
        <f t="shared" si="50"/>
        <v>2877.3974760002602</v>
      </c>
      <c r="BC29" s="3">
        <f t="shared" si="50"/>
        <v>2906.1714507602628</v>
      </c>
      <c r="BD29" s="3">
        <f t="shared" si="50"/>
        <v>2935.2331652678654</v>
      </c>
      <c r="BE29" s="3">
        <f t="shared" si="50"/>
        <v>2964.5854969205438</v>
      </c>
      <c r="BF29" s="3">
        <f t="shared" si="50"/>
        <v>2994.2313518897495</v>
      </c>
      <c r="BG29" s="3">
        <f t="shared" si="50"/>
        <v>3024.1736654086471</v>
      </c>
      <c r="BH29" s="3">
        <f t="shared" si="50"/>
        <v>3054.4154020627338</v>
      </c>
      <c r="BI29" s="3">
        <f t="shared" si="50"/>
        <v>3084.9595560833613</v>
      </c>
      <c r="BJ29" s="3">
        <f t="shared" si="50"/>
        <v>3115.809151644195</v>
      </c>
      <c r="BK29" s="3">
        <f t="shared" si="50"/>
        <v>3146.9672431606368</v>
      </c>
      <c r="BL29" s="3">
        <f t="shared" si="50"/>
        <v>3178.4369155922432</v>
      </c>
      <c r="BM29" s="3">
        <f t="shared" si="50"/>
        <v>3210.2212847481655</v>
      </c>
      <c r="BN29" s="3">
        <f t="shared" si="50"/>
        <v>3242.323497595647</v>
      </c>
      <c r="BO29" s="3">
        <f t="shared" si="50"/>
        <v>3274.7467325716034</v>
      </c>
      <c r="BP29" s="3">
        <f t="shared" si="50"/>
        <v>3307.4941998973195</v>
      </c>
      <c r="BQ29" s="3">
        <f t="shared" si="50"/>
        <v>3340.5691418962929</v>
      </c>
      <c r="BR29" s="3">
        <f t="shared" si="50"/>
        <v>3373.9748333152556</v>
      </c>
      <c r="BS29" s="3">
        <f t="shared" si="50"/>
        <v>3407.7145816484081</v>
      </c>
      <c r="BT29" s="3">
        <f t="shared" si="50"/>
        <v>3441.7917274648921</v>
      </c>
      <c r="BU29" s="3">
        <f t="shared" si="50"/>
        <v>3476.2096447395411</v>
      </c>
      <c r="BV29" s="3">
        <f t="shared" si="50"/>
        <v>3510.9717411869365</v>
      </c>
      <c r="BW29" s="3">
        <f t="shared" si="50"/>
        <v>3546.081458598806</v>
      </c>
      <c r="BX29" s="3">
        <f t="shared" ref="BX29:DF29" si="51">BW29*(1+$AU$40)</f>
        <v>3581.5422731847939</v>
      </c>
      <c r="BY29" s="3">
        <f t="shared" si="51"/>
        <v>3617.3576959166417</v>
      </c>
      <c r="BZ29" s="3">
        <f t="shared" si="51"/>
        <v>3653.5312728758081</v>
      </c>
      <c r="CA29" s="3">
        <f t="shared" si="51"/>
        <v>3690.0665856045662</v>
      </c>
      <c r="CB29" s="3">
        <f t="shared" si="51"/>
        <v>3726.9672514606118</v>
      </c>
      <c r="CC29" s="3">
        <f t="shared" si="51"/>
        <v>3764.2369239752179</v>
      </c>
      <c r="CD29" s="3">
        <f t="shared" si="51"/>
        <v>3801.8792932149699</v>
      </c>
      <c r="CE29" s="3">
        <f t="shared" si="51"/>
        <v>3839.8980861471196</v>
      </c>
      <c r="CF29" s="3">
        <f t="shared" si="51"/>
        <v>3878.2970670085906</v>
      </c>
      <c r="CG29" s="3">
        <f t="shared" si="51"/>
        <v>3917.0800376786765</v>
      </c>
      <c r="CH29" s="3">
        <f t="shared" si="51"/>
        <v>3956.2508380554632</v>
      </c>
      <c r="CI29" s="3">
        <f t="shared" si="51"/>
        <v>3995.813346436018</v>
      </c>
      <c r="CJ29" s="3">
        <f t="shared" si="51"/>
        <v>4035.7714799003784</v>
      </c>
      <c r="CK29" s="3">
        <f t="shared" si="51"/>
        <v>4076.1291946993824</v>
      </c>
      <c r="CL29" s="3">
        <f t="shared" si="51"/>
        <v>4116.8904866463763</v>
      </c>
      <c r="CM29" s="3">
        <f t="shared" si="51"/>
        <v>4158.0593915128402</v>
      </c>
      <c r="CN29" s="3">
        <f t="shared" si="51"/>
        <v>4199.6399854279689</v>
      </c>
      <c r="CO29" s="3">
        <f t="shared" si="51"/>
        <v>4241.6363852822487</v>
      </c>
      <c r="CP29" s="3">
        <f t="shared" si="51"/>
        <v>4284.0527491350713</v>
      </c>
      <c r="CQ29" s="3">
        <f t="shared" si="51"/>
        <v>4326.8932766264224</v>
      </c>
      <c r="CR29" s="3">
        <f t="shared" si="51"/>
        <v>4370.1622093926871</v>
      </c>
      <c r="CS29" s="3">
        <f t="shared" si="51"/>
        <v>4413.8638314866139</v>
      </c>
      <c r="CT29" s="3">
        <f t="shared" si="51"/>
        <v>4458.0024698014804</v>
      </c>
      <c r="CU29" s="3">
        <f t="shared" si="51"/>
        <v>4502.5824944994956</v>
      </c>
      <c r="CV29" s="3">
        <f t="shared" si="51"/>
        <v>4547.6083194444909</v>
      </c>
      <c r="CW29" s="3">
        <f t="shared" si="51"/>
        <v>4593.0844026389359</v>
      </c>
      <c r="CX29" s="3">
        <f t="shared" si="51"/>
        <v>4639.0152466653253</v>
      </c>
      <c r="CY29" s="3">
        <f t="shared" si="51"/>
        <v>4685.4053991319788</v>
      </c>
      <c r="CZ29" s="3">
        <f t="shared" si="51"/>
        <v>4732.259453123299</v>
      </c>
      <c r="DA29" s="3">
        <f t="shared" si="51"/>
        <v>4779.5820476545323</v>
      </c>
      <c r="DB29" s="3">
        <f t="shared" si="51"/>
        <v>4827.3778681310778</v>
      </c>
      <c r="DC29" s="3">
        <f t="shared" si="51"/>
        <v>4875.6516468123882</v>
      </c>
      <c r="DD29" s="3">
        <f t="shared" si="51"/>
        <v>4924.4081632805119</v>
      </c>
      <c r="DE29" s="3">
        <f t="shared" si="51"/>
        <v>4973.6522449133172</v>
      </c>
      <c r="DF29" s="3">
        <f t="shared" si="51"/>
        <v>5023.3887673624504</v>
      </c>
      <c r="DG29" s="3">
        <f t="shared" ref="DG29:ER29" si="52">DF29*(1+$AU$40)</f>
        <v>5073.6226550360752</v>
      </c>
      <c r="DH29" s="3">
        <f t="shared" si="52"/>
        <v>5124.3588815864359</v>
      </c>
      <c r="DI29" s="3">
        <f t="shared" si="52"/>
        <v>5175.6024704023002</v>
      </c>
      <c r="DJ29" s="3">
        <f t="shared" si="52"/>
        <v>5227.3584951063231</v>
      </c>
      <c r="DK29" s="3">
        <f t="shared" si="52"/>
        <v>5279.6320800573867</v>
      </c>
      <c r="DL29" s="3">
        <f t="shared" si="52"/>
        <v>5332.4284008579607</v>
      </c>
      <c r="DM29" s="3">
        <f t="shared" si="52"/>
        <v>5385.7526848665402</v>
      </c>
      <c r="DN29" s="3">
        <f t="shared" si="52"/>
        <v>5439.6102117152059</v>
      </c>
      <c r="DO29" s="3">
        <f t="shared" si="52"/>
        <v>5494.0063138323576</v>
      </c>
      <c r="DP29" s="3">
        <f t="shared" si="52"/>
        <v>5548.9463769706808</v>
      </c>
      <c r="DQ29" s="3">
        <f t="shared" si="52"/>
        <v>5604.4358407403879</v>
      </c>
      <c r="DR29" s="3">
        <f t="shared" si="52"/>
        <v>5660.4801991477916</v>
      </c>
      <c r="DS29" s="3">
        <f t="shared" si="52"/>
        <v>5717.0850011392695</v>
      </c>
      <c r="DT29" s="3">
        <f t="shared" si="52"/>
        <v>5774.2558511506622</v>
      </c>
      <c r="DU29" s="3">
        <f t="shared" si="52"/>
        <v>5831.9984096621693</v>
      </c>
      <c r="DV29" s="3">
        <f t="shared" si="52"/>
        <v>5890.318393758791</v>
      </c>
      <c r="DW29" s="3">
        <f t="shared" si="52"/>
        <v>5949.2215776963785</v>
      </c>
      <c r="DX29" s="3">
        <f t="shared" si="52"/>
        <v>6008.7137934733428</v>
      </c>
      <c r="DY29" s="3">
        <f t="shared" si="52"/>
        <v>6068.8009314080764</v>
      </c>
      <c r="DZ29" s="3">
        <f t="shared" si="52"/>
        <v>6129.4889407221572</v>
      </c>
      <c r="EA29" s="3">
        <f t="shared" si="52"/>
        <v>6190.7838301293787</v>
      </c>
      <c r="EB29" s="3">
        <f t="shared" si="52"/>
        <v>6252.6916684306725</v>
      </c>
      <c r="EC29" s="3">
        <f t="shared" si="52"/>
        <v>6315.2185851149789</v>
      </c>
      <c r="ED29" s="3">
        <f t="shared" si="52"/>
        <v>6378.3707709661285</v>
      </c>
      <c r="EE29" s="3">
        <f t="shared" si="52"/>
        <v>6442.1544786757895</v>
      </c>
      <c r="EF29" s="3">
        <f t="shared" si="52"/>
        <v>6506.5760234625477</v>
      </c>
      <c r="EG29" s="3">
        <f t="shared" si="52"/>
        <v>6571.6417836971732</v>
      </c>
      <c r="EH29" s="3">
        <f t="shared" si="52"/>
        <v>6637.3582015341453</v>
      </c>
      <c r="EI29" s="3">
        <f t="shared" si="52"/>
        <v>6703.7317835494869</v>
      </c>
      <c r="EJ29" s="3">
        <f t="shared" si="52"/>
        <v>6770.7691013849817</v>
      </c>
      <c r="EK29" s="3">
        <f t="shared" si="52"/>
        <v>6838.476792398832</v>
      </c>
      <c r="EL29" s="3">
        <f t="shared" si="52"/>
        <v>6906.86156032282</v>
      </c>
      <c r="EM29" s="3">
        <f t="shared" si="52"/>
        <v>6975.9301759260479</v>
      </c>
      <c r="EN29" s="3">
        <f t="shared" si="52"/>
        <v>7045.6894776853087</v>
      </c>
      <c r="EO29" s="3">
        <f t="shared" si="52"/>
        <v>7116.1463724621617</v>
      </c>
      <c r="EP29" s="3">
        <f t="shared" si="52"/>
        <v>7187.3078361867838</v>
      </c>
      <c r="EQ29" s="3">
        <f t="shared" si="52"/>
        <v>7259.1809145486513</v>
      </c>
      <c r="ER29" s="3">
        <f t="shared" si="52"/>
        <v>7331.7727236941382</v>
      </c>
      <c r="ES29" s="3">
        <f t="shared" ref="ES29:FI29" si="53">ER29*(1+$AU$40)</f>
        <v>7405.0904509310794</v>
      </c>
      <c r="ET29" s="3">
        <f t="shared" si="53"/>
        <v>7479.1413554403907</v>
      </c>
      <c r="EU29" s="3">
        <f t="shared" si="53"/>
        <v>7553.932768994795</v>
      </c>
      <c r="EV29" s="3">
        <f t="shared" si="53"/>
        <v>7629.4720966847426</v>
      </c>
      <c r="EW29" s="3">
        <f t="shared" si="53"/>
        <v>7705.7668176515899</v>
      </c>
      <c r="EX29" s="3">
        <f t="shared" si="53"/>
        <v>7782.8244858281059</v>
      </c>
      <c r="EY29" s="3">
        <f t="shared" si="53"/>
        <v>7860.6527306863873</v>
      </c>
      <c r="EZ29" s="3">
        <f t="shared" si="53"/>
        <v>7939.2592579932516</v>
      </c>
      <c r="FA29" s="3">
        <f t="shared" si="53"/>
        <v>8018.6518505731838</v>
      </c>
      <c r="FB29" s="3">
        <f t="shared" si="53"/>
        <v>8098.838369078916</v>
      </c>
      <c r="FC29" s="3">
        <f t="shared" si="53"/>
        <v>8179.8267527697053</v>
      </c>
      <c r="FD29" s="3">
        <f t="shared" si="53"/>
        <v>8261.6250202974024</v>
      </c>
      <c r="FE29" s="3">
        <f t="shared" si="53"/>
        <v>8344.2412705003771</v>
      </c>
      <c r="FF29" s="3">
        <f t="shared" si="53"/>
        <v>8427.6836832053814</v>
      </c>
      <c r="FG29" s="3">
        <f t="shared" si="53"/>
        <v>8511.9605200374353</v>
      </c>
      <c r="FH29" s="3">
        <f t="shared" si="53"/>
        <v>8597.0801252378096</v>
      </c>
      <c r="FI29" s="3">
        <f t="shared" si="53"/>
        <v>8683.0509264901884</v>
      </c>
      <c r="FJ29" s="3">
        <f t="shared" ref="FJ29:GQ29" si="54">FI29*(1+$AU$40)</f>
        <v>8769.8814357550909</v>
      </c>
      <c r="FK29" s="3">
        <f t="shared" si="54"/>
        <v>8857.5802501126418</v>
      </c>
      <c r="FL29" s="3">
        <f t="shared" si="54"/>
        <v>8946.1560526137691</v>
      </c>
      <c r="FM29" s="3">
        <f t="shared" si="54"/>
        <v>9035.6176131399061</v>
      </c>
      <c r="FN29" s="3">
        <f t="shared" si="54"/>
        <v>9125.9737892713056</v>
      </c>
      <c r="FO29" s="3">
        <f t="shared" si="54"/>
        <v>9217.2335271640186</v>
      </c>
      <c r="FP29" s="3">
        <f t="shared" si="54"/>
        <v>9309.4058624356585</v>
      </c>
      <c r="FQ29" s="3">
        <f t="shared" si="54"/>
        <v>9402.4999210600145</v>
      </c>
      <c r="FR29" s="3">
        <f t="shared" si="54"/>
        <v>9496.5249202706145</v>
      </c>
      <c r="FS29" s="3">
        <f t="shared" si="54"/>
        <v>9591.4901694733217</v>
      </c>
      <c r="FT29" s="3">
        <f t="shared" si="54"/>
        <v>9687.4050711680557</v>
      </c>
      <c r="FU29" s="3">
        <f t="shared" si="54"/>
        <v>9784.2791218797356</v>
      </c>
      <c r="FV29" s="3">
        <f t="shared" si="54"/>
        <v>9882.1219130985337</v>
      </c>
      <c r="FW29" s="3">
        <f t="shared" si="54"/>
        <v>9980.9431322295186</v>
      </c>
      <c r="FX29" s="3">
        <f t="shared" si="54"/>
        <v>10080.752563551814</v>
      </c>
      <c r="FY29" s="3">
        <f t="shared" si="54"/>
        <v>10181.560089187333</v>
      </c>
      <c r="FZ29" s="3">
        <f t="shared" si="54"/>
        <v>10283.375690079207</v>
      </c>
      <c r="GA29" s="3">
        <f t="shared" si="54"/>
        <v>10386.209446979999</v>
      </c>
      <c r="GB29" s="3">
        <f t="shared" si="54"/>
        <v>10490.071541449799</v>
      </c>
      <c r="GC29" s="3">
        <f t="shared" si="54"/>
        <v>10594.972256864297</v>
      </c>
      <c r="GD29" s="3">
        <f t="shared" si="54"/>
        <v>10700.92197943294</v>
      </c>
      <c r="GE29" s="3">
        <f t="shared" si="54"/>
        <v>10807.931199227269</v>
      </c>
      <c r="GF29" s="3">
        <f t="shared" si="54"/>
        <v>10916.010511219542</v>
      </c>
      <c r="GG29" s="3">
        <f t="shared" si="54"/>
        <v>11025.170616331738</v>
      </c>
      <c r="GH29" s="3">
        <f t="shared" si="54"/>
        <v>11135.422322495055</v>
      </c>
      <c r="GI29" s="3">
        <f t="shared" si="54"/>
        <v>11246.776545720006</v>
      </c>
      <c r="GJ29" s="3">
        <f t="shared" si="54"/>
        <v>11359.244311177206</v>
      </c>
      <c r="GK29" s="3">
        <f t="shared" si="54"/>
        <v>11472.836754288979</v>
      </c>
      <c r="GL29" s="3">
        <f t="shared" si="54"/>
        <v>11587.565121831869</v>
      </c>
      <c r="GM29" s="3">
        <f t="shared" si="54"/>
        <v>11703.440773050188</v>
      </c>
      <c r="GN29" s="3">
        <f t="shared" si="54"/>
        <v>11820.47518078069</v>
      </c>
      <c r="GO29" s="3">
        <f t="shared" si="54"/>
        <v>11938.679932588497</v>
      </c>
      <c r="GP29" s="3">
        <f t="shared" si="54"/>
        <v>12058.066731914381</v>
      </c>
      <c r="GQ29" s="3">
        <f t="shared" si="54"/>
        <v>12178.647399233525</v>
      </c>
      <c r="GR29" s="3">
        <f t="shared" ref="GR29:HX29" si="55">GQ29*(1+$AU$40)</f>
        <v>12300.43387322586</v>
      </c>
      <c r="GS29" s="3">
        <f t="shared" si="55"/>
        <v>12423.438211958119</v>
      </c>
      <c r="GT29" s="3">
        <f t="shared" si="55"/>
        <v>12547.6725940777</v>
      </c>
      <c r="GU29" s="3">
        <f t="shared" si="55"/>
        <v>12673.149320018476</v>
      </c>
      <c r="GV29" s="3">
        <f t="shared" si="55"/>
        <v>12799.88081321866</v>
      </c>
      <c r="GW29" s="3">
        <f t="shared" si="55"/>
        <v>12927.879621350847</v>
      </c>
      <c r="GX29" s="3">
        <f t="shared" si="55"/>
        <v>13057.158417564355</v>
      </c>
      <c r="GY29" s="3">
        <f t="shared" si="55"/>
        <v>13187.730001739998</v>
      </c>
      <c r="GZ29" s="3">
        <f t="shared" si="55"/>
        <v>13319.607301757398</v>
      </c>
      <c r="HA29" s="3">
        <f t="shared" si="55"/>
        <v>13452.803374774972</v>
      </c>
      <c r="HB29" s="3">
        <f t="shared" si="55"/>
        <v>13587.331408522723</v>
      </c>
      <c r="HC29" s="3">
        <f t="shared" si="55"/>
        <v>13723.20472260795</v>
      </c>
      <c r="HD29" s="3">
        <f t="shared" si="55"/>
        <v>13860.43676983403</v>
      </c>
      <c r="HE29" s="3">
        <f t="shared" si="55"/>
        <v>13999.041137532371</v>
      </c>
      <c r="HF29" s="3">
        <f t="shared" si="55"/>
        <v>14139.031548907695</v>
      </c>
      <c r="HG29" s="3">
        <f t="shared" si="55"/>
        <v>14280.421864396772</v>
      </c>
      <c r="HH29" s="3">
        <f t="shared" si="55"/>
        <v>14423.226083040739</v>
      </c>
      <c r="HI29" s="3">
        <f t="shared" si="55"/>
        <v>14567.458343871147</v>
      </c>
      <c r="HJ29" s="3">
        <f t="shared" si="55"/>
        <v>14713.132927309858</v>
      </c>
      <c r="HK29" s="3">
        <f t="shared" si="55"/>
        <v>14860.264256582957</v>
      </c>
      <c r="HL29" s="3">
        <f t="shared" si="55"/>
        <v>15008.866899148787</v>
      </c>
      <c r="HM29" s="3">
        <f t="shared" si="55"/>
        <v>15158.955568140274</v>
      </c>
      <c r="HN29" s="3">
        <f t="shared" si="55"/>
        <v>15310.545123821677</v>
      </c>
      <c r="HO29" s="3">
        <f t="shared" si="55"/>
        <v>15463.650575059894</v>
      </c>
      <c r="HP29" s="3">
        <f t="shared" si="55"/>
        <v>15618.287080810493</v>
      </c>
      <c r="HQ29" s="3">
        <f t="shared" si="55"/>
        <v>15774.469951618597</v>
      </c>
      <c r="HR29" s="3">
        <f t="shared" si="55"/>
        <v>15932.214651134784</v>
      </c>
      <c r="HS29" s="3">
        <f t="shared" si="55"/>
        <v>16091.536797646131</v>
      </c>
      <c r="HT29" s="3">
        <f t="shared" si="55"/>
        <v>16252.452165622593</v>
      </c>
      <c r="HU29" s="3">
        <f t="shared" si="55"/>
        <v>16414.97668727882</v>
      </c>
      <c r="HV29" s="3">
        <f t="shared" si="55"/>
        <v>16579.12645415161</v>
      </c>
      <c r="HW29" s="3">
        <f t="shared" si="55"/>
        <v>16744.917718693127</v>
      </c>
      <c r="HX29" s="3">
        <f t="shared" si="55"/>
        <v>16912.366895880059</v>
      </c>
      <c r="HY29" s="3">
        <f t="shared" ref="HY29:IH29" si="56">HX29*(1+$AU$40)</f>
        <v>17081.490564838859</v>
      </c>
      <c r="HZ29" s="3">
        <f t="shared" si="56"/>
        <v>17252.305470487248</v>
      </c>
      <c r="IA29" s="3">
        <f t="shared" si="56"/>
        <v>17424.828525192122</v>
      </c>
      <c r="IB29" s="3">
        <f t="shared" si="56"/>
        <v>17599.076810444043</v>
      </c>
      <c r="IC29" s="3">
        <f t="shared" si="56"/>
        <v>17775.067578548485</v>
      </c>
      <c r="ID29" s="3">
        <f t="shared" si="56"/>
        <v>17952.818254333972</v>
      </c>
      <c r="IE29" s="3">
        <f t="shared" si="56"/>
        <v>18132.346436877313</v>
      </c>
      <c r="IF29" s="3">
        <f t="shared" si="56"/>
        <v>18313.669901246085</v>
      </c>
      <c r="IG29" s="3">
        <f t="shared" si="56"/>
        <v>18496.806600258547</v>
      </c>
      <c r="IH29" s="3">
        <f t="shared" si="56"/>
        <v>18681.774666261132</v>
      </c>
      <c r="II29" s="3">
        <f t="shared" ref="II29" si="57">IH29*(1+$AU$40)</f>
        <v>18868.592412923743</v>
      </c>
    </row>
    <row r="30" spans="2:243" s="6" customFormat="1">
      <c r="B30" s="5" t="s">
        <v>28</v>
      </c>
      <c r="C30" s="6">
        <v>0.27</v>
      </c>
      <c r="D30" s="6">
        <v>0.67</v>
      </c>
      <c r="E30" s="6">
        <v>0.92</v>
      </c>
      <c r="F30" s="5">
        <f t="shared" si="16"/>
        <v>2.2799999999999994</v>
      </c>
      <c r="G30" s="6">
        <v>1.07</v>
      </c>
      <c r="H30" s="6">
        <v>1.29</v>
      </c>
      <c r="I30" s="6">
        <v>1.75</v>
      </c>
      <c r="J30" s="5">
        <f t="shared" si="17"/>
        <v>-2.2300000000000004</v>
      </c>
      <c r="K30" s="6">
        <v>1.36</v>
      </c>
      <c r="L30" s="6">
        <v>0.77</v>
      </c>
      <c r="M30" s="6">
        <v>1.1399999999999999</v>
      </c>
      <c r="N30" s="6">
        <f>+N29/N31</f>
        <v>0.59300155853655656</v>
      </c>
      <c r="O30" s="6">
        <v>1.05</v>
      </c>
      <c r="P30" s="6">
        <v>1.46</v>
      </c>
      <c r="Q30" s="6">
        <v>1.46</v>
      </c>
      <c r="R30" s="1">
        <f>+AG30-SUM(O30:Q30)</f>
        <v>1.62</v>
      </c>
      <c r="S30" s="6">
        <v>1.1000000000000001</v>
      </c>
      <c r="Y30" s="6">
        <v>2.9</v>
      </c>
      <c r="Z30" s="6">
        <v>4.0999999999999996</v>
      </c>
      <c r="AA30" s="6">
        <v>3.77</v>
      </c>
      <c r="AB30" s="6">
        <v>4.6900000000000004</v>
      </c>
      <c r="AC30" s="6">
        <v>4.1399999999999997</v>
      </c>
      <c r="AD30" s="6">
        <v>1.88</v>
      </c>
      <c r="AE30" s="6">
        <v>5.21</v>
      </c>
      <c r="AF30" s="6">
        <v>4.57</v>
      </c>
      <c r="AG30" s="6">
        <v>5.59</v>
      </c>
      <c r="AH30" s="6">
        <f t="shared" ref="AH30:AN30" si="58">+AH29/AH31</f>
        <v>6.2620770884171755</v>
      </c>
      <c r="AI30" s="6">
        <f t="shared" si="58"/>
        <v>6.5213462938600042</v>
      </c>
      <c r="AJ30" s="6">
        <f t="shared" si="58"/>
        <v>6.7915922830557651</v>
      </c>
      <c r="AK30" s="6">
        <f t="shared" si="58"/>
        <v>7.0732310400418372</v>
      </c>
      <c r="AL30" s="6">
        <f t="shared" si="58"/>
        <v>7.3666937103176728</v>
      </c>
      <c r="AM30" s="6">
        <f t="shared" si="58"/>
        <v>7.6724271354307376</v>
      </c>
      <c r="AN30" s="6">
        <f t="shared" si="58"/>
        <v>7.9908944059985814</v>
      </c>
      <c r="AO30" s="6">
        <f t="shared" ref="AO30:AP30" si="59">+AO29/AO31</f>
        <v>8.3225754337920268</v>
      </c>
      <c r="AP30" s="6">
        <f t="shared" si="59"/>
        <v>8.6679675435253909</v>
      </c>
      <c r="AQ30" s="6">
        <f t="shared" ref="AQ30" si="60">+AQ29/AQ31</f>
        <v>9.0275860850211664</v>
      </c>
    </row>
    <row r="31" spans="2:243">
      <c r="B31" s="1" t="s">
        <v>1</v>
      </c>
      <c r="C31" s="1">
        <f>+C29/C30</f>
        <v>396.29629629629625</v>
      </c>
      <c r="D31" s="1">
        <f>+D29/D30</f>
        <v>459.70149253731341</v>
      </c>
      <c r="E31" s="1">
        <f>+E29/E30</f>
        <v>379.3478260869565</v>
      </c>
      <c r="G31" s="1">
        <f>+G29/G30</f>
        <v>459.81308411214951</v>
      </c>
      <c r="H31" s="1">
        <f>+H29/H30</f>
        <v>327.90697674418601</v>
      </c>
      <c r="I31" s="1">
        <f>+I29/I30</f>
        <v>213.71428571428572</v>
      </c>
      <c r="K31" s="1">
        <f>+K29/K30</f>
        <v>293.38235294117646</v>
      </c>
      <c r="L31" s="1">
        <f>+L29/L30</f>
        <v>290.90909090909088</v>
      </c>
      <c r="M31" s="1">
        <f>+M29/M30</f>
        <v>290.35087719298247</v>
      </c>
      <c r="N31" s="1">
        <f>+M31</f>
        <v>290.35087719298247</v>
      </c>
      <c r="O31" s="1">
        <f>+O29/O30</f>
        <v>285.71428571428572</v>
      </c>
      <c r="P31" s="1">
        <f>+P29/P30</f>
        <v>286.30136986301369</v>
      </c>
      <c r="Q31" s="1">
        <f>+Q29/Q30</f>
        <v>406.84931506849318</v>
      </c>
      <c r="R31" s="1">
        <f>+R29/R30</f>
        <v>287.03703703703701</v>
      </c>
      <c r="S31" s="1">
        <f>+S29/S30</f>
        <v>285.45454545454544</v>
      </c>
      <c r="Y31" s="1">
        <f t="shared" ref="Y31:AD31" si="61">+Y29/Y30</f>
        <v>442.41379310344831</v>
      </c>
      <c r="Z31" s="1">
        <f t="shared" si="61"/>
        <v>248.29268292682929</v>
      </c>
      <c r="AA31" s="1">
        <f t="shared" si="61"/>
        <v>355.43766578249335</v>
      </c>
      <c r="AB31" s="1">
        <f t="shared" si="61"/>
        <v>328.78464818763325</v>
      </c>
      <c r="AC31" s="1">
        <f t="shared" si="61"/>
        <v>312.56038647342996</v>
      </c>
      <c r="AD31" s="1">
        <f t="shared" si="61"/>
        <v>480.85106382978728</v>
      </c>
      <c r="AE31" s="1">
        <f t="shared" ref="AE31" si="62">+AE29/AE30</f>
        <v>302.30326295585411</v>
      </c>
      <c r="AF31" s="1">
        <f>+AF29/AF30</f>
        <v>289.93435448577679</v>
      </c>
      <c r="AG31" s="1">
        <f>+AG29/AG30</f>
        <v>285.68872987477641</v>
      </c>
      <c r="AH31" s="1">
        <f t="shared" ref="AH31:AQ31" si="63">+AG31</f>
        <v>285.68872987477641</v>
      </c>
      <c r="AI31" s="1">
        <f t="shared" si="63"/>
        <v>285.68872987477641</v>
      </c>
      <c r="AJ31" s="1">
        <f t="shared" si="63"/>
        <v>285.68872987477641</v>
      </c>
      <c r="AK31" s="1">
        <f t="shared" si="63"/>
        <v>285.68872987477641</v>
      </c>
      <c r="AL31" s="1">
        <f t="shared" si="63"/>
        <v>285.68872987477641</v>
      </c>
      <c r="AM31" s="1">
        <f t="shared" si="63"/>
        <v>285.68872987477641</v>
      </c>
      <c r="AN31" s="1">
        <f t="shared" si="63"/>
        <v>285.68872987477641</v>
      </c>
      <c r="AO31" s="1">
        <f t="shared" si="63"/>
        <v>285.68872987477641</v>
      </c>
      <c r="AP31" s="1">
        <f t="shared" si="63"/>
        <v>285.68872987477641</v>
      </c>
      <c r="AQ31" s="1">
        <f t="shared" si="63"/>
        <v>285.68872987477641</v>
      </c>
    </row>
    <row r="33" spans="2:47">
      <c r="B33" s="1" t="s">
        <v>71</v>
      </c>
      <c r="C33" s="4">
        <f t="shared" ref="C33" si="64">+C23/C15</f>
        <v>0.19794140934283452</v>
      </c>
      <c r="D33" s="4">
        <f t="shared" ref="D33" si="65">+D23/D15</f>
        <v>0.25041736227045075</v>
      </c>
      <c r="E33" s="4">
        <f t="shared" ref="E33" si="66">+E23/E15</f>
        <v>0.32527624309392267</v>
      </c>
      <c r="F33" s="4">
        <f t="shared" ref="F33:I33" si="67">+F23/F15</f>
        <v>0.5385071090047393</v>
      </c>
      <c r="G33" s="4">
        <f t="shared" si="67"/>
        <v>0.36541049798115749</v>
      </c>
      <c r="H33" s="4">
        <f t="shared" si="67"/>
        <v>0.3539325842696629</v>
      </c>
      <c r="I33" s="4">
        <f t="shared" si="67"/>
        <v>0.32814445828144456</v>
      </c>
      <c r="J33" s="4">
        <f>+J23/J15</f>
        <v>-0.13987473903966596</v>
      </c>
      <c r="K33" s="4">
        <f t="shared" ref="K33:L33" si="68">+K23/K15</f>
        <v>0.32902391725921137</v>
      </c>
      <c r="L33" s="4">
        <f t="shared" si="68"/>
        <v>0.33863080684596575</v>
      </c>
      <c r="M33" s="4">
        <f t="shared" ref="M33" si="69">+M23/M15</f>
        <v>0.3329268292682927</v>
      </c>
      <c r="N33" s="4">
        <f t="shared" ref="N33:Q33" si="70">+N23/N15</f>
        <v>0.33863080684596575</v>
      </c>
      <c r="O33" s="4">
        <f t="shared" si="70"/>
        <v>0.31793313069908813</v>
      </c>
      <c r="P33" s="4">
        <f t="shared" si="70"/>
        <v>0.33965619442797867</v>
      </c>
      <c r="Q33" s="4">
        <f t="shared" si="70"/>
        <v>0.3588992974238876</v>
      </c>
      <c r="R33" s="4">
        <f t="shared" ref="R33:S33" si="71">+R23/R15</f>
        <v>0.29911591355599215</v>
      </c>
      <c r="S33" s="4">
        <f t="shared" si="71"/>
        <v>0.32540675844806005</v>
      </c>
      <c r="T33" s="4"/>
      <c r="U33" s="4"/>
      <c r="Y33" s="4">
        <f t="shared" ref="Y33:AD33" si="72">+Y23/Y15</f>
        <v>0.22343409161732627</v>
      </c>
      <c r="Z33" s="4">
        <f t="shared" si="72"/>
        <v>0.26463184392699812</v>
      </c>
      <c r="AA33" s="4">
        <f t="shared" si="72"/>
        <v>0.46971759101735283</v>
      </c>
      <c r="AB33" s="4">
        <f t="shared" si="72"/>
        <v>0.40365682137834036</v>
      </c>
      <c r="AC33" s="4">
        <f t="shared" si="72"/>
        <v>0.34482758620689657</v>
      </c>
      <c r="AD33" s="4">
        <f t="shared" si="72"/>
        <v>0.26592356687898089</v>
      </c>
      <c r="AE33" s="4">
        <f t="shared" ref="AE33:AN33" si="73">+AE23/AE15</f>
        <v>0.32487849331713242</v>
      </c>
      <c r="AF33" s="4">
        <f t="shared" si="73"/>
        <v>0.31964337912890967</v>
      </c>
      <c r="AG33" s="4">
        <f t="shared" si="73"/>
        <v>0.32758620689655171</v>
      </c>
      <c r="AH33" s="4">
        <f t="shared" si="73"/>
        <v>0.32758620689655171</v>
      </c>
      <c r="AI33" s="4">
        <f t="shared" si="73"/>
        <v>0.32758620689655177</v>
      </c>
      <c r="AJ33" s="4">
        <f t="shared" si="73"/>
        <v>0.32758620689655171</v>
      </c>
      <c r="AK33" s="4">
        <f t="shared" si="73"/>
        <v>0.3275862068965516</v>
      </c>
      <c r="AL33" s="4">
        <f t="shared" si="73"/>
        <v>0.32758620689655166</v>
      </c>
      <c r="AM33" s="4">
        <f t="shared" si="73"/>
        <v>0.3275862068965516</v>
      </c>
      <c r="AN33" s="4">
        <f t="shared" si="73"/>
        <v>0.32758620689655177</v>
      </c>
      <c r="AO33" s="4">
        <f t="shared" ref="AO33:AP33" si="74">+AO23/AO15</f>
        <v>0.32758620689655166</v>
      </c>
      <c r="AP33" s="4">
        <f t="shared" si="74"/>
        <v>0.32758620689655171</v>
      </c>
      <c r="AQ33" s="4">
        <f t="shared" ref="AQ33" si="75">+AQ23/AQ15</f>
        <v>0.32758620689655182</v>
      </c>
    </row>
    <row r="34" spans="2:47">
      <c r="B34" s="1" t="s">
        <v>72</v>
      </c>
      <c r="C34" s="4"/>
      <c r="D34" s="4"/>
      <c r="E34" s="4"/>
      <c r="F34" s="4"/>
      <c r="G34" s="4">
        <f t="shared" ref="G34:S34" si="76">+G15/C15-1</f>
        <v>0.17656373713380846</v>
      </c>
      <c r="H34" s="4">
        <f t="shared" si="76"/>
        <v>0.337228714524207</v>
      </c>
      <c r="I34" s="4">
        <f t="shared" si="76"/>
        <v>0.1091160220994476</v>
      </c>
      <c r="J34" s="4">
        <f t="shared" si="76"/>
        <v>-0.43246445497630337</v>
      </c>
      <c r="K34" s="4">
        <f t="shared" si="76"/>
        <v>4.1049798115746938E-2</v>
      </c>
      <c r="L34" s="4">
        <f t="shared" si="76"/>
        <v>2.1223470661672961E-2</v>
      </c>
      <c r="M34" s="4">
        <f t="shared" si="76"/>
        <v>2.1170610211706187E-2</v>
      </c>
      <c r="N34" s="4">
        <f t="shared" si="76"/>
        <v>2.0000000000000018E-2</v>
      </c>
      <c r="O34" s="4">
        <f t="shared" si="76"/>
        <v>6.3348416289592757E-2</v>
      </c>
      <c r="P34" s="4">
        <f t="shared" si="76"/>
        <v>3.1173594132029248E-2</v>
      </c>
      <c r="Q34" s="4">
        <f t="shared" si="76"/>
        <v>4.1463414634146378E-2</v>
      </c>
      <c r="R34" s="4">
        <f>+R15/N15-1</f>
        <v>1.0835891767980681</v>
      </c>
      <c r="S34" s="12">
        <f t="shared" si="76"/>
        <v>-2.8571428571428581E-2</v>
      </c>
      <c r="T34" s="4"/>
      <c r="U34" s="4"/>
      <c r="Z34" s="4">
        <f t="shared" ref="Z34:AQ34" si="77">+Z15/Y15-1</f>
        <v>-9.6603303209722435E-3</v>
      </c>
      <c r="AA34" s="4">
        <f t="shared" si="77"/>
        <v>-7.5204531151667697E-2</v>
      </c>
      <c r="AB34" s="4">
        <f t="shared" si="77"/>
        <v>-3.2323919700578463E-2</v>
      </c>
      <c r="AC34" s="4">
        <f t="shared" si="77"/>
        <v>-1.5998593530239136E-2</v>
      </c>
      <c r="AD34" s="4">
        <f t="shared" si="77"/>
        <v>9.8266928711809864E-3</v>
      </c>
      <c r="AE34" s="4">
        <f t="shared" si="77"/>
        <v>0.1648973814578909</v>
      </c>
      <c r="AF34" s="4">
        <f t="shared" si="77"/>
        <v>3.9185905224787376E-2</v>
      </c>
      <c r="AG34" s="4">
        <f t="shared" si="77"/>
        <v>3.4200526161940914E-2</v>
      </c>
      <c r="AH34" s="4">
        <f t="shared" si="77"/>
        <v>0.11787152916063803</v>
      </c>
      <c r="AI34" s="4">
        <f t="shared" si="77"/>
        <v>5.0487659334648161E-2</v>
      </c>
      <c r="AJ34" s="4">
        <f t="shared" si="77"/>
        <v>5.0088088543613685E-2</v>
      </c>
      <c r="AK34" s="4">
        <f t="shared" si="77"/>
        <v>4.9703805257536482E-2</v>
      </c>
      <c r="AL34" s="4">
        <f t="shared" si="77"/>
        <v>4.9333948599227018E-2</v>
      </c>
      <c r="AM34" s="4">
        <f t="shared" si="77"/>
        <v>4.8977721138049324E-2</v>
      </c>
      <c r="AN34" s="4">
        <f t="shared" si="77"/>
        <v>4.8634383150657934E-2</v>
      </c>
      <c r="AO34" s="4">
        <f t="shared" si="77"/>
        <v>4.8303247493669543E-2</v>
      </c>
      <c r="AP34" s="4">
        <f t="shared" si="77"/>
        <v>4.7983675013458571E-2</v>
      </c>
      <c r="AQ34" s="4">
        <f t="shared" si="77"/>
        <v>4.767507042857777E-2</v>
      </c>
    </row>
    <row r="35" spans="2:47">
      <c r="B35" s="1" t="str">
        <f>+B41</f>
        <v>Account &amp; note Rec.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2:47">
      <c r="J36" s="10"/>
      <c r="K36" s="10"/>
      <c r="L36" s="10"/>
      <c r="M36" s="10"/>
      <c r="N36" s="10"/>
      <c r="O36" s="10"/>
      <c r="P36" s="10"/>
      <c r="Q36" s="10"/>
      <c r="R36" s="10"/>
    </row>
    <row r="37" spans="2:47">
      <c r="J37" s="10"/>
      <c r="K37" s="10"/>
      <c r="L37" s="10"/>
      <c r="M37" s="10"/>
      <c r="N37" s="10"/>
      <c r="O37" s="10"/>
      <c r="P37" s="10"/>
      <c r="Q37" s="10"/>
      <c r="R37" s="10"/>
    </row>
    <row r="38" spans="2:47">
      <c r="J38" s="8"/>
      <c r="K38" s="8"/>
      <c r="L38" s="8"/>
      <c r="M38" s="8"/>
      <c r="N38" s="8"/>
      <c r="O38" s="8"/>
      <c r="P38" s="8"/>
      <c r="Q38" s="8"/>
      <c r="R38" s="8"/>
    </row>
    <row r="39" spans="2:47" s="3" customFormat="1">
      <c r="B39" s="3" t="s">
        <v>56</v>
      </c>
      <c r="J39" s="3">
        <f t="shared" ref="J39:S39" si="78">+J40-J53-J56</f>
        <v>-1328</v>
      </c>
      <c r="K39" s="3">
        <f t="shared" si="78"/>
        <v>-1381</v>
      </c>
      <c r="L39" s="3">
        <f t="shared" si="78"/>
        <v>-1295</v>
      </c>
      <c r="M39" s="3">
        <f t="shared" si="78"/>
        <v>-1222</v>
      </c>
      <c r="N39" s="3">
        <f t="shared" si="78"/>
        <v>-1635</v>
      </c>
      <c r="O39" s="3">
        <f t="shared" si="78"/>
        <v>-1668</v>
      </c>
      <c r="P39" s="3">
        <f t="shared" si="78"/>
        <v>-1540</v>
      </c>
      <c r="Q39" s="3">
        <f t="shared" si="78"/>
        <v>-1322</v>
      </c>
      <c r="R39" s="3">
        <f t="shared" si="78"/>
        <v>-1211</v>
      </c>
      <c r="S39" s="3">
        <f t="shared" si="78"/>
        <v>-1068</v>
      </c>
      <c r="AG39" s="3">
        <f>+R39</f>
        <v>-1211</v>
      </c>
      <c r="AH39" s="3">
        <f t="shared" ref="AH39:AQ39" si="79">+AG39+AH29</f>
        <v>578.00484976784082</v>
      </c>
      <c r="AI39" s="3">
        <f t="shared" si="79"/>
        <v>2441.0799895342861</v>
      </c>
      <c r="AJ39" s="3">
        <f t="shared" si="79"/>
        <v>4381.3613627078212</v>
      </c>
      <c r="AK39" s="3">
        <f t="shared" si="79"/>
        <v>6402.1037546482175</v>
      </c>
      <c r="AL39" s="3">
        <f t="shared" si="79"/>
        <v>8506.6851241253771</v>
      </c>
      <c r="AM39" s="3">
        <f t="shared" si="79"/>
        <v>10698.611087503354</v>
      </c>
      <c r="AN39" s="3">
        <f t="shared" si="79"/>
        <v>12981.519560916544</v>
      </c>
      <c r="AO39" s="3">
        <f t="shared" si="79"/>
        <v>15359.185565883605</v>
      </c>
      <c r="AP39" s="3">
        <f t="shared" si="79"/>
        <v>17835.52620398916</v>
      </c>
      <c r="AQ39" s="3">
        <f t="shared" si="79"/>
        <v>20414.605806454063</v>
      </c>
      <c r="AT39" s="1" t="s">
        <v>57</v>
      </c>
      <c r="AU39" s="4">
        <v>0.01</v>
      </c>
    </row>
    <row r="40" spans="2:47">
      <c r="B40" s="1" t="s">
        <v>38</v>
      </c>
      <c r="J40" s="1">
        <v>486</v>
      </c>
      <c r="K40" s="1">
        <v>365</v>
      </c>
      <c r="L40" s="1">
        <v>412</v>
      </c>
      <c r="M40" s="1">
        <v>410</v>
      </c>
      <c r="N40" s="1">
        <v>367</v>
      </c>
      <c r="O40" s="1">
        <v>349</v>
      </c>
      <c r="P40" s="1">
        <v>437</v>
      </c>
      <c r="Q40" s="1">
        <v>656</v>
      </c>
      <c r="R40" s="1">
        <v>512</v>
      </c>
      <c r="S40" s="1">
        <v>652</v>
      </c>
      <c r="AT40" s="1" t="s">
        <v>33</v>
      </c>
      <c r="AU40" s="4">
        <v>0.01</v>
      </c>
    </row>
    <row r="41" spans="2:47">
      <c r="B41" s="1" t="s">
        <v>39</v>
      </c>
      <c r="J41" s="1">
        <v>596</v>
      </c>
      <c r="K41" s="1">
        <v>565</v>
      </c>
      <c r="L41" s="1">
        <v>598</v>
      </c>
      <c r="M41" s="1">
        <v>579</v>
      </c>
      <c r="N41" s="1">
        <v>648</v>
      </c>
      <c r="O41" s="1">
        <v>622</v>
      </c>
      <c r="P41" s="1">
        <v>656</v>
      </c>
      <c r="Q41" s="1">
        <v>647</v>
      </c>
      <c r="R41" s="1">
        <v>737</v>
      </c>
      <c r="S41" s="1">
        <v>686</v>
      </c>
      <c r="AT41" s="3" t="s">
        <v>34</v>
      </c>
      <c r="AU41" s="11">
        <v>0.06</v>
      </c>
    </row>
    <row r="42" spans="2:47">
      <c r="B42" s="1" t="s">
        <v>40</v>
      </c>
      <c r="J42" s="1">
        <v>450</v>
      </c>
      <c r="K42" s="1">
        <v>426</v>
      </c>
      <c r="L42" s="1">
        <v>419</v>
      </c>
      <c r="M42" s="1">
        <v>606</v>
      </c>
      <c r="N42" s="1">
        <v>594</v>
      </c>
      <c r="O42" s="1">
        <v>575</v>
      </c>
      <c r="P42" s="1">
        <v>422</v>
      </c>
      <c r="Q42" s="1">
        <v>402</v>
      </c>
      <c r="R42" s="1">
        <v>360</v>
      </c>
      <c r="S42" s="1">
        <v>436</v>
      </c>
      <c r="AT42" s="1" t="s">
        <v>35</v>
      </c>
      <c r="AU42" s="1">
        <f>NPV(AU41,AE29:DF29)</f>
        <v>40578.084901290647</v>
      </c>
    </row>
    <row r="43" spans="2:47" s="3" customFormat="1">
      <c r="B43" s="3" t="s">
        <v>41</v>
      </c>
      <c r="J43" s="3">
        <f t="shared" ref="J43:S43" si="80">+SUM(J40:J42)</f>
        <v>1532</v>
      </c>
      <c r="K43" s="3">
        <f t="shared" si="80"/>
        <v>1356</v>
      </c>
      <c r="L43" s="3">
        <f t="shared" si="80"/>
        <v>1429</v>
      </c>
      <c r="M43" s="3">
        <f t="shared" si="80"/>
        <v>1595</v>
      </c>
      <c r="N43" s="3">
        <f t="shared" si="80"/>
        <v>1609</v>
      </c>
      <c r="O43" s="3">
        <f t="shared" si="80"/>
        <v>1546</v>
      </c>
      <c r="P43" s="3">
        <f t="shared" si="80"/>
        <v>1515</v>
      </c>
      <c r="Q43" s="3">
        <f t="shared" si="80"/>
        <v>1705</v>
      </c>
      <c r="R43" s="3">
        <f t="shared" si="80"/>
        <v>1609</v>
      </c>
      <c r="S43" s="3">
        <f t="shared" si="80"/>
        <v>1774</v>
      </c>
      <c r="AT43" s="1" t="s">
        <v>1</v>
      </c>
      <c r="AU43" s="1">
        <f>Main!H4</f>
        <v>281.63221199999998</v>
      </c>
    </row>
    <row r="44" spans="2:47">
      <c r="B44" s="1" t="s">
        <v>42</v>
      </c>
      <c r="J44" s="1">
        <v>1207</v>
      </c>
      <c r="K44" s="1">
        <v>1181</v>
      </c>
      <c r="L44" s="1">
        <v>1192</v>
      </c>
      <c r="M44" s="1">
        <v>1114</v>
      </c>
      <c r="N44" s="1">
        <v>1171</v>
      </c>
      <c r="O44" s="1">
        <v>1162</v>
      </c>
      <c r="P44" s="1">
        <v>1162</v>
      </c>
      <c r="Q44" s="1">
        <v>1157</v>
      </c>
      <c r="R44" s="1">
        <v>1197</v>
      </c>
      <c r="S44" s="1">
        <v>1190</v>
      </c>
      <c r="AT44" s="1" t="s">
        <v>36</v>
      </c>
      <c r="AU44" s="1">
        <f>+AU42/AU43</f>
        <v>144.08183145360749</v>
      </c>
    </row>
    <row r="45" spans="2:47">
      <c r="B45" s="1" t="s">
        <v>43</v>
      </c>
      <c r="J45" s="1">
        <v>657</v>
      </c>
      <c r="K45" s="1">
        <v>656</v>
      </c>
      <c r="L45" s="1">
        <v>649</v>
      </c>
      <c r="M45" s="1">
        <v>633</v>
      </c>
      <c r="N45" s="1">
        <v>638</v>
      </c>
      <c r="O45" s="1">
        <v>639</v>
      </c>
      <c r="P45" s="1">
        <v>641</v>
      </c>
      <c r="Q45" s="1">
        <v>638</v>
      </c>
      <c r="R45" s="1">
        <v>642</v>
      </c>
      <c r="S45" s="1">
        <v>641</v>
      </c>
      <c r="AT45" s="3" t="s">
        <v>73</v>
      </c>
      <c r="AU45" s="3">
        <f>+Main!H3</f>
        <v>137.65</v>
      </c>
    </row>
    <row r="46" spans="2:47">
      <c r="B46" s="1" t="s">
        <v>44</v>
      </c>
      <c r="J46" s="1">
        <v>359</v>
      </c>
      <c r="K46" s="1">
        <v>354</v>
      </c>
      <c r="L46" s="1">
        <v>361</v>
      </c>
      <c r="M46" s="1">
        <v>341</v>
      </c>
      <c r="N46" s="1">
        <v>354</v>
      </c>
      <c r="O46" s="1">
        <v>351</v>
      </c>
      <c r="P46" s="1">
        <v>369</v>
      </c>
      <c r="Q46" s="1">
        <v>369</v>
      </c>
      <c r="R46" s="1">
        <v>377</v>
      </c>
      <c r="S46" s="1">
        <v>370</v>
      </c>
      <c r="AT46" s="1" t="s">
        <v>74</v>
      </c>
      <c r="AU46" s="10">
        <f>+AU44/AU45-1</f>
        <v>4.672598222744262E-2</v>
      </c>
    </row>
    <row r="47" spans="2:47">
      <c r="B47" s="1" t="s">
        <v>45</v>
      </c>
      <c r="J47" s="1">
        <v>1487</v>
      </c>
      <c r="K47" s="1">
        <v>1485</v>
      </c>
      <c r="L47" s="1">
        <v>1457</v>
      </c>
      <c r="M47" s="1">
        <v>1429</v>
      </c>
      <c r="N47" s="1">
        <v>1324</v>
      </c>
      <c r="O47" s="1">
        <v>1299</v>
      </c>
      <c r="P47" s="1">
        <v>1340</v>
      </c>
      <c r="Q47" s="1">
        <v>1360</v>
      </c>
      <c r="R47" s="1">
        <v>1361</v>
      </c>
      <c r="S47" s="1">
        <v>1228</v>
      </c>
    </row>
    <row r="48" spans="2:47">
      <c r="B48" s="1" t="s">
        <v>46</v>
      </c>
      <c r="J48" s="1">
        <v>724</v>
      </c>
      <c r="K48" s="1">
        <v>784</v>
      </c>
      <c r="L48" s="1">
        <v>702</v>
      </c>
      <c r="M48" s="1">
        <v>667</v>
      </c>
      <c r="N48" s="1">
        <v>750</v>
      </c>
      <c r="O48" s="1">
        <v>752</v>
      </c>
      <c r="P48" s="1">
        <v>821</v>
      </c>
      <c r="Q48" s="1">
        <v>842</v>
      </c>
      <c r="R48" s="1">
        <v>1045</v>
      </c>
      <c r="S48" s="1">
        <v>1021</v>
      </c>
    </row>
    <row r="49" spans="2:110" s="3" customFormat="1">
      <c r="B49" s="3" t="s">
        <v>47</v>
      </c>
      <c r="J49" s="3">
        <f t="shared" ref="J49:S49" si="81">+SUM(J43:J48)</f>
        <v>5966</v>
      </c>
      <c r="K49" s="3">
        <f t="shared" si="81"/>
        <v>5816</v>
      </c>
      <c r="L49" s="3">
        <f t="shared" si="81"/>
        <v>5790</v>
      </c>
      <c r="M49" s="3">
        <f t="shared" si="81"/>
        <v>5779</v>
      </c>
      <c r="N49" s="3">
        <f t="shared" si="81"/>
        <v>5846</v>
      </c>
      <c r="O49" s="3">
        <f t="shared" si="81"/>
        <v>5749</v>
      </c>
      <c r="P49" s="3">
        <f t="shared" si="81"/>
        <v>5848</v>
      </c>
      <c r="Q49" s="3">
        <f t="shared" si="81"/>
        <v>6071</v>
      </c>
      <c r="R49" s="3">
        <f t="shared" si="81"/>
        <v>6231</v>
      </c>
      <c r="S49" s="3">
        <f t="shared" si="81"/>
        <v>6224</v>
      </c>
    </row>
    <row r="51" spans="2:110">
      <c r="B51" s="1" t="s">
        <v>79</v>
      </c>
      <c r="J51" s="1">
        <v>1334</v>
      </c>
      <c r="K51" s="1">
        <v>1202</v>
      </c>
      <c r="L51" s="1">
        <v>1090</v>
      </c>
      <c r="M51" s="1">
        <v>1156</v>
      </c>
      <c r="N51" s="1">
        <v>1251</v>
      </c>
      <c r="O51" s="1">
        <v>1128</v>
      </c>
      <c r="P51" s="1">
        <v>1063</v>
      </c>
      <c r="Q51" s="1">
        <v>1119</v>
      </c>
      <c r="R51" s="1">
        <v>1169</v>
      </c>
      <c r="S51" s="1">
        <v>1095</v>
      </c>
    </row>
    <row r="52" spans="2:110">
      <c r="B52" s="1" t="s">
        <v>48</v>
      </c>
      <c r="J52" s="1">
        <v>13</v>
      </c>
      <c r="K52" s="1">
        <v>27</v>
      </c>
      <c r="L52" s="1">
        <v>21</v>
      </c>
      <c r="M52" s="1">
        <v>16</v>
      </c>
      <c r="N52" s="1">
        <v>16</v>
      </c>
      <c r="O52" s="1">
        <v>29</v>
      </c>
      <c r="P52" s="1">
        <v>50</v>
      </c>
      <c r="Q52" s="1">
        <v>12</v>
      </c>
      <c r="R52" s="1">
        <v>55</v>
      </c>
      <c r="S52" s="1">
        <v>35</v>
      </c>
    </row>
    <row r="53" spans="2:110">
      <c r="B53" s="1" t="s">
        <v>49</v>
      </c>
      <c r="J53" s="1">
        <v>68</v>
      </c>
      <c r="K53" s="1">
        <v>73</v>
      </c>
      <c r="L53" s="1">
        <v>72</v>
      </c>
      <c r="M53" s="1">
        <v>72</v>
      </c>
      <c r="N53" s="1">
        <v>398</v>
      </c>
      <c r="O53" s="1">
        <v>398</v>
      </c>
      <c r="P53" s="1">
        <v>374</v>
      </c>
      <c r="Q53" s="1">
        <v>373</v>
      </c>
      <c r="R53" s="1">
        <v>53</v>
      </c>
      <c r="S53" s="1">
        <v>58</v>
      </c>
    </row>
    <row r="54" spans="2:110" s="3" customFormat="1">
      <c r="B54" s="3" t="s">
        <v>50</v>
      </c>
      <c r="J54" s="3">
        <f t="shared" ref="J54:S54" si="82">+SUM(J51:J53)</f>
        <v>1415</v>
      </c>
      <c r="K54" s="3">
        <f t="shared" si="82"/>
        <v>1302</v>
      </c>
      <c r="L54" s="3">
        <f t="shared" si="82"/>
        <v>1183</v>
      </c>
      <c r="M54" s="3">
        <f t="shared" si="82"/>
        <v>1244</v>
      </c>
      <c r="N54" s="3">
        <f t="shared" si="82"/>
        <v>1665</v>
      </c>
      <c r="O54" s="3">
        <f t="shared" si="82"/>
        <v>1555</v>
      </c>
      <c r="P54" s="3">
        <f t="shared" si="82"/>
        <v>1487</v>
      </c>
      <c r="Q54" s="3">
        <f t="shared" si="82"/>
        <v>1504</v>
      </c>
      <c r="R54" s="3">
        <f t="shared" si="82"/>
        <v>1277</v>
      </c>
      <c r="S54" s="3">
        <f t="shared" si="82"/>
        <v>1188</v>
      </c>
    </row>
    <row r="55" spans="2:110">
      <c r="B55" s="1" t="s">
        <v>51</v>
      </c>
      <c r="J55" s="1">
        <v>11178</v>
      </c>
      <c r="K55" s="1">
        <v>11332</v>
      </c>
      <c r="L55" s="1">
        <v>11540</v>
      </c>
      <c r="M55" s="1">
        <v>11517</v>
      </c>
      <c r="N55" s="1">
        <v>11453</v>
      </c>
      <c r="O55" s="1">
        <v>11349</v>
      </c>
      <c r="P55" s="1">
        <v>11194</v>
      </c>
      <c r="Q55" s="1">
        <v>11152</v>
      </c>
      <c r="R55" s="1">
        <v>11142</v>
      </c>
      <c r="S55" s="1">
        <v>11130</v>
      </c>
    </row>
    <row r="56" spans="2:110">
      <c r="B56" s="1" t="s">
        <v>52</v>
      </c>
      <c r="J56" s="1">
        <v>1746</v>
      </c>
      <c r="K56" s="1">
        <v>1673</v>
      </c>
      <c r="L56" s="1">
        <v>1635</v>
      </c>
      <c r="M56" s="1">
        <v>1560</v>
      </c>
      <c r="N56" s="1">
        <v>1604</v>
      </c>
      <c r="O56" s="1">
        <v>1619</v>
      </c>
      <c r="P56" s="1">
        <v>1603</v>
      </c>
      <c r="Q56" s="1">
        <v>1605</v>
      </c>
      <c r="R56" s="1">
        <v>1670</v>
      </c>
      <c r="S56" s="1">
        <v>1662</v>
      </c>
    </row>
    <row r="57" spans="2:110" s="3" customFormat="1">
      <c r="B57" s="3" t="s">
        <v>53</v>
      </c>
      <c r="J57" s="3">
        <f t="shared" ref="J57:S57" si="83">+SUM(J54:J56)</f>
        <v>14339</v>
      </c>
      <c r="K57" s="3">
        <f t="shared" si="83"/>
        <v>14307</v>
      </c>
      <c r="L57" s="3">
        <f t="shared" si="83"/>
        <v>14358</v>
      </c>
      <c r="M57" s="3">
        <f t="shared" si="83"/>
        <v>14321</v>
      </c>
      <c r="N57" s="3">
        <f t="shared" si="83"/>
        <v>14722</v>
      </c>
      <c r="O57" s="3">
        <f t="shared" si="83"/>
        <v>14523</v>
      </c>
      <c r="P57" s="3">
        <f t="shared" si="83"/>
        <v>14284</v>
      </c>
      <c r="Q57" s="3">
        <f t="shared" si="83"/>
        <v>14261</v>
      </c>
      <c r="R57" s="3">
        <f t="shared" si="83"/>
        <v>14089</v>
      </c>
      <c r="S57" s="3">
        <f t="shared" si="83"/>
        <v>13980</v>
      </c>
    </row>
    <row r="58" spans="2:110">
      <c r="B58" s="1" t="s">
        <v>54</v>
      </c>
      <c r="J58" s="1">
        <v>-8373</v>
      </c>
      <c r="K58" s="1">
        <v>-8491</v>
      </c>
      <c r="L58" s="1">
        <v>-8568</v>
      </c>
      <c r="M58" s="1">
        <v>-8542</v>
      </c>
      <c r="N58" s="1">
        <v>-8876</v>
      </c>
      <c r="O58" s="1">
        <v>-8774</v>
      </c>
      <c r="P58" s="1">
        <v>-8436</v>
      </c>
      <c r="Q58" s="1">
        <v>-8190</v>
      </c>
      <c r="R58" s="1">
        <v>-7858</v>
      </c>
      <c r="S58" s="1">
        <v>-7756</v>
      </c>
    </row>
    <row r="59" spans="2:110" s="3" customFormat="1">
      <c r="B59" s="3" t="s">
        <v>55</v>
      </c>
      <c r="J59" s="3">
        <f t="shared" ref="J59:S59" si="84">+J57+J58</f>
        <v>5966</v>
      </c>
      <c r="K59" s="3">
        <f t="shared" si="84"/>
        <v>5816</v>
      </c>
      <c r="L59" s="3">
        <f t="shared" si="84"/>
        <v>5790</v>
      </c>
      <c r="M59" s="3">
        <f t="shared" si="84"/>
        <v>5779</v>
      </c>
      <c r="N59" s="3">
        <f t="shared" si="84"/>
        <v>5846</v>
      </c>
      <c r="O59" s="3">
        <f t="shared" si="84"/>
        <v>5749</v>
      </c>
      <c r="P59" s="3">
        <f t="shared" si="84"/>
        <v>5848</v>
      </c>
      <c r="Q59" s="3">
        <f t="shared" si="84"/>
        <v>6071</v>
      </c>
      <c r="R59" s="3">
        <f t="shared" si="84"/>
        <v>6231</v>
      </c>
      <c r="S59" s="3">
        <f t="shared" si="84"/>
        <v>6224</v>
      </c>
    </row>
    <row r="62" spans="2:110">
      <c r="B62" s="1" t="s">
        <v>58</v>
      </c>
      <c r="K62" s="1">
        <v>253</v>
      </c>
      <c r="L62" s="1">
        <f>522-K62</f>
        <v>269</v>
      </c>
      <c r="M62" s="1">
        <f>975-SUM(K62:L62)</f>
        <v>453</v>
      </c>
      <c r="N62" s="1">
        <f>+AF62-SUM(K62:M62)</f>
        <v>452</v>
      </c>
      <c r="O62" s="1">
        <v>349</v>
      </c>
      <c r="P62" s="1">
        <f>678-O62</f>
        <v>329</v>
      </c>
      <c r="Q62" s="1">
        <f>1155-SUM(O62:P62)</f>
        <v>477</v>
      </c>
      <c r="R62" s="1">
        <f>+AG62-SUM(O62:Q62)</f>
        <v>448</v>
      </c>
      <c r="S62" s="1">
        <v>363</v>
      </c>
      <c r="AB62" s="1">
        <v>1176</v>
      </c>
      <c r="AC62" s="1">
        <v>1315</v>
      </c>
      <c r="AD62" s="1">
        <v>1305</v>
      </c>
      <c r="AE62" s="1">
        <v>1706</v>
      </c>
      <c r="AF62" s="1">
        <v>1427</v>
      </c>
      <c r="AG62" s="1">
        <v>1603</v>
      </c>
    </row>
    <row r="63" spans="2:110">
      <c r="B63" s="1" t="s">
        <v>59</v>
      </c>
      <c r="K63" s="1">
        <v>-42</v>
      </c>
      <c r="L63" s="1">
        <f>+-97-K63</f>
        <v>-55</v>
      </c>
      <c r="M63" s="1">
        <f>+-158-SUM(K63:L63)</f>
        <v>-61</v>
      </c>
      <c r="N63" s="1">
        <f>+AF63-SUM(K63:M63)</f>
        <v>-121</v>
      </c>
      <c r="O63" s="1">
        <v>-62</v>
      </c>
      <c r="P63" s="1">
        <f>+-122-O63</f>
        <v>-60</v>
      </c>
      <c r="Q63" s="1">
        <f>+-179-SUM(O63:P63)</f>
        <v>-57</v>
      </c>
      <c r="R63" s="1">
        <f>+AG63-SUM(O63:Q63)</f>
        <v>-106</v>
      </c>
      <c r="S63" s="1">
        <v>-49</v>
      </c>
      <c r="AB63" s="1">
        <v>-234</v>
      </c>
      <c r="AC63" s="1">
        <v>-196</v>
      </c>
      <c r="AD63" s="1">
        <v>-160</v>
      </c>
      <c r="AE63" s="1">
        <v>-230</v>
      </c>
      <c r="AF63" s="1">
        <v>-279</v>
      </c>
      <c r="AG63" s="1">
        <v>-285</v>
      </c>
    </row>
    <row r="64" spans="2:110" s="3" customFormat="1">
      <c r="B64" s="3" t="s">
        <v>60</v>
      </c>
      <c r="K64" s="3">
        <f t="shared" ref="K64:S64" si="85">+SUM(K62:K63)</f>
        <v>211</v>
      </c>
      <c r="L64" s="3">
        <f t="shared" si="85"/>
        <v>214</v>
      </c>
      <c r="M64" s="3">
        <f t="shared" si="85"/>
        <v>392</v>
      </c>
      <c r="N64" s="3">
        <f t="shared" si="85"/>
        <v>331</v>
      </c>
      <c r="O64" s="3">
        <f t="shared" si="85"/>
        <v>287</v>
      </c>
      <c r="P64" s="3">
        <f t="shared" si="85"/>
        <v>269</v>
      </c>
      <c r="Q64" s="3">
        <f t="shared" si="85"/>
        <v>420</v>
      </c>
      <c r="R64" s="3">
        <f t="shared" si="85"/>
        <v>342</v>
      </c>
      <c r="S64" s="3">
        <f t="shared" si="85"/>
        <v>314</v>
      </c>
      <c r="AB64" s="3">
        <f t="shared" ref="AB64:AF64" si="86">+SUM(AB62:AB63)</f>
        <v>942</v>
      </c>
      <c r="AC64" s="3">
        <f t="shared" si="86"/>
        <v>1119</v>
      </c>
      <c r="AD64" s="3">
        <f t="shared" si="86"/>
        <v>1145</v>
      </c>
      <c r="AE64" s="3">
        <f t="shared" si="86"/>
        <v>1476</v>
      </c>
      <c r="AF64" s="3">
        <f t="shared" si="86"/>
        <v>1148</v>
      </c>
      <c r="AG64" s="3">
        <f>+SUM(AG62:AG63)</f>
        <v>1318</v>
      </c>
      <c r="AH64" s="3">
        <f t="shared" ref="AH64:AQ64" si="87">+AG64*(1+$AE$66)</f>
        <v>1318</v>
      </c>
      <c r="AI64" s="3">
        <f t="shared" si="87"/>
        <v>1318</v>
      </c>
      <c r="AJ64" s="3">
        <f t="shared" si="87"/>
        <v>1318</v>
      </c>
      <c r="AK64" s="3">
        <f t="shared" si="87"/>
        <v>1318</v>
      </c>
      <c r="AL64" s="3">
        <f t="shared" si="87"/>
        <v>1318</v>
      </c>
      <c r="AM64" s="3">
        <f t="shared" si="87"/>
        <v>1318</v>
      </c>
      <c r="AN64" s="3">
        <f t="shared" si="87"/>
        <v>1318</v>
      </c>
      <c r="AO64" s="3">
        <f t="shared" si="87"/>
        <v>1318</v>
      </c>
      <c r="AP64" s="3">
        <f t="shared" si="87"/>
        <v>1318</v>
      </c>
      <c r="AQ64" s="3">
        <f t="shared" si="87"/>
        <v>1318</v>
      </c>
      <c r="AR64" s="3">
        <f t="shared" ref="AR64:BU64" si="88">+AQ64*(1+$AS$68)</f>
        <v>1331.18</v>
      </c>
      <c r="AS64" s="3">
        <f t="shared" si="88"/>
        <v>1344.4918</v>
      </c>
      <c r="AT64" s="3">
        <f t="shared" si="88"/>
        <v>1357.9367179999999</v>
      </c>
      <c r="AU64" s="3">
        <f t="shared" si="88"/>
        <v>1371.5160851799999</v>
      </c>
      <c r="AV64" s="3">
        <f t="shared" si="88"/>
        <v>1385.2312460317999</v>
      </c>
      <c r="AW64" s="3">
        <f t="shared" si="88"/>
        <v>1399.0835584921178</v>
      </c>
      <c r="AX64" s="3">
        <f t="shared" si="88"/>
        <v>1413.074394077039</v>
      </c>
      <c r="AY64" s="3">
        <f t="shared" si="88"/>
        <v>1427.2051380178093</v>
      </c>
      <c r="AZ64" s="3">
        <f t="shared" si="88"/>
        <v>1441.4771893979873</v>
      </c>
      <c r="BA64" s="3">
        <f t="shared" si="88"/>
        <v>1455.8919612919672</v>
      </c>
      <c r="BB64" s="3">
        <f t="shared" si="88"/>
        <v>1470.4508809048868</v>
      </c>
      <c r="BC64" s="3">
        <f t="shared" si="88"/>
        <v>1485.1553897139356</v>
      </c>
      <c r="BD64" s="3">
        <f t="shared" si="88"/>
        <v>1500.006943611075</v>
      </c>
      <c r="BE64" s="3">
        <f t="shared" si="88"/>
        <v>1515.0070130471859</v>
      </c>
      <c r="BF64" s="3">
        <f t="shared" si="88"/>
        <v>1530.1570831776578</v>
      </c>
      <c r="BG64" s="3">
        <f t="shared" si="88"/>
        <v>1545.4586540094344</v>
      </c>
      <c r="BH64" s="3">
        <f t="shared" si="88"/>
        <v>1560.9132405495288</v>
      </c>
      <c r="BI64" s="3">
        <f t="shared" si="88"/>
        <v>1576.5223729550241</v>
      </c>
      <c r="BJ64" s="3">
        <f t="shared" si="88"/>
        <v>1592.2875966845743</v>
      </c>
      <c r="BK64" s="3">
        <f t="shared" si="88"/>
        <v>1608.2104726514201</v>
      </c>
      <c r="BL64" s="3">
        <f t="shared" si="88"/>
        <v>1624.2925773779343</v>
      </c>
      <c r="BM64" s="3">
        <f t="shared" si="88"/>
        <v>1640.5355031517138</v>
      </c>
      <c r="BN64" s="3">
        <f t="shared" si="88"/>
        <v>1656.9408581832308</v>
      </c>
      <c r="BO64" s="3">
        <f t="shared" si="88"/>
        <v>1673.5102667650631</v>
      </c>
      <c r="BP64" s="3">
        <f t="shared" si="88"/>
        <v>1690.2453694327137</v>
      </c>
      <c r="BQ64" s="3">
        <f t="shared" si="88"/>
        <v>1707.1478231270407</v>
      </c>
      <c r="BR64" s="3">
        <f t="shared" si="88"/>
        <v>1724.2193013583112</v>
      </c>
      <c r="BS64" s="3">
        <f t="shared" si="88"/>
        <v>1741.4614943718943</v>
      </c>
      <c r="BT64" s="3">
        <f t="shared" si="88"/>
        <v>1758.8761093156133</v>
      </c>
      <c r="BU64" s="3">
        <f t="shared" si="88"/>
        <v>1776.4648704087695</v>
      </c>
      <c r="BV64" s="3">
        <f t="shared" ref="BV64:DF64" si="89">+BU64*(1+$AS$68)</f>
        <v>1794.2295191128571</v>
      </c>
      <c r="BW64" s="3">
        <f t="shared" si="89"/>
        <v>1812.1718143039857</v>
      </c>
      <c r="BX64" s="3">
        <f t="shared" si="89"/>
        <v>1830.2935324470257</v>
      </c>
      <c r="BY64" s="3">
        <f t="shared" si="89"/>
        <v>1848.596467771496</v>
      </c>
      <c r="BZ64" s="3">
        <f t="shared" si="89"/>
        <v>1867.082432449211</v>
      </c>
      <c r="CA64" s="3">
        <f t="shared" si="89"/>
        <v>1885.753256773703</v>
      </c>
      <c r="CB64" s="3">
        <f t="shared" si="89"/>
        <v>1904.6107893414401</v>
      </c>
      <c r="CC64" s="3">
        <f t="shared" si="89"/>
        <v>1923.6568972348546</v>
      </c>
      <c r="CD64" s="3">
        <f t="shared" si="89"/>
        <v>1942.8934662072031</v>
      </c>
      <c r="CE64" s="3">
        <f t="shared" si="89"/>
        <v>1962.3224008692753</v>
      </c>
      <c r="CF64" s="3">
        <f t="shared" si="89"/>
        <v>1981.9456248779679</v>
      </c>
      <c r="CG64" s="3">
        <f t="shared" si="89"/>
        <v>2001.7650811267476</v>
      </c>
      <c r="CH64" s="3">
        <f t="shared" si="89"/>
        <v>2021.7827319380151</v>
      </c>
      <c r="CI64" s="3">
        <f t="shared" si="89"/>
        <v>2042.0005592573953</v>
      </c>
      <c r="CJ64" s="3">
        <f t="shared" si="89"/>
        <v>2062.4205648499692</v>
      </c>
      <c r="CK64" s="3">
        <f t="shared" si="89"/>
        <v>2083.044770498469</v>
      </c>
      <c r="CL64" s="3">
        <f t="shared" si="89"/>
        <v>2103.8752182034536</v>
      </c>
      <c r="CM64" s="3">
        <f t="shared" si="89"/>
        <v>2124.913970385488</v>
      </c>
      <c r="CN64" s="3">
        <f t="shared" si="89"/>
        <v>2146.1631100893428</v>
      </c>
      <c r="CO64" s="3">
        <f t="shared" si="89"/>
        <v>2167.6247411902364</v>
      </c>
      <c r="CP64" s="3">
        <f t="shared" si="89"/>
        <v>2189.3009886021387</v>
      </c>
      <c r="CQ64" s="3">
        <f t="shared" si="89"/>
        <v>2211.1939984881601</v>
      </c>
      <c r="CR64" s="3">
        <f t="shared" si="89"/>
        <v>2233.3059384730418</v>
      </c>
      <c r="CS64" s="3">
        <f t="shared" si="89"/>
        <v>2255.6389978577722</v>
      </c>
      <c r="CT64" s="3">
        <f t="shared" si="89"/>
        <v>2278.1953878363502</v>
      </c>
      <c r="CU64" s="3">
        <f t="shared" si="89"/>
        <v>2300.9773417147135</v>
      </c>
      <c r="CV64" s="3">
        <f t="shared" si="89"/>
        <v>2323.9871151318607</v>
      </c>
      <c r="CW64" s="3">
        <f t="shared" si="89"/>
        <v>2347.2269862831795</v>
      </c>
      <c r="CX64" s="3">
        <f t="shared" si="89"/>
        <v>2370.6992561460115</v>
      </c>
      <c r="CY64" s="3">
        <f t="shared" si="89"/>
        <v>2394.4062487074716</v>
      </c>
      <c r="CZ64" s="3">
        <f t="shared" si="89"/>
        <v>2418.3503111945465</v>
      </c>
      <c r="DA64" s="3">
        <f t="shared" si="89"/>
        <v>2442.5338143064919</v>
      </c>
      <c r="DB64" s="3">
        <f t="shared" si="89"/>
        <v>2466.9591524495568</v>
      </c>
      <c r="DC64" s="3">
        <f t="shared" si="89"/>
        <v>2491.6287439740522</v>
      </c>
      <c r="DD64" s="3">
        <f t="shared" si="89"/>
        <v>2516.5450314137929</v>
      </c>
      <c r="DE64" s="3">
        <f t="shared" si="89"/>
        <v>2541.710481727931</v>
      </c>
      <c r="DF64" s="3">
        <f t="shared" si="89"/>
        <v>2567.1275865452103</v>
      </c>
    </row>
    <row r="65" spans="2:45">
      <c r="B65" s="1" t="s">
        <v>27</v>
      </c>
      <c r="K65" s="1">
        <f>+K29</f>
        <v>399</v>
      </c>
      <c r="L65" s="1">
        <f t="shared" ref="L65:S65" si="90">+L29</f>
        <v>224</v>
      </c>
      <c r="M65" s="1">
        <f t="shared" si="90"/>
        <v>331</v>
      </c>
      <c r="N65" s="1">
        <f t="shared" si="90"/>
        <v>172.17852269789495</v>
      </c>
      <c r="O65" s="1">
        <f t="shared" si="90"/>
        <v>300</v>
      </c>
      <c r="P65" s="1">
        <f t="shared" si="90"/>
        <v>418</v>
      </c>
      <c r="Q65" s="1">
        <f t="shared" si="90"/>
        <v>594</v>
      </c>
      <c r="R65" s="1">
        <f t="shared" si="90"/>
        <v>465</v>
      </c>
      <c r="S65" s="1">
        <f t="shared" si="90"/>
        <v>314</v>
      </c>
      <c r="AB65" s="1">
        <f>+AB29</f>
        <v>1542</v>
      </c>
      <c r="AC65" s="1">
        <f t="shared" ref="AC65:AG65" si="91">+AC29</f>
        <v>1294</v>
      </c>
      <c r="AD65" s="1">
        <f t="shared" si="91"/>
        <v>904</v>
      </c>
      <c r="AE65" s="1">
        <f t="shared" si="91"/>
        <v>1575</v>
      </c>
      <c r="AF65" s="1">
        <f t="shared" si="91"/>
        <v>1325</v>
      </c>
      <c r="AG65" s="1">
        <f t="shared" si="91"/>
        <v>1597</v>
      </c>
    </row>
    <row r="66" spans="2:45">
      <c r="AE66" s="4"/>
    </row>
    <row r="67" spans="2:45">
      <c r="B67" s="1" t="s">
        <v>80</v>
      </c>
      <c r="N67" s="1">
        <f t="shared" ref="N67:Q67" si="92">+SUM(K64:N64)</f>
        <v>1148</v>
      </c>
      <c r="O67" s="1">
        <f t="shared" si="92"/>
        <v>1224</v>
      </c>
      <c r="P67" s="1">
        <f t="shared" si="92"/>
        <v>1279</v>
      </c>
      <c r="Q67" s="1">
        <f t="shared" si="92"/>
        <v>1307</v>
      </c>
      <c r="R67" s="1">
        <f>+SUM(O64:R64)</f>
        <v>1318</v>
      </c>
      <c r="S67" s="1">
        <f>+SUM(P64:S64)</f>
        <v>1345</v>
      </c>
    </row>
    <row r="68" spans="2:45">
      <c r="B68" s="1" t="s">
        <v>81</v>
      </c>
      <c r="N68" s="1">
        <f t="shared" ref="N68:Q68" si="93">+SUM(K65:N65)</f>
        <v>1126.178522697895</v>
      </c>
      <c r="O68" s="1">
        <f t="shared" si="93"/>
        <v>1027.178522697895</v>
      </c>
      <c r="P68" s="1">
        <f t="shared" si="93"/>
        <v>1221.178522697895</v>
      </c>
      <c r="Q68" s="1">
        <f t="shared" si="93"/>
        <v>1484.178522697895</v>
      </c>
      <c r="R68" s="1">
        <f>+SUM(O65:R65)</f>
        <v>1777</v>
      </c>
      <c r="S68" s="1">
        <f>+SUM(P65:S65)</f>
        <v>1791</v>
      </c>
      <c r="AR68" s="1" t="s">
        <v>33</v>
      </c>
      <c r="AS68" s="4">
        <v>0.01</v>
      </c>
    </row>
    <row r="69" spans="2:45">
      <c r="AR69" s="1" t="s">
        <v>34</v>
      </c>
      <c r="AS69" s="4">
        <v>0.06</v>
      </c>
    </row>
    <row r="70" spans="2:45">
      <c r="AR70" s="1" t="s">
        <v>35</v>
      </c>
      <c r="AS70" s="1">
        <f>NPV(AS69,AE64:DF64)</f>
        <v>23657.625274777161</v>
      </c>
    </row>
    <row r="72" spans="2:45">
      <c r="AR72" s="1" t="s">
        <v>1</v>
      </c>
      <c r="AS72" s="1">
        <f>AU43</f>
        <v>281.63221199999998</v>
      </c>
    </row>
    <row r="73" spans="2:45">
      <c r="AR73" s="1" t="s">
        <v>36</v>
      </c>
      <c r="AS73" s="1">
        <f>+AS70/AS72</f>
        <v>84.001844486372761</v>
      </c>
    </row>
  </sheetData>
  <pageMargins left="0.7" right="0.7" top="0.75" bottom="0.75" header="0.3" footer="0.3"/>
  <ignoredErrors>
    <ignoredError sqref="Y15 Y8" formulaRange="1"/>
    <ignoredError sqref="AN24 F29 J15 J29 J27 J22:J23 F15:F27 D28:R28 D15:E27 G16:R21 G24:R26 G22:I23 K22:R23 G27:I27 K27:R27 D30:R33 D29:E29 K29:R29 G15:I15 K15:R15 G29:I29 D35:I35 D34:Q3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2021-03-21T05:00:49Z</dcterms:created>
  <dcterms:modified xsi:type="dcterms:W3CDTF">2024-05-27T01:29:23Z</dcterms:modified>
</cp:coreProperties>
</file>