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jameelbrannon/Dropbox/Models/"/>
    </mc:Choice>
  </mc:AlternateContent>
  <xr:revisionPtr revIDLastSave="0" documentId="13_ncr:1_{F5DEA1D0-9A0F-D84C-B83B-0F44A13C0152}" xr6:coauthVersionLast="47" xr6:coauthVersionMax="47" xr10:uidLastSave="{00000000-0000-0000-0000-000000000000}"/>
  <bookViews>
    <workbookView xWindow="5920" yWindow="500" windowWidth="38880" windowHeight="24700" activeTab="1" xr2:uid="{0250130F-CCC8-D44C-89E8-4FE2EC4C8A08}"/>
  </bookViews>
  <sheets>
    <sheet name="O" sheetId="1" r:id="rId1"/>
    <sheet name="OLPX" sheetId="2" r:id="rId2"/>
    <sheet name="historical_p"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68" i="3" l="1"/>
  <c r="F267" i="3"/>
  <c r="B582" i="3"/>
  <c r="B583" i="3"/>
  <c r="M83" i="2"/>
  <c r="H10" i="1"/>
  <c r="M84" i="2"/>
  <c r="M82" i="2"/>
  <c r="M81" i="2"/>
  <c r="M80" i="2"/>
  <c r="M66" i="2"/>
  <c r="M71" i="2"/>
  <c r="M74" i="2" s="1"/>
  <c r="M61" i="2"/>
  <c r="M68" i="2" s="1"/>
  <c r="M48" i="2"/>
  <c r="M27" i="2"/>
  <c r="L119" i="2"/>
  <c r="L125" i="2" s="1"/>
  <c r="L124" i="2"/>
  <c r="L116" i="2"/>
  <c r="L120" i="2"/>
  <c r="L122" i="2"/>
  <c r="L111" i="2"/>
  <c r="L108" i="2"/>
  <c r="L107" i="2"/>
  <c r="L104" i="2"/>
  <c r="L103" i="2"/>
  <c r="L102" i="2"/>
  <c r="L101" i="2"/>
  <c r="L100" i="2"/>
  <c r="L99" i="2"/>
  <c r="L98" i="2"/>
  <c r="L97" i="2"/>
  <c r="L96" i="2"/>
  <c r="L95" i="2"/>
  <c r="L94" i="2"/>
  <c r="L93" i="2"/>
  <c r="L91" i="2"/>
  <c r="L90" i="2"/>
  <c r="L89" i="2"/>
  <c r="L88" i="2"/>
  <c r="L71" i="2"/>
  <c r="L74" i="2" s="1"/>
  <c r="L61" i="2"/>
  <c r="L66" i="2" s="1"/>
  <c r="L68" i="2" s="1"/>
  <c r="L48" i="2"/>
  <c r="L54" i="2" s="1"/>
  <c r="I9" i="1"/>
  <c r="I10" i="1" s="1"/>
  <c r="AF36" i="2"/>
  <c r="E27" i="1"/>
  <c r="AF34" i="2"/>
  <c r="AF31" i="2"/>
  <c r="H121" i="2"/>
  <c r="I121" i="2" s="1"/>
  <c r="J121" i="2" s="1"/>
  <c r="F118" i="2"/>
  <c r="F117" i="2"/>
  <c r="F114" i="2"/>
  <c r="F109" i="2"/>
  <c r="F95" i="2"/>
  <c r="F92" i="2"/>
  <c r="J118" i="2"/>
  <c r="J117" i="2"/>
  <c r="J115" i="2"/>
  <c r="J114" i="2"/>
  <c r="J110" i="2"/>
  <c r="J109" i="2"/>
  <c r="J95" i="2"/>
  <c r="J92" i="2"/>
  <c r="R125" i="2"/>
  <c r="Q125" i="2"/>
  <c r="P125" i="2"/>
  <c r="Q112" i="2"/>
  <c r="P112" i="2"/>
  <c r="R128" i="2"/>
  <c r="R112" i="2"/>
  <c r="C125" i="2"/>
  <c r="C112" i="2"/>
  <c r="C105" i="2"/>
  <c r="C132" i="2" s="1"/>
  <c r="K125" i="2"/>
  <c r="G125" i="2"/>
  <c r="K112" i="2"/>
  <c r="G112" i="2"/>
  <c r="D122" i="2"/>
  <c r="D121" i="2"/>
  <c r="E121" i="2" s="1"/>
  <c r="D120" i="2"/>
  <c r="D119" i="2"/>
  <c r="E119" i="2" s="1"/>
  <c r="D116" i="2"/>
  <c r="E116" i="2" s="1"/>
  <c r="D115" i="2"/>
  <c r="F115" i="2" s="1"/>
  <c r="D108" i="2"/>
  <c r="E108" i="2" s="1"/>
  <c r="D107" i="2"/>
  <c r="D103" i="2"/>
  <c r="E103" i="2" s="1"/>
  <c r="D102" i="2"/>
  <c r="E102" i="2" s="1"/>
  <c r="D101" i="2"/>
  <c r="E101" i="2" s="1"/>
  <c r="D100" i="2"/>
  <c r="E100" i="2" s="1"/>
  <c r="D99" i="2"/>
  <c r="E99" i="2" s="1"/>
  <c r="D97" i="2"/>
  <c r="E97" i="2" s="1"/>
  <c r="D96" i="2"/>
  <c r="E96" i="2" s="1"/>
  <c r="D94" i="2"/>
  <c r="E94" i="2" s="1"/>
  <c r="D93" i="2"/>
  <c r="E93" i="2" s="1"/>
  <c r="D91" i="2"/>
  <c r="E91" i="2" s="1"/>
  <c r="D90" i="2"/>
  <c r="E90" i="2" s="1"/>
  <c r="D89" i="2"/>
  <c r="E89" i="2" s="1"/>
  <c r="D88" i="2"/>
  <c r="E88" i="2" s="1"/>
  <c r="D87" i="2"/>
  <c r="E87" i="2" s="1"/>
  <c r="D104" i="2"/>
  <c r="E104" i="2" s="1"/>
  <c r="D98" i="2"/>
  <c r="E98" i="2" s="1"/>
  <c r="H122" i="2"/>
  <c r="I122" i="2" s="1"/>
  <c r="H120" i="2"/>
  <c r="I120" i="2" s="1"/>
  <c r="H119" i="2"/>
  <c r="I119" i="2" s="1"/>
  <c r="J119" i="2" s="1"/>
  <c r="H116" i="2"/>
  <c r="I116" i="2" s="1"/>
  <c r="H108" i="2"/>
  <c r="I108" i="2" s="1"/>
  <c r="H107" i="2"/>
  <c r="H104" i="2"/>
  <c r="I104" i="2" s="1"/>
  <c r="H103" i="2"/>
  <c r="I103" i="2" s="1"/>
  <c r="H102" i="2"/>
  <c r="I102" i="2" s="1"/>
  <c r="H101" i="2"/>
  <c r="I101" i="2" s="1"/>
  <c r="H100" i="2"/>
  <c r="I100" i="2" s="1"/>
  <c r="H99" i="2"/>
  <c r="I99" i="2" s="1"/>
  <c r="H98" i="2"/>
  <c r="I98" i="2" s="1"/>
  <c r="H97" i="2"/>
  <c r="I97" i="2" s="1"/>
  <c r="H96" i="2"/>
  <c r="I96" i="2" s="1"/>
  <c r="H94" i="2"/>
  <c r="I94" i="2" s="1"/>
  <c r="H93" i="2"/>
  <c r="I93" i="2" s="1"/>
  <c r="H91" i="2"/>
  <c r="I91" i="2" s="1"/>
  <c r="H90" i="2"/>
  <c r="I90" i="2" s="1"/>
  <c r="H89" i="2"/>
  <c r="I89" i="2" s="1"/>
  <c r="H88" i="2"/>
  <c r="H87" i="2"/>
  <c r="I87" i="2" s="1"/>
  <c r="E110" i="2"/>
  <c r="F110" i="2" s="1"/>
  <c r="G105" i="2"/>
  <c r="G132" i="2" s="1"/>
  <c r="L37" i="2"/>
  <c r="Q37" i="2"/>
  <c r="R37" i="2"/>
  <c r="L28" i="2"/>
  <c r="L27" i="2"/>
  <c r="L29" i="2"/>
  <c r="K37" i="2"/>
  <c r="I37" i="2"/>
  <c r="H37" i="2"/>
  <c r="G37" i="2"/>
  <c r="J71" i="2"/>
  <c r="J72" i="2" s="1"/>
  <c r="I71" i="2"/>
  <c r="I74" i="2" s="1"/>
  <c r="H71" i="2"/>
  <c r="H74" i="2" s="1"/>
  <c r="G71" i="2"/>
  <c r="G72" i="2" s="1"/>
  <c r="G73" i="2" s="1"/>
  <c r="F71" i="2"/>
  <c r="F72" i="2" s="1"/>
  <c r="E71" i="2"/>
  <c r="E74" i="2" s="1"/>
  <c r="K71" i="2"/>
  <c r="K74" i="2" s="1"/>
  <c r="M72" i="2" l="1"/>
  <c r="M73" i="2" s="1"/>
  <c r="M77" i="2"/>
  <c r="M54" i="2"/>
  <c r="M69" i="2" s="1"/>
  <c r="M75" i="2"/>
  <c r="M76" i="2"/>
  <c r="L112" i="2"/>
  <c r="L75" i="2"/>
  <c r="L77" i="2"/>
  <c r="L76" i="2"/>
  <c r="L72" i="2"/>
  <c r="L73" i="2" s="1"/>
  <c r="L69" i="2"/>
  <c r="F119" i="2"/>
  <c r="J120" i="2"/>
  <c r="J125" i="2" s="1"/>
  <c r="F121" i="2"/>
  <c r="J91" i="2"/>
  <c r="F93" i="2"/>
  <c r="F108" i="2"/>
  <c r="F90" i="2"/>
  <c r="J96" i="2"/>
  <c r="J103" i="2"/>
  <c r="F102" i="2"/>
  <c r="J89" i="2"/>
  <c r="F91" i="2"/>
  <c r="F98" i="2"/>
  <c r="J116" i="2"/>
  <c r="J104" i="2"/>
  <c r="J90" i="2"/>
  <c r="F99" i="2"/>
  <c r="F89" i="2"/>
  <c r="F97" i="2"/>
  <c r="J97" i="2"/>
  <c r="F101" i="2"/>
  <c r="J100" i="2"/>
  <c r="J122" i="2"/>
  <c r="F94" i="2"/>
  <c r="J108" i="2"/>
  <c r="F100" i="2"/>
  <c r="J93" i="2"/>
  <c r="J101" i="2"/>
  <c r="F103" i="2"/>
  <c r="F116" i="2"/>
  <c r="J98" i="2"/>
  <c r="J99" i="2"/>
  <c r="C127" i="2"/>
  <c r="C129" i="2" s="1"/>
  <c r="D128" i="2" s="1"/>
  <c r="J94" i="2"/>
  <c r="J102" i="2"/>
  <c r="F88" i="2"/>
  <c r="F96" i="2"/>
  <c r="F104" i="2"/>
  <c r="D112" i="2"/>
  <c r="H112" i="2"/>
  <c r="H105" i="2"/>
  <c r="H132" i="2" s="1"/>
  <c r="I107" i="2"/>
  <c r="I112" i="2" s="1"/>
  <c r="I125" i="2"/>
  <c r="I88" i="2"/>
  <c r="H125" i="2"/>
  <c r="D125" i="2"/>
  <c r="E122" i="2"/>
  <c r="F122" i="2" s="1"/>
  <c r="E107" i="2"/>
  <c r="D105" i="2"/>
  <c r="E105" i="2"/>
  <c r="E120" i="2"/>
  <c r="F120" i="2" s="1"/>
  <c r="F74" i="2"/>
  <c r="G127" i="2"/>
  <c r="M37" i="2"/>
  <c r="K72" i="2"/>
  <c r="K73" i="2" s="1"/>
  <c r="L9" i="2"/>
  <c r="I72" i="2"/>
  <c r="I73" i="2" s="1"/>
  <c r="H72" i="2"/>
  <c r="H73" i="2" s="1"/>
  <c r="E72" i="2"/>
  <c r="E73" i="2" s="1"/>
  <c r="J74" i="2"/>
  <c r="G74" i="2"/>
  <c r="F125" i="2" l="1"/>
  <c r="I105" i="2"/>
  <c r="I127" i="2" s="1"/>
  <c r="J88" i="2"/>
  <c r="D127" i="2"/>
  <c r="J107" i="2"/>
  <c r="J112" i="2" s="1"/>
  <c r="E112" i="2"/>
  <c r="F107" i="2"/>
  <c r="F112" i="2" s="1"/>
  <c r="H127" i="2"/>
  <c r="E125" i="2"/>
  <c r="E132" i="2"/>
  <c r="D132" i="2"/>
  <c r="I132" i="2"/>
  <c r="N23" i="2"/>
  <c r="E127" i="2" l="1"/>
  <c r="E61" i="2" l="1"/>
  <c r="E66" i="2" s="1"/>
  <c r="E68" i="2" s="1"/>
  <c r="E48" i="2"/>
  <c r="G61" i="2"/>
  <c r="G66" i="2" s="1"/>
  <c r="G68" i="2" s="1"/>
  <c r="G48" i="2"/>
  <c r="H61" i="2"/>
  <c r="H66" i="2" s="1"/>
  <c r="H68" i="2" s="1"/>
  <c r="H48" i="2"/>
  <c r="F61" i="2"/>
  <c r="F66" i="2" s="1"/>
  <c r="F68" i="2" s="1"/>
  <c r="F48" i="2"/>
  <c r="I61" i="2"/>
  <c r="I66" i="2" s="1"/>
  <c r="I68" i="2" s="1"/>
  <c r="I48" i="2"/>
  <c r="J61" i="2"/>
  <c r="J66" i="2" s="1"/>
  <c r="J68" i="2" s="1"/>
  <c r="J48" i="2"/>
  <c r="K61" i="2"/>
  <c r="K66" i="2" s="1"/>
  <c r="K68" i="2" s="1"/>
  <c r="K48" i="2"/>
  <c r="Q33" i="2"/>
  <c r="R33" i="2"/>
  <c r="Q29" i="2"/>
  <c r="Q28" i="2"/>
  <c r="Q27" i="2"/>
  <c r="R29" i="2"/>
  <c r="R28" i="2"/>
  <c r="R27" i="2"/>
  <c r="I33" i="2"/>
  <c r="H33" i="2"/>
  <c r="G33" i="2"/>
  <c r="K33" i="2"/>
  <c r="P9" i="2"/>
  <c r="P16" i="2"/>
  <c r="C9" i="2"/>
  <c r="D9" i="2"/>
  <c r="H9" i="2"/>
  <c r="H16" i="2"/>
  <c r="H12" i="2"/>
  <c r="F8" i="2"/>
  <c r="F7" i="2"/>
  <c r="F6" i="2"/>
  <c r="J8" i="2"/>
  <c r="N8" i="2" s="1"/>
  <c r="J7" i="2"/>
  <c r="N7" i="2" s="1"/>
  <c r="J6" i="2"/>
  <c r="N6" i="2" s="1"/>
  <c r="E9" i="2"/>
  <c r="I9" i="2"/>
  <c r="Q9" i="2"/>
  <c r="R9" i="2"/>
  <c r="K29" i="2"/>
  <c r="I29" i="2"/>
  <c r="H29" i="2"/>
  <c r="G29" i="2"/>
  <c r="K28" i="2"/>
  <c r="I28" i="2"/>
  <c r="H28" i="2"/>
  <c r="G28" i="2"/>
  <c r="K27" i="2"/>
  <c r="I27" i="2"/>
  <c r="H27" i="2"/>
  <c r="G27" i="2"/>
  <c r="G9" i="2"/>
  <c r="K9" i="2"/>
  <c r="J2" i="2"/>
  <c r="Q2" i="2"/>
  <c r="F2" i="2" s="1"/>
  <c r="C16" i="2"/>
  <c r="C12" i="2"/>
  <c r="F21" i="2"/>
  <c r="F19" i="2"/>
  <c r="F18" i="2"/>
  <c r="F14" i="2"/>
  <c r="F11" i="2"/>
  <c r="F10" i="2"/>
  <c r="J21" i="2"/>
  <c r="J19" i="2"/>
  <c r="J18" i="2"/>
  <c r="L80" i="2" s="1"/>
  <c r="J14" i="2"/>
  <c r="J11" i="2"/>
  <c r="J10" i="2"/>
  <c r="D16" i="2"/>
  <c r="D12" i="2"/>
  <c r="E16" i="2"/>
  <c r="E12" i="2"/>
  <c r="I16" i="2"/>
  <c r="I12" i="2"/>
  <c r="P12" i="2"/>
  <c r="Q16" i="2"/>
  <c r="Q12" i="2"/>
  <c r="R16" i="2"/>
  <c r="R12" i="2"/>
  <c r="Q3" i="2"/>
  <c r="R3" i="2" s="1"/>
  <c r="S3" i="2" s="1"/>
  <c r="T3" i="2" s="1"/>
  <c r="U3" i="2" s="1"/>
  <c r="V3" i="2" s="1"/>
  <c r="W3" i="2" s="1"/>
  <c r="X3" i="2" s="1"/>
  <c r="Y3" i="2" s="1"/>
  <c r="Z3" i="2" s="1"/>
  <c r="AA3" i="2" s="1"/>
  <c r="AB3" i="2" s="1"/>
  <c r="G16" i="2"/>
  <c r="G12" i="2"/>
  <c r="K16" i="2"/>
  <c r="K12" i="2"/>
  <c r="AF32" i="2"/>
  <c r="H8" i="1"/>
  <c r="H11" i="1" s="1"/>
  <c r="R31" i="2" l="1"/>
  <c r="N27" i="2"/>
  <c r="N9" i="2"/>
  <c r="S6" i="2"/>
  <c r="T6" i="2" s="1"/>
  <c r="U6" i="2" s="1"/>
  <c r="V6" i="2" s="1"/>
  <c r="W6" i="2" s="1"/>
  <c r="X6" i="2" s="1"/>
  <c r="Y6" i="2" s="1"/>
  <c r="Z6" i="2" s="1"/>
  <c r="AA6" i="2" s="1"/>
  <c r="AB6" i="2" s="1"/>
  <c r="L30" i="2"/>
  <c r="N28" i="2"/>
  <c r="N29" i="2"/>
  <c r="K30" i="2"/>
  <c r="F80" i="2"/>
  <c r="I80" i="2"/>
  <c r="H80" i="2"/>
  <c r="G80" i="2"/>
  <c r="F54" i="2"/>
  <c r="F69" i="2" s="1"/>
  <c r="F75" i="2"/>
  <c r="F76" i="2"/>
  <c r="F77" i="2"/>
  <c r="H30" i="2"/>
  <c r="E13" i="2"/>
  <c r="E39" i="2" s="1"/>
  <c r="K54" i="2"/>
  <c r="K69" i="2" s="1"/>
  <c r="K77" i="2"/>
  <c r="K75" i="2"/>
  <c r="K76" i="2"/>
  <c r="G30" i="2"/>
  <c r="G54" i="2"/>
  <c r="G69" i="2" s="1"/>
  <c r="G75" i="2"/>
  <c r="G76" i="2"/>
  <c r="G77" i="2"/>
  <c r="H13" i="2"/>
  <c r="H39" i="2" s="1"/>
  <c r="K80" i="2"/>
  <c r="J80" i="2"/>
  <c r="H54" i="2"/>
  <c r="H69" i="2" s="1"/>
  <c r="H76" i="2"/>
  <c r="H77" i="2"/>
  <c r="H75" i="2"/>
  <c r="J54" i="2"/>
  <c r="J69" i="2" s="1"/>
  <c r="J75" i="2"/>
  <c r="J76" i="2"/>
  <c r="J77" i="2"/>
  <c r="E54" i="2"/>
  <c r="E69" i="2" s="1"/>
  <c r="E75" i="2"/>
  <c r="E76" i="2"/>
  <c r="E77" i="2"/>
  <c r="G31" i="2"/>
  <c r="I31" i="2"/>
  <c r="F9" i="2"/>
  <c r="I81" i="2" s="1"/>
  <c r="I54" i="2"/>
  <c r="I69" i="2" s="1"/>
  <c r="I75" i="2"/>
  <c r="I76" i="2"/>
  <c r="I77" i="2"/>
  <c r="J33" i="2"/>
  <c r="K13" i="2"/>
  <c r="K39" i="2" s="1"/>
  <c r="H31" i="2"/>
  <c r="K31" i="2"/>
  <c r="Q30" i="2"/>
  <c r="Q13" i="2"/>
  <c r="Q31" i="2"/>
  <c r="P13" i="2"/>
  <c r="C13" i="2"/>
  <c r="C39" i="2" s="1"/>
  <c r="J28" i="2"/>
  <c r="D13" i="2"/>
  <c r="J29" i="2"/>
  <c r="J27" i="2"/>
  <c r="I30" i="2"/>
  <c r="I13" i="2"/>
  <c r="I17" i="2" s="1"/>
  <c r="R30" i="2"/>
  <c r="J9" i="2"/>
  <c r="K81" i="2" s="1"/>
  <c r="R13" i="2"/>
  <c r="R39" i="2" s="1"/>
  <c r="J16" i="2"/>
  <c r="J12" i="2"/>
  <c r="J82" i="2" s="1"/>
  <c r="J83" i="2" s="1"/>
  <c r="F16" i="2"/>
  <c r="G13" i="2"/>
  <c r="F12" i="2"/>
  <c r="G82" i="2" s="1"/>
  <c r="G83" i="2" s="1"/>
  <c r="P2" i="2"/>
  <c r="C17" i="2"/>
  <c r="L81" i="2" l="1"/>
  <c r="N10" i="2"/>
  <c r="N18" i="2"/>
  <c r="S27" i="2"/>
  <c r="H82" i="2"/>
  <c r="H83" i="2" s="1"/>
  <c r="P17" i="2"/>
  <c r="P39" i="2"/>
  <c r="Q17" i="2"/>
  <c r="Q40" i="2" s="1"/>
  <c r="Q39" i="2"/>
  <c r="L12" i="2"/>
  <c r="L82" i="2" s="1"/>
  <c r="L83" i="2" s="1"/>
  <c r="H81" i="2"/>
  <c r="M29" i="2"/>
  <c r="S8" i="2"/>
  <c r="T8" i="2" s="1"/>
  <c r="U8" i="2" s="1"/>
  <c r="V8" i="2" s="1"/>
  <c r="W8" i="2" s="1"/>
  <c r="X8" i="2" s="1"/>
  <c r="Y8" i="2" s="1"/>
  <c r="Z8" i="2" s="1"/>
  <c r="AA8" i="2" s="1"/>
  <c r="AB8" i="2" s="1"/>
  <c r="L16" i="2"/>
  <c r="L33" i="2"/>
  <c r="M28" i="2"/>
  <c r="M9" i="2"/>
  <c r="S7" i="2"/>
  <c r="T7" i="2" s="1"/>
  <c r="U7" i="2" s="1"/>
  <c r="V7" i="2" s="1"/>
  <c r="W7" i="2" s="1"/>
  <c r="X7" i="2" s="1"/>
  <c r="Y7" i="2" s="1"/>
  <c r="Z7" i="2" s="1"/>
  <c r="AA7" i="2" s="1"/>
  <c r="AB7" i="2" s="1"/>
  <c r="N14" i="2"/>
  <c r="N30" i="2"/>
  <c r="N11" i="2"/>
  <c r="N19" i="2"/>
  <c r="K17" i="2"/>
  <c r="K20" i="2" s="1"/>
  <c r="J81" i="2"/>
  <c r="K32" i="2"/>
  <c r="H17" i="2"/>
  <c r="H40" i="2" s="1"/>
  <c r="F82" i="2"/>
  <c r="F83" i="2" s="1"/>
  <c r="H84" i="2"/>
  <c r="F81" i="2"/>
  <c r="K82" i="2"/>
  <c r="K83" i="2" s="1"/>
  <c r="J84" i="2"/>
  <c r="G81" i="2"/>
  <c r="K84" i="2"/>
  <c r="E17" i="2"/>
  <c r="I34" i="2" s="1"/>
  <c r="J30" i="2"/>
  <c r="F13" i="2"/>
  <c r="F17" i="2" s="1"/>
  <c r="I84" i="2"/>
  <c r="I82" i="2"/>
  <c r="I83" i="2" s="1"/>
  <c r="G84" i="2"/>
  <c r="F84" i="2"/>
  <c r="I20" i="2"/>
  <c r="I40" i="2"/>
  <c r="I32" i="2"/>
  <c r="I39" i="2"/>
  <c r="Q32" i="2"/>
  <c r="R17" i="2"/>
  <c r="R40" i="2" s="1"/>
  <c r="R32" i="2"/>
  <c r="G17" i="2"/>
  <c r="G32" i="2"/>
  <c r="G39" i="2"/>
  <c r="J31" i="2"/>
  <c r="D17" i="2"/>
  <c r="D39" i="2"/>
  <c r="C20" i="2"/>
  <c r="C22" i="2" s="1"/>
  <c r="C133" i="2" s="1"/>
  <c r="C40" i="2"/>
  <c r="H32" i="2"/>
  <c r="J13" i="2"/>
  <c r="L84" i="2" l="1"/>
  <c r="S18" i="2"/>
  <c r="S28" i="2"/>
  <c r="T28" i="2"/>
  <c r="U28" i="2" s="1"/>
  <c r="V28" i="2" s="1"/>
  <c r="W28" i="2" s="1"/>
  <c r="X28" i="2" s="1"/>
  <c r="Y28" i="2" s="1"/>
  <c r="Z28" i="2" s="1"/>
  <c r="AA28" i="2" s="1"/>
  <c r="AB28" i="2" s="1"/>
  <c r="S29" i="2"/>
  <c r="T29" i="2" s="1"/>
  <c r="U29" i="2" s="1"/>
  <c r="T27" i="2"/>
  <c r="Q20" i="2"/>
  <c r="Q22" i="2" s="1"/>
  <c r="Q34" i="2"/>
  <c r="N12" i="2"/>
  <c r="N16" i="2"/>
  <c r="N33" i="2"/>
  <c r="K40" i="2"/>
  <c r="S11" i="2"/>
  <c r="S19" i="2"/>
  <c r="M30" i="2"/>
  <c r="S9" i="2"/>
  <c r="H34" i="2"/>
  <c r="L31" i="2"/>
  <c r="L13" i="2"/>
  <c r="P20" i="2"/>
  <c r="P22" i="2" s="1"/>
  <c r="P87" i="2" s="1"/>
  <c r="P105" i="2" s="1"/>
  <c r="P127" i="2" s="1"/>
  <c r="P129" i="2" s="1"/>
  <c r="P40" i="2"/>
  <c r="H20" i="2"/>
  <c r="H22" i="2" s="1"/>
  <c r="H133" i="2" s="1"/>
  <c r="F39" i="2"/>
  <c r="E40" i="2"/>
  <c r="E20" i="2"/>
  <c r="E22" i="2" s="1"/>
  <c r="G20" i="2"/>
  <c r="K35" i="2" s="1"/>
  <c r="G34" i="2"/>
  <c r="G40" i="2"/>
  <c r="F20" i="2"/>
  <c r="F22" i="2" s="1"/>
  <c r="F133" i="2" s="1"/>
  <c r="F40" i="2"/>
  <c r="R20" i="2"/>
  <c r="R34" i="2"/>
  <c r="J17" i="2"/>
  <c r="J39" i="2"/>
  <c r="J32" i="2"/>
  <c r="K34" i="2"/>
  <c r="C24" i="2"/>
  <c r="C41" i="2"/>
  <c r="K22" i="2"/>
  <c r="D20" i="2"/>
  <c r="D22" i="2" s="1"/>
  <c r="D133" i="2" s="1"/>
  <c r="D40" i="2"/>
  <c r="I22" i="2"/>
  <c r="I133" i="2" s="1"/>
  <c r="T9" i="2" l="1"/>
  <c r="T19" i="2" s="1"/>
  <c r="U27" i="2"/>
  <c r="U9" i="2"/>
  <c r="K87" i="2"/>
  <c r="K133" i="2"/>
  <c r="V29" i="2"/>
  <c r="W29" i="2" s="1"/>
  <c r="X29" i="2" s="1"/>
  <c r="E24" i="2"/>
  <c r="E133" i="2"/>
  <c r="Q35" i="2"/>
  <c r="Q41" i="2"/>
  <c r="Q87" i="2"/>
  <c r="S30" i="2"/>
  <c r="M33" i="2"/>
  <c r="M16" i="2"/>
  <c r="S14" i="2"/>
  <c r="N31" i="2"/>
  <c r="N13" i="2"/>
  <c r="I35" i="2"/>
  <c r="M12" i="2"/>
  <c r="S10" i="2"/>
  <c r="P24" i="2"/>
  <c r="P41" i="2"/>
  <c r="E41" i="2"/>
  <c r="L32" i="2"/>
  <c r="L39" i="2"/>
  <c r="L17" i="2"/>
  <c r="R22" i="2"/>
  <c r="R35" i="2"/>
  <c r="F41" i="2"/>
  <c r="D24" i="2"/>
  <c r="D41" i="2"/>
  <c r="J20" i="2"/>
  <c r="J40" i="2"/>
  <c r="J34" i="2"/>
  <c r="I24" i="2"/>
  <c r="I41" i="2"/>
  <c r="I36" i="2"/>
  <c r="Q24" i="2"/>
  <c r="Q36" i="2"/>
  <c r="K24" i="2"/>
  <c r="K41" i="2"/>
  <c r="H35" i="2"/>
  <c r="G22" i="2"/>
  <c r="G133" i="2" s="1"/>
  <c r="I136" i="2" s="1"/>
  <c r="G35" i="2"/>
  <c r="H24" i="2"/>
  <c r="H41" i="2"/>
  <c r="H36" i="2"/>
  <c r="T10" i="2" l="1"/>
  <c r="T18" i="2"/>
  <c r="U18" i="2" s="1"/>
  <c r="T11" i="2"/>
  <c r="U11" i="2" s="1"/>
  <c r="T14" i="2"/>
  <c r="T16" i="2" s="1"/>
  <c r="T30" i="2"/>
  <c r="G136" i="2"/>
  <c r="K105" i="2"/>
  <c r="K127" i="2" s="1"/>
  <c r="L87" i="2"/>
  <c r="L105" i="2" s="1"/>
  <c r="I38" i="2"/>
  <c r="F136" i="2"/>
  <c r="Q105" i="2"/>
  <c r="Q127" i="2" s="1"/>
  <c r="Q129" i="2" s="1"/>
  <c r="F87" i="2"/>
  <c r="F105" i="2" s="1"/>
  <c r="Y29" i="2"/>
  <c r="H136" i="2"/>
  <c r="U30" i="2"/>
  <c r="U10" i="2"/>
  <c r="U19" i="2"/>
  <c r="V27" i="2"/>
  <c r="V9" i="2"/>
  <c r="R41" i="2"/>
  <c r="R87" i="2"/>
  <c r="N39" i="2"/>
  <c r="N32" i="2"/>
  <c r="S33" i="2"/>
  <c r="S16" i="2"/>
  <c r="F24" i="2"/>
  <c r="F23" i="2" s="1"/>
  <c r="F73" i="2" s="1"/>
  <c r="Q38" i="2"/>
  <c r="H38" i="2"/>
  <c r="N17" i="2"/>
  <c r="M31" i="2"/>
  <c r="M13" i="2"/>
  <c r="S12" i="2"/>
  <c r="L34" i="2"/>
  <c r="L40" i="2"/>
  <c r="L20" i="2"/>
  <c r="J22" i="2"/>
  <c r="J133" i="2" s="1"/>
  <c r="J35" i="2"/>
  <c r="G24" i="2"/>
  <c r="G38" i="2" s="1"/>
  <c r="G36" i="2"/>
  <c r="G41" i="2"/>
  <c r="K36" i="2"/>
  <c r="R24" i="2"/>
  <c r="R36" i="2"/>
  <c r="K136" i="2" l="1"/>
  <c r="K132" i="2"/>
  <c r="L132" i="2"/>
  <c r="L127" i="2"/>
  <c r="T12" i="2"/>
  <c r="T31" i="2" s="1"/>
  <c r="U14" i="2"/>
  <c r="V14" i="2" s="1"/>
  <c r="T33" i="2"/>
  <c r="K38" i="2"/>
  <c r="W27" i="2"/>
  <c r="W9" i="2"/>
  <c r="Z29" i="2"/>
  <c r="V18" i="2"/>
  <c r="J136" i="2"/>
  <c r="U12" i="2"/>
  <c r="U16" i="2"/>
  <c r="V30" i="2"/>
  <c r="V19" i="2"/>
  <c r="V10" i="2"/>
  <c r="V11" i="2"/>
  <c r="F132" i="2"/>
  <c r="F127" i="2"/>
  <c r="R105" i="2"/>
  <c r="R127" i="2" s="1"/>
  <c r="R129" i="2" s="1"/>
  <c r="J87" i="2"/>
  <c r="J105" i="2" s="1"/>
  <c r="J24" i="2"/>
  <c r="J38" i="2" s="1"/>
  <c r="R38" i="2"/>
  <c r="N34" i="2"/>
  <c r="N20" i="2"/>
  <c r="N40" i="2"/>
  <c r="S31" i="2"/>
  <c r="S13" i="2"/>
  <c r="M32" i="2"/>
  <c r="M39" i="2"/>
  <c r="M17" i="2"/>
  <c r="L35" i="2"/>
  <c r="L22" i="2"/>
  <c r="L133" i="2" s="1"/>
  <c r="L136" i="2" s="1"/>
  <c r="J41" i="2"/>
  <c r="J36" i="2"/>
  <c r="U33" i="2" l="1"/>
  <c r="T13" i="2"/>
  <c r="T17" i="2" s="1"/>
  <c r="V12" i="2"/>
  <c r="V13" i="2" s="1"/>
  <c r="S39" i="2"/>
  <c r="AA29" i="2"/>
  <c r="AB29" i="2" s="1"/>
  <c r="V31" i="2"/>
  <c r="J132" i="2"/>
  <c r="L135" i="2" s="1"/>
  <c r="L137" i="2" s="1"/>
  <c r="J127" i="2"/>
  <c r="J23" i="2"/>
  <c r="J73" i="2" s="1"/>
  <c r="V16" i="2"/>
  <c r="V33" i="2"/>
  <c r="I135" i="2"/>
  <c r="I137" i="2" s="1"/>
  <c r="G135" i="2"/>
  <c r="G137" i="2" s="1"/>
  <c r="F135" i="2"/>
  <c r="F137" i="2" s="1"/>
  <c r="H135" i="2"/>
  <c r="H137" i="2" s="1"/>
  <c r="W18" i="2"/>
  <c r="W14" i="2"/>
  <c r="W19" i="2"/>
  <c r="W10" i="2"/>
  <c r="W30" i="2"/>
  <c r="W11" i="2"/>
  <c r="U31" i="2"/>
  <c r="U13" i="2"/>
  <c r="X27" i="2"/>
  <c r="X9" i="2"/>
  <c r="S32" i="2"/>
  <c r="N35" i="2"/>
  <c r="N21" i="2"/>
  <c r="N22" i="2" s="1"/>
  <c r="L41" i="2"/>
  <c r="L24" i="2"/>
  <c r="L36" i="2"/>
  <c r="S17" i="2"/>
  <c r="M20" i="2"/>
  <c r="M40" i="2"/>
  <c r="M34" i="2"/>
  <c r="T32" i="2" l="1"/>
  <c r="T39" i="2"/>
  <c r="W12" i="2"/>
  <c r="W31" i="2" s="1"/>
  <c r="T34" i="2"/>
  <c r="T20" i="2"/>
  <c r="T40" i="2"/>
  <c r="X11" i="2"/>
  <c r="X19" i="2"/>
  <c r="X10" i="2"/>
  <c r="X18" i="2"/>
  <c r="X30" i="2"/>
  <c r="X14" i="2"/>
  <c r="Y27" i="2"/>
  <c r="Y9" i="2"/>
  <c r="J135" i="2"/>
  <c r="J137" i="2" s="1"/>
  <c r="K135" i="2"/>
  <c r="K137" i="2" s="1"/>
  <c r="J37" i="2"/>
  <c r="V39" i="2"/>
  <c r="V32" i="2"/>
  <c r="V17" i="2"/>
  <c r="W33" i="2"/>
  <c r="W16" i="2"/>
  <c r="N37" i="2"/>
  <c r="U32" i="2"/>
  <c r="U17" i="2"/>
  <c r="U39" i="2"/>
  <c r="L38" i="2"/>
  <c r="N36" i="2"/>
  <c r="N41" i="2"/>
  <c r="N24" i="2"/>
  <c r="N38" i="2" s="1"/>
  <c r="S21" i="2"/>
  <c r="T21" i="2" s="1"/>
  <c r="U21" i="2" s="1"/>
  <c r="V21" i="2" s="1"/>
  <c r="W21" i="2" s="1"/>
  <c r="X21" i="2" s="1"/>
  <c r="M35" i="2"/>
  <c r="S20" i="2"/>
  <c r="S34" i="2"/>
  <c r="S40" i="2"/>
  <c r="Y21" i="2" l="1"/>
  <c r="S22" i="2"/>
  <c r="W13" i="2"/>
  <c r="W39" i="2" s="1"/>
  <c r="T35" i="2"/>
  <c r="Y18" i="2"/>
  <c r="X12" i="2"/>
  <c r="X31" i="2" s="1"/>
  <c r="Z27" i="2"/>
  <c r="Z9" i="2"/>
  <c r="Y14" i="2"/>
  <c r="Y30" i="2"/>
  <c r="Y10" i="2"/>
  <c r="V20" i="2"/>
  <c r="V40" i="2"/>
  <c r="V34" i="2"/>
  <c r="Y19" i="2"/>
  <c r="Y11" i="2"/>
  <c r="T22" i="2"/>
  <c r="T41" i="2" s="1"/>
  <c r="M22" i="2"/>
  <c r="M41" i="2" s="1"/>
  <c r="X33" i="2"/>
  <c r="X16" i="2"/>
  <c r="U34" i="2"/>
  <c r="U40" i="2"/>
  <c r="U20" i="2"/>
  <c r="S35" i="2"/>
  <c r="W17" i="2" l="1"/>
  <c r="W32" i="2"/>
  <c r="X13" i="2"/>
  <c r="X39" i="2" s="1"/>
  <c r="Y12" i="2"/>
  <c r="Y31" i="2" s="1"/>
  <c r="M36" i="2"/>
  <c r="V35" i="2"/>
  <c r="V22" i="2"/>
  <c r="U22" i="2"/>
  <c r="U35" i="2"/>
  <c r="Y33" i="2"/>
  <c r="Y16" i="2"/>
  <c r="T36" i="2"/>
  <c r="X32" i="2"/>
  <c r="X17" i="2"/>
  <c r="W34" i="2"/>
  <c r="W40" i="2"/>
  <c r="W20" i="2"/>
  <c r="M24" i="2"/>
  <c r="S24" i="2" s="1"/>
  <c r="S38" i="2" s="1"/>
  <c r="Z18" i="2"/>
  <c r="Z11" i="2"/>
  <c r="Z19" i="2"/>
  <c r="Z30" i="2"/>
  <c r="Z14" i="2"/>
  <c r="Z21" i="2"/>
  <c r="Z10" i="2"/>
  <c r="AA27" i="2"/>
  <c r="AA9" i="2"/>
  <c r="S41" i="2"/>
  <c r="S36" i="2"/>
  <c r="Y13" i="2" l="1"/>
  <c r="M38" i="2"/>
  <c r="Z16" i="2"/>
  <c r="Z33" i="2"/>
  <c r="AB27" i="2"/>
  <c r="AB9" i="2"/>
  <c r="V36" i="2"/>
  <c r="V41" i="2"/>
  <c r="U41" i="2"/>
  <c r="U36" i="2"/>
  <c r="X34" i="2"/>
  <c r="X20" i="2"/>
  <c r="X40" i="2"/>
  <c r="AA18" i="2"/>
  <c r="AA30" i="2"/>
  <c r="AA10" i="2"/>
  <c r="AA14" i="2"/>
  <c r="AA11" i="2"/>
  <c r="Z12" i="2"/>
  <c r="AA19" i="2"/>
  <c r="AA21" i="2"/>
  <c r="W22" i="2"/>
  <c r="W35" i="2"/>
  <c r="S23" i="2"/>
  <c r="D129" i="2"/>
  <c r="Y32" i="2" l="1"/>
  <c r="Y17" i="2"/>
  <c r="Y39" i="2"/>
  <c r="AA12" i="2"/>
  <c r="AA31" i="2" s="1"/>
  <c r="W36" i="2"/>
  <c r="W41" i="2"/>
  <c r="AA33" i="2"/>
  <c r="AA16" i="2"/>
  <c r="AB21" i="2"/>
  <c r="AB18" i="2"/>
  <c r="AB11" i="2"/>
  <c r="AB10" i="2"/>
  <c r="AB30" i="2"/>
  <c r="AB14" i="2"/>
  <c r="AB19" i="2"/>
  <c r="E128" i="2"/>
  <c r="E129" i="2" s="1"/>
  <c r="F128" i="2" s="1"/>
  <c r="F129" i="2" s="1"/>
  <c r="G128" i="2" s="1"/>
  <c r="G129" i="2" s="1"/>
  <c r="H128" i="2" s="1"/>
  <c r="H129" i="2" s="1"/>
  <c r="I128" i="2" s="1"/>
  <c r="I129" i="2" s="1"/>
  <c r="X22" i="2"/>
  <c r="X35" i="2"/>
  <c r="Z31" i="2"/>
  <c r="Z13" i="2"/>
  <c r="S37" i="2"/>
  <c r="T23" i="2"/>
  <c r="AA13" i="2" l="1"/>
  <c r="AA17" i="2" s="1"/>
  <c r="Y40" i="2"/>
  <c r="Y20" i="2"/>
  <c r="Y34" i="2"/>
  <c r="AB12" i="2"/>
  <c r="J128" i="2"/>
  <c r="J129" i="2" s="1"/>
  <c r="K128" i="2" s="1"/>
  <c r="K129" i="2" s="1"/>
  <c r="L128" i="2" s="1"/>
  <c r="L129" i="2" s="1"/>
  <c r="AA39" i="2"/>
  <c r="AA32" i="2"/>
  <c r="Z17" i="2"/>
  <c r="Z39" i="2"/>
  <c r="Z32" i="2"/>
  <c r="AB33" i="2"/>
  <c r="AB16" i="2"/>
  <c r="X36" i="2"/>
  <c r="X41" i="2"/>
  <c r="T37" i="2"/>
  <c r="U23" i="2"/>
  <c r="T24" i="2"/>
  <c r="T38" i="2" s="1"/>
  <c r="Y22" i="2" l="1"/>
  <c r="Y35" i="2"/>
  <c r="AB31" i="2"/>
  <c r="AB13" i="2"/>
  <c r="AA34" i="2"/>
  <c r="AA40" i="2"/>
  <c r="AA20" i="2"/>
  <c r="Z40" i="2"/>
  <c r="Z34" i="2"/>
  <c r="Z20" i="2"/>
  <c r="V23" i="2"/>
  <c r="U37" i="2"/>
  <c r="U24" i="2"/>
  <c r="U38" i="2" s="1"/>
  <c r="Y36" i="2" l="1"/>
  <c r="Y41" i="2"/>
  <c r="AB32" i="2"/>
  <c r="AB39" i="2"/>
  <c r="AB17" i="2"/>
  <c r="AA35" i="2"/>
  <c r="AA22" i="2"/>
  <c r="Z22" i="2"/>
  <c r="Z35" i="2"/>
  <c r="W23" i="2"/>
  <c r="V37" i="2"/>
  <c r="V24" i="2"/>
  <c r="V38" i="2" s="1"/>
  <c r="AB40" i="2" l="1"/>
  <c r="AB34" i="2"/>
  <c r="AB20" i="2"/>
  <c r="Z36" i="2"/>
  <c r="Z41" i="2"/>
  <c r="AA41" i="2"/>
  <c r="AA36" i="2"/>
  <c r="X23" i="2"/>
  <c r="W37" i="2"/>
  <c r="W24" i="2"/>
  <c r="W38" i="2" s="1"/>
  <c r="AB35" i="2" l="1"/>
  <c r="AB22" i="2"/>
  <c r="Y23" i="2"/>
  <c r="X37" i="2"/>
  <c r="X24" i="2"/>
  <c r="X38" i="2" s="1"/>
  <c r="AC22" i="2" l="1"/>
  <c r="AD22" i="2" s="1"/>
  <c r="AE22" i="2" s="1"/>
  <c r="AF22" i="2" s="1"/>
  <c r="AG22" i="2" s="1"/>
  <c r="AH22" i="2" s="1"/>
  <c r="AI22" i="2" s="1"/>
  <c r="AJ22" i="2" s="1"/>
  <c r="AK22" i="2" s="1"/>
  <c r="AL22" i="2" s="1"/>
  <c r="AM22" i="2" s="1"/>
  <c r="AN22" i="2" s="1"/>
  <c r="AO22" i="2" s="1"/>
  <c r="AP22" i="2" s="1"/>
  <c r="AQ22" i="2" s="1"/>
  <c r="AR22" i="2" s="1"/>
  <c r="AS22" i="2" s="1"/>
  <c r="AT22" i="2" s="1"/>
  <c r="AU22" i="2" s="1"/>
  <c r="AV22" i="2" s="1"/>
  <c r="AW22" i="2" s="1"/>
  <c r="AX22" i="2" s="1"/>
  <c r="AY22" i="2" s="1"/>
  <c r="AZ22" i="2" s="1"/>
  <c r="BA22" i="2" s="1"/>
  <c r="BB22" i="2" s="1"/>
  <c r="BC22" i="2" s="1"/>
  <c r="BD22" i="2" s="1"/>
  <c r="BE22" i="2" s="1"/>
  <c r="BF22" i="2" s="1"/>
  <c r="BG22" i="2" s="1"/>
  <c r="BH22" i="2" s="1"/>
  <c r="BI22" i="2" s="1"/>
  <c r="BJ22" i="2" s="1"/>
  <c r="BK22" i="2" s="1"/>
  <c r="BL22" i="2" s="1"/>
  <c r="BM22" i="2" s="1"/>
  <c r="BN22" i="2" s="1"/>
  <c r="BO22" i="2" s="1"/>
  <c r="BP22" i="2" s="1"/>
  <c r="BQ22" i="2" s="1"/>
  <c r="BR22" i="2" s="1"/>
  <c r="BS22" i="2" s="1"/>
  <c r="BT22" i="2" s="1"/>
  <c r="BU22" i="2" s="1"/>
  <c r="BV22" i="2" s="1"/>
  <c r="BW22" i="2" s="1"/>
  <c r="BX22" i="2" s="1"/>
  <c r="BY22" i="2" s="1"/>
  <c r="BZ22" i="2" s="1"/>
  <c r="CA22" i="2" s="1"/>
  <c r="CB22" i="2" s="1"/>
  <c r="CC22" i="2" s="1"/>
  <c r="CD22" i="2" s="1"/>
  <c r="CE22" i="2" s="1"/>
  <c r="CF22" i="2" s="1"/>
  <c r="CG22" i="2" s="1"/>
  <c r="CH22" i="2" s="1"/>
  <c r="CI22" i="2" s="1"/>
  <c r="CJ22" i="2" s="1"/>
  <c r="CK22" i="2" s="1"/>
  <c r="CL22" i="2" s="1"/>
  <c r="CM22" i="2" s="1"/>
  <c r="CN22" i="2" s="1"/>
  <c r="CO22" i="2" s="1"/>
  <c r="CP22" i="2" s="1"/>
  <c r="CQ22" i="2" s="1"/>
  <c r="CR22" i="2" s="1"/>
  <c r="CS22" i="2" s="1"/>
  <c r="CT22" i="2" s="1"/>
  <c r="CU22" i="2" s="1"/>
  <c r="CV22" i="2" s="1"/>
  <c r="CW22" i="2" s="1"/>
  <c r="CX22" i="2" s="1"/>
  <c r="CY22" i="2" s="1"/>
  <c r="CZ22" i="2" s="1"/>
  <c r="DA22" i="2" s="1"/>
  <c r="DB22" i="2" s="1"/>
  <c r="DC22" i="2" s="1"/>
  <c r="DD22" i="2" s="1"/>
  <c r="DE22" i="2" s="1"/>
  <c r="DF22" i="2" s="1"/>
  <c r="DG22" i="2" s="1"/>
  <c r="DH22" i="2" s="1"/>
  <c r="DI22" i="2" s="1"/>
  <c r="DJ22" i="2" s="1"/>
  <c r="DK22" i="2" s="1"/>
  <c r="DL22" i="2" s="1"/>
  <c r="DM22" i="2" s="1"/>
  <c r="DN22" i="2" s="1"/>
  <c r="DO22" i="2" s="1"/>
  <c r="DP22" i="2" s="1"/>
  <c r="DQ22" i="2" s="1"/>
  <c r="DR22" i="2" s="1"/>
  <c r="DS22" i="2" s="1"/>
  <c r="AF30" i="2" s="1"/>
  <c r="AB41" i="2"/>
  <c r="AB36" i="2"/>
  <c r="Z23" i="2"/>
  <c r="Y37" i="2"/>
  <c r="Y24" i="2"/>
  <c r="Y38" i="2" s="1"/>
  <c r="AF33" i="2" l="1"/>
  <c r="AF35" i="2" s="1"/>
  <c r="AF37" i="2" s="1"/>
  <c r="AA23" i="2"/>
  <c r="Z37" i="2"/>
  <c r="Z24" i="2"/>
  <c r="Z38" i="2" s="1"/>
  <c r="AB23" i="2" l="1"/>
  <c r="AA37" i="2"/>
  <c r="AA24" i="2"/>
  <c r="AA38" i="2" s="1"/>
  <c r="AB37" i="2" l="1"/>
  <c r="AB24" i="2"/>
  <c r="AB3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jameelbrannon</author>
  </authors>
  <commentList>
    <comment ref="B6" authorId="0" shapeId="0" xr:uid="{0D36D12D-3675-5146-8F5C-A9B3F3B09685}">
      <text>
        <r>
          <rPr>
            <b/>
            <sz val="10"/>
            <color rgb="FF000000"/>
            <rFont val="Tahoma"/>
            <family val="2"/>
          </rPr>
          <t>jameelbrannon:</t>
        </r>
        <r>
          <rPr>
            <sz val="10"/>
            <color rgb="FF000000"/>
            <rFont val="Tahoma"/>
            <family val="2"/>
          </rPr>
          <t xml:space="preserve">
</t>
        </r>
        <r>
          <rPr>
            <sz val="10"/>
            <color rgb="FF000000"/>
            <rFont val="Tahoma"/>
            <family val="2"/>
          </rPr>
          <t>can only be bought by prof hair stylists @ salons</t>
        </r>
      </text>
    </comment>
    <comment ref="K9" authorId="0" shapeId="0" xr:uid="{4BA71AB3-BE7A-0A43-A800-789620077783}">
      <text>
        <r>
          <rPr>
            <b/>
            <sz val="10"/>
            <color rgb="FF000000"/>
            <rFont val="Tahoma"/>
            <family val="2"/>
          </rPr>
          <t>jameelbrannon:</t>
        </r>
        <r>
          <rPr>
            <sz val="10"/>
            <color rgb="FF000000"/>
            <rFont val="Tahoma"/>
            <family val="2"/>
          </rPr>
          <t xml:space="preserve">
</t>
        </r>
        <r>
          <rPr>
            <sz val="10"/>
            <color rgb="FF000000"/>
            <rFont val="Tahoma"/>
            <family val="2"/>
          </rPr>
          <t xml:space="preserve">lower demand
</t>
        </r>
        <r>
          <rPr>
            <sz val="10"/>
            <color rgb="FF000000"/>
            <rFont val="Tahoma"/>
            <family val="2"/>
          </rPr>
          <t xml:space="preserve">
</t>
        </r>
        <r>
          <rPr>
            <sz val="10"/>
            <color rgb="FF000000"/>
            <rFont val="Tahoma"/>
            <family val="2"/>
          </rPr>
          <t xml:space="preserve">
</t>
        </r>
        <r>
          <rPr>
            <sz val="10"/>
            <color rgb="FF000000"/>
            <rFont val="Tahoma"/>
            <family val="2"/>
          </rPr>
          <t xml:space="preserve">mgmt doesn't believe price increase is a drvier for demand lsos ... company think sits macro environment / higher level of discountng in industry and misinformation about the brand.
</t>
        </r>
        <r>
          <rPr>
            <sz val="10"/>
            <color rgb="FF000000"/>
            <rFont val="Tahoma"/>
            <family val="2"/>
          </rPr>
          <t xml:space="preserve">
</t>
        </r>
        <r>
          <rPr>
            <sz val="10"/>
            <color rgb="FF000000"/>
            <rFont val="Tahoma"/>
            <family val="2"/>
          </rPr>
          <t xml:space="preserve">
</t>
        </r>
        <r>
          <rPr>
            <sz val="10"/>
            <color rgb="FF000000"/>
            <rFont val="Tahoma"/>
            <family val="2"/>
          </rPr>
          <t xml:space="preserve">
</t>
        </r>
        <r>
          <rPr>
            <sz val="10"/>
            <color rgb="FF000000"/>
            <rFont val="Tahoma"/>
            <family val="2"/>
          </rPr>
          <t xml:space="preserve">2023 "reset year"  </t>
        </r>
      </text>
    </comment>
    <comment ref="L9" authorId="0" shapeId="0" xr:uid="{2FF26F23-64CF-5640-BD7D-02F584619F55}">
      <text>
        <r>
          <rPr>
            <b/>
            <sz val="10"/>
            <color rgb="FF000000"/>
            <rFont val="Tahoma"/>
            <family val="2"/>
          </rPr>
          <t>jameelbrannon:</t>
        </r>
        <r>
          <rPr>
            <sz val="10"/>
            <color rgb="FF000000"/>
            <rFont val="Tahoma"/>
            <family val="2"/>
          </rPr>
          <t xml:space="preserve">
</t>
        </r>
        <r>
          <rPr>
            <sz val="10"/>
            <color rgb="FF000000"/>
            <rFont val="IntelClear-Regular"/>
          </rPr>
          <t xml:space="preserve">Our second quarter performance was below our expectations as our Professional and Specialty Retail channels experienced slower demand and some customers right sized their inventory positions in response to current trends </t>
        </r>
        <r>
          <rPr>
            <sz val="10"/>
            <color rgb="FF000000"/>
            <rFont val="IntelClear-Regular"/>
          </rPr>
          <t xml:space="preserve">
</t>
        </r>
      </text>
    </comment>
    <comment ref="M9" authorId="0" shapeId="0" xr:uid="{0BFADD9F-E866-A740-BCD0-018CCB073E61}">
      <text>
        <r>
          <rPr>
            <b/>
            <sz val="10"/>
            <color rgb="FF000000"/>
            <rFont val="Tahoma"/>
            <family val="2"/>
          </rPr>
          <t>jameelbrannon:</t>
        </r>
        <r>
          <rPr>
            <sz val="10"/>
            <color rgb="FF000000"/>
            <rFont val="Tahoma"/>
            <family val="2"/>
          </rPr>
          <t xml:space="preserve">
</t>
        </r>
      </text>
    </comment>
    <comment ref="S9" authorId="0" shapeId="0" xr:uid="{A5479DA0-57C8-F549-813D-BDF601F3B299}">
      <text>
        <r>
          <rPr>
            <b/>
            <sz val="10"/>
            <color rgb="FF000000"/>
            <rFont val="Tahoma"/>
            <family val="2"/>
          </rPr>
          <t>jameelbrannon:</t>
        </r>
        <r>
          <rPr>
            <sz val="10"/>
            <color rgb="FF000000"/>
            <rFont val="Tahoma"/>
            <family val="2"/>
          </rPr>
          <t xml:space="preserve">
</t>
        </r>
        <r>
          <rPr>
            <sz val="10"/>
            <color rgb="FF000000"/>
            <rFont val="Tahoma"/>
            <family val="2"/>
          </rPr>
          <t>Guidance: $450-460)</t>
        </r>
      </text>
    </comment>
    <comment ref="L30" authorId="0" shapeId="0" xr:uid="{B1C92675-C38B-454C-8288-B5357C9D7785}">
      <text>
        <r>
          <rPr>
            <b/>
            <sz val="10"/>
            <color rgb="FF000000"/>
            <rFont val="Tahoma"/>
            <family val="2"/>
          </rPr>
          <t>jameelbrannon:</t>
        </r>
        <r>
          <rPr>
            <sz val="10"/>
            <color rgb="FF000000"/>
            <rFont val="Tahoma"/>
            <family val="2"/>
          </rPr>
          <t xml:space="preserve">
</t>
        </r>
      </text>
    </comment>
  </commentList>
</comments>
</file>

<file path=xl/sharedStrings.xml><?xml version="1.0" encoding="utf-8"?>
<sst xmlns="http://schemas.openxmlformats.org/spreadsheetml/2006/main" count="183" uniqueCount="154">
  <si>
    <t>P</t>
  </si>
  <si>
    <t>S</t>
  </si>
  <si>
    <t>MC</t>
  </si>
  <si>
    <t>C</t>
  </si>
  <si>
    <t>EV</t>
  </si>
  <si>
    <t>D</t>
  </si>
  <si>
    <t>Q122</t>
  </si>
  <si>
    <t>Q222</t>
  </si>
  <si>
    <t>Q322</t>
  </si>
  <si>
    <t>Q422</t>
  </si>
  <si>
    <t>Q123</t>
  </si>
  <si>
    <t>Q223</t>
  </si>
  <si>
    <t>Q323</t>
  </si>
  <si>
    <t>Q423</t>
  </si>
  <si>
    <t>Q121</t>
  </si>
  <si>
    <t>Q221</t>
  </si>
  <si>
    <t>Q321</t>
  </si>
  <si>
    <t>Q421</t>
  </si>
  <si>
    <t>4 PILLAR STRATEGY</t>
  </si>
  <si>
    <t>Ignite Global Brand</t>
  </si>
  <si>
    <t>Innovation</t>
  </si>
  <si>
    <t>Chnnale Coverage</t>
  </si>
  <si>
    <t>New Geography</t>
  </si>
  <si>
    <t>ER</t>
  </si>
  <si>
    <t>cash</t>
  </si>
  <si>
    <t>a/r</t>
  </si>
  <si>
    <t>inventory</t>
  </si>
  <si>
    <t>oca</t>
  </si>
  <si>
    <t>ca</t>
  </si>
  <si>
    <t>ppe</t>
  </si>
  <si>
    <t>intangible</t>
  </si>
  <si>
    <t>goodwill</t>
  </si>
  <si>
    <t>deffered t</t>
  </si>
  <si>
    <t>oa</t>
  </si>
  <si>
    <t>ta</t>
  </si>
  <si>
    <t/>
  </si>
  <si>
    <t>a/p</t>
  </si>
  <si>
    <t>s/imt tx pay</t>
  </si>
  <si>
    <t>acrrued e &amp; ocl</t>
  </si>
  <si>
    <t>debt</t>
  </si>
  <si>
    <t>tx rec agr</t>
  </si>
  <si>
    <t>cl</t>
  </si>
  <si>
    <t>ltd</t>
  </si>
  <si>
    <t>deferred t</t>
  </si>
  <si>
    <t>tax rec agr</t>
  </si>
  <si>
    <t>tl</t>
  </si>
  <si>
    <t>e</t>
  </si>
  <si>
    <t>tl + e</t>
  </si>
  <si>
    <t xml:space="preserve">ratio analysis </t>
  </si>
  <si>
    <t>total debt</t>
  </si>
  <si>
    <t>net debt</t>
  </si>
  <si>
    <t>net debt per shr</t>
  </si>
  <si>
    <t>debt to capital</t>
  </si>
  <si>
    <t xml:space="preserve">current ratio </t>
  </si>
  <si>
    <t>wc</t>
  </si>
  <si>
    <t>nwc</t>
  </si>
  <si>
    <t>inputs</t>
  </si>
  <si>
    <t>interest rate</t>
  </si>
  <si>
    <t>dso</t>
  </si>
  <si>
    <t>inventory turnover</t>
  </si>
  <si>
    <t>days inventory</t>
  </si>
  <si>
    <t>dpo</t>
  </si>
  <si>
    <t>net income</t>
  </si>
  <si>
    <t>amort of patent</t>
  </si>
  <si>
    <t>amort of other</t>
  </si>
  <si>
    <t>professional</t>
  </si>
  <si>
    <t>specialty r</t>
  </si>
  <si>
    <t>dtc</t>
  </si>
  <si>
    <t>s</t>
  </si>
  <si>
    <t>c</t>
  </si>
  <si>
    <t>amort</t>
  </si>
  <si>
    <t>tc</t>
  </si>
  <si>
    <t>gp</t>
  </si>
  <si>
    <t>sga</t>
  </si>
  <si>
    <t>opex</t>
  </si>
  <si>
    <t>ebit</t>
  </si>
  <si>
    <t>interest e</t>
  </si>
  <si>
    <t>other i</t>
  </si>
  <si>
    <t>ebt</t>
  </si>
  <si>
    <t>t</t>
  </si>
  <si>
    <t>diluted</t>
  </si>
  <si>
    <t>eps</t>
  </si>
  <si>
    <t>growth</t>
  </si>
  <si>
    <t>gm%</t>
  </si>
  <si>
    <t>om%</t>
  </si>
  <si>
    <t>nm%</t>
  </si>
  <si>
    <t xml:space="preserve">net revenue </t>
  </si>
  <si>
    <t xml:space="preserve">cffo </t>
  </si>
  <si>
    <t>inventory write off</t>
  </si>
  <si>
    <t>depreciation of fa</t>
  </si>
  <si>
    <t>amortization of debt iss</t>
  </si>
  <si>
    <t>deferred taxes</t>
  </si>
  <si>
    <t>sbc</t>
  </si>
  <si>
    <t>loss on ext debt</t>
  </si>
  <si>
    <t>other operating</t>
  </si>
  <si>
    <t>accrued exp &amp; ocl</t>
  </si>
  <si>
    <t>oa &amp; l</t>
  </si>
  <si>
    <t>capex</t>
  </si>
  <si>
    <t>software purchase</t>
  </si>
  <si>
    <t>cffi</t>
  </si>
  <si>
    <t>stock option proceeds</t>
  </si>
  <si>
    <t>shares retired</t>
  </si>
  <si>
    <t>term loan facility payments</t>
  </si>
  <si>
    <t>proceeds from term loan facility</t>
  </si>
  <si>
    <t>debt issuance costs</t>
  </si>
  <si>
    <t>cfff</t>
  </si>
  <si>
    <t>cash increase</t>
  </si>
  <si>
    <t>cash @ begin</t>
  </si>
  <si>
    <t xml:space="preserve">cash @ end </t>
  </si>
  <si>
    <t xml:space="preserve">free cash flow </t>
  </si>
  <si>
    <t>stock issuance</t>
  </si>
  <si>
    <t>investment in noncon entity</t>
  </si>
  <si>
    <t>amortization of acq inv</t>
  </si>
  <si>
    <t>tax rec</t>
  </si>
  <si>
    <t>dividend/disti payments</t>
  </si>
  <si>
    <t>proceeds from revolver</t>
  </si>
  <si>
    <t>payments of revolver</t>
  </si>
  <si>
    <t>Biz acq</t>
  </si>
  <si>
    <t>4q fcf</t>
  </si>
  <si>
    <t xml:space="preserve">4q ni </t>
  </si>
  <si>
    <t xml:space="preserve">4q fcf - 4q ni </t>
  </si>
  <si>
    <t xml:space="preserve">terminal </t>
  </si>
  <si>
    <t>discount</t>
  </si>
  <si>
    <t>npv</t>
  </si>
  <si>
    <t>net npv</t>
  </si>
  <si>
    <t>shares</t>
  </si>
  <si>
    <t>estimate</t>
  </si>
  <si>
    <t>current</t>
  </si>
  <si>
    <t>Delta</t>
  </si>
  <si>
    <t>ceo</t>
  </si>
  <si>
    <t xml:space="preserve">jue wong </t>
  </si>
  <si>
    <t>cfo eric tiziani</t>
  </si>
  <si>
    <t>founded</t>
  </si>
  <si>
    <t xml:space="preserve">u.s. </t>
  </si>
  <si>
    <t xml:space="preserve">international </t>
  </si>
  <si>
    <t>Test results</t>
  </si>
  <si>
    <t>HRIPT</t>
  </si>
  <si>
    <t xml:space="preserve">, OLAPLEX® No.2 and No.3 </t>
  </si>
  <si>
    <t xml:space="preserve">OLAPLEX® No.1, 4, 5, 6, 7, 8 and 9 </t>
  </si>
  <si>
    <t>olaplex no. 0 hript test</t>
  </si>
  <si>
    <t xml:space="preserve">Beg subjects </t>
  </si>
  <si>
    <t>End subject s</t>
  </si>
  <si>
    <t>subject completion rat e</t>
  </si>
  <si>
    <t>intangibles</t>
  </si>
  <si>
    <t>payment shared withheld/retired</t>
  </si>
  <si>
    <t>payment pre-ipo tax rec.</t>
  </si>
  <si>
    <t>q323</t>
  </si>
  <si>
    <t xml:space="preserve">other liabilities </t>
  </si>
  <si>
    <t>$M</t>
  </si>
  <si>
    <t>Volume</t>
  </si>
  <si>
    <t>Adj Close</t>
  </si>
  <si>
    <t>Date</t>
  </si>
  <si>
    <t>STD</t>
  </si>
  <si>
    <t>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</si>
</sst>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0.0"/>
    <numFmt numFmtId="165" formatCode="m/d;@"/>
  </numFmts>
  <fonts count="12">
    <font>
      <sz val="10"/>
      <color theme="1"/>
      <name val="IntelClear-Regular"/>
      <family val="2"/>
    </font>
    <font>
      <b/>
      <sz val="10"/>
      <color theme="1"/>
      <name val="IntelClear-Regular"/>
    </font>
    <font>
      <u/>
      <sz val="10"/>
      <color theme="10"/>
      <name val="IntelClear-Regular"/>
      <family val="2"/>
    </font>
    <font>
      <b/>
      <sz val="10"/>
      <color rgb="FF000000"/>
      <name val="IntelClear-Regular"/>
    </font>
    <font>
      <sz val="10"/>
      <color rgb="FF000000"/>
      <name val="IntelClear-Regular"/>
      <family val="2"/>
    </font>
    <font>
      <sz val="10"/>
      <color theme="1"/>
      <name val="IntelClear-Regular"/>
    </font>
    <font>
      <sz val="10"/>
      <color rgb="FF000000"/>
      <name val="Tahoma"/>
      <family val="2"/>
    </font>
    <font>
      <b/>
      <sz val="10"/>
      <color rgb="FF000000"/>
      <name val="Tahoma"/>
      <family val="2"/>
    </font>
    <font>
      <strike/>
      <sz val="10"/>
      <color theme="1"/>
      <name val="IntelClear-Regular"/>
      <family val="2"/>
    </font>
    <font>
      <sz val="10"/>
      <color rgb="FF000000"/>
      <name val="IntelClear-Regular"/>
    </font>
    <font>
      <sz val="10"/>
      <color theme="1"/>
      <name val="Arial"/>
      <family val="2"/>
    </font>
    <font>
      <b/>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3" fontId="0" fillId="0" borderId="0" xfId="0" applyNumberFormat="1"/>
    <xf numFmtId="4" fontId="0" fillId="0" borderId="0" xfId="0" applyNumberFormat="1"/>
    <xf numFmtId="3" fontId="1" fillId="0" borderId="0" xfId="0" applyNumberFormat="1" applyFont="1"/>
    <xf numFmtId="9" fontId="0" fillId="0" borderId="0" xfId="0" applyNumberFormat="1"/>
    <xf numFmtId="1" fontId="0" fillId="0" borderId="0" xfId="0" applyNumberFormat="1"/>
    <xf numFmtId="3" fontId="5" fillId="0" borderId="0" xfId="0" applyNumberFormat="1" applyFont="1"/>
    <xf numFmtId="2" fontId="0" fillId="0" borderId="0" xfId="0" applyNumberFormat="1"/>
    <xf numFmtId="9" fontId="1" fillId="0" borderId="0" xfId="0" applyNumberFormat="1" applyFont="1"/>
    <xf numFmtId="3" fontId="2" fillId="0" borderId="0" xfId="1" applyNumberFormat="1"/>
    <xf numFmtId="3" fontId="0" fillId="0" borderId="0" xfId="0" applyNumberFormat="1" applyAlignment="1">
      <alignment horizontal="center"/>
    </xf>
    <xf numFmtId="3" fontId="1" fillId="0" borderId="0" xfId="0" applyNumberFormat="1" applyFont="1" applyAlignment="1">
      <alignment horizontal="center"/>
    </xf>
    <xf numFmtId="3" fontId="3" fillId="0" borderId="0" xfId="0" applyNumberFormat="1" applyFont="1" applyAlignment="1">
      <alignment horizontal="center"/>
    </xf>
    <xf numFmtId="3" fontId="4" fillId="0" borderId="0" xfId="0" applyNumberFormat="1" applyFont="1" applyAlignment="1">
      <alignment horizontal="center"/>
    </xf>
    <xf numFmtId="3" fontId="5" fillId="0" borderId="0" xfId="0" applyNumberFormat="1" applyFont="1" applyAlignment="1">
      <alignment horizontal="center"/>
    </xf>
    <xf numFmtId="2" fontId="0" fillId="0" borderId="0" xfId="0" applyNumberFormat="1" applyAlignment="1">
      <alignment horizontal="center"/>
    </xf>
    <xf numFmtId="2" fontId="5" fillId="0" borderId="0" xfId="0" applyNumberFormat="1" applyFont="1" applyAlignment="1">
      <alignment horizontal="center"/>
    </xf>
    <xf numFmtId="9" fontId="1" fillId="0" borderId="0" xfId="0" applyNumberFormat="1" applyFont="1" applyAlignment="1">
      <alignment horizontal="center"/>
    </xf>
    <xf numFmtId="9" fontId="0" fillId="0" borderId="0" xfId="0" applyNumberFormat="1" applyAlignment="1">
      <alignment horizontal="center"/>
    </xf>
    <xf numFmtId="4" fontId="0" fillId="0" borderId="0" xfId="0" applyNumberFormat="1" applyAlignment="1">
      <alignment horizontal="center"/>
    </xf>
    <xf numFmtId="164" fontId="0" fillId="0" borderId="0" xfId="0" applyNumberFormat="1" applyAlignment="1">
      <alignment horizontal="center"/>
    </xf>
    <xf numFmtId="165" fontId="0" fillId="0" borderId="0" xfId="0" applyNumberFormat="1"/>
    <xf numFmtId="165" fontId="0" fillId="0" borderId="0" xfId="0" applyNumberFormat="1" applyAlignment="1">
      <alignment horizontal="center"/>
    </xf>
    <xf numFmtId="9" fontId="8" fillId="0" borderId="0" xfId="0" applyNumberFormat="1" applyFont="1"/>
    <xf numFmtId="1" fontId="0" fillId="0" borderId="0" xfId="0" applyNumberFormat="1" applyAlignment="1">
      <alignment horizontal="left"/>
    </xf>
    <xf numFmtId="8" fontId="1" fillId="0" borderId="0" xfId="0" applyNumberFormat="1" applyFont="1"/>
    <xf numFmtId="0" fontId="10" fillId="0" borderId="0" xfId="0" applyFont="1"/>
    <xf numFmtId="0" fontId="11" fillId="0" borderId="0" xfId="0" applyFont="1"/>
    <xf numFmtId="14" fontId="10" fillId="0" borderId="0" xfId="0" applyNumberFormat="1" applyFont="1"/>
    <xf numFmtId="1" fontId="10" fillId="0" borderId="0" xfId="0" applyNumberFormat="1" applyFont="1"/>
    <xf numFmtId="2" fontId="10"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12</xdr:col>
      <xdr:colOff>522038</xdr:colOff>
      <xdr:row>0</xdr:row>
      <xdr:rowOff>6684</xdr:rowOff>
    </xdr:from>
    <xdr:to>
      <xdr:col>13</xdr:col>
      <xdr:colOff>11317</xdr:colOff>
      <xdr:row>162</xdr:row>
      <xdr:rowOff>11569</xdr:rowOff>
    </xdr:to>
    <xdr:cxnSp macro="">
      <xdr:nvCxnSpPr>
        <xdr:cNvPr id="3" name="Straight Connector 2">
          <a:extLst>
            <a:ext uri="{FF2B5EF4-FFF2-40B4-BE49-F238E27FC236}">
              <a16:creationId xmlns:a16="http://schemas.microsoft.com/office/drawing/2014/main" id="{894ACBCC-B8E6-1AF5-6714-C23EC12D0AC8}"/>
            </a:ext>
          </a:extLst>
        </xdr:cNvPr>
        <xdr:cNvCxnSpPr/>
      </xdr:nvCxnSpPr>
      <xdr:spPr>
        <a:xfrm flipH="1">
          <a:off x="9178091" y="6684"/>
          <a:ext cx="164384" cy="29241622"/>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537308</xdr:colOff>
      <xdr:row>0</xdr:row>
      <xdr:rowOff>19538</xdr:rowOff>
    </xdr:from>
    <xdr:to>
      <xdr:col>18</xdr:col>
      <xdr:colOff>29308</xdr:colOff>
      <xdr:row>162</xdr:row>
      <xdr:rowOff>78153</xdr:rowOff>
    </xdr:to>
    <xdr:cxnSp macro="">
      <xdr:nvCxnSpPr>
        <xdr:cNvPr id="5" name="Straight Connector 4">
          <a:extLst>
            <a:ext uri="{FF2B5EF4-FFF2-40B4-BE49-F238E27FC236}">
              <a16:creationId xmlns:a16="http://schemas.microsoft.com/office/drawing/2014/main" id="{B6EDE891-58F8-0545-BD39-755F5ED68CAE}"/>
            </a:ext>
          </a:extLst>
        </xdr:cNvPr>
        <xdr:cNvCxnSpPr/>
      </xdr:nvCxnSpPr>
      <xdr:spPr>
        <a:xfrm flipH="1">
          <a:off x="12475308" y="19538"/>
          <a:ext cx="117231" cy="27138923"/>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1io3yog0oux5.cloudfront.net/_024b1df0d6b93362b99f9ce62625e427/olaplex/news/2022-11-09_OLAPLEX_Reports_Third_Quarter_2022_23.pdf" TargetMode="External"/><Relationship Id="rId2" Type="http://schemas.openxmlformats.org/officeDocument/2006/relationships/hyperlink" Target="https://d1io3yog0oux5.cloudfront.net/_024b1df0d6b93362b99f9ce62625e427/olaplex/news/2023-02-28_OLAPLEX_Reports_Fourth_Quarter_and_Full_Year_2022__27.pdf" TargetMode="External"/><Relationship Id="rId1" Type="http://schemas.openxmlformats.org/officeDocument/2006/relationships/hyperlink" Target="https://d1io3yog0oux5.cloudfront.net/_024b1df0d6b93362b99f9ce62625e427/olaplex/news/2023-05-09_OLAPLEX_Reports_First_Quarter_2023_30.pdf" TargetMode="External"/><Relationship Id="rId6" Type="http://schemas.openxmlformats.org/officeDocument/2006/relationships/hyperlink" Target="https://cdn.shopify.com/s/files/1/0434/1661/files/All-S-RIPT_01_02_22_RFV01_R.pdf?v=1676087022" TargetMode="External"/><Relationship Id="rId5" Type="http://schemas.openxmlformats.org/officeDocument/2006/relationships/hyperlink" Target="https://cdn.shopify.com/s/files/1/0434/1661/files/HRIPT_Fact_Sheet.pdf?v=1677775156" TargetMode="External"/><Relationship Id="rId4" Type="http://schemas.openxmlformats.org/officeDocument/2006/relationships/hyperlink" Target="https://olaplex.com/pages/testing-results?ranMID=49376&amp;ranEAID=TnL5HPStwNw&amp;ranSiteID=TnL5HPStwNw-wLImj_uB0BRDjGPdh1lnaA"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DD576-FBCB-244D-B38F-698F5F55E4AC}">
  <dimension ref="B2:I30"/>
  <sheetViews>
    <sheetView zoomScale="206" workbookViewId="0">
      <selection activeCell="H8" sqref="H8"/>
    </sheetView>
  </sheetViews>
  <sheetFormatPr baseColWidth="10" defaultRowHeight="14"/>
  <cols>
    <col min="1" max="1" width="10.83203125" style="1"/>
    <col min="2" max="2" width="21.6640625" style="1" bestFit="1" customWidth="1"/>
    <col min="3" max="3" width="10.83203125" style="1"/>
    <col min="4" max="4" width="11" style="1" bestFit="1" customWidth="1"/>
    <col min="5" max="5" width="19.33203125" style="1" bestFit="1" customWidth="1"/>
    <col min="6" max="6" width="10.83203125" style="1"/>
    <col min="7" max="7" width="3.5" style="1" bestFit="1" customWidth="1"/>
    <col min="8" max="8" width="5.5" style="1" bestFit="1" customWidth="1"/>
    <col min="9" max="9" width="5.1640625" style="1" bestFit="1" customWidth="1"/>
    <col min="10" max="16384" width="10.83203125" style="1"/>
  </cols>
  <sheetData>
    <row r="2" spans="2:9">
      <c r="B2" s="1" t="s">
        <v>132</v>
      </c>
      <c r="C2" s="24">
        <v>2014</v>
      </c>
    </row>
    <row r="3" spans="2:9">
      <c r="B3" s="1" t="s">
        <v>129</v>
      </c>
      <c r="C3" s="1" t="s">
        <v>130</v>
      </c>
    </row>
    <row r="4" spans="2:9">
      <c r="B4" s="1" t="s">
        <v>131</v>
      </c>
    </row>
    <row r="5" spans="2:9">
      <c r="G5" s="3" t="s">
        <v>148</v>
      </c>
    </row>
    <row r="6" spans="2:9">
      <c r="G6" s="1" t="s">
        <v>0</v>
      </c>
      <c r="H6" s="2">
        <v>2.2000000000000002</v>
      </c>
    </row>
    <row r="7" spans="2:9">
      <c r="G7" s="1" t="s">
        <v>1</v>
      </c>
      <c r="H7" s="1">
        <v>654.73305200000004</v>
      </c>
      <c r="I7" s="1" t="s">
        <v>146</v>
      </c>
    </row>
    <row r="8" spans="2:9">
      <c r="G8" s="1" t="s">
        <v>2</v>
      </c>
      <c r="H8" s="1">
        <f>+H6*H7</f>
        <v>1440.4127144000001</v>
      </c>
    </row>
    <row r="9" spans="2:9">
      <c r="G9" s="1" t="s">
        <v>3</v>
      </c>
      <c r="H9" s="1">
        <v>429.58600000000001</v>
      </c>
      <c r="I9" s="1" t="str">
        <f>+I7</f>
        <v>q323</v>
      </c>
    </row>
    <row r="10" spans="2:9">
      <c r="G10" s="1" t="s">
        <v>5</v>
      </c>
      <c r="H10" s="1">
        <f>6.75+650.35</f>
        <v>657.1</v>
      </c>
      <c r="I10" s="1" t="str">
        <f>+I9</f>
        <v>q323</v>
      </c>
    </row>
    <row r="11" spans="2:9">
      <c r="G11" s="1" t="s">
        <v>4</v>
      </c>
      <c r="H11" s="1">
        <f>+H8-H9+H10</f>
        <v>1667.9267144</v>
      </c>
    </row>
    <row r="13" spans="2:9">
      <c r="B13" s="3" t="s">
        <v>18</v>
      </c>
    </row>
    <row r="14" spans="2:9">
      <c r="B14" s="1" t="s">
        <v>19</v>
      </c>
    </row>
    <row r="15" spans="2:9">
      <c r="B15" s="1" t="s">
        <v>20</v>
      </c>
    </row>
    <row r="16" spans="2:9">
      <c r="B16" s="1" t="s">
        <v>21</v>
      </c>
    </row>
    <row r="17" spans="2:5">
      <c r="B17" s="1" t="s">
        <v>22</v>
      </c>
    </row>
    <row r="20" spans="2:5">
      <c r="B20" s="3" t="s">
        <v>23</v>
      </c>
    </row>
    <row r="21" spans="2:5">
      <c r="B21" s="9" t="s">
        <v>10</v>
      </c>
    </row>
    <row r="22" spans="2:5">
      <c r="B22" s="9" t="s">
        <v>9</v>
      </c>
    </row>
    <row r="23" spans="2:5">
      <c r="B23" s="9" t="s">
        <v>8</v>
      </c>
    </row>
    <row r="25" spans="2:5">
      <c r="B25" s="9" t="s">
        <v>135</v>
      </c>
      <c r="C25" s="3" t="s">
        <v>140</v>
      </c>
      <c r="D25" s="3" t="s">
        <v>141</v>
      </c>
      <c r="E25" s="1" t="s">
        <v>142</v>
      </c>
    </row>
    <row r="26" spans="2:5">
      <c r="B26" s="9" t="s">
        <v>136</v>
      </c>
    </row>
    <row r="27" spans="2:5">
      <c r="B27" s="9" t="s">
        <v>139</v>
      </c>
      <c r="C27" s="1">
        <v>91</v>
      </c>
      <c r="D27" s="1">
        <v>51</v>
      </c>
      <c r="E27" s="4">
        <f>+D27/C27</f>
        <v>0.56043956043956045</v>
      </c>
    </row>
    <row r="29" spans="2:5">
      <c r="B29" s="1" t="s">
        <v>137</v>
      </c>
      <c r="C29" s="1">
        <v>80</v>
      </c>
    </row>
    <row r="30" spans="2:5">
      <c r="B30" s="1" t="s">
        <v>138</v>
      </c>
      <c r="C30" s="1">
        <v>100</v>
      </c>
    </row>
  </sheetData>
  <hyperlinks>
    <hyperlink ref="B21" r:id="rId1" xr:uid="{7985E61E-559D-8B44-830F-F8E086897B90}"/>
    <hyperlink ref="B22" r:id="rId2" xr:uid="{6163F63C-5BC0-1749-B98A-B4942A89FC2E}"/>
    <hyperlink ref="B23" r:id="rId3" xr:uid="{E6868B7F-68C7-1F4D-A995-FFB7CBAB52C6}"/>
    <hyperlink ref="B25" r:id="rId4" xr:uid="{43148144-8B9F-E04A-AC70-997384FDB7E8}"/>
    <hyperlink ref="B26" r:id="rId5" xr:uid="{D5D84EA7-9615-CB41-8F4E-AEF5C98500EB}"/>
    <hyperlink ref="B27" r:id="rId6" xr:uid="{5727FE85-C9A2-F443-AB55-C0EC54D1AD4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45777-FB84-E24B-A7E8-8275FAC8E2AE}">
  <dimension ref="B2:DS137"/>
  <sheetViews>
    <sheetView tabSelected="1" zoomScale="209" zoomScaleNormal="190" workbookViewId="0">
      <pane xSplit="2" ySplit="3" topLeftCell="G17" activePane="bottomRight" state="frozen"/>
      <selection pane="topRight" activeCell="C1" sqref="C1"/>
      <selection pane="bottomLeft" activeCell="A3" sqref="A3"/>
      <selection pane="bottomRight" activeCell="H20" sqref="H20"/>
    </sheetView>
  </sheetViews>
  <sheetFormatPr baseColWidth="10" defaultRowHeight="14"/>
  <cols>
    <col min="1" max="1" width="2.6640625" style="1" customWidth="1"/>
    <col min="2" max="2" width="25" style="1" bestFit="1" customWidth="1"/>
    <col min="3" max="4" width="7.5" style="10" bestFit="1" customWidth="1"/>
    <col min="5" max="11" width="8.83203125" style="10" bestFit="1" customWidth="1"/>
    <col min="12" max="13" width="8.83203125" style="1" bestFit="1" customWidth="1"/>
    <col min="14" max="14" width="7.5" style="1" bestFit="1" customWidth="1"/>
    <col min="15" max="15" width="2.5" style="1" customWidth="1"/>
    <col min="16" max="16" width="9.5" style="1" bestFit="1" customWidth="1"/>
    <col min="17" max="17" width="7.5" style="1" bestFit="1" customWidth="1"/>
    <col min="18" max="18" width="8.1640625" style="1" bestFit="1" customWidth="1"/>
    <col min="19" max="30" width="7.5" style="1" bestFit="1" customWidth="1"/>
    <col min="31" max="31" width="7.6640625" style="1" bestFit="1" customWidth="1"/>
    <col min="32" max="32" width="12.6640625" style="1" bestFit="1" customWidth="1"/>
    <col min="33" max="33" width="7.5" style="1" bestFit="1" customWidth="1"/>
    <col min="34" max="34" width="8.6640625" style="1" bestFit="1" customWidth="1"/>
    <col min="35" max="35" width="7.5" style="1" bestFit="1" customWidth="1"/>
    <col min="36" max="36" width="9.6640625" style="1" bestFit="1" customWidth="1"/>
    <col min="37" max="123" width="7.5" style="1" bestFit="1" customWidth="1"/>
    <col min="124" max="16384" width="10.83203125" style="1"/>
  </cols>
  <sheetData>
    <row r="2" spans="2:28" s="21" customFormat="1">
      <c r="C2" s="22">
        <v>44286</v>
      </c>
      <c r="D2" s="22">
        <v>44377</v>
      </c>
      <c r="E2" s="22">
        <v>44469</v>
      </c>
      <c r="F2" s="22">
        <f>+Q2</f>
        <v>44561</v>
      </c>
      <c r="G2" s="22">
        <v>44651</v>
      </c>
      <c r="H2" s="22">
        <v>44742</v>
      </c>
      <c r="I2" s="22">
        <v>44834</v>
      </c>
      <c r="J2" s="22">
        <f>+R2</f>
        <v>44926</v>
      </c>
      <c r="K2" s="22">
        <v>45016</v>
      </c>
      <c r="L2" s="21">
        <v>45107</v>
      </c>
      <c r="P2" s="21">
        <f>+Q2-365</f>
        <v>44196</v>
      </c>
      <c r="Q2" s="21">
        <f>+R2-365</f>
        <v>44561</v>
      </c>
      <c r="R2" s="21">
        <v>44926</v>
      </c>
    </row>
    <row r="3" spans="2:28">
      <c r="C3" s="10" t="s">
        <v>14</v>
      </c>
      <c r="D3" s="10" t="s">
        <v>15</v>
      </c>
      <c r="E3" s="10" t="s">
        <v>16</v>
      </c>
      <c r="F3" s="10" t="s">
        <v>17</v>
      </c>
      <c r="G3" s="10" t="s">
        <v>6</v>
      </c>
      <c r="H3" s="10" t="s">
        <v>7</v>
      </c>
      <c r="I3" s="10" t="s">
        <v>8</v>
      </c>
      <c r="J3" s="10" t="s">
        <v>9</v>
      </c>
      <c r="K3" s="10" t="s">
        <v>10</v>
      </c>
      <c r="L3" s="1" t="s">
        <v>11</v>
      </c>
      <c r="M3" s="1" t="s">
        <v>12</v>
      </c>
      <c r="N3" s="1" t="s">
        <v>13</v>
      </c>
      <c r="P3" s="5">
        <v>2020</v>
      </c>
      <c r="Q3" s="5">
        <f>+P3+1</f>
        <v>2021</v>
      </c>
      <c r="R3" s="5">
        <f>+Q3+1</f>
        <v>2022</v>
      </c>
      <c r="S3" s="5">
        <f t="shared" ref="S3:AB3" si="0">+R3+1</f>
        <v>2023</v>
      </c>
      <c r="T3" s="5">
        <f t="shared" si="0"/>
        <v>2024</v>
      </c>
      <c r="U3" s="5">
        <f t="shared" si="0"/>
        <v>2025</v>
      </c>
      <c r="V3" s="5">
        <f t="shared" si="0"/>
        <v>2026</v>
      </c>
      <c r="W3" s="5">
        <f t="shared" si="0"/>
        <v>2027</v>
      </c>
      <c r="X3" s="5">
        <f t="shared" si="0"/>
        <v>2028</v>
      </c>
      <c r="Y3" s="5">
        <f t="shared" si="0"/>
        <v>2029</v>
      </c>
      <c r="Z3" s="5">
        <f t="shared" si="0"/>
        <v>2030</v>
      </c>
      <c r="AA3" s="5">
        <f t="shared" si="0"/>
        <v>2031</v>
      </c>
      <c r="AB3" s="5">
        <f t="shared" si="0"/>
        <v>2032</v>
      </c>
    </row>
    <row r="4" spans="2:28">
      <c r="B4" s="1" t="s">
        <v>133</v>
      </c>
      <c r="C4" s="10">
        <v>72758</v>
      </c>
      <c r="D4" s="10">
        <v>85855</v>
      </c>
      <c r="E4" s="10">
        <v>93611</v>
      </c>
      <c r="G4" s="10">
        <v>120110</v>
      </c>
      <c r="H4" s="10">
        <v>121320</v>
      </c>
      <c r="I4" s="10">
        <v>89543</v>
      </c>
      <c r="K4" s="10">
        <v>47662</v>
      </c>
      <c r="R4" s="1">
        <v>0.154</v>
      </c>
    </row>
    <row r="5" spans="2:28">
      <c r="B5" s="1" t="s">
        <v>134</v>
      </c>
      <c r="C5" s="10">
        <v>45361</v>
      </c>
      <c r="D5" s="10">
        <v>66269</v>
      </c>
      <c r="E5" s="10">
        <v>68013</v>
      </c>
      <c r="G5" s="10">
        <v>66086</v>
      </c>
      <c r="H5" s="10">
        <v>89583</v>
      </c>
      <c r="I5" s="10">
        <v>86911</v>
      </c>
      <c r="K5" s="10">
        <v>66125</v>
      </c>
      <c r="R5" s="1">
        <v>0.20899999999999999</v>
      </c>
    </row>
    <row r="6" spans="2:28">
      <c r="B6" s="1" t="s">
        <v>65</v>
      </c>
      <c r="C6" s="10">
        <v>47389</v>
      </c>
      <c r="D6" s="10">
        <v>79488</v>
      </c>
      <c r="E6" s="10">
        <v>74978</v>
      </c>
      <c r="F6" s="10">
        <f t="shared" ref="F6:F11" si="1">+Q6-SUM(C6:E6)</f>
        <v>57154</v>
      </c>
      <c r="G6" s="10">
        <v>77059</v>
      </c>
      <c r="H6" s="10">
        <v>105489</v>
      </c>
      <c r="I6" s="10">
        <v>62991</v>
      </c>
      <c r="J6" s="10">
        <f t="shared" ref="J6:J11" si="2">+R6-SUM(G6:I6)</f>
        <v>54933</v>
      </c>
      <c r="K6" s="10">
        <v>48397</v>
      </c>
      <c r="L6" s="1">
        <v>40940</v>
      </c>
      <c r="M6" s="1">
        <v>48289</v>
      </c>
      <c r="N6" s="1">
        <f>+J6*0.9</f>
        <v>49439.700000000004</v>
      </c>
      <c r="P6" s="1">
        <v>156199</v>
      </c>
      <c r="Q6" s="1">
        <v>259009</v>
      </c>
      <c r="R6" s="1">
        <v>300472</v>
      </c>
      <c r="S6" s="1">
        <f t="shared" ref="S6:S12" si="3">SUM(K6:N6)</f>
        <v>187065.7</v>
      </c>
      <c r="T6" s="1">
        <f>+S6*1.01</f>
        <v>188936.35700000002</v>
      </c>
      <c r="U6" s="1">
        <f t="shared" ref="U6:AB6" si="4">+T6*1.01</f>
        <v>190825.72057000003</v>
      </c>
      <c r="V6" s="1">
        <f t="shared" si="4"/>
        <v>192733.97777570004</v>
      </c>
      <c r="W6" s="1">
        <f t="shared" si="4"/>
        <v>194661.31755345705</v>
      </c>
      <c r="X6" s="1">
        <f t="shared" si="4"/>
        <v>196607.93072899163</v>
      </c>
      <c r="Y6" s="1">
        <f t="shared" si="4"/>
        <v>198574.01003628154</v>
      </c>
      <c r="Z6" s="1">
        <f t="shared" si="4"/>
        <v>200559.75013664435</v>
      </c>
      <c r="AA6" s="1">
        <f t="shared" si="4"/>
        <v>202565.3476380108</v>
      </c>
      <c r="AB6" s="1">
        <f t="shared" si="4"/>
        <v>204591.00111439091</v>
      </c>
    </row>
    <row r="7" spans="2:28">
      <c r="B7" s="1" t="s">
        <v>66</v>
      </c>
      <c r="C7" s="10">
        <v>31740</v>
      </c>
      <c r="D7" s="10">
        <v>38118</v>
      </c>
      <c r="E7" s="10">
        <v>46343</v>
      </c>
      <c r="F7" s="10">
        <f t="shared" si="1"/>
        <v>59598</v>
      </c>
      <c r="G7" s="10">
        <v>64272</v>
      </c>
      <c r="H7" s="10">
        <v>64229</v>
      </c>
      <c r="I7" s="10">
        <v>74191</v>
      </c>
      <c r="J7" s="10">
        <f t="shared" si="2"/>
        <v>32618</v>
      </c>
      <c r="K7" s="10">
        <v>34859</v>
      </c>
      <c r="L7" s="1">
        <v>29767</v>
      </c>
      <c r="M7" s="1">
        <v>43159</v>
      </c>
      <c r="N7" s="1">
        <f>+J7*0.85</f>
        <v>27725.3</v>
      </c>
      <c r="P7" s="1">
        <v>50718</v>
      </c>
      <c r="Q7" s="1">
        <v>175799</v>
      </c>
      <c r="R7" s="1">
        <v>235310</v>
      </c>
      <c r="S7" s="1">
        <f t="shared" si="3"/>
        <v>135510.29999999999</v>
      </c>
      <c r="T7" s="1">
        <f t="shared" ref="T7:AB8" si="5">+S7*1.01</f>
        <v>136865.40299999999</v>
      </c>
      <c r="U7" s="1">
        <f t="shared" si="5"/>
        <v>138234.05703</v>
      </c>
      <c r="V7" s="1">
        <f t="shared" si="5"/>
        <v>139616.3976003</v>
      </c>
      <c r="W7" s="1">
        <f t="shared" si="5"/>
        <v>141012.56157630301</v>
      </c>
      <c r="X7" s="1">
        <f t="shared" si="5"/>
        <v>142422.68719206605</v>
      </c>
      <c r="Y7" s="1">
        <f t="shared" si="5"/>
        <v>143846.91406398671</v>
      </c>
      <c r="Z7" s="1">
        <f t="shared" si="5"/>
        <v>145285.38320462659</v>
      </c>
      <c r="AA7" s="1">
        <f t="shared" si="5"/>
        <v>146738.23703667286</v>
      </c>
      <c r="AB7" s="1">
        <f t="shared" si="5"/>
        <v>148205.6194070396</v>
      </c>
    </row>
    <row r="8" spans="2:28">
      <c r="B8" s="1" t="s">
        <v>67</v>
      </c>
      <c r="C8" s="10">
        <v>38990</v>
      </c>
      <c r="D8" s="10">
        <v>34518</v>
      </c>
      <c r="E8" s="10">
        <v>40303</v>
      </c>
      <c r="F8" s="10">
        <f t="shared" si="1"/>
        <v>49746</v>
      </c>
      <c r="G8" s="10">
        <v>44865</v>
      </c>
      <c r="H8" s="10">
        <v>41185</v>
      </c>
      <c r="I8" s="10">
        <v>39272</v>
      </c>
      <c r="J8" s="10">
        <f t="shared" si="2"/>
        <v>43170</v>
      </c>
      <c r="K8" s="10">
        <v>30531</v>
      </c>
      <c r="L8" s="1">
        <v>38534</v>
      </c>
      <c r="M8" s="1">
        <v>32107</v>
      </c>
      <c r="N8" s="1">
        <f>+J8*0.85</f>
        <v>36694.5</v>
      </c>
      <c r="P8" s="1">
        <v>75333</v>
      </c>
      <c r="Q8" s="1">
        <v>163557</v>
      </c>
      <c r="R8" s="1">
        <v>168492</v>
      </c>
      <c r="S8" s="1">
        <f t="shared" si="3"/>
        <v>137866.5</v>
      </c>
      <c r="T8" s="1">
        <f t="shared" si="5"/>
        <v>139245.16500000001</v>
      </c>
      <c r="U8" s="1">
        <f t="shared" si="5"/>
        <v>140637.61665000001</v>
      </c>
      <c r="V8" s="1">
        <f t="shared" si="5"/>
        <v>142043.99281650002</v>
      </c>
      <c r="W8" s="1">
        <f t="shared" si="5"/>
        <v>143464.43274466501</v>
      </c>
      <c r="X8" s="1">
        <f t="shared" si="5"/>
        <v>144899.07707211166</v>
      </c>
      <c r="Y8" s="1">
        <f t="shared" si="5"/>
        <v>146348.06784283277</v>
      </c>
      <c r="Z8" s="1">
        <f t="shared" si="5"/>
        <v>147811.54852126111</v>
      </c>
      <c r="AA8" s="1">
        <f t="shared" si="5"/>
        <v>149289.66400647373</v>
      </c>
      <c r="AB8" s="1">
        <f t="shared" si="5"/>
        <v>150782.56064653848</v>
      </c>
    </row>
    <row r="9" spans="2:28" s="3" customFormat="1">
      <c r="B9" s="3" t="s">
        <v>86</v>
      </c>
      <c r="C9" s="11">
        <f>+SUM(C6:C8)</f>
        <v>118119</v>
      </c>
      <c r="D9" s="11">
        <f>+SUM(D6:D8)</f>
        <v>152124</v>
      </c>
      <c r="E9" s="11">
        <f>+SUM(E6:E8)</f>
        <v>161624</v>
      </c>
      <c r="F9" s="11">
        <f t="shared" si="1"/>
        <v>166498</v>
      </c>
      <c r="G9" s="11">
        <f>+SUM(G6:G8)</f>
        <v>186196</v>
      </c>
      <c r="H9" s="12">
        <f>SUM(H6:H8)</f>
        <v>210903</v>
      </c>
      <c r="I9" s="11">
        <f>+SUM(I6:I8)</f>
        <v>176454</v>
      </c>
      <c r="J9" s="11">
        <f t="shared" si="2"/>
        <v>130721</v>
      </c>
      <c r="K9" s="11">
        <f>+SUM(K6:K8)</f>
        <v>113787</v>
      </c>
      <c r="L9" s="3">
        <f>SUM(L6:L8)</f>
        <v>109241</v>
      </c>
      <c r="M9" s="3">
        <f>SUM(M6:M8)</f>
        <v>123555</v>
      </c>
      <c r="N9" s="3">
        <f>SUM(N6:N8)</f>
        <v>113859.5</v>
      </c>
      <c r="P9" s="3">
        <f>SUM(P6:P8)</f>
        <v>282250</v>
      </c>
      <c r="Q9" s="3">
        <f>SUM(Q6:Q8)</f>
        <v>598365</v>
      </c>
      <c r="R9" s="3">
        <f>SUM(R6:R8)</f>
        <v>704274</v>
      </c>
      <c r="S9" s="3">
        <f t="shared" si="3"/>
        <v>460442.5</v>
      </c>
      <c r="T9" s="3">
        <f t="shared" ref="T9:AB9" si="6">SUM(T6:T8)</f>
        <v>465046.92500000005</v>
      </c>
      <c r="U9" s="3">
        <f t="shared" si="6"/>
        <v>469697.39425000001</v>
      </c>
      <c r="V9" s="3">
        <f t="shared" si="6"/>
        <v>474394.36819250009</v>
      </c>
      <c r="W9" s="3">
        <f t="shared" si="6"/>
        <v>479138.3118744251</v>
      </c>
      <c r="X9" s="3">
        <f t="shared" si="6"/>
        <v>483929.69499316934</v>
      </c>
      <c r="Y9" s="3">
        <f t="shared" si="6"/>
        <v>488768.99194310105</v>
      </c>
      <c r="Z9" s="3">
        <f t="shared" si="6"/>
        <v>493656.68186253204</v>
      </c>
      <c r="AA9" s="3">
        <f t="shared" si="6"/>
        <v>498593.24868115736</v>
      </c>
      <c r="AB9" s="3">
        <f t="shared" si="6"/>
        <v>503579.18116796901</v>
      </c>
    </row>
    <row r="10" spans="2:28">
      <c r="B10" s="1" t="s">
        <v>69</v>
      </c>
      <c r="C10" s="10">
        <v>22073</v>
      </c>
      <c r="D10" s="13">
        <v>29324</v>
      </c>
      <c r="E10" s="10">
        <v>32462</v>
      </c>
      <c r="F10" s="14">
        <f t="shared" si="1"/>
        <v>32695</v>
      </c>
      <c r="G10" s="10">
        <v>43222</v>
      </c>
      <c r="H10" s="13">
        <v>52293</v>
      </c>
      <c r="I10" s="10">
        <v>45484</v>
      </c>
      <c r="J10" s="14">
        <f t="shared" si="2"/>
        <v>36222</v>
      </c>
      <c r="K10" s="10">
        <v>31235</v>
      </c>
      <c r="L10" s="1">
        <v>29781</v>
      </c>
      <c r="M10" s="1">
        <v>37415</v>
      </c>
      <c r="N10" s="1">
        <f>+N$9*(J10/J$9)*1.07</f>
        <v>33758.264744226261</v>
      </c>
      <c r="P10" s="1">
        <v>96611</v>
      </c>
      <c r="Q10" s="1">
        <v>116554</v>
      </c>
      <c r="R10" s="1">
        <v>177221</v>
      </c>
      <c r="S10" s="1">
        <f t="shared" si="3"/>
        <v>132189.26474422627</v>
      </c>
      <c r="T10" s="1">
        <f t="shared" ref="T10:AB10" si="7">+T$9*(S10/S$9)</f>
        <v>133511.15739166853</v>
      </c>
      <c r="U10" s="1">
        <f t="shared" si="7"/>
        <v>134846.26896558522</v>
      </c>
      <c r="V10" s="1">
        <f t="shared" si="7"/>
        <v>136194.73165524108</v>
      </c>
      <c r="W10" s="1">
        <f t="shared" si="7"/>
        <v>137556.6789717935</v>
      </c>
      <c r="X10" s="1">
        <f t="shared" si="7"/>
        <v>138932.24576151144</v>
      </c>
      <c r="Y10" s="1">
        <f t="shared" si="7"/>
        <v>140321.56821912655</v>
      </c>
      <c r="Z10" s="1">
        <f t="shared" si="7"/>
        <v>141724.7839013178</v>
      </c>
      <c r="AA10" s="1">
        <f t="shared" si="7"/>
        <v>143142.03174033097</v>
      </c>
      <c r="AB10" s="1">
        <f t="shared" si="7"/>
        <v>144573.45205773431</v>
      </c>
    </row>
    <row r="11" spans="2:28">
      <c r="B11" s="1" t="s">
        <v>70</v>
      </c>
      <c r="C11" s="10">
        <v>2451</v>
      </c>
      <c r="D11" s="13">
        <v>2268</v>
      </c>
      <c r="E11" s="10">
        <v>1680</v>
      </c>
      <c r="F11" s="14">
        <f t="shared" si="1"/>
        <v>1590</v>
      </c>
      <c r="G11" s="10">
        <v>1769</v>
      </c>
      <c r="H11" s="13">
        <v>2180</v>
      </c>
      <c r="I11" s="10">
        <v>1142</v>
      </c>
      <c r="J11" s="14">
        <f t="shared" si="2"/>
        <v>2409</v>
      </c>
      <c r="K11" s="10">
        <v>1742</v>
      </c>
      <c r="L11" s="1">
        <v>1964</v>
      </c>
      <c r="M11" s="1">
        <v>2592</v>
      </c>
      <c r="N11" s="1">
        <f>+N$9*(J11/J$9)</f>
        <v>2098.266808699444</v>
      </c>
      <c r="P11" s="1">
        <v>6052</v>
      </c>
      <c r="Q11" s="1">
        <v>7989</v>
      </c>
      <c r="R11" s="1">
        <v>7500</v>
      </c>
      <c r="S11" s="1">
        <f t="shared" si="3"/>
        <v>8396.2668086994436</v>
      </c>
      <c r="T11" s="1">
        <f t="shared" ref="T11:AB11" si="8">+T$9*(S11/S$9)</f>
        <v>8480.2294767864387</v>
      </c>
      <c r="U11" s="1">
        <f t="shared" si="8"/>
        <v>8565.0317715543024</v>
      </c>
      <c r="V11" s="1">
        <f t="shared" si="8"/>
        <v>8650.682089269847</v>
      </c>
      <c r="W11" s="1">
        <f t="shared" si="8"/>
        <v>8737.1889101625457</v>
      </c>
      <c r="X11" s="1">
        <f t="shared" si="8"/>
        <v>8824.5607992641708</v>
      </c>
      <c r="Y11" s="1">
        <f t="shared" si="8"/>
        <v>8912.8064072568141</v>
      </c>
      <c r="Z11" s="1">
        <f t="shared" si="8"/>
        <v>9001.9344713293813</v>
      </c>
      <c r="AA11" s="1">
        <f t="shared" si="8"/>
        <v>9091.9538160426746</v>
      </c>
      <c r="AB11" s="1">
        <f t="shared" si="8"/>
        <v>9182.8733542031023</v>
      </c>
    </row>
    <row r="12" spans="2:28">
      <c r="B12" s="1" t="s">
        <v>71</v>
      </c>
      <c r="C12" s="10">
        <f t="shared" ref="C12:K12" si="9">+SUM(C10:C11)</f>
        <v>24524</v>
      </c>
      <c r="D12" s="10">
        <f t="shared" si="9"/>
        <v>31592</v>
      </c>
      <c r="E12" s="10">
        <f t="shared" si="9"/>
        <v>34142</v>
      </c>
      <c r="F12" s="10">
        <f t="shared" si="9"/>
        <v>34285</v>
      </c>
      <c r="G12" s="10">
        <f t="shared" si="9"/>
        <v>44991</v>
      </c>
      <c r="H12" s="10">
        <f t="shared" si="9"/>
        <v>54473</v>
      </c>
      <c r="I12" s="10">
        <f t="shared" si="9"/>
        <v>46626</v>
      </c>
      <c r="J12" s="10">
        <f t="shared" si="9"/>
        <v>38631</v>
      </c>
      <c r="K12" s="10">
        <f t="shared" si="9"/>
        <v>32977</v>
      </c>
      <c r="L12" s="1">
        <f t="shared" ref="L12:N12" si="10">+SUM(L10:L11)</f>
        <v>31745</v>
      </c>
      <c r="M12" s="1">
        <f t="shared" si="10"/>
        <v>40007</v>
      </c>
      <c r="N12" s="1">
        <f t="shared" si="10"/>
        <v>35856.531552925706</v>
      </c>
      <c r="P12" s="1">
        <f>+SUM(P10:P11)</f>
        <v>102663</v>
      </c>
      <c r="Q12" s="1">
        <f>+SUM(Q10:Q11)</f>
        <v>124543</v>
      </c>
      <c r="R12" s="1">
        <f>+SUM(R10:R11)</f>
        <v>184721</v>
      </c>
      <c r="S12" s="1">
        <f t="shared" si="3"/>
        <v>140585.53155292571</v>
      </c>
      <c r="T12" s="1">
        <f t="shared" ref="T12:AB12" si="11">+SUM(T10:T11)</f>
        <v>141991.38686845498</v>
      </c>
      <c r="U12" s="1">
        <f t="shared" si="11"/>
        <v>143411.30073713951</v>
      </c>
      <c r="V12" s="1">
        <f t="shared" si="11"/>
        <v>144845.41374451094</v>
      </c>
      <c r="W12" s="1">
        <f t="shared" si="11"/>
        <v>146293.86788195604</v>
      </c>
      <c r="X12" s="1">
        <f t="shared" si="11"/>
        <v>147756.80656077561</v>
      </c>
      <c r="Y12" s="1">
        <f t="shared" si="11"/>
        <v>149234.37462638336</v>
      </c>
      <c r="Z12" s="1">
        <f t="shared" si="11"/>
        <v>150726.71837264718</v>
      </c>
      <c r="AA12" s="1">
        <f t="shared" si="11"/>
        <v>152233.98555637366</v>
      </c>
      <c r="AB12" s="1">
        <f t="shared" si="11"/>
        <v>153756.3254119374</v>
      </c>
    </row>
    <row r="13" spans="2:28">
      <c r="B13" s="1" t="s">
        <v>72</v>
      </c>
      <c r="C13" s="10">
        <f t="shared" ref="C13:K13" si="12">+C9-C12</f>
        <v>93595</v>
      </c>
      <c r="D13" s="10">
        <f t="shared" si="12"/>
        <v>120532</v>
      </c>
      <c r="E13" s="10">
        <f t="shared" si="12"/>
        <v>127482</v>
      </c>
      <c r="F13" s="10">
        <f t="shared" si="12"/>
        <v>132213</v>
      </c>
      <c r="G13" s="10">
        <f t="shared" si="12"/>
        <v>141205</v>
      </c>
      <c r="H13" s="10">
        <f t="shared" si="12"/>
        <v>156430</v>
      </c>
      <c r="I13" s="10">
        <f t="shared" si="12"/>
        <v>129828</v>
      </c>
      <c r="J13" s="10">
        <f t="shared" si="12"/>
        <v>92090</v>
      </c>
      <c r="K13" s="10">
        <f t="shared" si="12"/>
        <v>80810</v>
      </c>
      <c r="L13" s="1">
        <f t="shared" ref="L13:N13" si="13">+L9-L12</f>
        <v>77496</v>
      </c>
      <c r="M13" s="1">
        <f t="shared" si="13"/>
        <v>83548</v>
      </c>
      <c r="N13" s="1">
        <f t="shared" si="13"/>
        <v>78002.968447074294</v>
      </c>
      <c r="P13" s="1">
        <f t="shared" ref="P13:AB13" si="14">+P9-P12</f>
        <v>179587</v>
      </c>
      <c r="Q13" s="1">
        <f t="shared" si="14"/>
        <v>473822</v>
      </c>
      <c r="R13" s="1">
        <f t="shared" si="14"/>
        <v>519553</v>
      </c>
      <c r="S13" s="1">
        <f t="shared" si="14"/>
        <v>319856.96844707429</v>
      </c>
      <c r="T13" s="1">
        <f t="shared" si="14"/>
        <v>323055.53813154506</v>
      </c>
      <c r="U13" s="1">
        <f t="shared" si="14"/>
        <v>326286.09351286048</v>
      </c>
      <c r="V13" s="1">
        <f t="shared" si="14"/>
        <v>329548.95444798912</v>
      </c>
      <c r="W13" s="1">
        <f t="shared" si="14"/>
        <v>332844.44399246905</v>
      </c>
      <c r="X13" s="1">
        <f t="shared" si="14"/>
        <v>336172.88843239372</v>
      </c>
      <c r="Y13" s="1">
        <f t="shared" si="14"/>
        <v>339534.61731671769</v>
      </c>
      <c r="Z13" s="1">
        <f t="shared" si="14"/>
        <v>342929.96348988486</v>
      </c>
      <c r="AA13" s="1">
        <f t="shared" si="14"/>
        <v>346359.2631247837</v>
      </c>
      <c r="AB13" s="1">
        <f t="shared" si="14"/>
        <v>349822.85575603158</v>
      </c>
    </row>
    <row r="14" spans="2:28">
      <c r="B14" s="1" t="s">
        <v>73</v>
      </c>
      <c r="C14" s="10">
        <v>11280</v>
      </c>
      <c r="D14" s="13">
        <v>33786</v>
      </c>
      <c r="E14" s="10">
        <v>30257</v>
      </c>
      <c r="F14" s="14">
        <f>+Q14-SUM(C14:E14)</f>
        <v>23555</v>
      </c>
      <c r="G14" s="10">
        <v>22314</v>
      </c>
      <c r="H14" s="13">
        <v>26111</v>
      </c>
      <c r="I14" s="10">
        <v>30807</v>
      </c>
      <c r="J14" s="14">
        <f>+R14-SUM(G14:I14)</f>
        <v>34645</v>
      </c>
      <c r="K14" s="10">
        <v>34924</v>
      </c>
      <c r="L14" s="1">
        <v>48413</v>
      </c>
      <c r="M14" s="1">
        <v>36433</v>
      </c>
      <c r="N14" s="1">
        <f t="shared" ref="N14" si="15">+N$9*(J14/J$9)</f>
        <v>30176.194930424339</v>
      </c>
      <c r="P14" s="1">
        <v>37170</v>
      </c>
      <c r="Q14" s="1">
        <v>98878</v>
      </c>
      <c r="R14" s="1">
        <v>113877</v>
      </c>
      <c r="S14" s="1">
        <f>SUM(K14:N14)</f>
        <v>149946.19493042433</v>
      </c>
      <c r="T14" s="1">
        <f t="shared" ref="T14:AB14" si="16">+T$9*(S14/S$9)</f>
        <v>151445.65687972857</v>
      </c>
      <c r="U14" s="1">
        <f t="shared" si="16"/>
        <v>152960.11344852587</v>
      </c>
      <c r="V14" s="1">
        <f t="shared" si="16"/>
        <v>154489.71458301114</v>
      </c>
      <c r="W14" s="1">
        <f t="shared" si="16"/>
        <v>156034.61172884126</v>
      </c>
      <c r="X14" s="1">
        <f t="shared" si="16"/>
        <v>157594.95784612966</v>
      </c>
      <c r="Y14" s="1">
        <f t="shared" si="16"/>
        <v>159170.90742459096</v>
      </c>
      <c r="Z14" s="1">
        <f t="shared" si="16"/>
        <v>160762.61649883687</v>
      </c>
      <c r="AA14" s="1">
        <f t="shared" si="16"/>
        <v>162370.24266382525</v>
      </c>
      <c r="AB14" s="1">
        <f t="shared" si="16"/>
        <v>163993.94509046353</v>
      </c>
    </row>
    <row r="15" spans="2:28">
      <c r="D15" s="13"/>
      <c r="F15" s="14"/>
      <c r="H15" s="13"/>
      <c r="J15" s="14"/>
    </row>
    <row r="16" spans="2:28">
      <c r="B16" s="1" t="s">
        <v>74</v>
      </c>
      <c r="C16" s="10">
        <f t="shared" ref="C16:N16" si="17">+SUM(C14:C15)</f>
        <v>11280</v>
      </c>
      <c r="D16" s="10">
        <f t="shared" si="17"/>
        <v>33786</v>
      </c>
      <c r="E16" s="10">
        <f t="shared" si="17"/>
        <v>30257</v>
      </c>
      <c r="F16" s="10">
        <f t="shared" si="17"/>
        <v>23555</v>
      </c>
      <c r="G16" s="10">
        <f t="shared" si="17"/>
        <v>22314</v>
      </c>
      <c r="H16" s="10">
        <f t="shared" si="17"/>
        <v>26111</v>
      </c>
      <c r="I16" s="10">
        <f t="shared" si="17"/>
        <v>30807</v>
      </c>
      <c r="J16" s="10">
        <f t="shared" si="17"/>
        <v>34645</v>
      </c>
      <c r="K16" s="10">
        <f t="shared" si="17"/>
        <v>34924</v>
      </c>
      <c r="L16" s="1">
        <f t="shared" si="17"/>
        <v>48413</v>
      </c>
      <c r="M16" s="1">
        <f t="shared" si="17"/>
        <v>36433</v>
      </c>
      <c r="N16" s="1">
        <f t="shared" si="17"/>
        <v>30176.194930424339</v>
      </c>
      <c r="P16" s="1">
        <f t="shared" ref="P16:AB16" si="18">+SUM(P14:P15)</f>
        <v>37170</v>
      </c>
      <c r="Q16" s="1">
        <f t="shared" si="18"/>
        <v>98878</v>
      </c>
      <c r="R16" s="1">
        <f t="shared" si="18"/>
        <v>113877</v>
      </c>
      <c r="S16" s="1">
        <f t="shared" si="18"/>
        <v>149946.19493042433</v>
      </c>
      <c r="T16" s="1">
        <f t="shared" si="18"/>
        <v>151445.65687972857</v>
      </c>
      <c r="U16" s="1">
        <f t="shared" si="18"/>
        <v>152960.11344852587</v>
      </c>
      <c r="V16" s="1">
        <f t="shared" si="18"/>
        <v>154489.71458301114</v>
      </c>
      <c r="W16" s="1">
        <f t="shared" si="18"/>
        <v>156034.61172884126</v>
      </c>
      <c r="X16" s="1">
        <f t="shared" si="18"/>
        <v>157594.95784612966</v>
      </c>
      <c r="Y16" s="1">
        <f t="shared" si="18"/>
        <v>159170.90742459096</v>
      </c>
      <c r="Z16" s="1">
        <f t="shared" si="18"/>
        <v>160762.61649883687</v>
      </c>
      <c r="AA16" s="1">
        <f t="shared" si="18"/>
        <v>162370.24266382525</v>
      </c>
      <c r="AB16" s="1">
        <f t="shared" si="18"/>
        <v>163993.94509046353</v>
      </c>
    </row>
    <row r="17" spans="2:123">
      <c r="B17" s="1" t="s">
        <v>75</v>
      </c>
      <c r="C17" s="10">
        <f t="shared" ref="C17:N17" si="19">+C13-C16</f>
        <v>82315</v>
      </c>
      <c r="D17" s="10">
        <f t="shared" si="19"/>
        <v>86746</v>
      </c>
      <c r="E17" s="10">
        <f t="shared" si="19"/>
        <v>97225</v>
      </c>
      <c r="F17" s="10">
        <f t="shared" si="19"/>
        <v>108658</v>
      </c>
      <c r="G17" s="10">
        <f t="shared" si="19"/>
        <v>118891</v>
      </c>
      <c r="H17" s="10">
        <f t="shared" si="19"/>
        <v>130319</v>
      </c>
      <c r="I17" s="10">
        <f t="shared" si="19"/>
        <v>99021</v>
      </c>
      <c r="J17" s="10">
        <f t="shared" si="19"/>
        <v>57445</v>
      </c>
      <c r="K17" s="10">
        <f t="shared" si="19"/>
        <v>45886</v>
      </c>
      <c r="L17" s="1">
        <f t="shared" si="19"/>
        <v>29083</v>
      </c>
      <c r="M17" s="1">
        <f t="shared" si="19"/>
        <v>47115</v>
      </c>
      <c r="N17" s="1">
        <f t="shared" si="19"/>
        <v>47826.773516649955</v>
      </c>
      <c r="P17" s="1">
        <f t="shared" ref="P17:AB17" si="20">+P13-P16</f>
        <v>142417</v>
      </c>
      <c r="Q17" s="1">
        <f t="shared" si="20"/>
        <v>374944</v>
      </c>
      <c r="R17" s="1">
        <f t="shared" si="20"/>
        <v>405676</v>
      </c>
      <c r="S17" s="1">
        <f t="shared" si="20"/>
        <v>169910.77351664996</v>
      </c>
      <c r="T17" s="1">
        <f t="shared" si="20"/>
        <v>171609.88125181649</v>
      </c>
      <c r="U17" s="1">
        <f t="shared" si="20"/>
        <v>173325.98006433461</v>
      </c>
      <c r="V17" s="1">
        <f t="shared" si="20"/>
        <v>175059.23986497798</v>
      </c>
      <c r="W17" s="1">
        <f t="shared" si="20"/>
        <v>176809.83226362779</v>
      </c>
      <c r="X17" s="1">
        <f t="shared" si="20"/>
        <v>178577.93058626406</v>
      </c>
      <c r="Y17" s="1">
        <f t="shared" si="20"/>
        <v>180363.70989212673</v>
      </c>
      <c r="Z17" s="1">
        <f t="shared" si="20"/>
        <v>182167.34699104799</v>
      </c>
      <c r="AA17" s="1">
        <f t="shared" si="20"/>
        <v>183989.02046095845</v>
      </c>
      <c r="AB17" s="1">
        <f t="shared" si="20"/>
        <v>185828.91066556805</v>
      </c>
    </row>
    <row r="18" spans="2:123">
      <c r="B18" s="1" t="s">
        <v>76</v>
      </c>
      <c r="C18" s="10">
        <v>-15502</v>
      </c>
      <c r="D18" s="13">
        <v>-15563</v>
      </c>
      <c r="E18" s="10">
        <v>-14987</v>
      </c>
      <c r="F18" s="14">
        <f>+Q18-SUM(C18:E18)</f>
        <v>-15096</v>
      </c>
      <c r="G18" s="10">
        <v>-11460</v>
      </c>
      <c r="H18" s="13">
        <v>-8694</v>
      </c>
      <c r="I18" s="10">
        <v>-10499</v>
      </c>
      <c r="J18" s="14">
        <f>+R18-SUM(G18:I18)</f>
        <v>-10525</v>
      </c>
      <c r="K18" s="10">
        <v>-10543</v>
      </c>
      <c r="L18" s="1">
        <v>-10206</v>
      </c>
      <c r="M18" s="1">
        <v>-9510</v>
      </c>
      <c r="N18" s="1">
        <f>+N$9*(J18/J$9)*1.08</f>
        <v>-9900.7882168894066</v>
      </c>
      <c r="P18" s="1">
        <v>-38645</v>
      </c>
      <c r="Q18" s="1">
        <v>-61148</v>
      </c>
      <c r="R18" s="1">
        <v>-41178</v>
      </c>
      <c r="S18" s="1">
        <f>SUM(K18:N18)</f>
        <v>-40159.788216889407</v>
      </c>
      <c r="T18" s="1">
        <f t="shared" ref="T18:AB18" si="21">+T$9*(S18/S$9)</f>
        <v>-40561.386099058305</v>
      </c>
      <c r="U18" s="1">
        <f t="shared" si="21"/>
        <v>-40966.999960048888</v>
      </c>
      <c r="V18" s="1">
        <f t="shared" si="21"/>
        <v>-41376.669959649385</v>
      </c>
      <c r="W18" s="1">
        <f t="shared" si="21"/>
        <v>-41790.436659245875</v>
      </c>
      <c r="X18" s="1">
        <f t="shared" si="21"/>
        <v>-42208.341025838337</v>
      </c>
      <c r="Y18" s="1">
        <f t="shared" si="21"/>
        <v>-42630.42443609672</v>
      </c>
      <c r="Z18" s="1">
        <f t="shared" si="21"/>
        <v>-43056.728680457687</v>
      </c>
      <c r="AA18" s="1">
        <f t="shared" si="21"/>
        <v>-43487.295967262267</v>
      </c>
      <c r="AB18" s="1">
        <f t="shared" si="21"/>
        <v>-43922.168926934901</v>
      </c>
    </row>
    <row r="19" spans="2:123">
      <c r="B19" s="1" t="s">
        <v>77</v>
      </c>
      <c r="C19" s="10">
        <v>-47</v>
      </c>
      <c r="D19" s="13">
        <v>-157</v>
      </c>
      <c r="E19" s="10">
        <v>-213</v>
      </c>
      <c r="F19" s="14">
        <f>+Q19-SUM(C19:E19)</f>
        <v>3020</v>
      </c>
      <c r="G19" s="10">
        <v>-19180</v>
      </c>
      <c r="H19" s="13">
        <v>-1224</v>
      </c>
      <c r="I19" s="10">
        <v>-2251</v>
      </c>
      <c r="J19" s="14">
        <f>+R19-SUM(G19:I19)</f>
        <v>4680</v>
      </c>
      <c r="K19" s="10">
        <v>242</v>
      </c>
      <c r="L19" s="1">
        <v>-600</v>
      </c>
      <c r="M19" s="1">
        <v>-0.97</v>
      </c>
      <c r="N19" s="1">
        <f>+N$9*(J19/J$9)</f>
        <v>4076.3340243725188</v>
      </c>
      <c r="P19" s="1">
        <v>-190</v>
      </c>
      <c r="Q19" s="1">
        <v>2603</v>
      </c>
      <c r="R19" s="1">
        <v>-17975</v>
      </c>
      <c r="S19" s="1">
        <f>SUM(K19:N19)</f>
        <v>3717.3640243725185</v>
      </c>
      <c r="T19" s="1">
        <f t="shared" ref="T19:AB19" si="22">+T$9*(S19/S$9)</f>
        <v>3754.537664616244</v>
      </c>
      <c r="U19" s="1">
        <f t="shared" si="22"/>
        <v>3792.0830412624059</v>
      </c>
      <c r="V19" s="1">
        <f t="shared" si="22"/>
        <v>3830.0038716750305</v>
      </c>
      <c r="W19" s="1">
        <f t="shared" si="22"/>
        <v>3868.3039103917808</v>
      </c>
      <c r="X19" s="1">
        <f t="shared" si="22"/>
        <v>3906.9869494956988</v>
      </c>
      <c r="Y19" s="1">
        <f t="shared" si="22"/>
        <v>3946.0568189906558</v>
      </c>
      <c r="Z19" s="1">
        <f t="shared" si="22"/>
        <v>3985.5173871805623</v>
      </c>
      <c r="AA19" s="1">
        <f t="shared" si="22"/>
        <v>4025.3725610523679</v>
      </c>
      <c r="AB19" s="1">
        <f t="shared" si="22"/>
        <v>4065.6262866628922</v>
      </c>
    </row>
    <row r="20" spans="2:123">
      <c r="B20" s="1" t="s">
        <v>78</v>
      </c>
      <c r="C20" s="10">
        <f t="shared" ref="C20:N20" si="23">+SUM(C17:C19)</f>
        <v>66766</v>
      </c>
      <c r="D20" s="10">
        <f t="shared" si="23"/>
        <v>71026</v>
      </c>
      <c r="E20" s="10">
        <f t="shared" si="23"/>
        <v>82025</v>
      </c>
      <c r="F20" s="10">
        <f t="shared" si="23"/>
        <v>96582</v>
      </c>
      <c r="G20" s="10">
        <f t="shared" si="23"/>
        <v>88251</v>
      </c>
      <c r="H20" s="10">
        <f t="shared" si="23"/>
        <v>120401</v>
      </c>
      <c r="I20" s="10">
        <f t="shared" si="23"/>
        <v>86271</v>
      </c>
      <c r="J20" s="10">
        <f t="shared" si="23"/>
        <v>51600</v>
      </c>
      <c r="K20" s="10">
        <f t="shared" si="23"/>
        <v>35585</v>
      </c>
      <c r="L20" s="1">
        <f t="shared" si="23"/>
        <v>18277</v>
      </c>
      <c r="M20" s="1">
        <f t="shared" si="23"/>
        <v>37604.03</v>
      </c>
      <c r="N20" s="1">
        <f t="shared" si="23"/>
        <v>42002.319324133066</v>
      </c>
      <c r="P20" s="1">
        <f t="shared" ref="P20:AB20" si="24">+SUM(P17:P19)</f>
        <v>103582</v>
      </c>
      <c r="Q20" s="1">
        <f t="shared" si="24"/>
        <v>316399</v>
      </c>
      <c r="R20" s="1">
        <f t="shared" si="24"/>
        <v>346523</v>
      </c>
      <c r="S20" s="1">
        <f t="shared" si="24"/>
        <v>133468.34932413307</v>
      </c>
      <c r="T20" s="1">
        <f t="shared" si="24"/>
        <v>134803.03281737442</v>
      </c>
      <c r="U20" s="1">
        <f t="shared" si="24"/>
        <v>136151.06314554813</v>
      </c>
      <c r="V20" s="1">
        <f t="shared" si="24"/>
        <v>137512.57377700362</v>
      </c>
      <c r="W20" s="1">
        <f t="shared" si="24"/>
        <v>138887.6995147737</v>
      </c>
      <c r="X20" s="1">
        <f t="shared" si="24"/>
        <v>140276.57650992143</v>
      </c>
      <c r="Y20" s="1">
        <f t="shared" si="24"/>
        <v>141679.34227502067</v>
      </c>
      <c r="Z20" s="1">
        <f t="shared" si="24"/>
        <v>143096.13569777086</v>
      </c>
      <c r="AA20" s="1">
        <f t="shared" si="24"/>
        <v>144527.09705474853</v>
      </c>
      <c r="AB20" s="1">
        <f t="shared" si="24"/>
        <v>145972.36802529602</v>
      </c>
    </row>
    <row r="21" spans="2:123">
      <c r="B21" s="1" t="s">
        <v>79</v>
      </c>
      <c r="C21" s="10">
        <v>11053</v>
      </c>
      <c r="D21" s="13">
        <v>11492</v>
      </c>
      <c r="E21" s="10">
        <v>15252</v>
      </c>
      <c r="F21" s="14">
        <f>+Q21-SUM(C21:E21)</f>
        <v>17028</v>
      </c>
      <c r="G21" s="10">
        <v>16024</v>
      </c>
      <c r="H21" s="13">
        <v>22391</v>
      </c>
      <c r="I21" s="10">
        <v>15179</v>
      </c>
      <c r="J21" s="14">
        <f>+R21-SUM(G21:I21)</f>
        <v>7575</v>
      </c>
      <c r="K21" s="10">
        <v>4298</v>
      </c>
      <c r="L21" s="1">
        <v>1797</v>
      </c>
      <c r="M21" s="1">
        <v>5891</v>
      </c>
      <c r="N21" s="1">
        <f t="shared" ref="N21" si="25">+N20*(J21/J20)</f>
        <v>6166.0381565951166</v>
      </c>
      <c r="P21" s="1">
        <v>7980</v>
      </c>
      <c r="Q21" s="1">
        <v>54825</v>
      </c>
      <c r="R21" s="1">
        <v>61169</v>
      </c>
      <c r="S21" s="1">
        <f>SUM(K21:N21)</f>
        <v>18152.038156595117</v>
      </c>
      <c r="T21" s="1">
        <f t="shared" ref="T21:AB21" si="26">+T$9*(S21/S$9)</f>
        <v>18333.558538161073</v>
      </c>
      <c r="U21" s="1">
        <f t="shared" si="26"/>
        <v>18516.894123542683</v>
      </c>
      <c r="V21" s="1">
        <f t="shared" si="26"/>
        <v>18702.063064778114</v>
      </c>
      <c r="W21" s="1">
        <f t="shared" si="26"/>
        <v>18889.083695425896</v>
      </c>
      <c r="X21" s="1">
        <f t="shared" si="26"/>
        <v>19077.974532380154</v>
      </c>
      <c r="Y21" s="1">
        <f t="shared" si="26"/>
        <v>19268.754277703956</v>
      </c>
      <c r="Z21" s="1">
        <f t="shared" si="26"/>
        <v>19461.441820480995</v>
      </c>
      <c r="AA21" s="1">
        <f t="shared" si="26"/>
        <v>19656.056238685804</v>
      </c>
      <c r="AB21" s="1">
        <f t="shared" si="26"/>
        <v>19852.616801072665</v>
      </c>
    </row>
    <row r="22" spans="2:123" s="3" customFormat="1">
      <c r="B22" s="1" t="s">
        <v>62</v>
      </c>
      <c r="C22" s="11">
        <f t="shared" ref="C22:K22" si="27">+C20-C21</f>
        <v>55713</v>
      </c>
      <c r="D22" s="11">
        <f t="shared" si="27"/>
        <v>59534</v>
      </c>
      <c r="E22" s="11">
        <f t="shared" si="27"/>
        <v>66773</v>
      </c>
      <c r="F22" s="11">
        <f t="shared" si="27"/>
        <v>79554</v>
      </c>
      <c r="G22" s="11">
        <f t="shared" si="27"/>
        <v>72227</v>
      </c>
      <c r="H22" s="11">
        <f t="shared" si="27"/>
        <v>98010</v>
      </c>
      <c r="I22" s="11">
        <f t="shared" si="27"/>
        <v>71092</v>
      </c>
      <c r="J22" s="11">
        <f t="shared" si="27"/>
        <v>44025</v>
      </c>
      <c r="K22" s="11">
        <f t="shared" si="27"/>
        <v>31287</v>
      </c>
      <c r="L22" s="3">
        <f t="shared" ref="L22:N22" si="28">+L20-L21</f>
        <v>16480</v>
      </c>
      <c r="M22" s="3">
        <f t="shared" si="28"/>
        <v>31713.03</v>
      </c>
      <c r="N22" s="3">
        <f t="shared" si="28"/>
        <v>35836.281167537949</v>
      </c>
      <c r="P22" s="3">
        <f t="shared" ref="P22:AB22" si="29">+P20-P21</f>
        <v>95602</v>
      </c>
      <c r="Q22" s="3">
        <f t="shared" si="29"/>
        <v>261574</v>
      </c>
      <c r="R22" s="3">
        <f t="shared" si="29"/>
        <v>285354</v>
      </c>
      <c r="S22" s="3">
        <f t="shared" si="29"/>
        <v>115316.31116753796</v>
      </c>
      <c r="T22" s="3">
        <f t="shared" si="29"/>
        <v>116469.47427921335</v>
      </c>
      <c r="U22" s="3">
        <f t="shared" si="29"/>
        <v>117634.16902200546</v>
      </c>
      <c r="V22" s="3">
        <f t="shared" si="29"/>
        <v>118810.51071222551</v>
      </c>
      <c r="W22" s="3">
        <f t="shared" si="29"/>
        <v>119998.6158193478</v>
      </c>
      <c r="X22" s="3">
        <f t="shared" si="29"/>
        <v>121198.60197754129</v>
      </c>
      <c r="Y22" s="3">
        <f t="shared" si="29"/>
        <v>122410.5879973167</v>
      </c>
      <c r="Z22" s="3">
        <f t="shared" si="29"/>
        <v>123634.69387728987</v>
      </c>
      <c r="AA22" s="3">
        <f t="shared" si="29"/>
        <v>124871.04081606273</v>
      </c>
      <c r="AB22" s="3">
        <f t="shared" si="29"/>
        <v>126119.75122422335</v>
      </c>
      <c r="AC22" s="3">
        <f>+AB22*(1+$AF$28)</f>
        <v>124858.55371198112</v>
      </c>
      <c r="AD22" s="3">
        <f t="shared" ref="AD22:CO22" si="30">+AC22*(1+$AF$28)</f>
        <v>123609.96817486131</v>
      </c>
      <c r="AE22" s="3">
        <f t="shared" si="30"/>
        <v>122373.86849311269</v>
      </c>
      <c r="AF22" s="3">
        <f t="shared" si="30"/>
        <v>121150.12980818156</v>
      </c>
      <c r="AG22" s="3">
        <f t="shared" si="30"/>
        <v>119938.62851009975</v>
      </c>
      <c r="AH22" s="3">
        <f t="shared" si="30"/>
        <v>118739.24222499874</v>
      </c>
      <c r="AI22" s="3">
        <f t="shared" si="30"/>
        <v>117551.84980274875</v>
      </c>
      <c r="AJ22" s="3">
        <f t="shared" si="30"/>
        <v>116376.33130472126</v>
      </c>
      <c r="AK22" s="3">
        <f t="shared" si="30"/>
        <v>115212.56799167405</v>
      </c>
      <c r="AL22" s="3">
        <f t="shared" si="30"/>
        <v>114060.4423117573</v>
      </c>
      <c r="AM22" s="3">
        <f t="shared" si="30"/>
        <v>112919.83788863973</v>
      </c>
      <c r="AN22" s="3">
        <f t="shared" si="30"/>
        <v>111790.63950975332</v>
      </c>
      <c r="AO22" s="3">
        <f t="shared" si="30"/>
        <v>110672.73311465578</v>
      </c>
      <c r="AP22" s="3">
        <f t="shared" si="30"/>
        <v>109566.00578350923</v>
      </c>
      <c r="AQ22" s="3">
        <f t="shared" si="30"/>
        <v>108470.34572567414</v>
      </c>
      <c r="AR22" s="3">
        <f t="shared" si="30"/>
        <v>107385.6422684174</v>
      </c>
      <c r="AS22" s="3">
        <f t="shared" si="30"/>
        <v>106311.78584573323</v>
      </c>
      <c r="AT22" s="3">
        <f t="shared" si="30"/>
        <v>105248.6679872759</v>
      </c>
      <c r="AU22" s="3">
        <f t="shared" si="30"/>
        <v>104196.18130740314</v>
      </c>
      <c r="AV22" s="3">
        <f t="shared" si="30"/>
        <v>103154.21949432911</v>
      </c>
      <c r="AW22" s="3">
        <f t="shared" si="30"/>
        <v>102122.67729938582</v>
      </c>
      <c r="AX22" s="3">
        <f t="shared" si="30"/>
        <v>101101.45052639196</v>
      </c>
      <c r="AY22" s="3">
        <f t="shared" si="30"/>
        <v>100090.43602112803</v>
      </c>
      <c r="AZ22" s="3">
        <f t="shared" si="30"/>
        <v>99089.531660916749</v>
      </c>
      <c r="BA22" s="3">
        <f t="shared" si="30"/>
        <v>98098.636344307582</v>
      </c>
      <c r="BB22" s="3">
        <f t="shared" si="30"/>
        <v>97117.649980864502</v>
      </c>
      <c r="BC22" s="3">
        <f t="shared" si="30"/>
        <v>96146.473481055858</v>
      </c>
      <c r="BD22" s="3">
        <f t="shared" si="30"/>
        <v>95185.008746245294</v>
      </c>
      <c r="BE22" s="3">
        <f t="shared" si="30"/>
        <v>94233.158658782835</v>
      </c>
      <c r="BF22" s="3">
        <f t="shared" si="30"/>
        <v>93290.82707219501</v>
      </c>
      <c r="BG22" s="3">
        <f t="shared" si="30"/>
        <v>92357.918801473061</v>
      </c>
      <c r="BH22" s="3">
        <f t="shared" si="30"/>
        <v>91434.339613458331</v>
      </c>
      <c r="BI22" s="3">
        <f t="shared" si="30"/>
        <v>90519.996217323744</v>
      </c>
      <c r="BJ22" s="3">
        <f t="shared" si="30"/>
        <v>89614.796255150504</v>
      </c>
      <c r="BK22" s="3">
        <f t="shared" si="30"/>
        <v>88718.648292598999</v>
      </c>
      <c r="BL22" s="3">
        <f t="shared" si="30"/>
        <v>87831.461809673012</v>
      </c>
      <c r="BM22" s="3">
        <f t="shared" si="30"/>
        <v>86953.147191576281</v>
      </c>
      <c r="BN22" s="3">
        <f t="shared" si="30"/>
        <v>86083.61571966052</v>
      </c>
      <c r="BO22" s="3">
        <f t="shared" si="30"/>
        <v>85222.779562463911</v>
      </c>
      <c r="BP22" s="3">
        <f t="shared" si="30"/>
        <v>84370.551766839271</v>
      </c>
      <c r="BQ22" s="3">
        <f t="shared" si="30"/>
        <v>83526.846249170878</v>
      </c>
      <c r="BR22" s="3">
        <f t="shared" si="30"/>
        <v>82691.577786679161</v>
      </c>
      <c r="BS22" s="3">
        <f t="shared" si="30"/>
        <v>81864.662008812375</v>
      </c>
      <c r="BT22" s="3">
        <f t="shared" si="30"/>
        <v>81046.015388724249</v>
      </c>
      <c r="BU22" s="3">
        <f t="shared" si="30"/>
        <v>80235.555234837011</v>
      </c>
      <c r="BV22" s="3">
        <f t="shared" si="30"/>
        <v>79433.199682488645</v>
      </c>
      <c r="BW22" s="3">
        <f t="shared" si="30"/>
        <v>78638.867685663761</v>
      </c>
      <c r="BX22" s="3">
        <f t="shared" si="30"/>
        <v>77852.479008807117</v>
      </c>
      <c r="BY22" s="3">
        <f t="shared" si="30"/>
        <v>77073.954218719038</v>
      </c>
      <c r="BZ22" s="3">
        <f t="shared" si="30"/>
        <v>76303.214676531847</v>
      </c>
      <c r="CA22" s="3">
        <f t="shared" si="30"/>
        <v>75540.182529766535</v>
      </c>
      <c r="CB22" s="3">
        <f t="shared" si="30"/>
        <v>74784.780704468867</v>
      </c>
      <c r="CC22" s="3">
        <f t="shared" si="30"/>
        <v>74036.93289742418</v>
      </c>
      <c r="CD22" s="3">
        <f t="shared" si="30"/>
        <v>73296.563568449943</v>
      </c>
      <c r="CE22" s="3">
        <f t="shared" si="30"/>
        <v>72563.59793276545</v>
      </c>
      <c r="CF22" s="3">
        <f t="shared" si="30"/>
        <v>71837.9619534378</v>
      </c>
      <c r="CG22" s="3">
        <f t="shared" si="30"/>
        <v>71119.582333903425</v>
      </c>
      <c r="CH22" s="3">
        <f t="shared" si="30"/>
        <v>70408.386510564393</v>
      </c>
      <c r="CI22" s="3">
        <f t="shared" si="30"/>
        <v>69704.302645458753</v>
      </c>
      <c r="CJ22" s="3">
        <f t="shared" si="30"/>
        <v>69007.259619004166</v>
      </c>
      <c r="CK22" s="3">
        <f t="shared" si="30"/>
        <v>68317.18702281412</v>
      </c>
      <c r="CL22" s="3">
        <f t="shared" si="30"/>
        <v>67634.015152585984</v>
      </c>
      <c r="CM22" s="3">
        <f t="shared" si="30"/>
        <v>66957.675001060124</v>
      </c>
      <c r="CN22" s="3">
        <f t="shared" si="30"/>
        <v>66288.098251049523</v>
      </c>
      <c r="CO22" s="3">
        <f t="shared" si="30"/>
        <v>65625.217268539025</v>
      </c>
      <c r="CP22" s="3">
        <f t="shared" ref="CP22:DS22" si="31">+CO22*(1+$AF$28)</f>
        <v>64968.965095853637</v>
      </c>
      <c r="CQ22" s="3">
        <f t="shared" si="31"/>
        <v>64319.275444895102</v>
      </c>
      <c r="CR22" s="3">
        <f t="shared" si="31"/>
        <v>63676.08269044615</v>
      </c>
      <c r="CS22" s="3">
        <f t="shared" si="31"/>
        <v>63039.321863541685</v>
      </c>
      <c r="CT22" s="3">
        <f t="shared" si="31"/>
        <v>62408.928644906271</v>
      </c>
      <c r="CU22" s="3">
        <f t="shared" si="31"/>
        <v>61784.839358457211</v>
      </c>
      <c r="CV22" s="3">
        <f t="shared" si="31"/>
        <v>61166.990964872639</v>
      </c>
      <c r="CW22" s="3">
        <f t="shared" si="31"/>
        <v>60555.321055223911</v>
      </c>
      <c r="CX22" s="3">
        <f t="shared" si="31"/>
        <v>59949.767844671675</v>
      </c>
      <c r="CY22" s="3">
        <f t="shared" si="31"/>
        <v>59350.27016622496</v>
      </c>
      <c r="CZ22" s="3">
        <f t="shared" si="31"/>
        <v>58756.767464562712</v>
      </c>
      <c r="DA22" s="3">
        <f t="shared" si="31"/>
        <v>58169.199789917082</v>
      </c>
      <c r="DB22" s="3">
        <f t="shared" si="31"/>
        <v>57587.50779201791</v>
      </c>
      <c r="DC22" s="3">
        <f t="shared" si="31"/>
        <v>57011.63271409773</v>
      </c>
      <c r="DD22" s="3">
        <f t="shared" si="31"/>
        <v>56441.516386956755</v>
      </c>
      <c r="DE22" s="3">
        <f t="shared" si="31"/>
        <v>55877.101223087186</v>
      </c>
      <c r="DF22" s="3">
        <f t="shared" si="31"/>
        <v>55318.330210856315</v>
      </c>
      <c r="DG22" s="3">
        <f t="shared" si="31"/>
        <v>54765.146908747753</v>
      </c>
      <c r="DH22" s="3">
        <f t="shared" si="31"/>
        <v>54217.495439660277</v>
      </c>
      <c r="DI22" s="3">
        <f t="shared" si="31"/>
        <v>53675.320485263677</v>
      </c>
      <c r="DJ22" s="3">
        <f t="shared" si="31"/>
        <v>53138.567280411044</v>
      </c>
      <c r="DK22" s="3">
        <f t="shared" si="31"/>
        <v>52607.18160760693</v>
      </c>
      <c r="DL22" s="3">
        <f t="shared" si="31"/>
        <v>52081.109791530864</v>
      </c>
      <c r="DM22" s="3">
        <f t="shared" si="31"/>
        <v>51560.298693615558</v>
      </c>
      <c r="DN22" s="3">
        <f t="shared" si="31"/>
        <v>51044.695706679398</v>
      </c>
      <c r="DO22" s="3">
        <f t="shared" si="31"/>
        <v>50534.248749612605</v>
      </c>
      <c r="DP22" s="3">
        <f t="shared" si="31"/>
        <v>50028.906262116478</v>
      </c>
      <c r="DQ22" s="3">
        <f t="shared" si="31"/>
        <v>49528.617199495311</v>
      </c>
      <c r="DR22" s="3">
        <f t="shared" si="31"/>
        <v>49033.331027500361</v>
      </c>
      <c r="DS22" s="3">
        <f t="shared" si="31"/>
        <v>48542.997717225357</v>
      </c>
    </row>
    <row r="23" spans="2:123">
      <c r="B23" s="1" t="s">
        <v>80</v>
      </c>
      <c r="C23" s="10">
        <v>656268.31599999999</v>
      </c>
      <c r="D23" s="13">
        <v>656745.55700000003</v>
      </c>
      <c r="E23" s="10">
        <v>390711.78200000001</v>
      </c>
      <c r="F23" s="10">
        <f>+F22/F24</f>
        <v>2433583.6749202851</v>
      </c>
      <c r="G23" s="10">
        <v>693021.09699999995</v>
      </c>
      <c r="H23" s="13">
        <v>691365.07200000004</v>
      </c>
      <c r="I23" s="10">
        <v>691257.65399999998</v>
      </c>
      <c r="J23" s="10">
        <f>+J22/J24</f>
        <v>686532.62452952261</v>
      </c>
      <c r="K23" s="10">
        <v>683485.18200000003</v>
      </c>
      <c r="L23" s="1">
        <v>680349.16099999996</v>
      </c>
      <c r="M23" s="1">
        <v>678758.02</v>
      </c>
      <c r="N23" s="1">
        <f t="shared" ref="N23" si="32">+M23</f>
        <v>678758.02</v>
      </c>
      <c r="P23" s="1">
        <v>636819.97499999998</v>
      </c>
      <c r="Q23" s="1">
        <v>689923.79200000002</v>
      </c>
      <c r="R23" s="1">
        <v>691005.84600000002</v>
      </c>
      <c r="S23" s="1">
        <f>+S22/S24</f>
        <v>680261.88245245104</v>
      </c>
      <c r="T23" s="1">
        <f>+S23</f>
        <v>680261.88245245104</v>
      </c>
      <c r="U23" s="1">
        <f t="shared" ref="U23:AB23" si="33">+T23</f>
        <v>680261.88245245104</v>
      </c>
      <c r="V23" s="1">
        <f t="shared" si="33"/>
        <v>680261.88245245104</v>
      </c>
      <c r="W23" s="1">
        <f t="shared" si="33"/>
        <v>680261.88245245104</v>
      </c>
      <c r="X23" s="1">
        <f t="shared" si="33"/>
        <v>680261.88245245104</v>
      </c>
      <c r="Y23" s="1">
        <f t="shared" si="33"/>
        <v>680261.88245245104</v>
      </c>
      <c r="Z23" s="1">
        <f t="shared" si="33"/>
        <v>680261.88245245104</v>
      </c>
      <c r="AA23" s="1">
        <f t="shared" si="33"/>
        <v>680261.88245245104</v>
      </c>
      <c r="AB23" s="1">
        <f t="shared" si="33"/>
        <v>680261.88245245104</v>
      </c>
    </row>
    <row r="24" spans="2:123" s="7" customFormat="1">
      <c r="B24" s="1" t="s">
        <v>81</v>
      </c>
      <c r="C24" s="15">
        <f>+C22/C23</f>
        <v>8.4893630610684542E-2</v>
      </c>
      <c r="D24" s="15">
        <f>+D22/D23</f>
        <v>9.065002323266573E-2</v>
      </c>
      <c r="E24" s="15">
        <f>+E22/E23</f>
        <v>0.17090091232518809</v>
      </c>
      <c r="F24" s="16">
        <f>+Q24-SUM(C24:E24)</f>
        <v>3.2690061500599887E-2</v>
      </c>
      <c r="G24" s="15">
        <f>+G22/G23</f>
        <v>0.10422049243906352</v>
      </c>
      <c r="H24" s="15">
        <f>+H22/H23</f>
        <v>0.14176301923450363</v>
      </c>
      <c r="I24" s="15">
        <f>+I22/I23</f>
        <v>0.10284443085530016</v>
      </c>
      <c r="J24" s="16">
        <f>+R24-SUM(G24:I24)</f>
        <v>6.4126595629989347E-2</v>
      </c>
      <c r="K24" s="15">
        <f>+K22/K23</f>
        <v>4.577568149824205E-2</v>
      </c>
      <c r="L24" s="7">
        <f>+L22/L23</f>
        <v>2.4222856357722474E-2</v>
      </c>
      <c r="M24" s="7">
        <f t="shared" ref="M24:N24" si="34">+M22/M23</f>
        <v>4.6722144071314246E-2</v>
      </c>
      <c r="N24" s="7">
        <f t="shared" si="34"/>
        <v>5.279684381119791E-2</v>
      </c>
      <c r="P24" s="7">
        <f>+P22/P23</f>
        <v>0.15012405978628418</v>
      </c>
      <c r="Q24" s="7">
        <f>+Q22/Q23</f>
        <v>0.37913462766913825</v>
      </c>
      <c r="R24" s="7">
        <f>+R22/R23</f>
        <v>0.41295453815885663</v>
      </c>
      <c r="S24" s="7">
        <f>SUM(K24:N24)</f>
        <v>0.16951752573847667</v>
      </c>
      <c r="T24" s="7">
        <f t="shared" ref="T24:AB24" si="35">+T22/T23</f>
        <v>0.17121270099586144</v>
      </c>
      <c r="U24" s="7">
        <f t="shared" si="35"/>
        <v>0.17292482800582004</v>
      </c>
      <c r="V24" s="7">
        <f t="shared" si="35"/>
        <v>0.17465407628587823</v>
      </c>
      <c r="W24" s="7">
        <f t="shared" si="35"/>
        <v>0.17640061704873705</v>
      </c>
      <c r="X24" s="7">
        <f t="shared" si="35"/>
        <v>0.17816462321922444</v>
      </c>
      <c r="Y24" s="7">
        <f t="shared" si="35"/>
        <v>0.1799462694514167</v>
      </c>
      <c r="Z24" s="7">
        <f t="shared" si="35"/>
        <v>0.18174573214593087</v>
      </c>
      <c r="AA24" s="7">
        <f t="shared" si="35"/>
        <v>0.18356318946739011</v>
      </c>
      <c r="AB24" s="7">
        <f t="shared" si="35"/>
        <v>0.18539882136206401</v>
      </c>
    </row>
    <row r="25" spans="2:123">
      <c r="B25" s="1" t="s">
        <v>35</v>
      </c>
      <c r="S25" s="23"/>
    </row>
    <row r="26" spans="2:123" s="3" customFormat="1">
      <c r="B26" s="3" t="s">
        <v>82</v>
      </c>
      <c r="C26" s="11"/>
      <c r="D26" s="11"/>
      <c r="E26" s="11"/>
      <c r="F26" s="11"/>
      <c r="G26" s="11"/>
      <c r="H26" s="11"/>
      <c r="I26" s="11"/>
      <c r="J26" s="11"/>
      <c r="K26" s="11"/>
    </row>
    <row r="27" spans="2:123" s="8" customFormat="1">
      <c r="B27" s="3" t="s">
        <v>65</v>
      </c>
      <c r="C27" s="17"/>
      <c r="D27" s="17"/>
      <c r="E27" s="17"/>
      <c r="F27" s="17"/>
      <c r="G27" s="17">
        <f t="shared" ref="G27:N27" si="36">+G6/C6-1</f>
        <v>0.62609466331849162</v>
      </c>
      <c r="H27" s="17">
        <f t="shared" si="36"/>
        <v>0.32710597826086962</v>
      </c>
      <c r="I27" s="17">
        <f t="shared" si="36"/>
        <v>-0.15987356291178745</v>
      </c>
      <c r="J27" s="17">
        <f t="shared" si="36"/>
        <v>-3.8859922315148565E-2</v>
      </c>
      <c r="K27" s="17">
        <f t="shared" si="36"/>
        <v>-0.37194876652954234</v>
      </c>
      <c r="L27" s="8">
        <f t="shared" si="36"/>
        <v>-0.61190266283688355</v>
      </c>
      <c r="M27" s="8">
        <f t="shared" si="36"/>
        <v>-0.23339842199679317</v>
      </c>
      <c r="N27" s="8">
        <f t="shared" si="36"/>
        <v>-9.9999999999999867E-2</v>
      </c>
      <c r="Q27" s="8">
        <f>+Q6/P6-1</f>
        <v>0.65819883610010299</v>
      </c>
      <c r="R27" s="8">
        <f>+R6/Q6-1</f>
        <v>0.1600832403507213</v>
      </c>
      <c r="S27" s="8">
        <f>+S6/R6-1</f>
        <v>-0.37742718123485708</v>
      </c>
      <c r="T27" s="8">
        <f t="shared" ref="T27:AB27" si="37">+T6/S6-1</f>
        <v>1.0000000000000009E-2</v>
      </c>
      <c r="U27" s="8">
        <f t="shared" si="37"/>
        <v>1.0000000000000009E-2</v>
      </c>
      <c r="V27" s="8">
        <f t="shared" si="37"/>
        <v>1.0000000000000009E-2</v>
      </c>
      <c r="W27" s="8">
        <f t="shared" si="37"/>
        <v>1.0000000000000009E-2</v>
      </c>
      <c r="X27" s="8">
        <f t="shared" si="37"/>
        <v>1.0000000000000009E-2</v>
      </c>
      <c r="Y27" s="8">
        <f t="shared" si="37"/>
        <v>1.0000000000000009E-2</v>
      </c>
      <c r="Z27" s="8">
        <f t="shared" si="37"/>
        <v>1.0000000000000009E-2</v>
      </c>
      <c r="AA27" s="8">
        <f t="shared" si="37"/>
        <v>1.0000000000000009E-2</v>
      </c>
      <c r="AB27" s="8">
        <f t="shared" si="37"/>
        <v>1.0000000000000009E-2</v>
      </c>
    </row>
    <row r="28" spans="2:123" s="8" customFormat="1">
      <c r="B28" s="3" t="s">
        <v>66</v>
      </c>
      <c r="C28" s="17"/>
      <c r="D28" s="17"/>
      <c r="E28" s="17"/>
      <c r="F28" s="17"/>
      <c r="G28" s="17">
        <f t="shared" ref="G28:N28" si="38">+G7/C7-1</f>
        <v>1.0249527410207939</v>
      </c>
      <c r="H28" s="17">
        <f t="shared" si="38"/>
        <v>0.68500445983524849</v>
      </c>
      <c r="I28" s="17">
        <f t="shared" si="38"/>
        <v>0.60091060138532248</v>
      </c>
      <c r="J28" s="17">
        <f t="shared" si="38"/>
        <v>-0.45269975502533644</v>
      </c>
      <c r="K28" s="17">
        <f t="shared" si="38"/>
        <v>-0.45763318396813546</v>
      </c>
      <c r="L28" s="8">
        <f t="shared" si="38"/>
        <v>-0.53654891092808543</v>
      </c>
      <c r="M28" s="8">
        <f t="shared" si="38"/>
        <v>-0.41827175802994976</v>
      </c>
      <c r="N28" s="8">
        <f t="shared" si="38"/>
        <v>-0.15000000000000002</v>
      </c>
      <c r="Q28" s="8">
        <f t="shared" ref="Q28:R29" si="39">+Q7/P7-1</f>
        <v>2.4662052920067827</v>
      </c>
      <c r="R28" s="8">
        <f t="shared" si="39"/>
        <v>0.33851728394359459</v>
      </c>
      <c r="S28" s="8">
        <f t="shared" ref="S28:AB28" si="40">+S7/R7-1</f>
        <v>-0.42412009689345975</v>
      </c>
      <c r="T28" s="8">
        <f t="shared" si="40"/>
        <v>1.0000000000000009E-2</v>
      </c>
      <c r="U28" s="8">
        <f t="shared" si="40"/>
        <v>1.0000000000000009E-2</v>
      </c>
      <c r="V28" s="8">
        <f t="shared" si="40"/>
        <v>1.0000000000000009E-2</v>
      </c>
      <c r="W28" s="8">
        <f t="shared" si="40"/>
        <v>1.0000000000000009E-2</v>
      </c>
      <c r="X28" s="8">
        <f t="shared" si="40"/>
        <v>1.0000000000000009E-2</v>
      </c>
      <c r="Y28" s="8">
        <f t="shared" si="40"/>
        <v>1.0000000000000009E-2</v>
      </c>
      <c r="Z28" s="8">
        <f t="shared" si="40"/>
        <v>1.0000000000000009E-2</v>
      </c>
      <c r="AA28" s="8">
        <f t="shared" si="40"/>
        <v>1.0000000000000009E-2</v>
      </c>
      <c r="AB28" s="8">
        <f t="shared" si="40"/>
        <v>1.0000000000000009E-2</v>
      </c>
      <c r="AE28" s="8" t="s">
        <v>121</v>
      </c>
      <c r="AF28" s="8">
        <v>-0.01</v>
      </c>
    </row>
    <row r="29" spans="2:123" s="8" customFormat="1">
      <c r="B29" s="3" t="s">
        <v>67</v>
      </c>
      <c r="C29" s="17"/>
      <c r="D29" s="17"/>
      <c r="E29" s="17"/>
      <c r="F29" s="17"/>
      <c r="G29" s="17">
        <f t="shared" ref="G29:N29" si="41">+G8/C8-1</f>
        <v>0.15067966145165435</v>
      </c>
      <c r="H29" s="17">
        <f t="shared" si="41"/>
        <v>0.19314560519149437</v>
      </c>
      <c r="I29" s="17">
        <f t="shared" si="41"/>
        <v>-2.5581222241520485E-2</v>
      </c>
      <c r="J29" s="17">
        <f t="shared" si="41"/>
        <v>-0.13219153298757691</v>
      </c>
      <c r="K29" s="17">
        <f t="shared" si="41"/>
        <v>-0.31949180875961214</v>
      </c>
      <c r="L29" s="8">
        <f t="shared" si="41"/>
        <v>-6.436809518028408E-2</v>
      </c>
      <c r="M29" s="8">
        <f t="shared" si="41"/>
        <v>-0.18244550825015282</v>
      </c>
      <c r="N29" s="8">
        <f t="shared" si="41"/>
        <v>-0.15000000000000002</v>
      </c>
      <c r="Q29" s="8">
        <f t="shared" si="39"/>
        <v>1.1711202261956912</v>
      </c>
      <c r="R29" s="8">
        <f t="shared" si="39"/>
        <v>3.0172967222436231E-2</v>
      </c>
      <c r="S29" s="8">
        <f t="shared" ref="S29:AB29" si="42">+S8/R8-1</f>
        <v>-0.18176233886475324</v>
      </c>
      <c r="T29" s="8">
        <f t="shared" si="42"/>
        <v>1.0000000000000009E-2</v>
      </c>
      <c r="U29" s="8">
        <f t="shared" si="42"/>
        <v>1.0000000000000009E-2</v>
      </c>
      <c r="V29" s="8">
        <f t="shared" si="42"/>
        <v>1.0000000000000009E-2</v>
      </c>
      <c r="W29" s="8">
        <f t="shared" si="42"/>
        <v>1.0000000000000009E-2</v>
      </c>
      <c r="X29" s="8">
        <f t="shared" si="42"/>
        <v>1.0000000000000009E-2</v>
      </c>
      <c r="Y29" s="8">
        <f t="shared" si="42"/>
        <v>1.0000000000000009E-2</v>
      </c>
      <c r="Z29" s="8">
        <f t="shared" si="42"/>
        <v>1.0000000000000009E-2</v>
      </c>
      <c r="AA29" s="8">
        <f t="shared" si="42"/>
        <v>1.0000000000000009E-2</v>
      </c>
      <c r="AB29" s="8">
        <f t="shared" si="42"/>
        <v>1.0000000000000009E-2</v>
      </c>
      <c r="AE29" s="8" t="s">
        <v>122</v>
      </c>
      <c r="AF29" s="8">
        <v>0.1</v>
      </c>
    </row>
    <row r="30" spans="2:123" s="8" customFormat="1">
      <c r="B30" s="3" t="s">
        <v>68</v>
      </c>
      <c r="C30" s="17"/>
      <c r="D30" s="17"/>
      <c r="E30" s="17"/>
      <c r="F30" s="17"/>
      <c r="G30" s="17">
        <f t="shared" ref="G30:N30" si="43">+G9/C9-1</f>
        <v>0.5763425020530144</v>
      </c>
      <c r="H30" s="17">
        <f t="shared" si="43"/>
        <v>0.38638873550524577</v>
      </c>
      <c r="I30" s="17">
        <f t="shared" si="43"/>
        <v>9.1756174825520898E-2</v>
      </c>
      <c r="J30" s="17">
        <f t="shared" si="43"/>
        <v>-0.21487945801150765</v>
      </c>
      <c r="K30" s="17">
        <f t="shared" si="43"/>
        <v>-0.38888590517519173</v>
      </c>
      <c r="L30" s="8">
        <f t="shared" si="43"/>
        <v>-0.48203202420069891</v>
      </c>
      <c r="M30" s="8">
        <f t="shared" si="43"/>
        <v>-0.29978918018293721</v>
      </c>
      <c r="N30" s="8">
        <f t="shared" si="43"/>
        <v>-0.12898845633065847</v>
      </c>
      <c r="Q30" s="8">
        <f t="shared" ref="Q30:AB30" si="44">+Q9/P9-1</f>
        <v>1.1199822852081489</v>
      </c>
      <c r="R30" s="8">
        <f t="shared" si="44"/>
        <v>0.17699731769070715</v>
      </c>
      <c r="S30" s="8">
        <f t="shared" si="44"/>
        <v>-0.34621681334253429</v>
      </c>
      <c r="T30" s="8">
        <f t="shared" si="44"/>
        <v>1.0000000000000009E-2</v>
      </c>
      <c r="U30" s="8">
        <f t="shared" si="44"/>
        <v>1.0000000000000009E-2</v>
      </c>
      <c r="V30" s="8">
        <f t="shared" si="44"/>
        <v>1.0000000000000231E-2</v>
      </c>
      <c r="W30" s="8">
        <f t="shared" si="44"/>
        <v>1.0000000000000009E-2</v>
      </c>
      <c r="X30" s="8">
        <f t="shared" si="44"/>
        <v>1.0000000000000009E-2</v>
      </c>
      <c r="Y30" s="8">
        <f t="shared" si="44"/>
        <v>1.0000000000000009E-2</v>
      </c>
      <c r="Z30" s="8">
        <f t="shared" si="44"/>
        <v>1.0000000000000009E-2</v>
      </c>
      <c r="AA30" s="8">
        <f t="shared" si="44"/>
        <v>1.0000000000000009E-2</v>
      </c>
      <c r="AB30" s="8">
        <f t="shared" si="44"/>
        <v>1.0000000000000231E-2</v>
      </c>
      <c r="AE30" s="8" t="s">
        <v>123</v>
      </c>
      <c r="AF30" s="25">
        <f>NPV(AF29,S22:DS22)</f>
        <v>1173217.9417847984</v>
      </c>
    </row>
    <row r="31" spans="2:123" s="4" customFormat="1">
      <c r="B31" s="1" t="s">
        <v>71</v>
      </c>
      <c r="C31" s="18"/>
      <c r="D31" s="18"/>
      <c r="E31" s="18"/>
      <c r="F31" s="18"/>
      <c r="G31" s="18">
        <f t="shared" ref="G31:J31" si="45">+G12/C12-1</f>
        <v>0.83457021693035394</v>
      </c>
      <c r="H31" s="18">
        <f t="shared" si="45"/>
        <v>0.72426563687009371</v>
      </c>
      <c r="I31" s="18">
        <f t="shared" si="45"/>
        <v>0.36564934684552752</v>
      </c>
      <c r="J31" s="18">
        <f t="shared" si="45"/>
        <v>0.12676097418696219</v>
      </c>
      <c r="K31" s="18">
        <f t="shared" ref="K31:N33" si="46">+K12/G12-1</f>
        <v>-0.2670311840145807</v>
      </c>
      <c r="L31" s="4">
        <f t="shared" si="46"/>
        <v>-0.41723422613037653</v>
      </c>
      <c r="M31" s="4">
        <f t="shared" si="46"/>
        <v>-0.14195942178183851</v>
      </c>
      <c r="N31" s="4">
        <f t="shared" si="46"/>
        <v>-7.1819741841378515E-2</v>
      </c>
      <c r="Q31" s="4">
        <f t="shared" ref="Q31:AB31" si="47">+Q12/P12-1</f>
        <v>0.21312449470597983</v>
      </c>
      <c r="R31" s="4">
        <f t="shared" si="47"/>
        <v>0.4831905446311715</v>
      </c>
      <c r="S31" s="4">
        <f t="shared" si="47"/>
        <v>-0.23893043263664826</v>
      </c>
      <c r="T31" s="4">
        <f t="shared" si="47"/>
        <v>1.0000000000000231E-2</v>
      </c>
      <c r="U31" s="4">
        <f t="shared" si="47"/>
        <v>9.9999999999997868E-3</v>
      </c>
      <c r="V31" s="4">
        <f t="shared" si="47"/>
        <v>1.0000000000000231E-2</v>
      </c>
      <c r="W31" s="4">
        <f t="shared" si="47"/>
        <v>1.0000000000000009E-2</v>
      </c>
      <c r="X31" s="4">
        <f t="shared" si="47"/>
        <v>1.0000000000000009E-2</v>
      </c>
      <c r="Y31" s="4">
        <f t="shared" si="47"/>
        <v>1.0000000000000009E-2</v>
      </c>
      <c r="Z31" s="4">
        <f t="shared" si="47"/>
        <v>1.0000000000000009E-2</v>
      </c>
      <c r="AA31" s="4">
        <f t="shared" si="47"/>
        <v>1.0000000000000009E-2</v>
      </c>
      <c r="AB31" s="4">
        <f t="shared" si="47"/>
        <v>1.0000000000000009E-2</v>
      </c>
      <c r="AE31" s="4" t="s">
        <v>24</v>
      </c>
      <c r="AF31" s="1">
        <f>+O!H9*1000</f>
        <v>429586</v>
      </c>
    </row>
    <row r="32" spans="2:123" s="4" customFormat="1">
      <c r="B32" s="1" t="s">
        <v>72</v>
      </c>
      <c r="C32" s="18"/>
      <c r="D32" s="18"/>
      <c r="E32" s="18"/>
      <c r="F32" s="18"/>
      <c r="G32" s="18">
        <f t="shared" ref="G32:J32" si="48">+G13/C13-1</f>
        <v>0.50868101928521825</v>
      </c>
      <c r="H32" s="18">
        <f t="shared" si="48"/>
        <v>0.29782962200909302</v>
      </c>
      <c r="I32" s="18">
        <f t="shared" si="48"/>
        <v>1.8402598013837146E-2</v>
      </c>
      <c r="J32" s="18">
        <f t="shared" si="48"/>
        <v>-0.30347242706844257</v>
      </c>
      <c r="K32" s="18">
        <f t="shared" si="46"/>
        <v>-0.42771148330441555</v>
      </c>
      <c r="L32" s="4">
        <f t="shared" si="46"/>
        <v>-0.50459630505657482</v>
      </c>
      <c r="M32" s="4">
        <f t="shared" si="46"/>
        <v>-0.35647163939982129</v>
      </c>
      <c r="N32" s="4">
        <f t="shared" si="46"/>
        <v>-0.15297026336112174</v>
      </c>
      <c r="Q32" s="4">
        <f t="shared" ref="Q32:AB32" si="49">+Q13/P13-1</f>
        <v>1.6383981023125282</v>
      </c>
      <c r="R32" s="4">
        <f t="shared" si="49"/>
        <v>9.6515147038339189E-2</v>
      </c>
      <c r="S32" s="4">
        <f t="shared" si="49"/>
        <v>-0.38436123273838418</v>
      </c>
      <c r="T32" s="4">
        <f t="shared" si="49"/>
        <v>1.0000000000000009E-2</v>
      </c>
      <c r="U32" s="4">
        <f t="shared" si="49"/>
        <v>9.9999999999997868E-3</v>
      </c>
      <c r="V32" s="4">
        <f t="shared" si="49"/>
        <v>1.0000000000000009E-2</v>
      </c>
      <c r="W32" s="4">
        <f t="shared" si="49"/>
        <v>1.0000000000000231E-2</v>
      </c>
      <c r="X32" s="4">
        <f t="shared" si="49"/>
        <v>1.0000000000000009E-2</v>
      </c>
      <c r="Y32" s="4">
        <f t="shared" si="49"/>
        <v>1.0000000000000009E-2</v>
      </c>
      <c r="Z32" s="4">
        <f t="shared" si="49"/>
        <v>1.0000000000000009E-2</v>
      </c>
      <c r="AA32" s="4">
        <f t="shared" si="49"/>
        <v>1.0000000000000009E-2</v>
      </c>
      <c r="AB32" s="4">
        <f t="shared" si="49"/>
        <v>1.0000000000000231E-2</v>
      </c>
      <c r="AE32" s="4" t="s">
        <v>39</v>
      </c>
      <c r="AF32" s="1">
        <f>+O!H10*1000</f>
        <v>657100</v>
      </c>
    </row>
    <row r="33" spans="2:36" s="4" customFormat="1">
      <c r="B33" s="1" t="s">
        <v>73</v>
      </c>
      <c r="C33" s="18"/>
      <c r="D33" s="18"/>
      <c r="E33" s="18"/>
      <c r="F33" s="18"/>
      <c r="G33" s="18">
        <f t="shared" ref="G33:J33" si="50">+G14/C14-1</f>
        <v>0.97819148936170208</v>
      </c>
      <c r="H33" s="18">
        <f t="shared" si="50"/>
        <v>-0.22716509796957318</v>
      </c>
      <c r="I33" s="18">
        <f t="shared" si="50"/>
        <v>1.8177611792312476E-2</v>
      </c>
      <c r="J33" s="18">
        <f t="shared" si="50"/>
        <v>0.47081299087242634</v>
      </c>
      <c r="K33" s="18">
        <f t="shared" si="46"/>
        <v>0.56511607062830516</v>
      </c>
      <c r="L33" s="4">
        <f t="shared" si="46"/>
        <v>0.85412278350120641</v>
      </c>
      <c r="M33" s="4">
        <f t="shared" si="46"/>
        <v>0.18262083292758136</v>
      </c>
      <c r="N33" s="4">
        <f t="shared" si="46"/>
        <v>-0.12898845633065847</v>
      </c>
      <c r="Q33" s="4">
        <f t="shared" ref="Q33:AB33" si="51">+Q14/P14-1</f>
        <v>1.6601560398170569</v>
      </c>
      <c r="R33" s="4">
        <f t="shared" si="51"/>
        <v>0.15169198406116635</v>
      </c>
      <c r="S33" s="4">
        <f t="shared" si="51"/>
        <v>0.31673819059532948</v>
      </c>
      <c r="T33" s="4">
        <f t="shared" si="51"/>
        <v>1.0000000000000009E-2</v>
      </c>
      <c r="U33" s="4">
        <f t="shared" si="51"/>
        <v>1.0000000000000009E-2</v>
      </c>
      <c r="V33" s="4">
        <f t="shared" si="51"/>
        <v>1.0000000000000009E-2</v>
      </c>
      <c r="W33" s="4">
        <f t="shared" si="51"/>
        <v>1.0000000000000009E-2</v>
      </c>
      <c r="X33" s="4">
        <f t="shared" si="51"/>
        <v>1.0000000000000009E-2</v>
      </c>
      <c r="Y33" s="4">
        <f t="shared" si="51"/>
        <v>1.0000000000000009E-2</v>
      </c>
      <c r="Z33" s="4">
        <f t="shared" si="51"/>
        <v>1.0000000000000009E-2</v>
      </c>
      <c r="AA33" s="4">
        <f t="shared" si="51"/>
        <v>1.0000000000000009E-2</v>
      </c>
      <c r="AB33" s="4">
        <f t="shared" si="51"/>
        <v>1.0000000000000231E-2</v>
      </c>
      <c r="AE33" s="8" t="s">
        <v>124</v>
      </c>
      <c r="AF33" s="3">
        <f>+AF30-AF31+AF32</f>
        <v>1400731.9417847984</v>
      </c>
    </row>
    <row r="34" spans="2:36" s="4" customFormat="1">
      <c r="B34" s="1" t="s">
        <v>75</v>
      </c>
      <c r="C34" s="18"/>
      <c r="D34" s="18"/>
      <c r="E34" s="18"/>
      <c r="F34" s="18"/>
      <c r="G34" s="18">
        <f t="shared" ref="G34:J34" si="52">+G17/C17-1</f>
        <v>0.44434185749863331</v>
      </c>
      <c r="H34" s="18">
        <f t="shared" si="52"/>
        <v>0.50230558181357066</v>
      </c>
      <c r="I34" s="18">
        <f t="shared" si="52"/>
        <v>1.8472615068140907E-2</v>
      </c>
      <c r="J34" s="18">
        <f t="shared" si="52"/>
        <v>-0.47132286624086583</v>
      </c>
      <c r="K34" s="18">
        <f>+K17/G17-1</f>
        <v>-0.61404984397473317</v>
      </c>
      <c r="L34" s="4">
        <f>+L17/H17-1</f>
        <v>-0.77683223474704377</v>
      </c>
      <c r="M34" s="4">
        <f>+M17/I17-1</f>
        <v>-0.52419183809494951</v>
      </c>
      <c r="N34" s="4">
        <f>+N17/J17-1</f>
        <v>-0.16743365799199317</v>
      </c>
      <c r="Q34" s="4">
        <f t="shared" ref="Q34:AB34" si="53">+Q17/P17-1</f>
        <v>1.6327194084975809</v>
      </c>
      <c r="R34" s="4">
        <f t="shared" si="53"/>
        <v>8.1964239993172372E-2</v>
      </c>
      <c r="S34" s="4">
        <f t="shared" si="53"/>
        <v>-0.58116631618175596</v>
      </c>
      <c r="T34" s="4">
        <f t="shared" si="53"/>
        <v>1.0000000000000231E-2</v>
      </c>
      <c r="U34" s="4">
        <f t="shared" si="53"/>
        <v>9.9999999999997868E-3</v>
      </c>
      <c r="V34" s="4">
        <f t="shared" si="53"/>
        <v>1.0000000000000231E-2</v>
      </c>
      <c r="W34" s="4">
        <f t="shared" si="53"/>
        <v>1.0000000000000231E-2</v>
      </c>
      <c r="X34" s="4">
        <f t="shared" si="53"/>
        <v>1.0000000000000009E-2</v>
      </c>
      <c r="Y34" s="4">
        <f t="shared" si="53"/>
        <v>1.0000000000000231E-2</v>
      </c>
      <c r="Z34" s="4">
        <f t="shared" si="53"/>
        <v>1.0000000000000009E-2</v>
      </c>
      <c r="AA34" s="4">
        <f t="shared" si="53"/>
        <v>9.9999999999997868E-3</v>
      </c>
      <c r="AB34" s="4">
        <f t="shared" si="53"/>
        <v>1.0000000000000009E-2</v>
      </c>
      <c r="AE34" s="4" t="s">
        <v>125</v>
      </c>
      <c r="AF34" s="1">
        <f>+O!H7*1000</f>
        <v>654733.05200000003</v>
      </c>
    </row>
    <row r="35" spans="2:36" s="4" customFormat="1">
      <c r="B35" s="1" t="s">
        <v>78</v>
      </c>
      <c r="C35" s="18"/>
      <c r="D35" s="18"/>
      <c r="E35" s="18"/>
      <c r="F35" s="18"/>
      <c r="G35" s="18">
        <f t="shared" ref="G35:J35" si="54">+G20/C20-1</f>
        <v>0.32179552466824424</v>
      </c>
      <c r="H35" s="18">
        <f t="shared" si="54"/>
        <v>0.69516796666009628</v>
      </c>
      <c r="I35" s="18">
        <f t="shared" si="54"/>
        <v>5.1764705882352935E-2</v>
      </c>
      <c r="J35" s="18">
        <f t="shared" si="54"/>
        <v>-0.46573895756973349</v>
      </c>
      <c r="K35" s="18">
        <f>+K20/G20-1</f>
        <v>-0.59677510736422246</v>
      </c>
      <c r="L35" s="4">
        <f>+L20/H20-1</f>
        <v>-0.84819893522479051</v>
      </c>
      <c r="M35" s="4">
        <f>+M20/I20-1</f>
        <v>-0.56411737432045528</v>
      </c>
      <c r="N35" s="4">
        <f>+N20/J20-1</f>
        <v>-0.18600156348579333</v>
      </c>
      <c r="Q35" s="4">
        <f t="shared" ref="Q35:AB35" si="55">+Q20/P20-1</f>
        <v>2.0545751192292099</v>
      </c>
      <c r="R35" s="4">
        <f t="shared" si="55"/>
        <v>9.5208897626098743E-2</v>
      </c>
      <c r="S35" s="4">
        <f t="shared" si="55"/>
        <v>-0.61483552513358974</v>
      </c>
      <c r="T35" s="4">
        <f t="shared" si="55"/>
        <v>1.0000000000000231E-2</v>
      </c>
      <c r="U35" s="4">
        <f t="shared" si="55"/>
        <v>9.9999999999997868E-3</v>
      </c>
      <c r="V35" s="4">
        <f t="shared" si="55"/>
        <v>1.0000000000000009E-2</v>
      </c>
      <c r="W35" s="4">
        <f t="shared" si="55"/>
        <v>1.0000000000000231E-2</v>
      </c>
      <c r="X35" s="4">
        <f t="shared" si="55"/>
        <v>1.0000000000000009E-2</v>
      </c>
      <c r="Y35" s="4">
        <f t="shared" si="55"/>
        <v>1.0000000000000231E-2</v>
      </c>
      <c r="Z35" s="4">
        <f t="shared" si="55"/>
        <v>1.0000000000000009E-2</v>
      </c>
      <c r="AA35" s="4">
        <f t="shared" si="55"/>
        <v>9.9999999999997868E-3</v>
      </c>
      <c r="AB35" s="4">
        <f t="shared" si="55"/>
        <v>1.0000000000000009E-2</v>
      </c>
      <c r="AE35" s="4" t="s">
        <v>126</v>
      </c>
      <c r="AF35" s="2">
        <f>+AF33/AF34</f>
        <v>2.1393939675200611</v>
      </c>
      <c r="AG35" s="7"/>
      <c r="AH35" s="1"/>
    </row>
    <row r="36" spans="2:36" s="4" customFormat="1">
      <c r="B36" s="1" t="s">
        <v>62</v>
      </c>
      <c r="C36" s="18"/>
      <c r="D36" s="18"/>
      <c r="E36" s="18"/>
      <c r="F36" s="18"/>
      <c r="G36" s="18">
        <f t="shared" ref="G36:J36" si="56">+G22/C22-1</f>
        <v>0.29641196848132401</v>
      </c>
      <c r="H36" s="18">
        <f t="shared" si="56"/>
        <v>0.64628615581012538</v>
      </c>
      <c r="I36" s="18">
        <f t="shared" si="56"/>
        <v>6.4681832477198942E-2</v>
      </c>
      <c r="J36" s="18">
        <f t="shared" si="56"/>
        <v>-0.44660230786635491</v>
      </c>
      <c r="K36" s="18">
        <f t="shared" ref="K36:N38" si="57">+K22/G22-1</f>
        <v>-0.56682404087114235</v>
      </c>
      <c r="L36" s="4">
        <f t="shared" si="57"/>
        <v>-0.831853892459953</v>
      </c>
      <c r="M36" s="4">
        <f t="shared" si="57"/>
        <v>-0.55391563045068359</v>
      </c>
      <c r="N36" s="4">
        <f t="shared" si="57"/>
        <v>-0.18600156348579333</v>
      </c>
      <c r="Q36" s="4">
        <f t="shared" ref="Q36:AB36" si="58">+Q22/P22-1</f>
        <v>1.7360724671031988</v>
      </c>
      <c r="R36" s="4">
        <f t="shared" si="58"/>
        <v>9.0911176187235654E-2</v>
      </c>
      <c r="S36" s="4">
        <f t="shared" si="58"/>
        <v>-0.59588331977985953</v>
      </c>
      <c r="T36" s="4">
        <f t="shared" si="58"/>
        <v>1.0000000000000009E-2</v>
      </c>
      <c r="U36" s="4">
        <f t="shared" si="58"/>
        <v>9.9999999999997868E-3</v>
      </c>
      <c r="V36" s="4">
        <f t="shared" si="58"/>
        <v>1.0000000000000009E-2</v>
      </c>
      <c r="W36" s="4">
        <f t="shared" si="58"/>
        <v>1.0000000000000231E-2</v>
      </c>
      <c r="X36" s="4">
        <f t="shared" si="58"/>
        <v>1.0000000000000009E-2</v>
      </c>
      <c r="Y36" s="4">
        <f t="shared" si="58"/>
        <v>1.0000000000000009E-2</v>
      </c>
      <c r="Z36" s="4">
        <f t="shared" si="58"/>
        <v>1.0000000000000009E-2</v>
      </c>
      <c r="AA36" s="4">
        <f t="shared" si="58"/>
        <v>9.9999999999995648E-3</v>
      </c>
      <c r="AB36" s="4">
        <f t="shared" si="58"/>
        <v>1.0000000000000009E-2</v>
      </c>
      <c r="AE36" s="4" t="s">
        <v>127</v>
      </c>
      <c r="AF36" s="2">
        <f>+O!H6</f>
        <v>2.2000000000000002</v>
      </c>
      <c r="AH36" s="1"/>
    </row>
    <row r="37" spans="2:36" s="4" customFormat="1">
      <c r="B37" s="1" t="s">
        <v>80</v>
      </c>
      <c r="C37" s="18"/>
      <c r="D37" s="18"/>
      <c r="E37" s="18"/>
      <c r="F37" s="18"/>
      <c r="G37" s="18">
        <f t="shared" ref="G37:G38" si="59">+G23/C23-1</f>
        <v>5.6002674674301867E-2</v>
      </c>
      <c r="H37" s="18">
        <f t="shared" ref="H37:H38" si="60">+H23/D23-1</f>
        <v>5.2713740703692391E-2</v>
      </c>
      <c r="I37" s="18">
        <f t="shared" ref="I37" si="61">+I23/E23-1</f>
        <v>0.76922653947507524</v>
      </c>
      <c r="J37" s="18">
        <f t="shared" ref="J37" si="62">+J23/F23-1</f>
        <v>-0.71789232825453975</v>
      </c>
      <c r="K37" s="18">
        <f t="shared" si="57"/>
        <v>-1.3759920212068066E-2</v>
      </c>
      <c r="L37" s="4">
        <f t="shared" si="57"/>
        <v>-1.5933565993047516E-2</v>
      </c>
      <c r="M37" s="4">
        <f t="shared" si="57"/>
        <v>-1.8082452943081528E-2</v>
      </c>
      <c r="N37" s="4">
        <f t="shared" si="57"/>
        <v>-1.1324450218007431E-2</v>
      </c>
      <c r="Q37" s="4">
        <f t="shared" ref="Q37:AB37" si="63">+Q23/P23-1</f>
        <v>8.3389056695340136E-2</v>
      </c>
      <c r="R37" s="4">
        <f t="shared" si="63"/>
        <v>1.5683674233979428E-3</v>
      </c>
      <c r="S37" s="4">
        <f t="shared" si="63"/>
        <v>-1.554829616817599E-2</v>
      </c>
      <c r="T37" s="4">
        <f t="shared" si="63"/>
        <v>0</v>
      </c>
      <c r="U37" s="4">
        <f t="shared" si="63"/>
        <v>0</v>
      </c>
      <c r="V37" s="4">
        <f t="shared" si="63"/>
        <v>0</v>
      </c>
      <c r="W37" s="4">
        <f t="shared" si="63"/>
        <v>0</v>
      </c>
      <c r="X37" s="4">
        <f t="shared" si="63"/>
        <v>0</v>
      </c>
      <c r="Y37" s="4">
        <f t="shared" si="63"/>
        <v>0</v>
      </c>
      <c r="Z37" s="4">
        <f t="shared" si="63"/>
        <v>0</v>
      </c>
      <c r="AA37" s="4">
        <f t="shared" si="63"/>
        <v>0</v>
      </c>
      <c r="AB37" s="4">
        <f t="shared" si="63"/>
        <v>0</v>
      </c>
      <c r="AE37" s="8" t="s">
        <v>128</v>
      </c>
      <c r="AF37" s="8">
        <f>+AF35/AF36-1</f>
        <v>-2.7548196581790529E-2</v>
      </c>
      <c r="AH37" s="5"/>
    </row>
    <row r="38" spans="2:36" s="4" customFormat="1">
      <c r="B38" s="1" t="s">
        <v>81</v>
      </c>
      <c r="C38" s="18"/>
      <c r="D38" s="18"/>
      <c r="E38" s="18"/>
      <c r="F38" s="18"/>
      <c r="G38" s="18">
        <f t="shared" si="59"/>
        <v>0.22765973948046159</v>
      </c>
      <c r="H38" s="18">
        <f t="shared" si="60"/>
        <v>0.5638497838069978</v>
      </c>
      <c r="I38" s="18">
        <f>+I24/E24-1</f>
        <v>-0.39822187338819415</v>
      </c>
      <c r="J38" s="18">
        <f>+J24/F24-1</f>
        <v>0.96165417519366181</v>
      </c>
      <c r="K38" s="18">
        <f t="shared" si="57"/>
        <v>-0.56078041441795579</v>
      </c>
      <c r="L38" s="4">
        <f t="shared" si="57"/>
        <v>-0.8291313454769671</v>
      </c>
      <c r="M38" s="4">
        <f t="shared" si="57"/>
        <v>-0.54570078629681684</v>
      </c>
      <c r="N38" s="4">
        <f t="shared" si="57"/>
        <v>-0.17667789327479877</v>
      </c>
      <c r="Q38" s="4">
        <f t="shared" ref="Q38:AB38" si="64">+Q24/P24-1</f>
        <v>1.5254754514957316</v>
      </c>
      <c r="R38" s="4">
        <f t="shared" si="64"/>
        <v>8.9202905832258095E-2</v>
      </c>
      <c r="S38" s="4">
        <f t="shared" si="64"/>
        <v>-0.5895007559566614</v>
      </c>
      <c r="T38" s="4">
        <f t="shared" si="64"/>
        <v>1.0000000000000009E-2</v>
      </c>
      <c r="U38" s="4">
        <f t="shared" si="64"/>
        <v>1.0000000000000009E-2</v>
      </c>
      <c r="V38" s="4">
        <f t="shared" si="64"/>
        <v>1.0000000000000009E-2</v>
      </c>
      <c r="W38" s="4">
        <f t="shared" si="64"/>
        <v>1.0000000000000231E-2</v>
      </c>
      <c r="X38" s="4">
        <f t="shared" si="64"/>
        <v>1.0000000000000009E-2</v>
      </c>
      <c r="Y38" s="4">
        <f t="shared" si="64"/>
        <v>1.0000000000000009E-2</v>
      </c>
      <c r="Z38" s="4">
        <f t="shared" si="64"/>
        <v>1.0000000000000009E-2</v>
      </c>
      <c r="AA38" s="4">
        <f t="shared" si="64"/>
        <v>9.9999999999995648E-3</v>
      </c>
      <c r="AB38" s="4">
        <f t="shared" si="64"/>
        <v>1.0000000000000009E-2</v>
      </c>
      <c r="AH38" s="1"/>
      <c r="AJ38" s="1"/>
    </row>
    <row r="39" spans="2:36" s="4" customFormat="1">
      <c r="B39" s="1" t="s">
        <v>83</v>
      </c>
      <c r="C39" s="18">
        <f>+C13/C9</f>
        <v>0.79237887215435276</v>
      </c>
      <c r="D39" s="18">
        <f t="shared" ref="D39:K39" si="65">+D13/D9</f>
        <v>0.79232731192974148</v>
      </c>
      <c r="E39" s="18">
        <f t="shared" si="65"/>
        <v>0.78875662030391525</v>
      </c>
      <c r="F39" s="18">
        <f t="shared" si="65"/>
        <v>0.794081610589917</v>
      </c>
      <c r="G39" s="18">
        <f t="shared" si="65"/>
        <v>0.75836752669230278</v>
      </c>
      <c r="H39" s="18">
        <f t="shared" si="65"/>
        <v>0.74171538574605389</v>
      </c>
      <c r="I39" s="18">
        <f t="shared" si="65"/>
        <v>0.73576116154918558</v>
      </c>
      <c r="J39" s="18">
        <f t="shared" si="65"/>
        <v>0.70447747492751733</v>
      </c>
      <c r="K39" s="18">
        <f t="shared" si="65"/>
        <v>0.71018657667396101</v>
      </c>
      <c r="L39" s="4">
        <f t="shared" ref="L39:N39" si="66">+L13/L9</f>
        <v>0.70940397835977331</v>
      </c>
      <c r="M39" s="4">
        <f t="shared" si="66"/>
        <v>0.67620088219821128</v>
      </c>
      <c r="N39" s="4">
        <f t="shared" si="66"/>
        <v>0.68508089748395429</v>
      </c>
      <c r="P39" s="4">
        <f t="shared" ref="P39:R39" si="67">+P13/P9</f>
        <v>0.63626926483613822</v>
      </c>
      <c r="Q39" s="4">
        <f t="shared" si="67"/>
        <v>0.79186115498065557</v>
      </c>
      <c r="R39" s="4">
        <f t="shared" si="67"/>
        <v>0.73771429869624605</v>
      </c>
      <c r="S39" s="4">
        <f t="shared" ref="S39:AB39" si="68">+S13/S9</f>
        <v>0.69467299054078258</v>
      </c>
      <c r="T39" s="4">
        <f t="shared" si="68"/>
        <v>0.69467299054078258</v>
      </c>
      <c r="U39" s="4">
        <f t="shared" si="68"/>
        <v>0.69467299054078258</v>
      </c>
      <c r="V39" s="4">
        <f t="shared" si="68"/>
        <v>0.69467299054078258</v>
      </c>
      <c r="W39" s="4">
        <f t="shared" si="68"/>
        <v>0.69467299054078258</v>
      </c>
      <c r="X39" s="4">
        <f t="shared" si="68"/>
        <v>0.69467299054078258</v>
      </c>
      <c r="Y39" s="4">
        <f t="shared" si="68"/>
        <v>0.69467299054078258</v>
      </c>
      <c r="Z39" s="4">
        <f t="shared" si="68"/>
        <v>0.69467299054078258</v>
      </c>
      <c r="AA39" s="4">
        <f t="shared" si="68"/>
        <v>0.69467299054078258</v>
      </c>
      <c r="AB39" s="4">
        <f t="shared" si="68"/>
        <v>0.69467299054078258</v>
      </c>
      <c r="AF39" s="30"/>
    </row>
    <row r="40" spans="2:36" s="4" customFormat="1">
      <c r="B40" s="1" t="s">
        <v>84</v>
      </c>
      <c r="C40" s="18">
        <f>+C17/C9</f>
        <v>0.69688195802538122</v>
      </c>
      <c r="D40" s="18">
        <f t="shared" ref="D40:K40" si="69">+D17/D9</f>
        <v>0.57023217901185874</v>
      </c>
      <c r="E40" s="18">
        <f t="shared" si="69"/>
        <v>0.60155051230015344</v>
      </c>
      <c r="F40" s="18">
        <f t="shared" si="69"/>
        <v>0.6526084397410179</v>
      </c>
      <c r="G40" s="18">
        <f t="shared" si="69"/>
        <v>0.63852606930331479</v>
      </c>
      <c r="H40" s="18">
        <f t="shared" si="69"/>
        <v>0.61790965514952367</v>
      </c>
      <c r="I40" s="18">
        <f t="shared" si="69"/>
        <v>0.56117175014451359</v>
      </c>
      <c r="J40" s="18">
        <f t="shared" si="69"/>
        <v>0.43944737264861805</v>
      </c>
      <c r="K40" s="18">
        <f t="shared" si="69"/>
        <v>0.40326223558051449</v>
      </c>
      <c r="L40" s="4">
        <f t="shared" ref="L40:N40" si="70">+L17/L9</f>
        <v>0.2662278814730733</v>
      </c>
      <c r="M40" s="4">
        <f t="shared" si="70"/>
        <v>0.3813281534539274</v>
      </c>
      <c r="N40" s="4">
        <f t="shared" si="70"/>
        <v>0.42005079520505495</v>
      </c>
      <c r="P40" s="4">
        <f t="shared" ref="P40:R40" si="71">+P17/P9</f>
        <v>0.50457750221434894</v>
      </c>
      <c r="Q40" s="4">
        <f t="shared" si="71"/>
        <v>0.62661419033533039</v>
      </c>
      <c r="R40" s="4">
        <f t="shared" si="71"/>
        <v>0.57602012852952122</v>
      </c>
      <c r="S40" s="4">
        <f t="shared" ref="S40:AB40" si="72">+S17/S9</f>
        <v>0.36901626916857144</v>
      </c>
      <c r="T40" s="4">
        <f t="shared" si="72"/>
        <v>0.3690162691685715</v>
      </c>
      <c r="U40" s="4">
        <f t="shared" si="72"/>
        <v>0.36901626916857139</v>
      </c>
      <c r="V40" s="4">
        <f t="shared" si="72"/>
        <v>0.36901626916857139</v>
      </c>
      <c r="W40" s="4">
        <f t="shared" si="72"/>
        <v>0.36901626916857144</v>
      </c>
      <c r="X40" s="4">
        <f t="shared" si="72"/>
        <v>0.36901626916857144</v>
      </c>
      <c r="Y40" s="4">
        <f t="shared" si="72"/>
        <v>0.3690162691685715</v>
      </c>
      <c r="Z40" s="4">
        <f t="shared" si="72"/>
        <v>0.3690162691685715</v>
      </c>
      <c r="AA40" s="4">
        <f t="shared" si="72"/>
        <v>0.36901626916857144</v>
      </c>
      <c r="AB40" s="4">
        <f t="shared" si="72"/>
        <v>0.36901626916857144</v>
      </c>
      <c r="AF40" s="7"/>
    </row>
    <row r="41" spans="2:36" s="4" customFormat="1">
      <c r="B41" s="1" t="s">
        <v>85</v>
      </c>
      <c r="C41" s="18">
        <f>+C22/C9</f>
        <v>0.47166840220455641</v>
      </c>
      <c r="D41" s="18">
        <f t="shared" ref="D41:K41" si="73">+D22/D9</f>
        <v>0.39135179195919118</v>
      </c>
      <c r="E41" s="18">
        <f t="shared" si="73"/>
        <v>0.41313790031183489</v>
      </c>
      <c r="F41" s="18">
        <f t="shared" si="73"/>
        <v>0.47780754123172653</v>
      </c>
      <c r="G41" s="18">
        <f t="shared" si="73"/>
        <v>0.38790844056800361</v>
      </c>
      <c r="H41" s="18">
        <f t="shared" si="73"/>
        <v>0.46471600688468157</v>
      </c>
      <c r="I41" s="18">
        <f t="shared" si="73"/>
        <v>0.40289253856529178</v>
      </c>
      <c r="J41" s="18">
        <f t="shared" si="73"/>
        <v>0.33678597929942394</v>
      </c>
      <c r="K41" s="18">
        <f t="shared" si="73"/>
        <v>0.2749611115505286</v>
      </c>
      <c r="L41" s="4">
        <f t="shared" ref="L41:N41" si="74">+L22/L9</f>
        <v>0.1508591096749389</v>
      </c>
      <c r="M41" s="4">
        <f t="shared" si="74"/>
        <v>0.2566713609323783</v>
      </c>
      <c r="N41" s="4">
        <f t="shared" si="74"/>
        <v>0.31474124835905609</v>
      </c>
      <c r="P41" s="4">
        <f t="shared" ref="P41:R41" si="75">+P22/P9</f>
        <v>0.33871390611160318</v>
      </c>
      <c r="Q41" s="4">
        <f t="shared" si="75"/>
        <v>0.43714789467966875</v>
      </c>
      <c r="R41" s="4">
        <f t="shared" si="75"/>
        <v>0.40517469053237803</v>
      </c>
      <c r="S41" s="4">
        <f t="shared" ref="S41:AB41" si="76">+S22/S9</f>
        <v>0.25044671412290992</v>
      </c>
      <c r="T41" s="4">
        <f t="shared" si="76"/>
        <v>0.25044671412290992</v>
      </c>
      <c r="U41" s="4">
        <f t="shared" si="76"/>
        <v>0.25044671412290992</v>
      </c>
      <c r="V41" s="4">
        <f t="shared" si="76"/>
        <v>0.25044671412290986</v>
      </c>
      <c r="W41" s="4">
        <f t="shared" si="76"/>
        <v>0.25044671412290992</v>
      </c>
      <c r="X41" s="4">
        <f t="shared" si="76"/>
        <v>0.25044671412290992</v>
      </c>
      <c r="Y41" s="4">
        <f t="shared" si="76"/>
        <v>0.25044671412290992</v>
      </c>
      <c r="Z41" s="4">
        <f t="shared" si="76"/>
        <v>0.25044671412290997</v>
      </c>
      <c r="AA41" s="4">
        <f t="shared" si="76"/>
        <v>0.25044671412290986</v>
      </c>
      <c r="AB41" s="4">
        <f t="shared" si="76"/>
        <v>0.25044671412290981</v>
      </c>
    </row>
    <row r="43" spans="2:36">
      <c r="S43" s="4"/>
    </row>
    <row r="44" spans="2:36">
      <c r="B44" s="1" t="s">
        <v>24</v>
      </c>
      <c r="E44" s="10">
        <v>121479</v>
      </c>
      <c r="F44" s="10">
        <v>186388</v>
      </c>
      <c r="G44" s="10">
        <v>143347</v>
      </c>
      <c r="H44" s="10">
        <v>198028</v>
      </c>
      <c r="I44" s="10">
        <v>249399</v>
      </c>
      <c r="J44" s="10">
        <v>322808</v>
      </c>
      <c r="K44" s="10">
        <v>369340</v>
      </c>
      <c r="L44" s="10">
        <v>378418</v>
      </c>
      <c r="M44" s="10">
        <v>429586</v>
      </c>
    </row>
    <row r="45" spans="2:36">
      <c r="B45" s="1" t="s">
        <v>25</v>
      </c>
      <c r="E45" s="10">
        <v>59283</v>
      </c>
      <c r="F45" s="10">
        <v>40779</v>
      </c>
      <c r="G45" s="10">
        <v>68914</v>
      </c>
      <c r="H45" s="10">
        <v>81345</v>
      </c>
      <c r="I45" s="10">
        <v>93286</v>
      </c>
      <c r="J45" s="10">
        <v>46220</v>
      </c>
      <c r="K45" s="10">
        <v>45516</v>
      </c>
      <c r="L45" s="10">
        <v>50298</v>
      </c>
      <c r="M45" s="10">
        <v>51876</v>
      </c>
    </row>
    <row r="46" spans="2:36">
      <c r="B46" s="1" t="s">
        <v>26</v>
      </c>
      <c r="E46" s="10">
        <v>69088</v>
      </c>
      <c r="F46" s="10">
        <v>98399</v>
      </c>
      <c r="G46" s="10">
        <v>117471</v>
      </c>
      <c r="H46" s="10">
        <v>140316</v>
      </c>
      <c r="I46" s="10">
        <v>151283</v>
      </c>
      <c r="J46" s="10">
        <v>144425</v>
      </c>
      <c r="K46" s="10">
        <v>132014</v>
      </c>
      <c r="L46" s="10">
        <v>128509</v>
      </c>
      <c r="M46" s="10">
        <v>112762</v>
      </c>
    </row>
    <row r="47" spans="2:36">
      <c r="B47" s="1" t="s">
        <v>27</v>
      </c>
      <c r="E47" s="10">
        <v>8182</v>
      </c>
      <c r="F47" s="10">
        <v>9621</v>
      </c>
      <c r="G47" s="10">
        <v>8196</v>
      </c>
      <c r="H47" s="10">
        <v>5765</v>
      </c>
      <c r="I47" s="10">
        <v>3277</v>
      </c>
      <c r="J47" s="10">
        <v>8771</v>
      </c>
      <c r="K47" s="10">
        <v>16665</v>
      </c>
      <c r="L47" s="10">
        <v>13398</v>
      </c>
      <c r="M47" s="10">
        <v>6418</v>
      </c>
    </row>
    <row r="48" spans="2:36" s="3" customFormat="1">
      <c r="B48" s="1" t="s">
        <v>28</v>
      </c>
      <c r="C48" s="11"/>
      <c r="D48" s="11"/>
      <c r="E48" s="11">
        <f t="shared" ref="E48:K48" si="77">+SUM(E44:E47)</f>
        <v>258032</v>
      </c>
      <c r="F48" s="11">
        <f t="shared" si="77"/>
        <v>335187</v>
      </c>
      <c r="G48" s="11">
        <f t="shared" si="77"/>
        <v>337928</v>
      </c>
      <c r="H48" s="11">
        <f t="shared" si="77"/>
        <v>425454</v>
      </c>
      <c r="I48" s="11">
        <f t="shared" si="77"/>
        <v>497245</v>
      </c>
      <c r="J48" s="11">
        <f t="shared" si="77"/>
        <v>522224</v>
      </c>
      <c r="K48" s="11">
        <f t="shared" si="77"/>
        <v>563535</v>
      </c>
      <c r="L48" s="11">
        <f t="shared" ref="L48:M48" si="78">+SUM(L44:L47)</f>
        <v>570623</v>
      </c>
      <c r="M48" s="11">
        <f t="shared" si="78"/>
        <v>600642</v>
      </c>
    </row>
    <row r="49" spans="2:13">
      <c r="B49" s="1" t="s">
        <v>29</v>
      </c>
      <c r="E49" s="10">
        <v>806</v>
      </c>
      <c r="F49" s="10">
        <v>747</v>
      </c>
      <c r="G49" s="10">
        <v>740</v>
      </c>
      <c r="H49" s="10">
        <v>670</v>
      </c>
      <c r="I49" s="10">
        <v>614</v>
      </c>
      <c r="J49" s="10">
        <v>1034</v>
      </c>
      <c r="K49" s="10">
        <v>1026</v>
      </c>
      <c r="L49" s="10">
        <v>932</v>
      </c>
      <c r="M49" s="10">
        <v>929</v>
      </c>
    </row>
    <row r="50" spans="2:13">
      <c r="B50" s="1" t="s">
        <v>30</v>
      </c>
      <c r="E50" s="10">
        <v>1054962</v>
      </c>
      <c r="F50" s="10">
        <v>1043344</v>
      </c>
      <c r="G50" s="10">
        <v>1031232</v>
      </c>
      <c r="H50" s="10">
        <v>1019120</v>
      </c>
      <c r="I50" s="10">
        <v>1007267</v>
      </c>
      <c r="J50" s="10">
        <v>995028</v>
      </c>
      <c r="K50" s="10">
        <v>982962</v>
      </c>
      <c r="L50" s="10">
        <v>971715</v>
      </c>
      <c r="M50" s="10">
        <v>959855</v>
      </c>
    </row>
    <row r="51" spans="2:13">
      <c r="B51" s="1" t="s">
        <v>31</v>
      </c>
      <c r="E51" s="10">
        <v>168300</v>
      </c>
      <c r="F51" s="10">
        <v>168300</v>
      </c>
      <c r="G51" s="10">
        <v>168300</v>
      </c>
      <c r="H51" s="10">
        <v>168300</v>
      </c>
      <c r="I51" s="10">
        <v>168300</v>
      </c>
      <c r="J51" s="10">
        <v>168300</v>
      </c>
      <c r="K51" s="10">
        <v>168300</v>
      </c>
      <c r="L51" s="10">
        <v>168300</v>
      </c>
      <c r="M51" s="10">
        <v>168300</v>
      </c>
    </row>
    <row r="52" spans="2:13">
      <c r="B52" s="1" t="s">
        <v>32</v>
      </c>
      <c r="E52" s="10">
        <v>6978</v>
      </c>
      <c r="F52" s="10">
        <v>8344</v>
      </c>
      <c r="G52" s="10">
        <v>10056</v>
      </c>
      <c r="H52" s="10">
        <v>11881</v>
      </c>
      <c r="I52" s="10">
        <v>12876</v>
      </c>
      <c r="L52" s="10"/>
      <c r="M52" s="10"/>
    </row>
    <row r="53" spans="2:13">
      <c r="B53" s="1" t="s">
        <v>33</v>
      </c>
      <c r="E53" s="10">
        <v>4500</v>
      </c>
      <c r="F53" s="10">
        <v>4500</v>
      </c>
      <c r="G53" s="10">
        <v>6364</v>
      </c>
      <c r="H53" s="10">
        <v>6234</v>
      </c>
      <c r="I53" s="10">
        <v>10498</v>
      </c>
      <c r="J53" s="10">
        <v>11089</v>
      </c>
      <c r="K53" s="10">
        <v>10004</v>
      </c>
      <c r="L53" s="10">
        <v>11354</v>
      </c>
      <c r="M53" s="10">
        <v>12441</v>
      </c>
    </row>
    <row r="54" spans="2:13" s="3" customFormat="1">
      <c r="B54" s="1" t="s">
        <v>34</v>
      </c>
      <c r="C54" s="11"/>
      <c r="D54" s="11"/>
      <c r="E54" s="11">
        <f t="shared" ref="E54:K54" si="79">+SUM(E48:E53)</f>
        <v>1493578</v>
      </c>
      <c r="F54" s="11">
        <f t="shared" si="79"/>
        <v>1560422</v>
      </c>
      <c r="G54" s="11">
        <f t="shared" si="79"/>
        <v>1554620</v>
      </c>
      <c r="H54" s="11">
        <f t="shared" si="79"/>
        <v>1631659</v>
      </c>
      <c r="I54" s="11">
        <f t="shared" si="79"/>
        <v>1696800</v>
      </c>
      <c r="J54" s="11">
        <f t="shared" si="79"/>
        <v>1697675</v>
      </c>
      <c r="K54" s="11">
        <f t="shared" si="79"/>
        <v>1725827</v>
      </c>
      <c r="L54" s="11">
        <f t="shared" ref="L54:M54" si="80">+SUM(L48:L53)</f>
        <v>1722924</v>
      </c>
      <c r="M54" s="11">
        <f t="shared" si="80"/>
        <v>1742167</v>
      </c>
    </row>
    <row r="55" spans="2:13">
      <c r="B55" s="1" t="s">
        <v>35</v>
      </c>
      <c r="L55" s="10"/>
      <c r="M55" s="10"/>
    </row>
    <row r="56" spans="2:13">
      <c r="B56" s="1" t="s">
        <v>36</v>
      </c>
      <c r="E56" s="10">
        <v>14303</v>
      </c>
      <c r="F56" s="10">
        <v>19167</v>
      </c>
      <c r="G56" s="10">
        <v>29005</v>
      </c>
      <c r="H56" s="10">
        <v>20699</v>
      </c>
      <c r="I56" s="10">
        <v>23126</v>
      </c>
      <c r="J56" s="10">
        <v>9748</v>
      </c>
      <c r="K56" s="10">
        <v>9408</v>
      </c>
      <c r="L56" s="10">
        <v>13666</v>
      </c>
      <c r="M56" s="10">
        <v>13349</v>
      </c>
    </row>
    <row r="57" spans="2:13">
      <c r="B57" s="1" t="s">
        <v>37</v>
      </c>
      <c r="E57" s="10">
        <v>0</v>
      </c>
      <c r="F57" s="10">
        <v>17332</v>
      </c>
      <c r="G57" s="10">
        <v>11361</v>
      </c>
      <c r="H57" s="10">
        <v>20546</v>
      </c>
      <c r="I57" s="10">
        <v>26031</v>
      </c>
      <c r="J57" s="10">
        <v>3415</v>
      </c>
      <c r="K57" s="10">
        <v>5799</v>
      </c>
      <c r="L57" s="10">
        <v>0</v>
      </c>
      <c r="M57" s="10">
        <v>2503</v>
      </c>
    </row>
    <row r="58" spans="2:13">
      <c r="B58" s="1" t="s">
        <v>38</v>
      </c>
      <c r="E58" s="10">
        <v>30894</v>
      </c>
      <c r="F58" s="10">
        <v>12144</v>
      </c>
      <c r="G58" s="10">
        <v>30895</v>
      </c>
      <c r="H58" s="10">
        <v>18199</v>
      </c>
      <c r="I58" s="10">
        <v>16096</v>
      </c>
      <c r="J58" s="10">
        <v>17107</v>
      </c>
      <c r="K58" s="10">
        <v>19919</v>
      </c>
      <c r="L58" s="10">
        <v>24649</v>
      </c>
      <c r="M58" s="10">
        <v>17409</v>
      </c>
    </row>
    <row r="59" spans="2:13">
      <c r="B59" s="1" t="s">
        <v>39</v>
      </c>
      <c r="E59" s="10">
        <v>20112</v>
      </c>
      <c r="F59" s="10">
        <v>20112</v>
      </c>
      <c r="G59" s="10">
        <v>6750</v>
      </c>
      <c r="H59" s="10">
        <v>6750</v>
      </c>
      <c r="I59" s="10">
        <v>6750</v>
      </c>
      <c r="J59" s="10">
        <v>8438</v>
      </c>
      <c r="K59" s="10">
        <v>6750</v>
      </c>
      <c r="L59" s="10">
        <v>6750</v>
      </c>
      <c r="M59" s="10">
        <v>6750</v>
      </c>
    </row>
    <row r="60" spans="2:13">
      <c r="B60" s="1" t="s">
        <v>40</v>
      </c>
      <c r="E60" s="10">
        <v>0</v>
      </c>
      <c r="F60" s="10">
        <v>4157</v>
      </c>
      <c r="G60" s="10">
        <v>4157</v>
      </c>
      <c r="H60" s="10">
        <v>20786</v>
      </c>
      <c r="I60" s="10">
        <v>16557</v>
      </c>
      <c r="J60" s="10">
        <v>16380</v>
      </c>
      <c r="K60" s="10">
        <v>16352</v>
      </c>
      <c r="L60" s="10">
        <v>16184</v>
      </c>
      <c r="M60" s="10">
        <v>16184</v>
      </c>
    </row>
    <row r="61" spans="2:13" s="3" customFormat="1">
      <c r="B61" s="1" t="s">
        <v>41</v>
      </c>
      <c r="C61" s="11"/>
      <c r="D61" s="11"/>
      <c r="E61" s="11">
        <f t="shared" ref="E61:K61" si="81">+SUM(E56:E60)</f>
        <v>65309</v>
      </c>
      <c r="F61" s="11">
        <f t="shared" si="81"/>
        <v>72912</v>
      </c>
      <c r="G61" s="11">
        <f t="shared" si="81"/>
        <v>82168</v>
      </c>
      <c r="H61" s="11">
        <f t="shared" si="81"/>
        <v>86980</v>
      </c>
      <c r="I61" s="11">
        <f t="shared" si="81"/>
        <v>88560</v>
      </c>
      <c r="J61" s="11">
        <f t="shared" si="81"/>
        <v>55088</v>
      </c>
      <c r="K61" s="11">
        <f t="shared" si="81"/>
        <v>58228</v>
      </c>
      <c r="L61" s="11">
        <f t="shared" ref="L61:M61" si="82">+SUM(L56:L60)</f>
        <v>61249</v>
      </c>
      <c r="M61" s="11">
        <f t="shared" si="82"/>
        <v>56195</v>
      </c>
    </row>
    <row r="62" spans="2:13">
      <c r="B62" s="1" t="s">
        <v>42</v>
      </c>
      <c r="E62" s="10">
        <v>742371</v>
      </c>
      <c r="F62" s="10">
        <v>738090</v>
      </c>
      <c r="G62" s="10">
        <v>658315</v>
      </c>
      <c r="H62" s="10">
        <v>656989</v>
      </c>
      <c r="I62" s="10">
        <v>655662</v>
      </c>
      <c r="J62" s="10">
        <v>654333</v>
      </c>
      <c r="K62" s="10">
        <v>653006</v>
      </c>
      <c r="L62" s="10">
        <v>651678</v>
      </c>
      <c r="M62" s="10">
        <v>650350</v>
      </c>
    </row>
    <row r="63" spans="2:13">
      <c r="B63" s="1" t="s">
        <v>43</v>
      </c>
      <c r="E63" s="10">
        <v>0</v>
      </c>
      <c r="F63" s="10">
        <v>0</v>
      </c>
      <c r="G63" s="10">
        <v>0</v>
      </c>
      <c r="H63" s="10">
        <v>0</v>
      </c>
      <c r="I63" s="10">
        <v>0</v>
      </c>
      <c r="J63" s="10">
        <v>1622</v>
      </c>
      <c r="K63" s="10">
        <v>2301</v>
      </c>
      <c r="L63" s="10">
        <v>2754</v>
      </c>
      <c r="M63" s="10">
        <v>4068</v>
      </c>
    </row>
    <row r="64" spans="2:13">
      <c r="B64" s="1" t="s">
        <v>44</v>
      </c>
      <c r="E64" s="10">
        <v>232893</v>
      </c>
      <c r="F64" s="10">
        <v>225122</v>
      </c>
      <c r="G64" s="10">
        <v>225122</v>
      </c>
      <c r="H64" s="10">
        <v>208493</v>
      </c>
      <c r="I64" s="10">
        <v>208582</v>
      </c>
      <c r="J64" s="10">
        <v>205675</v>
      </c>
      <c r="K64" s="10">
        <v>205675</v>
      </c>
      <c r="L64" s="10">
        <v>189391</v>
      </c>
      <c r="M64" s="10">
        <v>189391</v>
      </c>
    </row>
    <row r="65" spans="2:13">
      <c r="B65" s="1" t="s">
        <v>147</v>
      </c>
      <c r="L65" s="10"/>
      <c r="M65" s="10">
        <v>1768</v>
      </c>
    </row>
    <row r="66" spans="2:13" s="3" customFormat="1">
      <c r="B66" s="1" t="s">
        <v>45</v>
      </c>
      <c r="C66" s="11"/>
      <c r="D66" s="11"/>
      <c r="E66" s="11">
        <f t="shared" ref="E66:K66" si="83">+SUM(E61:E64)</f>
        <v>1040573</v>
      </c>
      <c r="F66" s="11">
        <f t="shared" si="83"/>
        <v>1036124</v>
      </c>
      <c r="G66" s="11">
        <f t="shared" si="83"/>
        <v>965605</v>
      </c>
      <c r="H66" s="11">
        <f t="shared" si="83"/>
        <v>952462</v>
      </c>
      <c r="I66" s="11">
        <f t="shared" si="83"/>
        <v>952804</v>
      </c>
      <c r="J66" s="11">
        <f t="shared" si="83"/>
        <v>916718</v>
      </c>
      <c r="K66" s="11">
        <f t="shared" si="83"/>
        <v>919210</v>
      </c>
      <c r="L66" s="11">
        <f t="shared" ref="L66" si="84">+SUM(L61:L64)</f>
        <v>905072</v>
      </c>
      <c r="M66" s="11">
        <f>+SUM(M61:M65)</f>
        <v>901772</v>
      </c>
    </row>
    <row r="67" spans="2:13">
      <c r="B67" s="1" t="s">
        <v>46</v>
      </c>
      <c r="E67" s="10">
        <v>453005</v>
      </c>
      <c r="F67" s="10">
        <v>524298</v>
      </c>
      <c r="G67" s="10">
        <v>589015</v>
      </c>
      <c r="H67" s="10">
        <v>679197</v>
      </c>
      <c r="I67" s="10">
        <v>743996</v>
      </c>
      <c r="J67" s="10">
        <v>780957</v>
      </c>
      <c r="K67" s="10">
        <v>806617</v>
      </c>
      <c r="L67" s="10">
        <v>817852</v>
      </c>
      <c r="M67" s="10">
        <v>840395</v>
      </c>
    </row>
    <row r="68" spans="2:13" s="3" customFormat="1">
      <c r="B68" s="1" t="s">
        <v>47</v>
      </c>
      <c r="C68" s="11"/>
      <c r="D68" s="11"/>
      <c r="E68" s="11">
        <f t="shared" ref="E68:K68" si="85">+SUM(E66:E67)</f>
        <v>1493578</v>
      </c>
      <c r="F68" s="11">
        <f t="shared" si="85"/>
        <v>1560422</v>
      </c>
      <c r="G68" s="11">
        <f t="shared" si="85"/>
        <v>1554620</v>
      </c>
      <c r="H68" s="11">
        <f t="shared" si="85"/>
        <v>1631659</v>
      </c>
      <c r="I68" s="11">
        <f t="shared" si="85"/>
        <v>1696800</v>
      </c>
      <c r="J68" s="11">
        <f t="shared" si="85"/>
        <v>1697675</v>
      </c>
      <c r="K68" s="11">
        <f t="shared" si="85"/>
        <v>1725827</v>
      </c>
      <c r="L68" s="11">
        <f t="shared" ref="L68:M68" si="86">+SUM(L66:L67)</f>
        <v>1722924</v>
      </c>
      <c r="M68" s="11">
        <f t="shared" si="86"/>
        <v>1742167</v>
      </c>
    </row>
    <row r="69" spans="2:13">
      <c r="B69" s="1" t="s">
        <v>35</v>
      </c>
      <c r="E69" s="10" t="b">
        <f t="shared" ref="E69:J69" si="87">E54=E68</f>
        <v>1</v>
      </c>
      <c r="F69" s="10" t="b">
        <f t="shared" si="87"/>
        <v>1</v>
      </c>
      <c r="G69" s="10" t="b">
        <f t="shared" si="87"/>
        <v>1</v>
      </c>
      <c r="H69" s="10" t="b">
        <f t="shared" si="87"/>
        <v>1</v>
      </c>
      <c r="I69" s="10" t="b">
        <f t="shared" si="87"/>
        <v>1</v>
      </c>
      <c r="J69" s="10" t="b">
        <f t="shared" si="87"/>
        <v>1</v>
      </c>
      <c r="K69" s="10" t="b">
        <f>K54=K68</f>
        <v>1</v>
      </c>
      <c r="L69" s="10" t="b">
        <f>L54=L68</f>
        <v>1</v>
      </c>
      <c r="M69" s="10" t="b">
        <f>M54=M68</f>
        <v>1</v>
      </c>
    </row>
    <row r="70" spans="2:13">
      <c r="B70" s="1" t="s">
        <v>48</v>
      </c>
    </row>
    <row r="71" spans="2:13">
      <c r="B71" s="1" t="s">
        <v>49</v>
      </c>
      <c r="E71" s="10">
        <f t="shared" ref="E71:J71" si="88">+E62+E59</f>
        <v>762483</v>
      </c>
      <c r="F71" s="10">
        <f t="shared" si="88"/>
        <v>758202</v>
      </c>
      <c r="G71" s="10">
        <f t="shared" si="88"/>
        <v>665065</v>
      </c>
      <c r="H71" s="10">
        <f t="shared" si="88"/>
        <v>663739</v>
      </c>
      <c r="I71" s="10">
        <f t="shared" si="88"/>
        <v>662412</v>
      </c>
      <c r="J71" s="10">
        <f t="shared" si="88"/>
        <v>662771</v>
      </c>
      <c r="K71" s="10">
        <f>+K62+K59</f>
        <v>659756</v>
      </c>
      <c r="L71" s="10">
        <f>+L62+L59</f>
        <v>658428</v>
      </c>
      <c r="M71" s="10">
        <f>+M62+M59</f>
        <v>657100</v>
      </c>
    </row>
    <row r="72" spans="2:13">
      <c r="B72" s="1" t="s">
        <v>50</v>
      </c>
      <c r="E72" s="10">
        <f t="shared" ref="E72:J72" si="89">+E71-E44</f>
        <v>641004</v>
      </c>
      <c r="F72" s="10">
        <f t="shared" si="89"/>
        <v>571814</v>
      </c>
      <c r="G72" s="10">
        <f t="shared" si="89"/>
        <v>521718</v>
      </c>
      <c r="H72" s="10">
        <f t="shared" si="89"/>
        <v>465711</v>
      </c>
      <c r="I72" s="10">
        <f t="shared" si="89"/>
        <v>413013</v>
      </c>
      <c r="J72" s="10">
        <f t="shared" si="89"/>
        <v>339963</v>
      </c>
      <c r="K72" s="10">
        <f>+K71-K44</f>
        <v>290416</v>
      </c>
      <c r="L72" s="10">
        <f>+L71-L44</f>
        <v>280010</v>
      </c>
      <c r="M72" s="10">
        <f>+M71-M44</f>
        <v>227514</v>
      </c>
    </row>
    <row r="73" spans="2:13">
      <c r="B73" s="1" t="s">
        <v>51</v>
      </c>
      <c r="E73" s="19">
        <f t="shared" ref="E73:J73" si="90">+E72/E23</f>
        <v>1.6406057598744233</v>
      </c>
      <c r="F73" s="19">
        <f t="shared" si="90"/>
        <v>0.2349678812744051</v>
      </c>
      <c r="G73" s="19">
        <f t="shared" si="90"/>
        <v>0.75281690883358499</v>
      </c>
      <c r="H73" s="19">
        <f t="shared" si="90"/>
        <v>0.67361083002469058</v>
      </c>
      <c r="I73" s="19">
        <f t="shared" si="90"/>
        <v>0.59748054522084182</v>
      </c>
      <c r="J73" s="19">
        <f t="shared" si="90"/>
        <v>0.49518841181506118</v>
      </c>
      <c r="K73" s="19">
        <f>+K72/K23</f>
        <v>0.42490460312569001</v>
      </c>
      <c r="L73" s="19">
        <f>+L72/L23</f>
        <v>0.41156808305375425</v>
      </c>
      <c r="M73" s="19">
        <f>+M72/M23</f>
        <v>0.33519161954064275</v>
      </c>
    </row>
    <row r="74" spans="2:13">
      <c r="B74" s="1" t="s">
        <v>52</v>
      </c>
      <c r="E74" s="20">
        <f t="shared" ref="E74:J74" si="91">(E71/(E71+E67))</f>
        <v>0.62730606966090985</v>
      </c>
      <c r="F74" s="20">
        <f t="shared" si="91"/>
        <v>0.59119064327485382</v>
      </c>
      <c r="G74" s="20">
        <f t="shared" si="91"/>
        <v>0.53032103215105897</v>
      </c>
      <c r="H74" s="20">
        <f t="shared" si="91"/>
        <v>0.49424469967295537</v>
      </c>
      <c r="I74" s="20">
        <f t="shared" si="91"/>
        <v>0.47099561435941772</v>
      </c>
      <c r="J74" s="20">
        <f t="shared" si="91"/>
        <v>0.45906915984174307</v>
      </c>
      <c r="K74" s="20">
        <f>(K71/(K71+K67))</f>
        <v>0.44992372336370079</v>
      </c>
      <c r="L74" s="20">
        <f>(L71/(L71+L67))</f>
        <v>0.44600482293331889</v>
      </c>
      <c r="M74" s="20">
        <f>(M71/(M71+M67))</f>
        <v>0.43879946176781892</v>
      </c>
    </row>
    <row r="75" spans="2:13">
      <c r="B75" s="1" t="s">
        <v>53</v>
      </c>
      <c r="E75" s="10">
        <f t="shared" ref="E75:J75" si="92">+E48/E61</f>
        <v>3.9509409116660796</v>
      </c>
      <c r="F75" s="10">
        <f t="shared" si="92"/>
        <v>4.5971445029624753</v>
      </c>
      <c r="G75" s="10">
        <f t="shared" si="92"/>
        <v>4.1126472592736834</v>
      </c>
      <c r="H75" s="10">
        <f t="shared" si="92"/>
        <v>4.8914003219130837</v>
      </c>
      <c r="I75" s="10">
        <f t="shared" si="92"/>
        <v>5.6147809394760611</v>
      </c>
      <c r="J75" s="10">
        <f t="shared" si="92"/>
        <v>9.4798141155968629</v>
      </c>
      <c r="K75" s="10">
        <f>+K48/K61</f>
        <v>9.6780758398021565</v>
      </c>
      <c r="L75" s="10">
        <f>+L48/L61</f>
        <v>9.3164459827915564</v>
      </c>
      <c r="M75" s="10">
        <f>+M48/M61</f>
        <v>10.688531008096806</v>
      </c>
    </row>
    <row r="76" spans="2:13">
      <c r="B76" s="1" t="s">
        <v>54</v>
      </c>
      <c r="E76" s="10">
        <f t="shared" ref="E76:J76" si="93">+E48-E61</f>
        <v>192723</v>
      </c>
      <c r="F76" s="10">
        <f t="shared" si="93"/>
        <v>262275</v>
      </c>
      <c r="G76" s="10">
        <f t="shared" si="93"/>
        <v>255760</v>
      </c>
      <c r="H76" s="10">
        <f t="shared" si="93"/>
        <v>338474</v>
      </c>
      <c r="I76" s="10">
        <f t="shared" si="93"/>
        <v>408685</v>
      </c>
      <c r="J76" s="10">
        <f t="shared" si="93"/>
        <v>467136</v>
      </c>
      <c r="K76" s="10">
        <f>+K48-K61</f>
        <v>505307</v>
      </c>
      <c r="L76" s="10">
        <f>+L48-L61</f>
        <v>509374</v>
      </c>
      <c r="M76" s="10">
        <f>+M48-M61</f>
        <v>544447</v>
      </c>
    </row>
    <row r="77" spans="2:13">
      <c r="B77" s="1" t="s">
        <v>55</v>
      </c>
      <c r="E77" s="10">
        <f t="shared" ref="E77:J77" si="94">(E48-E44)-(E61-E59)</f>
        <v>91356</v>
      </c>
      <c r="F77" s="10">
        <f t="shared" si="94"/>
        <v>95999</v>
      </c>
      <c r="G77" s="10">
        <f t="shared" si="94"/>
        <v>119163</v>
      </c>
      <c r="H77" s="10">
        <f t="shared" si="94"/>
        <v>147196</v>
      </c>
      <c r="I77" s="10">
        <f t="shared" si="94"/>
        <v>166036</v>
      </c>
      <c r="J77" s="10">
        <f t="shared" si="94"/>
        <v>152766</v>
      </c>
      <c r="K77" s="10">
        <f>(K48-K44)-(K61-K59)</f>
        <v>142717</v>
      </c>
      <c r="L77" s="10">
        <f>(L48-L44)-(L61-L59)</f>
        <v>137706</v>
      </c>
      <c r="M77" s="10">
        <f>(M48-M44)-(M61-M59)</f>
        <v>121611</v>
      </c>
    </row>
    <row r="78" spans="2:13">
      <c r="B78" s="1" t="s">
        <v>35</v>
      </c>
    </row>
    <row r="79" spans="2:13">
      <c r="B79" s="1" t="s">
        <v>56</v>
      </c>
    </row>
    <row r="80" spans="2:13">
      <c r="B80" s="1" t="s">
        <v>57</v>
      </c>
      <c r="E80" s="18"/>
      <c r="F80" s="18">
        <f t="shared" ref="F80:M80" si="95">ABS(SUM(C18:F18))/F71</f>
        <v>8.0648692564778246E-2</v>
      </c>
      <c r="G80" s="18">
        <f t="shared" si="95"/>
        <v>8.5865291362498403E-2</v>
      </c>
      <c r="H80" s="18">
        <f t="shared" si="95"/>
        <v>7.5687883339686235E-2</v>
      </c>
      <c r="I80" s="18">
        <f t="shared" si="95"/>
        <v>6.9064268159393247E-2</v>
      </c>
      <c r="J80" s="18">
        <f t="shared" si="95"/>
        <v>6.2130056988009434E-2</v>
      </c>
      <c r="K80" s="18">
        <f t="shared" si="95"/>
        <v>6.102407556733095E-2</v>
      </c>
      <c r="L80" s="18">
        <f t="shared" si="95"/>
        <v>6.3443535208101726E-2</v>
      </c>
      <c r="M80" s="18">
        <f t="shared" si="95"/>
        <v>6.2066656521077464E-2</v>
      </c>
    </row>
    <row r="81" spans="2:18">
      <c r="B81" s="1" t="s">
        <v>58</v>
      </c>
      <c r="F81" s="10">
        <f t="shared" ref="F81:M81" si="96">F45/((SUM(C9:F9)/365))</f>
        <v>24.87500940061668</v>
      </c>
      <c r="G81" s="10">
        <f t="shared" si="96"/>
        <v>37.743134436305034</v>
      </c>
      <c r="H81" s="10">
        <f t="shared" si="96"/>
        <v>40.940520200049363</v>
      </c>
      <c r="I81" s="10">
        <f t="shared" si="96"/>
        <v>46.009518262930527</v>
      </c>
      <c r="J81" s="10">
        <f t="shared" si="96"/>
        <v>23.954171245850336</v>
      </c>
      <c r="K81" s="10">
        <f t="shared" si="96"/>
        <v>26.292546667405219</v>
      </c>
      <c r="L81" s="10">
        <f t="shared" si="96"/>
        <v>34.625926296154489</v>
      </c>
      <c r="M81" s="10">
        <f t="shared" si="96"/>
        <v>39.670189229505723</v>
      </c>
    </row>
    <row r="82" spans="2:18">
      <c r="B82" s="1" t="s">
        <v>59</v>
      </c>
      <c r="F82" s="20">
        <f t="shared" ref="F82:I82" si="97">SUM(C12:F12)/AVERAGE(E46:F46)</f>
        <v>1.4871960211837336</v>
      </c>
      <c r="G82" s="20">
        <f t="shared" si="97"/>
        <v>1.3434937693982489</v>
      </c>
      <c r="H82" s="20">
        <f t="shared" si="97"/>
        <v>1.3025559861435991</v>
      </c>
      <c r="I82" s="20">
        <f t="shared" si="97"/>
        <v>1.237144160302333</v>
      </c>
      <c r="J82" s="20">
        <f>SUM(G12:J12)/AVERAGE(I46:J46)</f>
        <v>1.2493473291219717</v>
      </c>
      <c r="K82" s="20">
        <f>SUM(H12:K12)/AVERAGE(J46:K46)</f>
        <v>1.2495125506893021</v>
      </c>
      <c r="L82" s="20">
        <f>SUM(I12:L12)/AVERAGE(K46:L46)</f>
        <v>1.1513685931760345</v>
      </c>
      <c r="M82" s="20">
        <f>SUM(J12:M12)/AVERAGE(L46:M46)</f>
        <v>1.1883732400495708</v>
      </c>
    </row>
    <row r="83" spans="2:18">
      <c r="B83" s="1" t="s">
        <v>60</v>
      </c>
      <c r="F83" s="20">
        <f>365/F82</f>
        <v>245.4283058863204</v>
      </c>
      <c r="G83" s="20">
        <f t="shared" ref="G83:K83" si="98">365/G82</f>
        <v>271.67971174401765</v>
      </c>
      <c r="H83" s="20">
        <f t="shared" si="98"/>
        <v>280.21828150407111</v>
      </c>
      <c r="I83" s="20">
        <f t="shared" si="98"/>
        <v>295.03433125433128</v>
      </c>
      <c r="J83" s="20">
        <f t="shared" si="98"/>
        <v>292.15254356570182</v>
      </c>
      <c r="K83" s="20">
        <f t="shared" si="98"/>
        <v>292.113912580266</v>
      </c>
      <c r="L83" s="20">
        <f t="shared" ref="L83" si="99">365/L82</f>
        <v>317.01403196447501</v>
      </c>
      <c r="M83" s="20">
        <f>365/M82</f>
        <v>307.14256068638394</v>
      </c>
    </row>
    <row r="84" spans="2:18">
      <c r="B84" s="1" t="s">
        <v>61</v>
      </c>
      <c r="F84" s="10">
        <f t="shared" ref="F84:J84" si="100">F56/((SUM(C12:F12)/365))</f>
        <v>56.173008519145995</v>
      </c>
      <c r="G84" s="10">
        <f t="shared" si="100"/>
        <v>73.007551203365281</v>
      </c>
      <c r="H84" s="10">
        <f t="shared" si="100"/>
        <v>45.000238249816846</v>
      </c>
      <c r="I84" s="10">
        <f t="shared" si="100"/>
        <v>46.796895356895355</v>
      </c>
      <c r="J84" s="10">
        <f t="shared" si="100"/>
        <v>19.261589099236144</v>
      </c>
      <c r="K84" s="10">
        <f>K56/((SUM(H12:K12)/365))</f>
        <v>19.882923100974484</v>
      </c>
      <c r="L84" s="10">
        <f>L56/((SUM(I12:L12)/365))</f>
        <v>33.258589535868353</v>
      </c>
      <c r="M84" s="10">
        <f>M56/((SUM(J12:M12)/365))</f>
        <v>33.987060546875</v>
      </c>
    </row>
    <row r="85" spans="2:18">
      <c r="B85" s="1" t="s">
        <v>35</v>
      </c>
    </row>
    <row r="86" spans="2:18">
      <c r="B86" s="1" t="s">
        <v>35</v>
      </c>
    </row>
    <row r="87" spans="2:18">
      <c r="B87" s="1" t="s">
        <v>62</v>
      </c>
      <c r="C87" s="10">
        <v>45531</v>
      </c>
      <c r="D87" s="10">
        <f>94882-C87</f>
        <v>49351</v>
      </c>
      <c r="E87" s="10">
        <f>151473-SUM(C87:D87)</f>
        <v>56591</v>
      </c>
      <c r="F87" s="10">
        <f>+Q87-SUM(C87:E87)</f>
        <v>110101</v>
      </c>
      <c r="G87" s="10">
        <v>61961</v>
      </c>
      <c r="H87" s="10">
        <f>149676-G87</f>
        <v>87715</v>
      </c>
      <c r="I87" s="10">
        <f>210439-SUM(G87:H87)</f>
        <v>60763</v>
      </c>
      <c r="J87" s="10">
        <f>+R87-SUM(G87:I87)</f>
        <v>74915</v>
      </c>
      <c r="K87" s="10">
        <f>+K22</f>
        <v>31287</v>
      </c>
      <c r="L87" s="1">
        <f>27120-K87</f>
        <v>-4167</v>
      </c>
      <c r="P87" s="1">
        <f t="shared" ref="P87:Q87" si="101">+P22</f>
        <v>95602</v>
      </c>
      <c r="Q87" s="1">
        <f t="shared" si="101"/>
        <v>261574</v>
      </c>
      <c r="R87" s="1">
        <f>+R22</f>
        <v>285354</v>
      </c>
    </row>
    <row r="88" spans="2:18">
      <c r="B88" s="1" t="s">
        <v>63</v>
      </c>
      <c r="C88" s="10">
        <v>2451</v>
      </c>
      <c r="D88" s="10">
        <f>4719-C88</f>
        <v>2268</v>
      </c>
      <c r="E88" s="10">
        <f>6399-SUM(C88:D88)</f>
        <v>1680</v>
      </c>
      <c r="F88" s="10">
        <f t="shared" ref="F88:F104" si="102">+Q88-SUM(C88:E88)</f>
        <v>1590</v>
      </c>
      <c r="G88" s="10">
        <v>1769</v>
      </c>
      <c r="H88" s="10">
        <f>3949-G88</f>
        <v>2180</v>
      </c>
      <c r="I88" s="10">
        <f>5091-SUM(G88:H88)</f>
        <v>1142</v>
      </c>
      <c r="J88" s="10">
        <f t="shared" ref="J88:J104" si="103">+R88-SUM(G88:I88)</f>
        <v>2409</v>
      </c>
      <c r="K88" s="10">
        <v>1742</v>
      </c>
      <c r="L88" s="1">
        <f>3706-K88</f>
        <v>1964</v>
      </c>
      <c r="P88" s="1">
        <v>6052</v>
      </c>
      <c r="Q88" s="1">
        <v>7989</v>
      </c>
      <c r="R88" s="1">
        <v>7500</v>
      </c>
    </row>
    <row r="89" spans="2:18">
      <c r="B89" s="1" t="s">
        <v>64</v>
      </c>
      <c r="C89" s="10">
        <v>10182</v>
      </c>
      <c r="D89" s="10">
        <f>20365-C89</f>
        <v>10183</v>
      </c>
      <c r="E89" s="10">
        <f>30547-SUM(C89:D89)</f>
        <v>10182</v>
      </c>
      <c r="F89" s="10">
        <f t="shared" si="102"/>
        <v>10243</v>
      </c>
      <c r="G89" s="10">
        <v>10266</v>
      </c>
      <c r="H89" s="10">
        <f>20561-G89</f>
        <v>10295</v>
      </c>
      <c r="I89" s="10">
        <f>30890-SUM(G89:H89)</f>
        <v>10329</v>
      </c>
      <c r="J89" s="10">
        <f t="shared" si="103"/>
        <v>10392</v>
      </c>
      <c r="K89" s="10">
        <v>10323</v>
      </c>
      <c r="L89" s="1">
        <f>20647-K89</f>
        <v>10324</v>
      </c>
      <c r="P89" s="1">
        <v>39825</v>
      </c>
      <c r="Q89" s="1">
        <v>40790</v>
      </c>
      <c r="R89" s="1">
        <v>41282</v>
      </c>
    </row>
    <row r="90" spans="2:18">
      <c r="B90" s="1" t="s">
        <v>88</v>
      </c>
      <c r="C90" s="10">
        <v>0</v>
      </c>
      <c r="D90" s="10">
        <f>0-C90</f>
        <v>0</v>
      </c>
      <c r="E90" s="10">
        <f>0-SUM(C90:D90)</f>
        <v>0</v>
      </c>
      <c r="F90" s="10">
        <f t="shared" si="102"/>
        <v>0</v>
      </c>
      <c r="G90" s="10">
        <v>4324</v>
      </c>
      <c r="H90" s="10">
        <f>4324-G90</f>
        <v>0</v>
      </c>
      <c r="I90" s="10">
        <f>5958-SUM(G90:H90)</f>
        <v>1634</v>
      </c>
      <c r="J90" s="10">
        <f t="shared" si="103"/>
        <v>2222</v>
      </c>
      <c r="K90" s="10">
        <v>2610</v>
      </c>
      <c r="L90" s="1">
        <f>6167-K90</f>
        <v>3557</v>
      </c>
      <c r="P90" s="1">
        <v>0</v>
      </c>
      <c r="Q90" s="1">
        <v>0</v>
      </c>
      <c r="R90" s="1">
        <v>8180</v>
      </c>
    </row>
    <row r="91" spans="2:18">
      <c r="B91" s="1" t="s">
        <v>89</v>
      </c>
      <c r="C91" s="10">
        <v>0</v>
      </c>
      <c r="D91" s="10">
        <f>0-C91</f>
        <v>0</v>
      </c>
      <c r="E91" s="10">
        <f>87-SUM(C91:D91)</f>
        <v>87</v>
      </c>
      <c r="F91" s="10">
        <f t="shared" si="102"/>
        <v>75</v>
      </c>
      <c r="G91" s="10">
        <v>75</v>
      </c>
      <c r="H91" s="10">
        <f>152-G91</f>
        <v>77</v>
      </c>
      <c r="I91" s="10">
        <f>233-SUM(G91:H91)</f>
        <v>81</v>
      </c>
      <c r="J91" s="10">
        <f t="shared" si="103"/>
        <v>130</v>
      </c>
      <c r="K91" s="10">
        <v>116</v>
      </c>
      <c r="L91" s="1">
        <f>230-K91</f>
        <v>114</v>
      </c>
      <c r="P91" s="1">
        <v>0</v>
      </c>
      <c r="Q91" s="1">
        <v>162</v>
      </c>
      <c r="R91" s="1">
        <v>363</v>
      </c>
    </row>
    <row r="92" spans="2:18">
      <c r="B92" s="1" t="s">
        <v>112</v>
      </c>
      <c r="F92" s="10">
        <f t="shared" si="102"/>
        <v>0</v>
      </c>
      <c r="J92" s="10">
        <f t="shared" si="103"/>
        <v>0</v>
      </c>
      <c r="L92" s="1">
        <v>0</v>
      </c>
      <c r="P92" s="1">
        <v>44721</v>
      </c>
      <c r="Q92" s="1">
        <v>0</v>
      </c>
      <c r="R92" s="1">
        <v>0</v>
      </c>
    </row>
    <row r="93" spans="2:18">
      <c r="B93" s="1" t="s">
        <v>90</v>
      </c>
      <c r="C93" s="10">
        <v>690</v>
      </c>
      <c r="D93" s="10">
        <f>1380-C93</f>
        <v>690</v>
      </c>
      <c r="E93" s="10">
        <f>2084-SUM(C93:D93)</f>
        <v>704</v>
      </c>
      <c r="F93" s="10">
        <f t="shared" si="102"/>
        <v>746</v>
      </c>
      <c r="G93" s="10">
        <v>146</v>
      </c>
      <c r="H93" s="10">
        <f>636-G93</f>
        <v>490</v>
      </c>
      <c r="I93" s="10">
        <f>2955-SUM(G93:H93)</f>
        <v>2319</v>
      </c>
      <c r="J93" s="10">
        <f t="shared" si="103"/>
        <v>-1412</v>
      </c>
      <c r="K93" s="10">
        <v>453</v>
      </c>
      <c r="L93" s="1">
        <f>906-K93</f>
        <v>453</v>
      </c>
      <c r="P93" s="1">
        <v>1752</v>
      </c>
      <c r="Q93" s="1">
        <v>2830</v>
      </c>
      <c r="R93" s="1">
        <v>1543</v>
      </c>
    </row>
    <row r="94" spans="2:18">
      <c r="B94" s="1" t="s">
        <v>91</v>
      </c>
      <c r="C94" s="10">
        <v>1937</v>
      </c>
      <c r="D94" s="10">
        <f>1331-C94</f>
        <v>-606</v>
      </c>
      <c r="E94" s="10">
        <f>3852-SUM(C94:D94)</f>
        <v>2521</v>
      </c>
      <c r="F94" s="10">
        <f t="shared" si="102"/>
        <v>-1366</v>
      </c>
      <c r="G94" s="10">
        <v>-1712</v>
      </c>
      <c r="H94" s="10">
        <f>+-3537-G94</f>
        <v>-1825</v>
      </c>
      <c r="I94" s="10">
        <f>+-4532-SUM(G94:H94)</f>
        <v>-995</v>
      </c>
      <c r="J94" s="10">
        <f t="shared" si="103"/>
        <v>13711</v>
      </c>
      <c r="K94" s="10">
        <v>847</v>
      </c>
      <c r="L94" s="1">
        <f>1240-K94</f>
        <v>393</v>
      </c>
      <c r="P94" s="1">
        <v>-4428</v>
      </c>
      <c r="Q94" s="1">
        <v>2486</v>
      </c>
      <c r="R94" s="1">
        <v>9179</v>
      </c>
    </row>
    <row r="95" spans="2:18">
      <c r="B95" s="1" t="s">
        <v>113</v>
      </c>
      <c r="F95" s="10">
        <f t="shared" si="102"/>
        <v>-3615</v>
      </c>
      <c r="J95" s="10">
        <f t="shared" si="103"/>
        <v>-3084</v>
      </c>
      <c r="L95" s="1">
        <f>0-K95</f>
        <v>0</v>
      </c>
      <c r="P95" s="1">
        <v>0</v>
      </c>
      <c r="Q95" s="1">
        <v>-3615</v>
      </c>
      <c r="R95" s="1">
        <v>-3084</v>
      </c>
    </row>
    <row r="96" spans="2:18">
      <c r="B96" s="1" t="s">
        <v>92</v>
      </c>
      <c r="C96" s="10">
        <v>627</v>
      </c>
      <c r="D96" s="10">
        <f>1174-C96</f>
        <v>547</v>
      </c>
      <c r="E96" s="10">
        <f>3119-SUM(C96:D96)</f>
        <v>1945</v>
      </c>
      <c r="F96" s="10">
        <f t="shared" si="102"/>
        <v>844</v>
      </c>
      <c r="G96" s="10">
        <v>1696</v>
      </c>
      <c r="H96" s="10">
        <f>3423-G96</f>
        <v>1727</v>
      </c>
      <c r="I96" s="10">
        <f>5454-SUM(G96:H96)</f>
        <v>2031</v>
      </c>
      <c r="J96" s="10">
        <f t="shared" si="103"/>
        <v>1821</v>
      </c>
      <c r="K96" s="10">
        <v>2018</v>
      </c>
      <c r="L96" s="1">
        <f>4652-K96</f>
        <v>2634</v>
      </c>
      <c r="P96" s="1">
        <v>1527</v>
      </c>
      <c r="Q96" s="1">
        <v>3963</v>
      </c>
      <c r="R96" s="1">
        <v>7275</v>
      </c>
    </row>
    <row r="97" spans="2:18">
      <c r="B97" s="1" t="s">
        <v>93</v>
      </c>
      <c r="C97" s="10">
        <v>0</v>
      </c>
      <c r="D97" s="10">
        <f>0-C97</f>
        <v>0</v>
      </c>
      <c r="E97" s="10">
        <f>0-SUM(C97:D97)</f>
        <v>0</v>
      </c>
      <c r="F97" s="10">
        <f t="shared" si="102"/>
        <v>0</v>
      </c>
      <c r="G97" s="10">
        <v>18803</v>
      </c>
      <c r="H97" s="10">
        <f>18803-G97</f>
        <v>0</v>
      </c>
      <c r="I97" s="10">
        <f>18803-SUM(G97:H97)</f>
        <v>0</v>
      </c>
      <c r="J97" s="10">
        <f t="shared" si="103"/>
        <v>0</v>
      </c>
      <c r="K97" s="10">
        <v>0</v>
      </c>
      <c r="L97" s="1">
        <f>0-K97</f>
        <v>0</v>
      </c>
      <c r="P97" s="1">
        <v>0</v>
      </c>
      <c r="Q97" s="1">
        <v>0</v>
      </c>
      <c r="R97" s="1">
        <v>18803</v>
      </c>
    </row>
    <row r="98" spans="2:18">
      <c r="B98" s="1" t="s">
        <v>94</v>
      </c>
      <c r="C98" s="10">
        <v>0</v>
      </c>
      <c r="D98" s="10">
        <f>0-C98</f>
        <v>0</v>
      </c>
      <c r="E98" s="10">
        <f>0-SUM(C98:D98)</f>
        <v>0</v>
      </c>
      <c r="F98" s="10">
        <f t="shared" si="102"/>
        <v>0</v>
      </c>
      <c r="G98" s="10">
        <v>0</v>
      </c>
      <c r="H98" s="10">
        <f>0-G98</f>
        <v>0</v>
      </c>
      <c r="I98" s="10">
        <f>147-SUM(G98:H98)</f>
        <v>147</v>
      </c>
      <c r="J98" s="10">
        <f t="shared" si="103"/>
        <v>265</v>
      </c>
      <c r="K98" s="10">
        <v>265</v>
      </c>
      <c r="L98" s="1">
        <f>530-K98</f>
        <v>265</v>
      </c>
      <c r="P98" s="1">
        <v>0</v>
      </c>
      <c r="Q98" s="1">
        <v>0</v>
      </c>
      <c r="R98" s="1">
        <v>412</v>
      </c>
    </row>
    <row r="99" spans="2:18">
      <c r="B99" s="1" t="s">
        <v>25</v>
      </c>
      <c r="C99" s="10">
        <v>-20394</v>
      </c>
      <c r="D99" s="10">
        <f>+-28715-C99</f>
        <v>-8321</v>
      </c>
      <c r="E99" s="10">
        <f>+-44906-SUM(C99:D99)</f>
        <v>-16191</v>
      </c>
      <c r="F99" s="10">
        <f t="shared" si="102"/>
        <v>18504</v>
      </c>
      <c r="G99" s="10">
        <v>-28135</v>
      </c>
      <c r="H99" s="10">
        <f>+-40566-G99</f>
        <v>-12431</v>
      </c>
      <c r="I99" s="10">
        <f>+-52507-SUM(G99:H99)</f>
        <v>-11941</v>
      </c>
      <c r="J99" s="10">
        <f t="shared" si="103"/>
        <v>47066</v>
      </c>
      <c r="K99" s="10">
        <v>704</v>
      </c>
      <c r="L99" s="1">
        <f>+-4078-K99</f>
        <v>-4782</v>
      </c>
      <c r="P99" s="1">
        <v>-7118</v>
      </c>
      <c r="Q99" s="1">
        <v>-26402</v>
      </c>
      <c r="R99" s="1">
        <v>-5441</v>
      </c>
    </row>
    <row r="100" spans="2:18">
      <c r="B100" s="1" t="s">
        <v>26</v>
      </c>
      <c r="C100" s="10">
        <v>-8865</v>
      </c>
      <c r="D100" s="10">
        <f>+-23777-C100</f>
        <v>-14912</v>
      </c>
      <c r="E100" s="10">
        <f>+-35090-SUM(C100:D100)</f>
        <v>-11313</v>
      </c>
      <c r="F100" s="10">
        <f t="shared" si="102"/>
        <v>-28634</v>
      </c>
      <c r="G100" s="10">
        <v>-22899</v>
      </c>
      <c r="H100" s="10">
        <f>+-45657-G100</f>
        <v>-22758</v>
      </c>
      <c r="I100" s="10">
        <f>+-57132-SUM(G100:H100)</f>
        <v>-11475</v>
      </c>
      <c r="J100" s="10">
        <f t="shared" si="103"/>
        <v>4492</v>
      </c>
      <c r="K100" s="10">
        <v>10407</v>
      </c>
      <c r="L100" s="1">
        <f>10657-K100</f>
        <v>250</v>
      </c>
      <c r="P100" s="1">
        <v>-14242</v>
      </c>
      <c r="Q100" s="1">
        <v>-63724</v>
      </c>
      <c r="R100" s="1">
        <v>-52640</v>
      </c>
    </row>
    <row r="101" spans="2:18">
      <c r="B101" s="1" t="s">
        <v>27</v>
      </c>
      <c r="C101" s="10">
        <v>-2633</v>
      </c>
      <c r="D101" s="10">
        <f>-3421-C101</f>
        <v>-788</v>
      </c>
      <c r="E101" s="10">
        <f>-5760-SUM(C101:D101)</f>
        <v>-2339</v>
      </c>
      <c r="F101" s="10">
        <f t="shared" si="102"/>
        <v>-1439</v>
      </c>
      <c r="G101" s="10">
        <v>1425</v>
      </c>
      <c r="H101" s="10">
        <f>3856-G101</f>
        <v>2431</v>
      </c>
      <c r="I101" s="10">
        <f>6344-SUM(G101:H101)</f>
        <v>2488</v>
      </c>
      <c r="J101" s="10">
        <f t="shared" si="103"/>
        <v>-5494</v>
      </c>
      <c r="K101" s="10">
        <v>-7108</v>
      </c>
      <c r="L101" s="1">
        <f>+-4627-K101</f>
        <v>2481</v>
      </c>
      <c r="P101" s="1">
        <v>-2094</v>
      </c>
      <c r="Q101" s="1">
        <v>-7199</v>
      </c>
      <c r="R101" s="1">
        <v>850</v>
      </c>
    </row>
    <row r="102" spans="2:18">
      <c r="B102" s="1" t="s">
        <v>36</v>
      </c>
      <c r="C102" s="10">
        <v>-5422</v>
      </c>
      <c r="D102" s="10">
        <f>723-C102</f>
        <v>6145</v>
      </c>
      <c r="E102" s="10">
        <f>9165-SUM(C102:D102)</f>
        <v>8442</v>
      </c>
      <c r="F102" s="10">
        <f t="shared" si="102"/>
        <v>-6813</v>
      </c>
      <c r="G102" s="10">
        <v>9838</v>
      </c>
      <c r="H102" s="10">
        <f>1532-G102</f>
        <v>-8306</v>
      </c>
      <c r="I102" s="10">
        <f>3959-SUM(G102:H102)</f>
        <v>2427</v>
      </c>
      <c r="J102" s="10">
        <f t="shared" si="103"/>
        <v>-13378</v>
      </c>
      <c r="K102" s="10">
        <v>-340</v>
      </c>
      <c r="L102" s="1">
        <f>3918-K102</f>
        <v>4258</v>
      </c>
      <c r="P102" s="1">
        <v>14865</v>
      </c>
      <c r="Q102" s="1">
        <v>2352</v>
      </c>
      <c r="R102" s="1">
        <v>-9419</v>
      </c>
    </row>
    <row r="103" spans="2:18">
      <c r="B103" s="1" t="s">
        <v>95</v>
      </c>
      <c r="C103" s="10">
        <v>17186</v>
      </c>
      <c r="D103" s="10">
        <f>6292-C103</f>
        <v>-10894</v>
      </c>
      <c r="E103" s="10">
        <f>9355-SUM(C103:D103)</f>
        <v>3063</v>
      </c>
      <c r="F103" s="10">
        <f t="shared" si="102"/>
        <v>10258</v>
      </c>
      <c r="G103" s="10">
        <v>14412</v>
      </c>
      <c r="H103" s="10">
        <f>10901-G103</f>
        <v>-3511</v>
      </c>
      <c r="I103" s="10">
        <f>14283-SUM(G103:H103)</f>
        <v>3382</v>
      </c>
      <c r="J103" s="10">
        <f t="shared" si="103"/>
        <v>-21605</v>
      </c>
      <c r="K103" s="10">
        <v>5116</v>
      </c>
      <c r="L103" s="1">
        <f>4047-K103</f>
        <v>-1069</v>
      </c>
      <c r="P103" s="1">
        <v>8837</v>
      </c>
      <c r="Q103" s="6">
        <v>19613</v>
      </c>
      <c r="R103" s="6">
        <v>-7322</v>
      </c>
    </row>
    <row r="104" spans="2:18">
      <c r="B104" s="1" t="s">
        <v>96</v>
      </c>
      <c r="C104" s="10">
        <v>0</v>
      </c>
      <c r="D104" s="10">
        <f>0-C104</f>
        <v>0</v>
      </c>
      <c r="E104" s="10">
        <f>0-SUM(C104:D104)</f>
        <v>0</v>
      </c>
      <c r="F104" s="10">
        <f t="shared" si="102"/>
        <v>0</v>
      </c>
      <c r="G104" s="10">
        <v>0</v>
      </c>
      <c r="H104" s="10">
        <f>0-G104</f>
        <v>0</v>
      </c>
      <c r="I104" s="10">
        <f>+-8578-SUM(G104:H104)</f>
        <v>-8578</v>
      </c>
      <c r="J104" s="10">
        <f t="shared" si="103"/>
        <v>2349</v>
      </c>
      <c r="K104" s="10">
        <v>-28</v>
      </c>
      <c r="L104" s="1">
        <f>+-28-K104</f>
        <v>0</v>
      </c>
      <c r="P104" s="1">
        <v>0</v>
      </c>
      <c r="Q104" s="1">
        <v>0</v>
      </c>
      <c r="R104" s="1">
        <v>-6229</v>
      </c>
    </row>
    <row r="105" spans="2:18" s="3" customFormat="1">
      <c r="B105" s="3" t="s">
        <v>87</v>
      </c>
      <c r="C105" s="11">
        <f t="shared" ref="C105:L105" si="104">+SUM(C87:C104)</f>
        <v>41290</v>
      </c>
      <c r="D105" s="11">
        <f t="shared" si="104"/>
        <v>33663</v>
      </c>
      <c r="E105" s="11">
        <f t="shared" si="104"/>
        <v>55372</v>
      </c>
      <c r="F105" s="11">
        <f t="shared" si="104"/>
        <v>110494</v>
      </c>
      <c r="G105" s="11">
        <f t="shared" si="104"/>
        <v>71969</v>
      </c>
      <c r="H105" s="11">
        <f t="shared" si="104"/>
        <v>56084</v>
      </c>
      <c r="I105" s="11">
        <f t="shared" si="104"/>
        <v>53754</v>
      </c>
      <c r="J105" s="11">
        <f t="shared" si="104"/>
        <v>114799</v>
      </c>
      <c r="K105" s="11">
        <f t="shared" si="104"/>
        <v>58412</v>
      </c>
      <c r="L105" s="11">
        <f t="shared" si="104"/>
        <v>16675</v>
      </c>
      <c r="P105" s="11">
        <f>+SUM(P87:P104)</f>
        <v>185299</v>
      </c>
      <c r="Q105" s="11">
        <f>+SUM(Q87:Q104)</f>
        <v>240819</v>
      </c>
      <c r="R105" s="11">
        <f>+SUM(R87:R104)</f>
        <v>296606</v>
      </c>
    </row>
    <row r="107" spans="2:18">
      <c r="B107" s="1" t="s">
        <v>97</v>
      </c>
      <c r="C107" s="10">
        <v>0</v>
      </c>
      <c r="D107" s="10">
        <f>+-64-C107</f>
        <v>-64</v>
      </c>
      <c r="E107" s="10">
        <f>+-859-SUM(C107:D107)</f>
        <v>-795</v>
      </c>
      <c r="F107" s="10">
        <f t="shared" ref="F107:F110" si="105">+Q107-SUM(C107:E107)</f>
        <v>-16</v>
      </c>
      <c r="G107" s="10">
        <v>-68</v>
      </c>
      <c r="H107" s="10">
        <f>+-75-G107</f>
        <v>-7</v>
      </c>
      <c r="I107" s="10">
        <f>+-100-SUM(G107:H107)</f>
        <v>-25</v>
      </c>
      <c r="J107" s="10">
        <f t="shared" ref="J107:J110" si="106">+R107-SUM(G107:I107)</f>
        <v>-550</v>
      </c>
      <c r="K107" s="10">
        <v>-107</v>
      </c>
      <c r="L107" s="1">
        <f>+-128-K107</f>
        <v>-21</v>
      </c>
      <c r="P107" s="1">
        <v>-27</v>
      </c>
      <c r="Q107" s="1">
        <v>-875</v>
      </c>
      <c r="R107" s="1">
        <v>-650</v>
      </c>
    </row>
    <row r="108" spans="2:18">
      <c r="B108" s="1" t="s">
        <v>98</v>
      </c>
      <c r="C108" s="10">
        <v>0</v>
      </c>
      <c r="D108" s="10">
        <f>0-C108</f>
        <v>0</v>
      </c>
      <c r="E108" s="10">
        <f>0-SUM(C108:D108)</f>
        <v>0</v>
      </c>
      <c r="F108" s="10">
        <f t="shared" si="105"/>
        <v>-890</v>
      </c>
      <c r="G108" s="10">
        <v>-421</v>
      </c>
      <c r="H108" s="10">
        <f>+-870-G108</f>
        <v>-449</v>
      </c>
      <c r="I108" s="10">
        <f>+-1612-SUM(G108:H108)</f>
        <v>-742</v>
      </c>
      <c r="J108" s="10">
        <f t="shared" si="106"/>
        <v>-420</v>
      </c>
      <c r="K108" s="10">
        <v>-524</v>
      </c>
      <c r="L108" s="1">
        <f>+-1368-K108</f>
        <v>-844</v>
      </c>
      <c r="Q108" s="1">
        <v>-890</v>
      </c>
      <c r="R108" s="1">
        <v>-2032</v>
      </c>
    </row>
    <row r="109" spans="2:18">
      <c r="B109" s="1" t="s">
        <v>117</v>
      </c>
      <c r="F109" s="10">
        <f t="shared" si="105"/>
        <v>0</v>
      </c>
      <c r="J109" s="10">
        <f t="shared" si="106"/>
        <v>0</v>
      </c>
      <c r="L109" s="1">
        <v>0</v>
      </c>
      <c r="P109" s="1">
        <v>-1381582</v>
      </c>
    </row>
    <row r="110" spans="2:18">
      <c r="B110" s="1" t="s">
        <v>111</v>
      </c>
      <c r="E110" s="10">
        <f>+-4500-SUM(C110:D110)</f>
        <v>-4500</v>
      </c>
      <c r="F110" s="10">
        <f t="shared" si="105"/>
        <v>0</v>
      </c>
      <c r="J110" s="10">
        <f t="shared" si="106"/>
        <v>0</v>
      </c>
      <c r="L110" s="1">
        <v>0</v>
      </c>
      <c r="P110" s="1">
        <v>0</v>
      </c>
      <c r="Q110" s="1">
        <v>-4500</v>
      </c>
    </row>
    <row r="111" spans="2:18">
      <c r="B111" s="1" t="s">
        <v>143</v>
      </c>
      <c r="L111" s="1">
        <f>+-500-K111</f>
        <v>-500</v>
      </c>
    </row>
    <row r="112" spans="2:18" s="3" customFormat="1">
      <c r="B112" s="3" t="s">
        <v>99</v>
      </c>
      <c r="C112" s="11">
        <f t="shared" ref="C112:K112" si="107">+SUM(C107:C110)</f>
        <v>0</v>
      </c>
      <c r="D112" s="11">
        <f>+SUM(D107:D110)</f>
        <v>-64</v>
      </c>
      <c r="E112" s="11">
        <f t="shared" si="107"/>
        <v>-5295</v>
      </c>
      <c r="F112" s="11">
        <f t="shared" si="107"/>
        <v>-906</v>
      </c>
      <c r="G112" s="11">
        <f t="shared" si="107"/>
        <v>-489</v>
      </c>
      <c r="H112" s="11">
        <f t="shared" si="107"/>
        <v>-456</v>
      </c>
      <c r="I112" s="11">
        <f t="shared" si="107"/>
        <v>-767</v>
      </c>
      <c r="J112" s="11">
        <f t="shared" si="107"/>
        <v>-970</v>
      </c>
      <c r="K112" s="11">
        <f t="shared" si="107"/>
        <v>-631</v>
      </c>
      <c r="L112" s="11">
        <f>+SUM(L107:L111)</f>
        <v>-1365</v>
      </c>
      <c r="P112" s="11">
        <f t="shared" ref="P112" si="108">+SUM(P107:P110)</f>
        <v>-1381609</v>
      </c>
      <c r="Q112" s="11">
        <f t="shared" ref="Q112" si="109">+SUM(Q107:Q110)</f>
        <v>-6265</v>
      </c>
      <c r="R112" s="11">
        <f t="shared" ref="R112" si="110">+SUM(R107:R110)</f>
        <v>-2682</v>
      </c>
    </row>
    <row r="114" spans="2:18">
      <c r="B114" s="1" t="s">
        <v>114</v>
      </c>
      <c r="F114" s="10">
        <f t="shared" ref="F114:F122" si="111">+Q114-SUM(C114:E114)</f>
        <v>0</v>
      </c>
      <c r="J114" s="10">
        <f t="shared" ref="J114:J122" si="112">+R114-SUM(G114:I114)</f>
        <v>0</v>
      </c>
      <c r="P114" s="1">
        <v>-470000</v>
      </c>
      <c r="Q114" s="1">
        <v>0</v>
      </c>
      <c r="R114" s="1">
        <v>0</v>
      </c>
    </row>
    <row r="115" spans="2:18">
      <c r="B115" s="1" t="s">
        <v>110</v>
      </c>
      <c r="C115" s="10">
        <v>633</v>
      </c>
      <c r="D115" s="10">
        <f>633-C115</f>
        <v>0</v>
      </c>
      <c r="F115" s="10">
        <f t="shared" si="111"/>
        <v>0</v>
      </c>
      <c r="J115" s="10">
        <f t="shared" si="112"/>
        <v>0</v>
      </c>
      <c r="P115" s="1">
        <v>959868</v>
      </c>
      <c r="Q115" s="1">
        <v>633</v>
      </c>
      <c r="R115" s="1">
        <v>0</v>
      </c>
    </row>
    <row r="116" spans="2:18">
      <c r="B116" s="1" t="s">
        <v>100</v>
      </c>
      <c r="C116" s="10">
        <v>0</v>
      </c>
      <c r="D116" s="10">
        <f>0-C116</f>
        <v>0</v>
      </c>
      <c r="E116" s="10">
        <f>633-SUM(C116:D116)</f>
        <v>633</v>
      </c>
      <c r="F116" s="10">
        <f t="shared" si="111"/>
        <v>505</v>
      </c>
      <c r="G116" s="10">
        <v>0</v>
      </c>
      <c r="H116" s="10">
        <f>740-G116</f>
        <v>740</v>
      </c>
      <c r="I116" s="10">
        <f>814-SUM(G116:H116)</f>
        <v>74</v>
      </c>
      <c r="J116" s="10">
        <f t="shared" si="112"/>
        <v>1062</v>
      </c>
      <c r="K116" s="10">
        <v>2513</v>
      </c>
      <c r="L116" s="1">
        <f>4097-K116</f>
        <v>1584</v>
      </c>
      <c r="P116" s="1">
        <v>0</v>
      </c>
      <c r="Q116" s="1">
        <v>1138</v>
      </c>
      <c r="R116" s="1">
        <v>1876</v>
      </c>
    </row>
    <row r="117" spans="2:18">
      <c r="B117" s="1" t="s">
        <v>115</v>
      </c>
      <c r="F117" s="10">
        <f t="shared" si="111"/>
        <v>0</v>
      </c>
      <c r="J117" s="10">
        <f t="shared" si="112"/>
        <v>0</v>
      </c>
      <c r="P117" s="1">
        <v>50000</v>
      </c>
      <c r="Q117" s="1">
        <v>0</v>
      </c>
      <c r="R117" s="1">
        <v>0</v>
      </c>
    </row>
    <row r="118" spans="2:18">
      <c r="B118" s="1" t="s">
        <v>116</v>
      </c>
      <c r="F118" s="10">
        <f t="shared" si="111"/>
        <v>0</v>
      </c>
      <c r="J118" s="10">
        <f t="shared" si="112"/>
        <v>0</v>
      </c>
      <c r="P118" s="1">
        <v>-50000</v>
      </c>
      <c r="Q118" s="1">
        <v>0</v>
      </c>
      <c r="R118" s="1">
        <v>0</v>
      </c>
    </row>
    <row r="119" spans="2:18">
      <c r="B119" s="1" t="s">
        <v>101</v>
      </c>
      <c r="C119" s="10">
        <v>0</v>
      </c>
      <c r="D119" s="10">
        <f>0-C119</f>
        <v>0</v>
      </c>
      <c r="E119" s="10">
        <f>0-SUM(C119:D119)</f>
        <v>0</v>
      </c>
      <c r="F119" s="10">
        <f t="shared" si="111"/>
        <v>0</v>
      </c>
      <c r="G119" s="10">
        <v>-572</v>
      </c>
      <c r="H119" s="10">
        <f>+-572-G119</f>
        <v>0</v>
      </c>
      <c r="I119" s="10">
        <f>-572-SUM(G119:H119)</f>
        <v>0</v>
      </c>
      <c r="J119" s="10">
        <f t="shared" si="112"/>
        <v>-202</v>
      </c>
      <c r="K119" s="10">
        <v>-64</v>
      </c>
      <c r="L119" s="1">
        <f>+-64-K119</f>
        <v>0</v>
      </c>
      <c r="P119" s="1">
        <v>0</v>
      </c>
      <c r="Q119" s="1">
        <v>0</v>
      </c>
      <c r="R119" s="1">
        <v>-774</v>
      </c>
    </row>
    <row r="120" spans="2:18">
      <c r="B120" s="1" t="s">
        <v>102</v>
      </c>
      <c r="C120" s="10">
        <v>-5028</v>
      </c>
      <c r="D120" s="10">
        <f>+-10056-C120</f>
        <v>-5028</v>
      </c>
      <c r="E120" s="10">
        <f>+-15084-SUM(C120:D120)</f>
        <v>-5028</v>
      </c>
      <c r="F120" s="10">
        <f t="shared" si="111"/>
        <v>-5027</v>
      </c>
      <c r="G120" s="10">
        <v>-777005</v>
      </c>
      <c r="H120" s="10">
        <f>+-778692-G120</f>
        <v>-1687</v>
      </c>
      <c r="I120" s="10">
        <f>+-780382-SUM(G120:H120)</f>
        <v>-1690</v>
      </c>
      <c r="J120" s="10">
        <f t="shared" si="112"/>
        <v>2</v>
      </c>
      <c r="K120" s="10">
        <v>-3375</v>
      </c>
      <c r="L120" s="1">
        <f>+-5062-K120</f>
        <v>-1687</v>
      </c>
      <c r="P120" s="1">
        <v>-10653</v>
      </c>
      <c r="Q120" s="1">
        <v>-20111</v>
      </c>
      <c r="R120" s="1">
        <v>-780380</v>
      </c>
    </row>
    <row r="121" spans="2:18">
      <c r="B121" s="1" t="s">
        <v>103</v>
      </c>
      <c r="C121" s="10">
        <v>0</v>
      </c>
      <c r="D121" s="10">
        <f>0-C121</f>
        <v>0</v>
      </c>
      <c r="E121" s="10">
        <f>0-SUM(C121:D121)</f>
        <v>0</v>
      </c>
      <c r="F121" s="10">
        <f t="shared" si="111"/>
        <v>0</v>
      </c>
      <c r="G121" s="10">
        <v>675000</v>
      </c>
      <c r="H121" s="10">
        <f>675000-G121</f>
        <v>0</v>
      </c>
      <c r="I121" s="10">
        <f>675000-SUM(G121:H121)</f>
        <v>0</v>
      </c>
      <c r="J121" s="10">
        <f>+R121-SUM(G121:I121)</f>
        <v>0</v>
      </c>
      <c r="K121" s="10">
        <v>0</v>
      </c>
      <c r="P121" s="1">
        <v>800000</v>
      </c>
      <c r="Q121" s="1">
        <v>0</v>
      </c>
      <c r="R121" s="1">
        <v>675000</v>
      </c>
    </row>
    <row r="122" spans="2:18">
      <c r="B122" s="1" t="s">
        <v>104</v>
      </c>
      <c r="C122" s="10">
        <v>0</v>
      </c>
      <c r="D122" s="10">
        <f>0-C122</f>
        <v>0</v>
      </c>
      <c r="E122" s="10">
        <f>0-SUM(C122:D122)</f>
        <v>0</v>
      </c>
      <c r="F122" s="10">
        <f t="shared" si="111"/>
        <v>0</v>
      </c>
      <c r="G122" s="10">
        <v>-11944</v>
      </c>
      <c r="H122" s="10">
        <f>+-11944-G122</f>
        <v>0</v>
      </c>
      <c r="I122" s="10">
        <f>+-11944-SUM(G122:H122)</f>
        <v>0</v>
      </c>
      <c r="J122" s="10">
        <f t="shared" si="112"/>
        <v>0</v>
      </c>
      <c r="K122" s="10">
        <v>0</v>
      </c>
      <c r="L122" s="1">
        <f>0-K122</f>
        <v>0</v>
      </c>
      <c r="P122" s="1">
        <v>-15617</v>
      </c>
      <c r="Q122" s="1">
        <v>0</v>
      </c>
      <c r="R122" s="1">
        <v>-11944</v>
      </c>
    </row>
    <row r="123" spans="2:18">
      <c r="B123" s="1" t="s">
        <v>144</v>
      </c>
    </row>
    <row r="124" spans="2:18">
      <c r="B124" s="1" t="s">
        <v>145</v>
      </c>
      <c r="L124" s="1">
        <f>+-16452-K124</f>
        <v>-16452</v>
      </c>
    </row>
    <row r="125" spans="2:18" s="3" customFormat="1">
      <c r="B125" s="3" t="s">
        <v>105</v>
      </c>
      <c r="C125" s="11">
        <f t="shared" ref="C125:K125" si="113">+SUM(C115:C122)</f>
        <v>-4395</v>
      </c>
      <c r="D125" s="11">
        <f>+SUM(D115:D122)</f>
        <v>-5028</v>
      </c>
      <c r="E125" s="11">
        <f t="shared" si="113"/>
        <v>-4395</v>
      </c>
      <c r="F125" s="11">
        <f t="shared" si="113"/>
        <v>-4522</v>
      </c>
      <c r="G125" s="11">
        <f t="shared" si="113"/>
        <v>-114521</v>
      </c>
      <c r="H125" s="11">
        <f t="shared" si="113"/>
        <v>-947</v>
      </c>
      <c r="I125" s="11">
        <f t="shared" si="113"/>
        <v>-1616</v>
      </c>
      <c r="J125" s="11">
        <f t="shared" si="113"/>
        <v>862</v>
      </c>
      <c r="K125" s="11">
        <f t="shared" si="113"/>
        <v>-926</v>
      </c>
      <c r="L125" s="11">
        <f>+SUM(L115:L124)</f>
        <v>-16555</v>
      </c>
      <c r="P125" s="11">
        <f>+SUM(P114:P122)</f>
        <v>1263598</v>
      </c>
      <c r="Q125" s="11">
        <f>+SUM(Q114:Q122)</f>
        <v>-18340</v>
      </c>
      <c r="R125" s="11">
        <f>+SUM(R114:R122)</f>
        <v>-116222</v>
      </c>
    </row>
    <row r="127" spans="2:18">
      <c r="B127" s="1" t="s">
        <v>106</v>
      </c>
      <c r="C127" s="10">
        <f t="shared" ref="C127:L127" si="114">+C105+C112+C125</f>
        <v>36895</v>
      </c>
      <c r="D127" s="10">
        <f t="shared" si="114"/>
        <v>28571</v>
      </c>
      <c r="E127" s="10">
        <f t="shared" si="114"/>
        <v>45682</v>
      </c>
      <c r="F127" s="10">
        <f t="shared" si="114"/>
        <v>105066</v>
      </c>
      <c r="G127" s="10">
        <f t="shared" si="114"/>
        <v>-43041</v>
      </c>
      <c r="H127" s="10">
        <f t="shared" si="114"/>
        <v>54681</v>
      </c>
      <c r="I127" s="10">
        <f t="shared" si="114"/>
        <v>51371</v>
      </c>
      <c r="J127" s="10">
        <f t="shared" si="114"/>
        <v>114691</v>
      </c>
      <c r="K127" s="10">
        <f t="shared" si="114"/>
        <v>56855</v>
      </c>
      <c r="L127" s="10">
        <f t="shared" si="114"/>
        <v>-1245</v>
      </c>
      <c r="P127" s="10">
        <f>+P105+P112+P125</f>
        <v>67288</v>
      </c>
      <c r="Q127" s="10">
        <f>+Q105+Q112+Q125</f>
        <v>216214</v>
      </c>
      <c r="R127" s="10">
        <f>+R105+R112+R125</f>
        <v>177702</v>
      </c>
    </row>
    <row r="128" spans="2:18">
      <c r="B128" s="1" t="s">
        <v>107</v>
      </c>
      <c r="C128" s="10">
        <v>10964</v>
      </c>
      <c r="D128" s="10">
        <f t="shared" ref="D128:K128" si="115">+C129</f>
        <v>47859</v>
      </c>
      <c r="E128" s="10">
        <f t="shared" si="115"/>
        <v>76430</v>
      </c>
      <c r="F128" s="10">
        <f t="shared" si="115"/>
        <v>122112</v>
      </c>
      <c r="G128" s="10">
        <f t="shared" si="115"/>
        <v>227178</v>
      </c>
      <c r="H128" s="10">
        <f t="shared" si="115"/>
        <v>184137</v>
      </c>
      <c r="I128" s="10">
        <f t="shared" si="115"/>
        <v>238818</v>
      </c>
      <c r="J128" s="10">
        <f t="shared" si="115"/>
        <v>290189</v>
      </c>
      <c r="K128" s="10">
        <f t="shared" si="115"/>
        <v>404880</v>
      </c>
      <c r="L128" s="1">
        <f>+K129</f>
        <v>461735</v>
      </c>
      <c r="P128" s="10">
        <v>0</v>
      </c>
      <c r="Q128" s="10">
        <v>10964</v>
      </c>
      <c r="R128" s="10">
        <f>+F44</f>
        <v>186388</v>
      </c>
    </row>
    <row r="129" spans="2:18" s="3" customFormat="1">
      <c r="B129" s="3" t="s">
        <v>108</v>
      </c>
      <c r="C129" s="11">
        <f>+SUM(C127:C128)</f>
        <v>47859</v>
      </c>
      <c r="D129" s="11">
        <f>SUM(D127:D128)</f>
        <v>76430</v>
      </c>
      <c r="E129" s="11">
        <f>+SUM(E127:E128)</f>
        <v>122112</v>
      </c>
      <c r="F129" s="11">
        <f>+SUM(F127:F128)</f>
        <v>227178</v>
      </c>
      <c r="G129" s="11">
        <f>+SUM(G127:G128)</f>
        <v>184137</v>
      </c>
      <c r="H129" s="11">
        <f>SUM(H127:H128)</f>
        <v>238818</v>
      </c>
      <c r="I129" s="11">
        <f>+SUM(I127:I128)</f>
        <v>290189</v>
      </c>
      <c r="J129" s="11">
        <f>+SUM(J127:J128)</f>
        <v>404880</v>
      </c>
      <c r="K129" s="11">
        <f>+SUM(K127:K128)</f>
        <v>461735</v>
      </c>
      <c r="L129" s="3">
        <f>SUM(L127:L128)</f>
        <v>460490</v>
      </c>
      <c r="P129" s="11">
        <f>+SUM(P127:P128)</f>
        <v>67288</v>
      </c>
      <c r="Q129" s="11">
        <f>+SUM(Q127:Q128)</f>
        <v>227178</v>
      </c>
      <c r="R129" s="11">
        <f>+SUM(R127:R128)</f>
        <v>364090</v>
      </c>
    </row>
    <row r="132" spans="2:18" s="3" customFormat="1">
      <c r="B132" s="3" t="s">
        <v>109</v>
      </c>
      <c r="C132" s="11">
        <f t="shared" ref="C132:J132" si="116">+C105+C107</f>
        <v>41290</v>
      </c>
      <c r="D132" s="11">
        <f t="shared" si="116"/>
        <v>33599</v>
      </c>
      <c r="E132" s="11">
        <f t="shared" si="116"/>
        <v>54577</v>
      </c>
      <c r="F132" s="11">
        <f t="shared" si="116"/>
        <v>110478</v>
      </c>
      <c r="G132" s="11">
        <f t="shared" si="116"/>
        <v>71901</v>
      </c>
      <c r="H132" s="11">
        <f t="shared" si="116"/>
        <v>56077</v>
      </c>
      <c r="I132" s="11">
        <f t="shared" si="116"/>
        <v>53729</v>
      </c>
      <c r="J132" s="11">
        <f t="shared" si="116"/>
        <v>114249</v>
      </c>
      <c r="K132" s="11">
        <f>+K105+K107</f>
        <v>58305</v>
      </c>
      <c r="L132" s="11">
        <f>+L105+L107</f>
        <v>16654</v>
      </c>
    </row>
    <row r="133" spans="2:18">
      <c r="B133" s="1" t="s">
        <v>62</v>
      </c>
      <c r="C133" s="10">
        <f>+C22</f>
        <v>55713</v>
      </c>
      <c r="D133" s="10">
        <f t="shared" ref="D133:K133" si="117">+D22</f>
        <v>59534</v>
      </c>
      <c r="E133" s="10">
        <f t="shared" si="117"/>
        <v>66773</v>
      </c>
      <c r="F133" s="10">
        <f t="shared" si="117"/>
        <v>79554</v>
      </c>
      <c r="G133" s="10">
        <f t="shared" si="117"/>
        <v>72227</v>
      </c>
      <c r="H133" s="10">
        <f t="shared" si="117"/>
        <v>98010</v>
      </c>
      <c r="I133" s="10">
        <f t="shared" si="117"/>
        <v>71092</v>
      </c>
      <c r="J133" s="10">
        <f t="shared" si="117"/>
        <v>44025</v>
      </c>
      <c r="K133" s="10">
        <f t="shared" si="117"/>
        <v>31287</v>
      </c>
      <c r="L133" s="10">
        <f t="shared" ref="L133" si="118">+L22</f>
        <v>16480</v>
      </c>
    </row>
    <row r="135" spans="2:18">
      <c r="B135" s="1" t="s">
        <v>118</v>
      </c>
      <c r="F135" s="10">
        <f t="shared" ref="F135:J135" si="119">SUM(C132:F132)</f>
        <v>239944</v>
      </c>
      <c r="G135" s="10">
        <f t="shared" si="119"/>
        <v>270555</v>
      </c>
      <c r="H135" s="10">
        <f t="shared" si="119"/>
        <v>293033</v>
      </c>
      <c r="I135" s="10">
        <f t="shared" si="119"/>
        <v>292185</v>
      </c>
      <c r="J135" s="10">
        <f t="shared" si="119"/>
        <v>295956</v>
      </c>
      <c r="K135" s="10">
        <f>SUM(H132:K132)</f>
        <v>282360</v>
      </c>
      <c r="L135" s="10">
        <f>SUM(I132:L132)</f>
        <v>242937</v>
      </c>
    </row>
    <row r="136" spans="2:18">
      <c r="B136" s="1" t="s">
        <v>119</v>
      </c>
      <c r="F136" s="10">
        <f t="shared" ref="F136:J136" si="120">SUM(C133:F133)</f>
        <v>261574</v>
      </c>
      <c r="G136" s="10">
        <f t="shared" si="120"/>
        <v>278088</v>
      </c>
      <c r="H136" s="10">
        <f t="shared" si="120"/>
        <v>316564</v>
      </c>
      <c r="I136" s="10">
        <f t="shared" si="120"/>
        <v>320883</v>
      </c>
      <c r="J136" s="10">
        <f t="shared" si="120"/>
        <v>285354</v>
      </c>
      <c r="K136" s="10">
        <f>SUM(H133:K133)</f>
        <v>244414</v>
      </c>
      <c r="L136" s="10">
        <f>SUM(I133:L133)</f>
        <v>162884</v>
      </c>
    </row>
    <row r="137" spans="2:18">
      <c r="B137" s="1" t="s">
        <v>120</v>
      </c>
      <c r="F137" s="10">
        <f>+F135-F136</f>
        <v>-21630</v>
      </c>
      <c r="G137" s="10">
        <f t="shared" ref="G137:K137" si="121">+G135-G136</f>
        <v>-7533</v>
      </c>
      <c r="H137" s="10">
        <f t="shared" si="121"/>
        <v>-23531</v>
      </c>
      <c r="I137" s="10">
        <f t="shared" si="121"/>
        <v>-28698</v>
      </c>
      <c r="J137" s="10">
        <f t="shared" si="121"/>
        <v>10602</v>
      </c>
      <c r="K137" s="10">
        <f t="shared" si="121"/>
        <v>37946</v>
      </c>
      <c r="L137" s="10">
        <f t="shared" ref="L137" si="122">+L135-L136</f>
        <v>80053</v>
      </c>
    </row>
  </sheetData>
  <pageMargins left="0.7" right="0.7" top="0.75" bottom="0.75" header="0.3" footer="0.3"/>
  <ignoredErrors>
    <ignoredError sqref="P12:R12 G12 C12 F12 C13 F13 C19 C16:C17 F16:F17 C14 F14 C22 C20 C18 F18 F19 C24 C23 C21 P9 F82:K82 L82:M82" formulaRange="1"/>
    <ignoredError sqref="I12 D12:E12 D22:E22 D24:E24 D21:E21 D23:E23 D19:E19 D18:E18 D20:E20 D14:E14 D16:E17 D13:E13 F21 F20" formula="1" formulaRange="1"/>
    <ignoredError sqref="D11:E11 J12 D10:E10 G10 G11 G14 G18 G19 G21 F24:G24 G13 G16:G17 G20 G22 G23 J9 I10:J10 I11:J11 I13:J13 I14:J14 I16:J17 I18:J18 I19:J19 I20:J20 I21:J21 I22:J22 I23:J23 I24:J24 F9:H9 S9:AB14 S16:AB24" formula="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A726B-C5BF-8F48-858F-5B0F837B9AFC}">
  <dimension ref="A1:G583"/>
  <sheetViews>
    <sheetView zoomScale="171" workbookViewId="0">
      <pane xSplit="1" ySplit="1" topLeftCell="B227" activePane="bottomRight" state="frozen"/>
      <selection pane="topRight" activeCell="B1" sqref="B1"/>
      <selection pane="bottomLeft" activeCell="A2" sqref="A2"/>
      <selection pane="bottomRight" activeCell="F267" sqref="F267"/>
    </sheetView>
  </sheetViews>
  <sheetFormatPr baseColWidth="10" defaultRowHeight="13"/>
  <cols>
    <col min="1" max="16384" width="10.83203125" style="26"/>
  </cols>
  <sheetData>
    <row r="1" spans="1:7">
      <c r="A1" s="26" t="s">
        <v>151</v>
      </c>
      <c r="B1" s="27" t="s">
        <v>150</v>
      </c>
      <c r="C1" s="26" t="s">
        <v>149</v>
      </c>
    </row>
    <row r="2" spans="1:7">
      <c r="A2" s="28">
        <v>44469</v>
      </c>
      <c r="B2" s="26">
        <v>24.5</v>
      </c>
      <c r="C2" s="26">
        <v>37102400</v>
      </c>
      <c r="E2" s="28">
        <v>44929</v>
      </c>
      <c r="F2" s="26">
        <v>5.18</v>
      </c>
      <c r="G2" s="26">
        <v>3094900</v>
      </c>
    </row>
    <row r="3" spans="1:7">
      <c r="A3" s="28">
        <v>44470</v>
      </c>
      <c r="B3" s="26">
        <v>22.9</v>
      </c>
      <c r="C3" s="26">
        <v>9712400</v>
      </c>
      <c r="E3" s="28">
        <v>44930</v>
      </c>
      <c r="F3" s="26">
        <v>5.73</v>
      </c>
      <c r="G3" s="26">
        <v>2301400</v>
      </c>
    </row>
    <row r="4" spans="1:7">
      <c r="A4" s="28">
        <v>44473</v>
      </c>
      <c r="B4" s="26">
        <v>23.799999</v>
      </c>
      <c r="C4" s="26">
        <v>7583800</v>
      </c>
      <c r="E4" s="28">
        <v>44931</v>
      </c>
      <c r="F4" s="26">
        <v>5.41</v>
      </c>
      <c r="G4" s="26">
        <v>1931600</v>
      </c>
    </row>
    <row r="5" spans="1:7">
      <c r="A5" s="28">
        <v>44474</v>
      </c>
      <c r="B5" s="26">
        <v>26.290001</v>
      </c>
      <c r="C5" s="26">
        <v>9313700</v>
      </c>
      <c r="E5" s="28">
        <v>44932</v>
      </c>
      <c r="F5" s="26">
        <v>5.66</v>
      </c>
      <c r="G5" s="26">
        <v>2410400</v>
      </c>
    </row>
    <row r="6" spans="1:7">
      <c r="A6" s="28">
        <v>44475</v>
      </c>
      <c r="B6" s="26">
        <v>25.030000999999999</v>
      </c>
      <c r="C6" s="26">
        <v>11683900</v>
      </c>
      <c r="E6" s="28">
        <v>44935</v>
      </c>
      <c r="F6" s="26">
        <v>6.05</v>
      </c>
      <c r="G6" s="26">
        <v>8738800</v>
      </c>
    </row>
    <row r="7" spans="1:7">
      <c r="A7" s="28">
        <v>44476</v>
      </c>
      <c r="B7" s="26">
        <v>25.200001</v>
      </c>
      <c r="C7" s="26">
        <v>2059400</v>
      </c>
      <c r="E7" s="28">
        <v>44936</v>
      </c>
      <c r="F7" s="26">
        <v>6.05</v>
      </c>
      <c r="G7" s="26">
        <v>2758400</v>
      </c>
    </row>
    <row r="8" spans="1:7">
      <c r="A8" s="28">
        <v>44477</v>
      </c>
      <c r="B8" s="26">
        <v>25.51</v>
      </c>
      <c r="C8" s="26">
        <v>1940000</v>
      </c>
      <c r="E8" s="28">
        <v>44937</v>
      </c>
      <c r="F8" s="26">
        <v>6.24</v>
      </c>
      <c r="G8" s="26">
        <v>2392300</v>
      </c>
    </row>
    <row r="9" spans="1:7">
      <c r="A9" s="28">
        <v>44480</v>
      </c>
      <c r="B9" s="26">
        <v>25.09</v>
      </c>
      <c r="C9" s="26">
        <v>2314300</v>
      </c>
      <c r="E9" s="28">
        <v>44938</v>
      </c>
      <c r="F9" s="26">
        <v>6.35</v>
      </c>
      <c r="G9" s="26">
        <v>2174900</v>
      </c>
    </row>
    <row r="10" spans="1:7">
      <c r="A10" s="28">
        <v>44481</v>
      </c>
      <c r="B10" s="26">
        <v>25.32</v>
      </c>
      <c r="C10" s="26">
        <v>678300</v>
      </c>
      <c r="E10" s="28">
        <v>44939</v>
      </c>
      <c r="F10" s="26">
        <v>6.3</v>
      </c>
      <c r="G10" s="26">
        <v>2091500</v>
      </c>
    </row>
    <row r="11" spans="1:7">
      <c r="A11" s="28">
        <v>44482</v>
      </c>
      <c r="B11" s="26">
        <v>25.16</v>
      </c>
      <c r="C11" s="26">
        <v>1140400</v>
      </c>
      <c r="E11" s="28">
        <v>44943</v>
      </c>
      <c r="F11" s="26">
        <v>6.42</v>
      </c>
      <c r="G11" s="26">
        <v>1636100</v>
      </c>
    </row>
    <row r="12" spans="1:7">
      <c r="A12" s="28">
        <v>44483</v>
      </c>
      <c r="B12" s="26">
        <v>24.41</v>
      </c>
      <c r="C12" s="26">
        <v>1477100</v>
      </c>
      <c r="E12" s="28">
        <v>44944</v>
      </c>
      <c r="F12" s="26">
        <v>6.04</v>
      </c>
      <c r="G12" s="26">
        <v>1155400</v>
      </c>
    </row>
    <row r="13" spans="1:7">
      <c r="A13" s="28">
        <v>44484</v>
      </c>
      <c r="B13" s="26">
        <v>24.85</v>
      </c>
      <c r="C13" s="26">
        <v>630600</v>
      </c>
      <c r="E13" s="28">
        <v>44945</v>
      </c>
      <c r="F13" s="26">
        <v>5.91</v>
      </c>
      <c r="G13" s="26">
        <v>1290200</v>
      </c>
    </row>
    <row r="14" spans="1:7">
      <c r="A14" s="28">
        <v>44487</v>
      </c>
      <c r="B14" s="26">
        <v>24.77</v>
      </c>
      <c r="C14" s="26">
        <v>747800</v>
      </c>
      <c r="E14" s="28">
        <v>44946</v>
      </c>
      <c r="F14" s="26">
        <v>6.07</v>
      </c>
      <c r="G14" s="26">
        <v>988200</v>
      </c>
    </row>
    <row r="15" spans="1:7">
      <c r="A15" s="28">
        <v>44488</v>
      </c>
      <c r="B15" s="26">
        <v>25.91</v>
      </c>
      <c r="C15" s="26">
        <v>2088200</v>
      </c>
      <c r="E15" s="28">
        <v>44949</v>
      </c>
      <c r="F15" s="26">
        <v>6.16</v>
      </c>
      <c r="G15" s="26">
        <v>877900</v>
      </c>
    </row>
    <row r="16" spans="1:7">
      <c r="A16" s="28">
        <v>44489</v>
      </c>
      <c r="B16" s="26">
        <v>26.5</v>
      </c>
      <c r="C16" s="26">
        <v>1299400</v>
      </c>
      <c r="E16" s="28">
        <v>44950</v>
      </c>
      <c r="F16" s="26">
        <v>5.88</v>
      </c>
      <c r="G16" s="26">
        <v>1187800</v>
      </c>
    </row>
    <row r="17" spans="1:7">
      <c r="A17" s="28">
        <v>44490</v>
      </c>
      <c r="B17" s="26">
        <v>28.57</v>
      </c>
      <c r="C17" s="26">
        <v>4428800</v>
      </c>
      <c r="E17" s="28">
        <v>44951</v>
      </c>
      <c r="F17" s="26">
        <v>5.81</v>
      </c>
      <c r="G17" s="26">
        <v>964200</v>
      </c>
    </row>
    <row r="18" spans="1:7">
      <c r="A18" s="28">
        <v>44491</v>
      </c>
      <c r="B18" s="26">
        <v>29</v>
      </c>
      <c r="C18" s="26">
        <v>2161600</v>
      </c>
      <c r="E18" s="28">
        <v>44952</v>
      </c>
      <c r="F18" s="26">
        <v>5.91</v>
      </c>
      <c r="G18" s="26">
        <v>813200</v>
      </c>
    </row>
    <row r="19" spans="1:7">
      <c r="A19" s="28">
        <v>44494</v>
      </c>
      <c r="B19" s="26">
        <v>28.209999</v>
      </c>
      <c r="C19" s="26">
        <v>1666500</v>
      </c>
      <c r="E19" s="28">
        <v>44953</v>
      </c>
      <c r="F19" s="26">
        <v>6.14</v>
      </c>
      <c r="G19" s="26">
        <v>1021800</v>
      </c>
    </row>
    <row r="20" spans="1:7">
      <c r="A20" s="28">
        <v>44495</v>
      </c>
      <c r="B20" s="26">
        <v>27.559999000000001</v>
      </c>
      <c r="C20" s="26">
        <v>1916500</v>
      </c>
      <c r="E20" s="28">
        <v>44956</v>
      </c>
      <c r="F20" s="26">
        <v>6.11</v>
      </c>
      <c r="G20" s="26">
        <v>1783800</v>
      </c>
    </row>
    <row r="21" spans="1:7">
      <c r="A21" s="28">
        <v>44496</v>
      </c>
      <c r="B21" s="26">
        <v>26.459999</v>
      </c>
      <c r="C21" s="26">
        <v>1697200</v>
      </c>
      <c r="E21" s="28">
        <v>44957</v>
      </c>
      <c r="F21" s="26">
        <v>6.31</v>
      </c>
      <c r="G21" s="26">
        <v>1491000</v>
      </c>
    </row>
    <row r="22" spans="1:7">
      <c r="A22" s="28">
        <v>44497</v>
      </c>
      <c r="B22" s="26">
        <v>26.18</v>
      </c>
      <c r="C22" s="26">
        <v>2856700</v>
      </c>
      <c r="E22" s="28">
        <v>44958</v>
      </c>
      <c r="F22" s="26">
        <v>6.57</v>
      </c>
      <c r="G22" s="26">
        <v>1975900</v>
      </c>
    </row>
    <row r="23" spans="1:7">
      <c r="A23" s="28">
        <v>44498</v>
      </c>
      <c r="B23" s="26">
        <v>27.91</v>
      </c>
      <c r="C23" s="26">
        <v>1570100</v>
      </c>
      <c r="E23" s="28">
        <v>44959</v>
      </c>
      <c r="F23" s="26">
        <v>6.89</v>
      </c>
      <c r="G23" s="26">
        <v>2275500</v>
      </c>
    </row>
    <row r="24" spans="1:7">
      <c r="A24" s="28">
        <v>44501</v>
      </c>
      <c r="B24" s="26">
        <v>28.67</v>
      </c>
      <c r="C24" s="26">
        <v>2044500</v>
      </c>
      <c r="E24" s="28">
        <v>44960</v>
      </c>
      <c r="F24" s="26">
        <v>6.6</v>
      </c>
      <c r="G24" s="26">
        <v>2171600</v>
      </c>
    </row>
    <row r="25" spans="1:7">
      <c r="A25" s="28">
        <v>44502</v>
      </c>
      <c r="B25" s="26">
        <v>27.860001</v>
      </c>
      <c r="C25" s="26">
        <v>787400</v>
      </c>
      <c r="E25" s="28">
        <v>44963</v>
      </c>
      <c r="F25" s="26">
        <v>6.38</v>
      </c>
      <c r="G25" s="26">
        <v>1883300</v>
      </c>
    </row>
    <row r="26" spans="1:7">
      <c r="A26" s="28">
        <v>44503</v>
      </c>
      <c r="B26" s="26">
        <v>28.52</v>
      </c>
      <c r="C26" s="26">
        <v>749000</v>
      </c>
      <c r="E26" s="28">
        <v>44964</v>
      </c>
      <c r="F26" s="26">
        <v>6.71</v>
      </c>
      <c r="G26" s="26">
        <v>3420300</v>
      </c>
    </row>
    <row r="27" spans="1:7">
      <c r="A27" s="28">
        <v>44504</v>
      </c>
      <c r="B27" s="26">
        <v>28.9</v>
      </c>
      <c r="C27" s="26">
        <v>1509100</v>
      </c>
      <c r="E27" s="28">
        <v>44965</v>
      </c>
      <c r="F27" s="26">
        <v>6.66</v>
      </c>
      <c r="G27" s="26">
        <v>1531900</v>
      </c>
    </row>
    <row r="28" spans="1:7">
      <c r="A28" s="28">
        <v>44505</v>
      </c>
      <c r="B28" s="26">
        <v>27.030000999999999</v>
      </c>
      <c r="C28" s="26">
        <v>1381000</v>
      </c>
      <c r="E28" s="28">
        <v>44966</v>
      </c>
      <c r="F28" s="26">
        <v>6.64</v>
      </c>
      <c r="G28" s="26">
        <v>2461500</v>
      </c>
    </row>
    <row r="29" spans="1:7">
      <c r="A29" s="28">
        <v>44508</v>
      </c>
      <c r="B29" s="26">
        <v>28.209999</v>
      </c>
      <c r="C29" s="26">
        <v>2357400</v>
      </c>
      <c r="E29" s="28">
        <v>44967</v>
      </c>
      <c r="F29" s="26">
        <v>6.36</v>
      </c>
      <c r="G29" s="26">
        <v>1580300</v>
      </c>
    </row>
    <row r="30" spans="1:7">
      <c r="A30" s="28">
        <v>44509</v>
      </c>
      <c r="B30" s="26">
        <v>28.184999000000001</v>
      </c>
      <c r="C30" s="26">
        <v>2010100</v>
      </c>
      <c r="E30" s="28">
        <v>44970</v>
      </c>
      <c r="F30" s="26">
        <v>6.62</v>
      </c>
      <c r="G30" s="26">
        <v>1673900</v>
      </c>
    </row>
    <row r="31" spans="1:7">
      <c r="A31" s="28">
        <v>44510</v>
      </c>
      <c r="B31" s="26">
        <v>26.6</v>
      </c>
      <c r="C31" s="26">
        <v>4618800</v>
      </c>
      <c r="E31" s="28">
        <v>44971</v>
      </c>
      <c r="F31" s="26">
        <v>6.55</v>
      </c>
      <c r="G31" s="26">
        <v>1288100</v>
      </c>
    </row>
    <row r="32" spans="1:7">
      <c r="A32" s="28">
        <v>44511</v>
      </c>
      <c r="B32" s="26">
        <v>25.26</v>
      </c>
      <c r="C32" s="26">
        <v>3216700</v>
      </c>
      <c r="E32" s="28">
        <v>44972</v>
      </c>
      <c r="F32" s="26">
        <v>6.54</v>
      </c>
      <c r="G32" s="26">
        <v>1624300</v>
      </c>
    </row>
    <row r="33" spans="1:7">
      <c r="A33" s="28">
        <v>44512</v>
      </c>
      <c r="B33" s="26">
        <v>26.940000999999999</v>
      </c>
      <c r="C33" s="26">
        <v>2234000</v>
      </c>
      <c r="E33" s="28">
        <v>44973</v>
      </c>
      <c r="F33" s="26">
        <v>5.81</v>
      </c>
      <c r="G33" s="26">
        <v>2940000</v>
      </c>
    </row>
    <row r="34" spans="1:7">
      <c r="A34" s="28">
        <v>44515</v>
      </c>
      <c r="B34" s="26">
        <v>26.73</v>
      </c>
      <c r="C34" s="26">
        <v>1665500</v>
      </c>
      <c r="E34" s="28">
        <v>44974</v>
      </c>
      <c r="F34" s="26">
        <v>5.49</v>
      </c>
      <c r="G34" s="26">
        <v>4605400</v>
      </c>
    </row>
    <row r="35" spans="1:7">
      <c r="A35" s="28">
        <v>44516</v>
      </c>
      <c r="B35" s="26">
        <v>27.610001</v>
      </c>
      <c r="C35" s="26">
        <v>2227200</v>
      </c>
      <c r="E35" s="28">
        <v>44978</v>
      </c>
      <c r="F35" s="26">
        <v>5.19</v>
      </c>
      <c r="G35" s="26">
        <v>5236400</v>
      </c>
    </row>
    <row r="36" spans="1:7">
      <c r="A36" s="28">
        <v>44517</v>
      </c>
      <c r="B36" s="26">
        <v>28.35</v>
      </c>
      <c r="C36" s="26">
        <v>2250500</v>
      </c>
      <c r="E36" s="28">
        <v>44979</v>
      </c>
      <c r="F36" s="26">
        <v>5.44</v>
      </c>
      <c r="G36" s="26">
        <v>3607800</v>
      </c>
    </row>
    <row r="37" spans="1:7">
      <c r="A37" s="28">
        <v>44518</v>
      </c>
      <c r="B37" s="26">
        <v>28.99</v>
      </c>
      <c r="C37" s="26">
        <v>1998400</v>
      </c>
      <c r="E37" s="28">
        <v>44980</v>
      </c>
      <c r="F37" s="26">
        <v>5.58</v>
      </c>
      <c r="G37" s="26">
        <v>2174100</v>
      </c>
    </row>
    <row r="38" spans="1:7">
      <c r="A38" s="28">
        <v>44519</v>
      </c>
      <c r="B38" s="26">
        <v>27.98</v>
      </c>
      <c r="C38" s="26">
        <v>2487300</v>
      </c>
      <c r="E38" s="28">
        <v>44981</v>
      </c>
      <c r="F38" s="26">
        <v>5.52</v>
      </c>
      <c r="G38" s="26">
        <v>1923800</v>
      </c>
    </row>
    <row r="39" spans="1:7">
      <c r="A39" s="28">
        <v>44522</v>
      </c>
      <c r="B39" s="26">
        <v>26.07</v>
      </c>
      <c r="C39" s="26">
        <v>2364100</v>
      </c>
      <c r="E39" s="28">
        <v>44984</v>
      </c>
      <c r="F39" s="26">
        <v>5.41</v>
      </c>
      <c r="G39" s="26">
        <v>3883600</v>
      </c>
    </row>
    <row r="40" spans="1:7">
      <c r="A40" s="28">
        <v>44523</v>
      </c>
      <c r="B40" s="26">
        <v>25.9</v>
      </c>
      <c r="C40" s="26">
        <v>1827200</v>
      </c>
      <c r="E40" s="28">
        <v>44985</v>
      </c>
      <c r="F40" s="26">
        <v>4.92</v>
      </c>
      <c r="G40" s="26">
        <v>9754900</v>
      </c>
    </row>
    <row r="41" spans="1:7">
      <c r="A41" s="28">
        <v>44524</v>
      </c>
      <c r="B41" s="26">
        <v>26.879999000000002</v>
      </c>
      <c r="C41" s="26">
        <v>1056100</v>
      </c>
      <c r="E41" s="28">
        <v>44986</v>
      </c>
      <c r="F41" s="26">
        <v>4.58</v>
      </c>
      <c r="G41" s="26">
        <v>7150600</v>
      </c>
    </row>
    <row r="42" spans="1:7">
      <c r="A42" s="28">
        <v>44526</v>
      </c>
      <c r="B42" s="26">
        <v>26.35</v>
      </c>
      <c r="C42" s="26">
        <v>685800</v>
      </c>
      <c r="E42" s="28">
        <v>44987</v>
      </c>
      <c r="F42" s="26">
        <v>4.67</v>
      </c>
      <c r="G42" s="26">
        <v>2799200</v>
      </c>
    </row>
    <row r="43" spans="1:7">
      <c r="A43" s="28">
        <v>44529</v>
      </c>
      <c r="B43" s="26">
        <v>26.75</v>
      </c>
      <c r="C43" s="26">
        <v>1334200</v>
      </c>
      <c r="E43" s="28">
        <v>44988</v>
      </c>
      <c r="F43" s="26">
        <v>4.6500000000000004</v>
      </c>
      <c r="G43" s="26">
        <v>3991600</v>
      </c>
    </row>
    <row r="44" spans="1:7">
      <c r="A44" s="28">
        <v>44530</v>
      </c>
      <c r="B44" s="26">
        <v>26.950001</v>
      </c>
      <c r="C44" s="26">
        <v>2207600</v>
      </c>
      <c r="E44" s="28">
        <v>44991</v>
      </c>
      <c r="F44" s="26">
        <v>4.26</v>
      </c>
      <c r="G44" s="26">
        <v>6454900</v>
      </c>
    </row>
    <row r="45" spans="1:7">
      <c r="A45" s="28">
        <v>44531</v>
      </c>
      <c r="B45" s="26">
        <v>25.98</v>
      </c>
      <c r="C45" s="26">
        <v>1072500</v>
      </c>
      <c r="E45" s="28">
        <v>44992</v>
      </c>
      <c r="F45" s="26">
        <v>4.26</v>
      </c>
      <c r="G45" s="26">
        <v>4057700</v>
      </c>
    </row>
    <row r="46" spans="1:7">
      <c r="A46" s="28">
        <v>44532</v>
      </c>
      <c r="B46" s="26">
        <v>25.67</v>
      </c>
      <c r="C46" s="26">
        <v>1749200</v>
      </c>
      <c r="E46" s="28">
        <v>44993</v>
      </c>
      <c r="F46" s="26">
        <v>4.22</v>
      </c>
      <c r="G46" s="26">
        <v>2307900</v>
      </c>
    </row>
    <row r="47" spans="1:7">
      <c r="A47" s="28">
        <v>44533</v>
      </c>
      <c r="B47" s="26">
        <v>25.299999</v>
      </c>
      <c r="C47" s="26">
        <v>1738200</v>
      </c>
      <c r="E47" s="28">
        <v>44994</v>
      </c>
      <c r="F47" s="26">
        <v>4.01</v>
      </c>
      <c r="G47" s="26">
        <v>4092100</v>
      </c>
    </row>
    <row r="48" spans="1:7">
      <c r="A48" s="28">
        <v>44536</v>
      </c>
      <c r="B48" s="26">
        <v>25.049999</v>
      </c>
      <c r="C48" s="26">
        <v>3564400</v>
      </c>
      <c r="E48" s="28">
        <v>44995</v>
      </c>
      <c r="F48" s="26">
        <v>3.99</v>
      </c>
      <c r="G48" s="26">
        <v>4396800</v>
      </c>
    </row>
    <row r="49" spans="1:7">
      <c r="A49" s="28">
        <v>44537</v>
      </c>
      <c r="B49" s="26">
        <v>26.700001</v>
      </c>
      <c r="C49" s="26">
        <v>1214900</v>
      </c>
      <c r="E49" s="28">
        <v>44998</v>
      </c>
      <c r="F49" s="26">
        <v>4.05</v>
      </c>
      <c r="G49" s="26">
        <v>2973700</v>
      </c>
    </row>
    <row r="50" spans="1:7">
      <c r="A50" s="28">
        <v>44538</v>
      </c>
      <c r="B50" s="26">
        <v>26.42</v>
      </c>
      <c r="C50" s="26">
        <v>867600</v>
      </c>
      <c r="E50" s="28">
        <v>44999</v>
      </c>
      <c r="F50" s="26">
        <v>3.98</v>
      </c>
      <c r="G50" s="26">
        <v>4247500</v>
      </c>
    </row>
    <row r="51" spans="1:7">
      <c r="A51" s="28">
        <v>44539</v>
      </c>
      <c r="B51" s="26">
        <v>26.93</v>
      </c>
      <c r="C51" s="26">
        <v>893300</v>
      </c>
      <c r="E51" s="28">
        <v>45000</v>
      </c>
      <c r="F51" s="26">
        <v>4.01</v>
      </c>
      <c r="G51" s="26">
        <v>3013600</v>
      </c>
    </row>
    <row r="52" spans="1:7">
      <c r="A52" s="28">
        <v>44540</v>
      </c>
      <c r="B52" s="26">
        <v>27.57</v>
      </c>
      <c r="C52" s="26">
        <v>1605400</v>
      </c>
      <c r="E52" s="28">
        <v>45001</v>
      </c>
      <c r="F52" s="26">
        <v>3.96</v>
      </c>
      <c r="G52" s="26">
        <v>3646100</v>
      </c>
    </row>
    <row r="53" spans="1:7">
      <c r="A53" s="28">
        <v>44543</v>
      </c>
      <c r="B53" s="26">
        <v>26.15</v>
      </c>
      <c r="C53" s="26">
        <v>1736900</v>
      </c>
      <c r="E53" s="28">
        <v>45002</v>
      </c>
      <c r="F53" s="26">
        <v>3.87</v>
      </c>
      <c r="G53" s="26">
        <v>14142300</v>
      </c>
    </row>
    <row r="54" spans="1:7">
      <c r="A54" s="28">
        <v>44544</v>
      </c>
      <c r="B54" s="26">
        <v>26.200001</v>
      </c>
      <c r="C54" s="26">
        <v>1765800</v>
      </c>
      <c r="E54" s="28">
        <v>45005</v>
      </c>
      <c r="F54" s="26">
        <v>3.94</v>
      </c>
      <c r="G54" s="26">
        <v>3128400</v>
      </c>
    </row>
    <row r="55" spans="1:7">
      <c r="A55" s="28">
        <v>44545</v>
      </c>
      <c r="B55" s="26">
        <v>26.93</v>
      </c>
      <c r="C55" s="26">
        <v>1469700</v>
      </c>
      <c r="E55" s="28">
        <v>45006</v>
      </c>
      <c r="F55" s="26">
        <v>4.0599999999999996</v>
      </c>
      <c r="G55" s="26">
        <v>1924300</v>
      </c>
    </row>
    <row r="56" spans="1:7">
      <c r="A56" s="28">
        <v>44546</v>
      </c>
      <c r="B56" s="26">
        <v>25.299999</v>
      </c>
      <c r="C56" s="26">
        <v>2109300</v>
      </c>
      <c r="E56" s="28">
        <v>45007</v>
      </c>
      <c r="F56" s="26">
        <v>4</v>
      </c>
      <c r="G56" s="26">
        <v>2961500</v>
      </c>
    </row>
    <row r="57" spans="1:7">
      <c r="A57" s="28">
        <v>44547</v>
      </c>
      <c r="B57" s="26">
        <v>23.950001</v>
      </c>
      <c r="C57" s="26">
        <v>12642800</v>
      </c>
      <c r="E57" s="28">
        <v>45008</v>
      </c>
      <c r="F57" s="26">
        <v>3.9</v>
      </c>
      <c r="G57" s="26">
        <v>3783700</v>
      </c>
    </row>
    <row r="58" spans="1:7">
      <c r="A58" s="28">
        <v>44550</v>
      </c>
      <c r="B58" s="26">
        <v>25.059999000000001</v>
      </c>
      <c r="C58" s="26">
        <v>1922100</v>
      </c>
      <c r="E58" s="28">
        <v>45009</v>
      </c>
      <c r="F58" s="26">
        <v>3.93</v>
      </c>
      <c r="G58" s="26">
        <v>1961900</v>
      </c>
    </row>
    <row r="59" spans="1:7">
      <c r="A59" s="28">
        <v>44551</v>
      </c>
      <c r="B59" s="26">
        <v>24.9</v>
      </c>
      <c r="C59" s="26">
        <v>1801300</v>
      </c>
      <c r="E59" s="28">
        <v>45012</v>
      </c>
      <c r="F59" s="26">
        <v>3.99</v>
      </c>
      <c r="G59" s="26">
        <v>1807700</v>
      </c>
    </row>
    <row r="60" spans="1:7">
      <c r="A60" s="28">
        <v>44552</v>
      </c>
      <c r="B60" s="26">
        <v>25.67</v>
      </c>
      <c r="C60" s="26">
        <v>722200</v>
      </c>
      <c r="E60" s="28">
        <v>45013</v>
      </c>
      <c r="F60" s="26">
        <v>4.01</v>
      </c>
      <c r="G60" s="26">
        <v>1766000</v>
      </c>
    </row>
    <row r="61" spans="1:7">
      <c r="A61" s="28">
        <v>44553</v>
      </c>
      <c r="B61" s="26">
        <v>26.809999000000001</v>
      </c>
      <c r="C61" s="26">
        <v>1019000</v>
      </c>
      <c r="E61" s="28">
        <v>45014</v>
      </c>
      <c r="F61" s="26">
        <v>4.04</v>
      </c>
      <c r="G61" s="26">
        <v>2166500</v>
      </c>
    </row>
    <row r="62" spans="1:7">
      <c r="A62" s="28">
        <v>44557</v>
      </c>
      <c r="B62" s="26">
        <v>26.9</v>
      </c>
      <c r="C62" s="26">
        <v>553600</v>
      </c>
      <c r="E62" s="28">
        <v>45015</v>
      </c>
      <c r="F62" s="26">
        <v>4.09</v>
      </c>
      <c r="G62" s="26">
        <v>2279600</v>
      </c>
    </row>
    <row r="63" spans="1:7">
      <c r="A63" s="28">
        <v>44558</v>
      </c>
      <c r="B63" s="26">
        <v>26.389999</v>
      </c>
      <c r="C63" s="26">
        <v>482800</v>
      </c>
      <c r="E63" s="28">
        <v>45016</v>
      </c>
      <c r="F63" s="26">
        <v>4.2699999999999996</v>
      </c>
      <c r="G63" s="26">
        <v>2480300</v>
      </c>
    </row>
    <row r="64" spans="1:7">
      <c r="A64" s="28">
        <v>44559</v>
      </c>
      <c r="B64" s="26">
        <v>26.969999000000001</v>
      </c>
      <c r="C64" s="26">
        <v>634200</v>
      </c>
      <c r="E64" s="28">
        <v>45019</v>
      </c>
      <c r="F64" s="26">
        <v>4.2300000000000004</v>
      </c>
      <c r="G64" s="26">
        <v>2355000</v>
      </c>
    </row>
    <row r="65" spans="1:7">
      <c r="A65" s="28">
        <v>44560</v>
      </c>
      <c r="B65" s="26">
        <v>28.59</v>
      </c>
      <c r="C65" s="26">
        <v>1378900</v>
      </c>
      <c r="E65" s="28">
        <v>45020</v>
      </c>
      <c r="F65" s="26">
        <v>4.16</v>
      </c>
      <c r="G65" s="26">
        <v>1347500</v>
      </c>
    </row>
    <row r="66" spans="1:7">
      <c r="A66" s="28">
        <v>44561</v>
      </c>
      <c r="B66" s="26">
        <v>29.129999000000002</v>
      </c>
      <c r="C66" s="26">
        <v>2058300</v>
      </c>
      <c r="E66" s="28">
        <v>45021</v>
      </c>
      <c r="F66" s="26">
        <v>4.05</v>
      </c>
      <c r="G66" s="26">
        <v>1074400</v>
      </c>
    </row>
    <row r="67" spans="1:7">
      <c r="A67" s="28">
        <v>44564</v>
      </c>
      <c r="B67" s="26">
        <v>29.41</v>
      </c>
      <c r="C67" s="26">
        <v>2259400</v>
      </c>
      <c r="E67" s="28">
        <v>45022</v>
      </c>
      <c r="F67" s="26">
        <v>4.16</v>
      </c>
      <c r="G67" s="26">
        <v>1859100</v>
      </c>
    </row>
    <row r="68" spans="1:7">
      <c r="A68" s="28">
        <v>44565</v>
      </c>
      <c r="B68" s="26">
        <v>27.74</v>
      </c>
      <c r="C68" s="26">
        <v>2456800</v>
      </c>
      <c r="E68" s="28">
        <v>45026</v>
      </c>
      <c r="F68" s="26">
        <v>4.16</v>
      </c>
      <c r="G68" s="26">
        <v>2608700</v>
      </c>
    </row>
    <row r="69" spans="1:7">
      <c r="A69" s="28">
        <v>44566</v>
      </c>
      <c r="B69" s="26">
        <v>25.030000999999999</v>
      </c>
      <c r="C69" s="26">
        <v>2155800</v>
      </c>
      <c r="E69" s="28">
        <v>45027</v>
      </c>
      <c r="F69" s="26">
        <v>4.22</v>
      </c>
      <c r="G69" s="26">
        <v>1097500</v>
      </c>
    </row>
    <row r="70" spans="1:7">
      <c r="A70" s="28">
        <v>44567</v>
      </c>
      <c r="B70" s="26">
        <v>25.09</v>
      </c>
      <c r="C70" s="26">
        <v>1215200</v>
      </c>
      <c r="E70" s="28">
        <v>45028</v>
      </c>
      <c r="F70" s="26">
        <v>4.04</v>
      </c>
      <c r="G70" s="26">
        <v>1558400</v>
      </c>
    </row>
    <row r="71" spans="1:7">
      <c r="A71" s="28">
        <v>44568</v>
      </c>
      <c r="B71" s="26">
        <v>24.48</v>
      </c>
      <c r="C71" s="26">
        <v>1767400</v>
      </c>
      <c r="E71" s="28">
        <v>45029</v>
      </c>
      <c r="F71" s="26">
        <v>4.12</v>
      </c>
      <c r="G71" s="26">
        <v>953600</v>
      </c>
    </row>
    <row r="72" spans="1:7">
      <c r="A72" s="28">
        <v>44571</v>
      </c>
      <c r="B72" s="26">
        <v>24.280000999999999</v>
      </c>
      <c r="C72" s="26">
        <v>2017200</v>
      </c>
      <c r="E72" s="28">
        <v>45030</v>
      </c>
      <c r="F72" s="26">
        <v>4.03</v>
      </c>
      <c r="G72" s="26">
        <v>1275000</v>
      </c>
    </row>
    <row r="73" spans="1:7">
      <c r="A73" s="28">
        <v>44572</v>
      </c>
      <c r="B73" s="26">
        <v>25.049999</v>
      </c>
      <c r="C73" s="26">
        <v>1338300</v>
      </c>
      <c r="E73" s="28">
        <v>45033</v>
      </c>
      <c r="F73" s="26">
        <v>3.91</v>
      </c>
      <c r="G73" s="26">
        <v>1525200</v>
      </c>
    </row>
    <row r="74" spans="1:7">
      <c r="A74" s="28">
        <v>44573</v>
      </c>
      <c r="B74" s="26">
        <v>23.889999</v>
      </c>
      <c r="C74" s="26">
        <v>1650100</v>
      </c>
      <c r="E74" s="28">
        <v>45034</v>
      </c>
      <c r="F74" s="26">
        <v>3.9</v>
      </c>
      <c r="G74" s="26">
        <v>1624500</v>
      </c>
    </row>
    <row r="75" spans="1:7">
      <c r="A75" s="28">
        <v>44574</v>
      </c>
      <c r="B75" s="26">
        <v>22.84</v>
      </c>
      <c r="C75" s="26">
        <v>2380900</v>
      </c>
      <c r="E75" s="28">
        <v>45035</v>
      </c>
      <c r="F75" s="26">
        <v>3.89</v>
      </c>
      <c r="G75" s="26">
        <v>1465000</v>
      </c>
    </row>
    <row r="76" spans="1:7">
      <c r="A76" s="28">
        <v>44575</v>
      </c>
      <c r="B76" s="26">
        <v>22.84</v>
      </c>
      <c r="C76" s="26">
        <v>1461900</v>
      </c>
      <c r="E76" s="28">
        <v>45036</v>
      </c>
      <c r="F76" s="26">
        <v>3.82</v>
      </c>
      <c r="G76" s="26">
        <v>1473400</v>
      </c>
    </row>
    <row r="77" spans="1:7">
      <c r="A77" s="28">
        <v>44579</v>
      </c>
      <c r="B77" s="26">
        <v>20.84</v>
      </c>
      <c r="C77" s="26">
        <v>1898500</v>
      </c>
      <c r="E77" s="28">
        <v>45037</v>
      </c>
      <c r="F77" s="26">
        <v>3.8</v>
      </c>
      <c r="G77" s="26">
        <v>1439600</v>
      </c>
    </row>
    <row r="78" spans="1:7">
      <c r="A78" s="28">
        <v>44580</v>
      </c>
      <c r="B78" s="26">
        <v>20.530000999999999</v>
      </c>
      <c r="C78" s="26">
        <v>2714500</v>
      </c>
      <c r="E78" s="28">
        <v>45040</v>
      </c>
      <c r="F78" s="26">
        <v>3.73</v>
      </c>
      <c r="G78" s="26">
        <v>2270200</v>
      </c>
    </row>
    <row r="79" spans="1:7">
      <c r="A79" s="28">
        <v>44581</v>
      </c>
      <c r="B79" s="26">
        <v>20.309999000000001</v>
      </c>
      <c r="C79" s="26">
        <v>2181500</v>
      </c>
      <c r="E79" s="28">
        <v>45041</v>
      </c>
      <c r="F79" s="26">
        <v>3.63</v>
      </c>
      <c r="G79" s="26">
        <v>1487900</v>
      </c>
    </row>
    <row r="80" spans="1:7">
      <c r="A80" s="28">
        <v>44582</v>
      </c>
      <c r="B80" s="26">
        <v>19.079999999999998</v>
      </c>
      <c r="C80" s="26">
        <v>2744500</v>
      </c>
      <c r="E80" s="28">
        <v>45042</v>
      </c>
      <c r="F80" s="26">
        <v>3.65</v>
      </c>
      <c r="G80" s="26">
        <v>1796700</v>
      </c>
    </row>
    <row r="81" spans="1:7">
      <c r="A81" s="28">
        <v>44585</v>
      </c>
      <c r="B81" s="26">
        <v>20.719999000000001</v>
      </c>
      <c r="C81" s="26">
        <v>3946300</v>
      </c>
      <c r="E81" s="28">
        <v>45043</v>
      </c>
      <c r="F81" s="26">
        <v>3.82</v>
      </c>
      <c r="G81" s="26">
        <v>2149400</v>
      </c>
    </row>
    <row r="82" spans="1:7">
      <c r="A82" s="28">
        <v>44586</v>
      </c>
      <c r="B82" s="26">
        <v>21.35</v>
      </c>
      <c r="C82" s="26">
        <v>4087900</v>
      </c>
      <c r="E82" s="28">
        <v>45044</v>
      </c>
      <c r="F82" s="26">
        <v>3.7</v>
      </c>
      <c r="G82" s="26">
        <v>2345800</v>
      </c>
    </row>
    <row r="83" spans="1:7">
      <c r="A83" s="28">
        <v>44587</v>
      </c>
      <c r="B83" s="26">
        <v>20.540001</v>
      </c>
      <c r="C83" s="26">
        <v>4869100</v>
      </c>
      <c r="E83" s="28">
        <v>45047</v>
      </c>
      <c r="F83" s="26">
        <v>3.69</v>
      </c>
      <c r="G83" s="26">
        <v>1894900</v>
      </c>
    </row>
    <row r="84" spans="1:7">
      <c r="A84" s="28">
        <v>44588</v>
      </c>
      <c r="B84" s="26">
        <v>19.700001</v>
      </c>
      <c r="C84" s="26">
        <v>2250700</v>
      </c>
      <c r="E84" s="28">
        <v>45048</v>
      </c>
      <c r="F84" s="26">
        <v>3.62</v>
      </c>
      <c r="G84" s="26">
        <v>1561500</v>
      </c>
    </row>
    <row r="85" spans="1:7">
      <c r="A85" s="28">
        <v>44589</v>
      </c>
      <c r="B85" s="26">
        <v>20.219999000000001</v>
      </c>
      <c r="C85" s="26">
        <v>1689900</v>
      </c>
      <c r="E85" s="28">
        <v>45049</v>
      </c>
      <c r="F85" s="26">
        <v>3.66</v>
      </c>
      <c r="G85" s="26">
        <v>1776000</v>
      </c>
    </row>
    <row r="86" spans="1:7">
      <c r="A86" s="28">
        <v>44592</v>
      </c>
      <c r="B86" s="26">
        <v>21.84</v>
      </c>
      <c r="C86" s="26">
        <v>1360000</v>
      </c>
      <c r="E86" s="28">
        <v>45050</v>
      </c>
      <c r="F86" s="26">
        <v>3.63</v>
      </c>
      <c r="G86" s="26">
        <v>2059600</v>
      </c>
    </row>
    <row r="87" spans="1:7">
      <c r="A87" s="28">
        <v>44593</v>
      </c>
      <c r="B87" s="26">
        <v>22.120000999999998</v>
      </c>
      <c r="C87" s="26">
        <v>1012100</v>
      </c>
      <c r="E87" s="28">
        <v>45051</v>
      </c>
      <c r="F87" s="26">
        <v>3.87</v>
      </c>
      <c r="G87" s="26">
        <v>1613500</v>
      </c>
    </row>
    <row r="88" spans="1:7">
      <c r="A88" s="28">
        <v>44594</v>
      </c>
      <c r="B88" s="26">
        <v>21.719999000000001</v>
      </c>
      <c r="C88" s="26">
        <v>757700</v>
      </c>
      <c r="E88" s="28">
        <v>45054</v>
      </c>
      <c r="F88" s="26">
        <v>3.97</v>
      </c>
      <c r="G88" s="26">
        <v>3614200</v>
      </c>
    </row>
    <row r="89" spans="1:7">
      <c r="A89" s="28">
        <v>44595</v>
      </c>
      <c r="B89" s="26">
        <v>19.879999000000002</v>
      </c>
      <c r="C89" s="26">
        <v>1822900</v>
      </c>
      <c r="E89" s="28">
        <v>45055</v>
      </c>
      <c r="F89" s="26">
        <v>3.7</v>
      </c>
      <c r="G89" s="26">
        <v>4277500</v>
      </c>
    </row>
    <row r="90" spans="1:7">
      <c r="A90" s="28">
        <v>44596</v>
      </c>
      <c r="B90" s="26">
        <v>20.100000000000001</v>
      </c>
      <c r="C90" s="26">
        <v>1267800</v>
      </c>
      <c r="E90" s="28">
        <v>45056</v>
      </c>
      <c r="F90" s="26">
        <v>3.55</v>
      </c>
      <c r="G90" s="26">
        <v>2498100</v>
      </c>
    </row>
    <row r="91" spans="1:7">
      <c r="A91" s="28">
        <v>44599</v>
      </c>
      <c r="B91" s="26">
        <v>20.58</v>
      </c>
      <c r="C91" s="26">
        <v>1152000</v>
      </c>
      <c r="E91" s="28">
        <v>45057</v>
      </c>
      <c r="F91" s="26">
        <v>3.37</v>
      </c>
      <c r="G91" s="26">
        <v>7328500</v>
      </c>
    </row>
    <row r="92" spans="1:7">
      <c r="A92" s="28">
        <v>44600</v>
      </c>
      <c r="B92" s="26">
        <v>20.25</v>
      </c>
      <c r="C92" s="26">
        <v>1441000</v>
      </c>
      <c r="E92" s="28">
        <v>45058</v>
      </c>
      <c r="F92" s="26">
        <v>3.5</v>
      </c>
      <c r="G92" s="26">
        <v>2141100</v>
      </c>
    </row>
    <row r="93" spans="1:7">
      <c r="A93" s="28">
        <v>44601</v>
      </c>
      <c r="B93" s="26">
        <v>21.200001</v>
      </c>
      <c r="C93" s="26">
        <v>1221800</v>
      </c>
      <c r="E93" s="28">
        <v>45061</v>
      </c>
      <c r="F93" s="26">
        <v>3.7</v>
      </c>
      <c r="G93" s="26">
        <v>1987600</v>
      </c>
    </row>
    <row r="94" spans="1:7">
      <c r="A94" s="28">
        <v>44602</v>
      </c>
      <c r="B94" s="26">
        <v>21.07</v>
      </c>
      <c r="C94" s="26">
        <v>1469800</v>
      </c>
      <c r="E94" s="28">
        <v>45062</v>
      </c>
      <c r="F94" s="26">
        <v>3.3450000000000002</v>
      </c>
      <c r="G94" s="26">
        <v>2549800</v>
      </c>
    </row>
    <row r="95" spans="1:7">
      <c r="A95" s="28">
        <v>44603</v>
      </c>
      <c r="B95" s="26">
        <v>20.290001</v>
      </c>
      <c r="C95" s="26">
        <v>1263900</v>
      </c>
      <c r="E95" s="28">
        <v>45063</v>
      </c>
      <c r="F95" s="26">
        <v>3.34</v>
      </c>
      <c r="G95" s="26">
        <v>1267200</v>
      </c>
    </row>
    <row r="96" spans="1:7">
      <c r="A96" s="28">
        <v>44606</v>
      </c>
      <c r="B96" s="26">
        <v>19.879999000000002</v>
      </c>
      <c r="C96" s="26">
        <v>1661900</v>
      </c>
      <c r="E96" s="28">
        <v>45064</v>
      </c>
      <c r="F96" s="26">
        <v>3.33</v>
      </c>
      <c r="G96" s="26">
        <v>1636200</v>
      </c>
    </row>
    <row r="97" spans="1:7">
      <c r="A97" s="28">
        <v>44607</v>
      </c>
      <c r="B97" s="26">
        <v>19.989999999999998</v>
      </c>
      <c r="C97" s="26">
        <v>1176200</v>
      </c>
      <c r="E97" s="28">
        <v>45065</v>
      </c>
      <c r="F97" s="26">
        <v>3.36</v>
      </c>
      <c r="G97" s="26">
        <v>1610400</v>
      </c>
    </row>
    <row r="98" spans="1:7">
      <c r="A98" s="28">
        <v>44608</v>
      </c>
      <c r="B98" s="26">
        <v>19.420000000000002</v>
      </c>
      <c r="C98" s="26">
        <v>1320400</v>
      </c>
      <c r="E98" s="28">
        <v>45068</v>
      </c>
      <c r="F98" s="26">
        <v>3.4</v>
      </c>
      <c r="G98" s="26">
        <v>2881500</v>
      </c>
    </row>
    <row r="99" spans="1:7">
      <c r="A99" s="28">
        <v>44609</v>
      </c>
      <c r="B99" s="26">
        <v>18.030000999999999</v>
      </c>
      <c r="C99" s="26">
        <v>2131100</v>
      </c>
      <c r="E99" s="28">
        <v>45069</v>
      </c>
      <c r="F99" s="26">
        <v>3.46</v>
      </c>
      <c r="G99" s="26">
        <v>1425100</v>
      </c>
    </row>
    <row r="100" spans="1:7">
      <c r="A100" s="28">
        <v>44610</v>
      </c>
      <c r="B100" s="26">
        <v>18.079999999999998</v>
      </c>
      <c r="C100" s="26">
        <v>5292300</v>
      </c>
      <c r="E100" s="28">
        <v>45070</v>
      </c>
      <c r="F100" s="26">
        <v>3.36</v>
      </c>
      <c r="G100" s="26">
        <v>1080800</v>
      </c>
    </row>
    <row r="101" spans="1:7">
      <c r="A101" s="28">
        <v>44614</v>
      </c>
      <c r="B101" s="26">
        <v>16.93</v>
      </c>
      <c r="C101" s="26">
        <v>3818300</v>
      </c>
      <c r="E101" s="28">
        <v>45071</v>
      </c>
      <c r="F101" s="26">
        <v>3.24</v>
      </c>
      <c r="G101" s="26">
        <v>823800</v>
      </c>
    </row>
    <row r="102" spans="1:7">
      <c r="A102" s="28">
        <v>44615</v>
      </c>
      <c r="B102" s="26">
        <v>17.059999000000001</v>
      </c>
      <c r="C102" s="26">
        <v>8037900</v>
      </c>
      <c r="E102" s="28">
        <v>45072</v>
      </c>
      <c r="F102" s="26">
        <v>3.29</v>
      </c>
      <c r="G102" s="26">
        <v>1447000</v>
      </c>
    </row>
    <row r="103" spans="1:7">
      <c r="A103" s="28">
        <v>44616</v>
      </c>
      <c r="B103" s="26">
        <v>17.52</v>
      </c>
      <c r="C103" s="26">
        <v>5028200</v>
      </c>
      <c r="E103" s="28">
        <v>45076</v>
      </c>
      <c r="F103" s="26">
        <v>3.23</v>
      </c>
      <c r="G103" s="26">
        <v>1359300</v>
      </c>
    </row>
    <row r="104" spans="1:7">
      <c r="A104" s="28">
        <v>44617</v>
      </c>
      <c r="B104" s="26">
        <v>17.440000999999999</v>
      </c>
      <c r="C104" s="26">
        <v>1529100</v>
      </c>
      <c r="E104" s="28">
        <v>45077</v>
      </c>
      <c r="F104" s="26">
        <v>3.16</v>
      </c>
      <c r="G104" s="26">
        <v>3767100</v>
      </c>
    </row>
    <row r="105" spans="1:7">
      <c r="A105" s="28">
        <v>44620</v>
      </c>
      <c r="B105" s="26">
        <v>16.780000999999999</v>
      </c>
      <c r="C105" s="26">
        <v>3059700</v>
      </c>
      <c r="E105" s="28">
        <v>45078</v>
      </c>
      <c r="F105" s="26">
        <v>3.21</v>
      </c>
      <c r="G105" s="26">
        <v>1655500</v>
      </c>
    </row>
    <row r="106" spans="1:7">
      <c r="A106" s="28">
        <v>44621</v>
      </c>
      <c r="B106" s="26">
        <v>15.81</v>
      </c>
      <c r="C106" s="26">
        <v>4561800</v>
      </c>
      <c r="E106" s="28">
        <v>45079</v>
      </c>
      <c r="F106" s="26">
        <v>3.47</v>
      </c>
      <c r="G106" s="26">
        <v>1529000</v>
      </c>
    </row>
    <row r="107" spans="1:7">
      <c r="A107" s="28">
        <v>44622</v>
      </c>
      <c r="B107" s="26">
        <v>16.649999999999999</v>
      </c>
      <c r="C107" s="26">
        <v>2593400</v>
      </c>
      <c r="E107" s="28">
        <v>45082</v>
      </c>
      <c r="F107" s="26">
        <v>3.48</v>
      </c>
      <c r="G107" s="26">
        <v>1607200</v>
      </c>
    </row>
    <row r="108" spans="1:7">
      <c r="A108" s="28">
        <v>44623</v>
      </c>
      <c r="B108" s="26">
        <v>15.75</v>
      </c>
      <c r="C108" s="26">
        <v>2807500</v>
      </c>
      <c r="E108" s="28">
        <v>45083</v>
      </c>
      <c r="F108" s="26">
        <v>3.64</v>
      </c>
      <c r="G108" s="26">
        <v>956900</v>
      </c>
    </row>
    <row r="109" spans="1:7">
      <c r="A109" s="28">
        <v>44624</v>
      </c>
      <c r="B109" s="26">
        <v>15.92</v>
      </c>
      <c r="C109" s="26">
        <v>3366200</v>
      </c>
      <c r="E109" s="28">
        <v>45084</v>
      </c>
      <c r="F109" s="26">
        <v>3.83</v>
      </c>
      <c r="G109" s="26">
        <v>1977600</v>
      </c>
    </row>
    <row r="110" spans="1:7">
      <c r="A110" s="28">
        <v>44627</v>
      </c>
      <c r="B110" s="26">
        <v>14.06</v>
      </c>
      <c r="C110" s="26">
        <v>5241100</v>
      </c>
      <c r="E110" s="28">
        <v>45085</v>
      </c>
      <c r="F110" s="26">
        <v>3.72</v>
      </c>
      <c r="G110" s="26">
        <v>1517000</v>
      </c>
    </row>
    <row r="111" spans="1:7">
      <c r="A111" s="28">
        <v>44628</v>
      </c>
      <c r="B111" s="26">
        <v>13.41</v>
      </c>
      <c r="C111" s="26">
        <v>6349000</v>
      </c>
      <c r="E111" s="28">
        <v>45086</v>
      </c>
      <c r="F111" s="26">
        <v>3.55</v>
      </c>
      <c r="G111" s="26">
        <v>2148700</v>
      </c>
    </row>
    <row r="112" spans="1:7">
      <c r="A112" s="28">
        <v>44629</v>
      </c>
      <c r="B112" s="26">
        <v>15.36</v>
      </c>
      <c r="C112" s="26">
        <v>4978400</v>
      </c>
      <c r="E112" s="28">
        <v>45089</v>
      </c>
      <c r="F112" s="26">
        <v>3.63</v>
      </c>
      <c r="G112" s="26">
        <v>2133000</v>
      </c>
    </row>
    <row r="113" spans="1:7">
      <c r="A113" s="28">
        <v>44630</v>
      </c>
      <c r="B113" s="26">
        <v>14.88</v>
      </c>
      <c r="C113" s="26">
        <v>2083400</v>
      </c>
      <c r="E113" s="28">
        <v>45090</v>
      </c>
      <c r="F113" s="26">
        <v>3.68</v>
      </c>
      <c r="G113" s="26">
        <v>1462900</v>
      </c>
    </row>
    <row r="114" spans="1:7">
      <c r="A114" s="28">
        <v>44631</v>
      </c>
      <c r="B114" s="26">
        <v>14.47</v>
      </c>
      <c r="C114" s="26">
        <v>1911100</v>
      </c>
      <c r="E114" s="28">
        <v>45091</v>
      </c>
      <c r="F114" s="26">
        <v>3.59</v>
      </c>
      <c r="G114" s="26">
        <v>1794000</v>
      </c>
    </row>
    <row r="115" spans="1:7">
      <c r="A115" s="28">
        <v>44634</v>
      </c>
      <c r="B115" s="26">
        <v>14.16</v>
      </c>
      <c r="C115" s="26">
        <v>1916400</v>
      </c>
      <c r="E115" s="28">
        <v>45092</v>
      </c>
      <c r="F115" s="26">
        <v>3.65</v>
      </c>
      <c r="G115" s="26">
        <v>1184600</v>
      </c>
    </row>
    <row r="116" spans="1:7">
      <c r="A116" s="28">
        <v>44635</v>
      </c>
      <c r="B116" s="26">
        <v>14.72</v>
      </c>
      <c r="C116" s="26">
        <v>1759100</v>
      </c>
      <c r="E116" s="28">
        <v>45093</v>
      </c>
      <c r="F116" s="26">
        <v>3.66</v>
      </c>
      <c r="G116" s="26">
        <v>2390900</v>
      </c>
    </row>
    <row r="117" spans="1:7">
      <c r="A117" s="28">
        <v>44636</v>
      </c>
      <c r="B117" s="26">
        <v>15.23</v>
      </c>
      <c r="C117" s="26">
        <v>1649300</v>
      </c>
      <c r="E117" s="28">
        <v>45097</v>
      </c>
      <c r="F117" s="26">
        <v>3.62</v>
      </c>
      <c r="G117" s="26">
        <v>1509900</v>
      </c>
    </row>
    <row r="118" spans="1:7">
      <c r="A118" s="28">
        <v>44637</v>
      </c>
      <c r="B118" s="26">
        <v>15.85</v>
      </c>
      <c r="C118" s="26">
        <v>1937600</v>
      </c>
      <c r="E118" s="28">
        <v>45098</v>
      </c>
      <c r="F118" s="26">
        <v>3.57</v>
      </c>
      <c r="G118" s="26">
        <v>954600</v>
      </c>
    </row>
    <row r="119" spans="1:7">
      <c r="A119" s="28">
        <v>44638</v>
      </c>
      <c r="B119" s="26">
        <v>16.809999000000001</v>
      </c>
      <c r="C119" s="26">
        <v>4182600</v>
      </c>
      <c r="E119" s="28">
        <v>45099</v>
      </c>
      <c r="F119" s="26">
        <v>3.6</v>
      </c>
      <c r="G119" s="26">
        <v>1186100</v>
      </c>
    </row>
    <row r="120" spans="1:7">
      <c r="A120" s="28">
        <v>44641</v>
      </c>
      <c r="B120" s="26">
        <v>17.040001</v>
      </c>
      <c r="C120" s="26">
        <v>2716200</v>
      </c>
      <c r="E120" s="28">
        <v>45100</v>
      </c>
      <c r="F120" s="26">
        <v>3.46</v>
      </c>
      <c r="G120" s="26">
        <v>4262700</v>
      </c>
    </row>
    <row r="121" spans="1:7">
      <c r="A121" s="28">
        <v>44642</v>
      </c>
      <c r="B121" s="26">
        <v>16.66</v>
      </c>
      <c r="C121" s="26">
        <v>2020500</v>
      </c>
      <c r="E121" s="28">
        <v>45103</v>
      </c>
      <c r="F121" s="26">
        <v>3.58</v>
      </c>
      <c r="G121" s="26">
        <v>1591000</v>
      </c>
    </row>
    <row r="122" spans="1:7">
      <c r="A122" s="28">
        <v>44643</v>
      </c>
      <c r="B122" s="26">
        <v>16.049999</v>
      </c>
      <c r="C122" s="26">
        <v>1727000</v>
      </c>
      <c r="E122" s="28">
        <v>45104</v>
      </c>
      <c r="F122" s="26">
        <v>3.59</v>
      </c>
      <c r="G122" s="26">
        <v>1439800</v>
      </c>
    </row>
    <row r="123" spans="1:7">
      <c r="A123" s="28">
        <v>44644</v>
      </c>
      <c r="B123" s="26">
        <v>15.75</v>
      </c>
      <c r="C123" s="26">
        <v>2282300</v>
      </c>
      <c r="E123" s="28">
        <v>45105</v>
      </c>
      <c r="F123" s="26">
        <v>3.59</v>
      </c>
      <c r="G123" s="26">
        <v>2384300</v>
      </c>
    </row>
    <row r="124" spans="1:7">
      <c r="A124" s="28">
        <v>44645</v>
      </c>
      <c r="B124" s="26">
        <v>15.69</v>
      </c>
      <c r="C124" s="26">
        <v>1426200</v>
      </c>
      <c r="E124" s="28">
        <v>45106</v>
      </c>
      <c r="F124" s="26">
        <v>3.74</v>
      </c>
      <c r="G124" s="26">
        <v>2417600</v>
      </c>
    </row>
    <row r="125" spans="1:7">
      <c r="A125" s="28">
        <v>44648</v>
      </c>
      <c r="B125" s="26">
        <v>16.079999999999998</v>
      </c>
      <c r="C125" s="26">
        <v>2738100</v>
      </c>
      <c r="E125" s="28">
        <v>45107</v>
      </c>
      <c r="F125" s="26">
        <v>3.72</v>
      </c>
      <c r="G125" s="26">
        <v>945900</v>
      </c>
    </row>
    <row r="126" spans="1:7">
      <c r="A126" s="28">
        <v>44649</v>
      </c>
      <c r="B126" s="26">
        <v>16.760000000000002</v>
      </c>
      <c r="C126" s="26">
        <v>2379500</v>
      </c>
      <c r="E126" s="28">
        <v>45110</v>
      </c>
      <c r="F126" s="26">
        <v>3.92</v>
      </c>
      <c r="G126" s="26">
        <v>1349900</v>
      </c>
    </row>
    <row r="127" spans="1:7">
      <c r="A127" s="28">
        <v>44650</v>
      </c>
      <c r="B127" s="26">
        <v>16.219999000000001</v>
      </c>
      <c r="C127" s="26">
        <v>1247100</v>
      </c>
      <c r="E127" s="28">
        <v>45112</v>
      </c>
      <c r="F127" s="26">
        <v>3.73</v>
      </c>
      <c r="G127" s="26">
        <v>2615000</v>
      </c>
    </row>
    <row r="128" spans="1:7">
      <c r="A128" s="28">
        <v>44651</v>
      </c>
      <c r="B128" s="26">
        <v>15.63</v>
      </c>
      <c r="C128" s="26">
        <v>1601300</v>
      </c>
      <c r="E128" s="28">
        <v>45113</v>
      </c>
      <c r="F128" s="26">
        <v>3.75</v>
      </c>
      <c r="G128" s="26">
        <v>1613700</v>
      </c>
    </row>
    <row r="129" spans="1:7">
      <c r="A129" s="28">
        <v>44652</v>
      </c>
      <c r="B129" s="26">
        <v>15.78</v>
      </c>
      <c r="C129" s="26">
        <v>1408800</v>
      </c>
      <c r="E129" s="28">
        <v>45114</v>
      </c>
      <c r="F129" s="26">
        <v>3.87</v>
      </c>
      <c r="G129" s="26">
        <v>1821900</v>
      </c>
    </row>
    <row r="130" spans="1:7">
      <c r="A130" s="28">
        <v>44655</v>
      </c>
      <c r="B130" s="26">
        <v>16.459999</v>
      </c>
      <c r="C130" s="26">
        <v>2477500</v>
      </c>
      <c r="E130" s="28">
        <v>45117</v>
      </c>
      <c r="F130" s="26">
        <v>4.0199999999999996</v>
      </c>
      <c r="G130" s="26">
        <v>2096900</v>
      </c>
    </row>
    <row r="131" spans="1:7">
      <c r="A131" s="28">
        <v>44656</v>
      </c>
      <c r="B131" s="26">
        <v>15.68</v>
      </c>
      <c r="C131" s="26">
        <v>2098700</v>
      </c>
      <c r="E131" s="28">
        <v>45118</v>
      </c>
      <c r="F131" s="26">
        <v>4.13</v>
      </c>
      <c r="G131" s="26">
        <v>2557600</v>
      </c>
    </row>
    <row r="132" spans="1:7">
      <c r="A132" s="28">
        <v>44657</v>
      </c>
      <c r="B132" s="26">
        <v>14.96</v>
      </c>
      <c r="C132" s="26">
        <v>2081200</v>
      </c>
      <c r="E132" s="28">
        <v>45119</v>
      </c>
      <c r="F132" s="26">
        <v>4.2300000000000004</v>
      </c>
      <c r="G132" s="26">
        <v>3111000</v>
      </c>
    </row>
    <row r="133" spans="1:7">
      <c r="A133" s="28">
        <v>44658</v>
      </c>
      <c r="B133" s="26">
        <v>15.01</v>
      </c>
      <c r="C133" s="26">
        <v>2256200</v>
      </c>
      <c r="E133" s="28">
        <v>45120</v>
      </c>
      <c r="F133" s="26">
        <v>4.12</v>
      </c>
      <c r="G133" s="26">
        <v>1665900</v>
      </c>
    </row>
    <row r="134" spans="1:7">
      <c r="A134" s="28">
        <v>44659</v>
      </c>
      <c r="B134" s="26">
        <v>15.45</v>
      </c>
      <c r="C134" s="26">
        <v>1756600</v>
      </c>
      <c r="E134" s="28">
        <v>45121</v>
      </c>
      <c r="F134" s="26">
        <v>3.97</v>
      </c>
      <c r="G134" s="26">
        <v>908900</v>
      </c>
    </row>
    <row r="135" spans="1:7">
      <c r="A135" s="28">
        <v>44662</v>
      </c>
      <c r="B135" s="26">
        <v>14.95</v>
      </c>
      <c r="C135" s="26">
        <v>1407800</v>
      </c>
      <c r="E135" s="28">
        <v>45124</v>
      </c>
      <c r="F135" s="26">
        <v>3.99</v>
      </c>
      <c r="G135" s="26">
        <v>1616500</v>
      </c>
    </row>
    <row r="136" spans="1:7">
      <c r="A136" s="28">
        <v>44663</v>
      </c>
      <c r="B136" s="26">
        <v>14.67</v>
      </c>
      <c r="C136" s="26">
        <v>1400400</v>
      </c>
      <c r="E136" s="28">
        <v>45125</v>
      </c>
      <c r="F136" s="26">
        <v>4.08</v>
      </c>
      <c r="G136" s="26">
        <v>877500</v>
      </c>
    </row>
    <row r="137" spans="1:7">
      <c r="A137" s="28">
        <v>44664</v>
      </c>
      <c r="B137" s="26">
        <v>15.43</v>
      </c>
      <c r="C137" s="26">
        <v>997500</v>
      </c>
      <c r="E137" s="28">
        <v>45126</v>
      </c>
      <c r="F137" s="26">
        <v>4.0599999999999996</v>
      </c>
      <c r="G137" s="26">
        <v>985100</v>
      </c>
    </row>
    <row r="138" spans="1:7">
      <c r="A138" s="28">
        <v>44665</v>
      </c>
      <c r="B138" s="26">
        <v>15.22</v>
      </c>
      <c r="C138" s="26">
        <v>957100</v>
      </c>
      <c r="E138" s="28">
        <v>45127</v>
      </c>
      <c r="F138" s="26">
        <v>3.79</v>
      </c>
      <c r="G138" s="26">
        <v>2158300</v>
      </c>
    </row>
    <row r="139" spans="1:7">
      <c r="A139" s="28">
        <v>44669</v>
      </c>
      <c r="B139" s="26">
        <v>14.96</v>
      </c>
      <c r="C139" s="26">
        <v>1281100</v>
      </c>
      <c r="E139" s="28">
        <v>45128</v>
      </c>
      <c r="F139" s="26">
        <v>3.8250000000000002</v>
      </c>
      <c r="G139" s="26">
        <v>1031600</v>
      </c>
    </row>
    <row r="140" spans="1:7">
      <c r="A140" s="28">
        <v>44670</v>
      </c>
      <c r="B140" s="26">
        <v>15.79</v>
      </c>
      <c r="C140" s="26">
        <v>1332200</v>
      </c>
      <c r="E140" s="28">
        <v>45131</v>
      </c>
      <c r="F140" s="26">
        <v>3.94</v>
      </c>
      <c r="G140" s="26">
        <v>1084000</v>
      </c>
    </row>
    <row r="141" spans="1:7">
      <c r="A141" s="28">
        <v>44671</v>
      </c>
      <c r="B141" s="26">
        <v>15.55</v>
      </c>
      <c r="C141" s="26">
        <v>1454700</v>
      </c>
      <c r="E141" s="28">
        <v>45132</v>
      </c>
      <c r="F141" s="26">
        <v>3.9</v>
      </c>
      <c r="G141" s="26">
        <v>1028900</v>
      </c>
    </row>
    <row r="142" spans="1:7">
      <c r="A142" s="28">
        <v>44672</v>
      </c>
      <c r="B142" s="26">
        <v>13.92</v>
      </c>
      <c r="C142" s="26">
        <v>2765800</v>
      </c>
      <c r="E142" s="28">
        <v>45133</v>
      </c>
      <c r="F142" s="26">
        <v>3.98</v>
      </c>
      <c r="G142" s="26">
        <v>1582800</v>
      </c>
    </row>
    <row r="143" spans="1:7">
      <c r="A143" s="28">
        <v>44673</v>
      </c>
      <c r="B143" s="26">
        <v>14.09</v>
      </c>
      <c r="C143" s="26">
        <v>1983100</v>
      </c>
      <c r="E143" s="28">
        <v>45134</v>
      </c>
      <c r="F143" s="26">
        <v>3.68</v>
      </c>
      <c r="G143" s="26">
        <v>1288200</v>
      </c>
    </row>
    <row r="144" spans="1:7">
      <c r="A144" s="28">
        <v>44676</v>
      </c>
      <c r="B144" s="26">
        <v>14.85</v>
      </c>
      <c r="C144" s="26">
        <v>1283300</v>
      </c>
      <c r="E144" s="28">
        <v>45135</v>
      </c>
      <c r="F144" s="26">
        <v>3.71</v>
      </c>
      <c r="G144" s="26">
        <v>1583200</v>
      </c>
    </row>
    <row r="145" spans="1:7">
      <c r="A145" s="28">
        <v>44677</v>
      </c>
      <c r="B145" s="26">
        <v>14.07</v>
      </c>
      <c r="C145" s="26">
        <v>1347500</v>
      </c>
      <c r="E145" s="28">
        <v>45138</v>
      </c>
      <c r="F145" s="26">
        <v>3.6</v>
      </c>
      <c r="G145" s="26">
        <v>1778500</v>
      </c>
    </row>
    <row r="146" spans="1:7">
      <c r="A146" s="28">
        <v>44678</v>
      </c>
      <c r="B146" s="26">
        <v>14.22</v>
      </c>
      <c r="C146" s="26">
        <v>1418600</v>
      </c>
      <c r="E146" s="28">
        <v>45139</v>
      </c>
      <c r="F146" s="26">
        <v>3.46</v>
      </c>
      <c r="G146" s="26">
        <v>1762600</v>
      </c>
    </row>
    <row r="147" spans="1:7">
      <c r="A147" s="28">
        <v>44679</v>
      </c>
      <c r="B147" s="26">
        <v>14.91</v>
      </c>
      <c r="C147" s="26">
        <v>1774400</v>
      </c>
      <c r="E147" s="28">
        <v>45140</v>
      </c>
      <c r="F147" s="26">
        <v>3.44</v>
      </c>
      <c r="G147" s="26">
        <v>1509700</v>
      </c>
    </row>
    <row r="148" spans="1:7">
      <c r="A148" s="28">
        <v>44680</v>
      </c>
      <c r="B148" s="26">
        <v>14.7</v>
      </c>
      <c r="C148" s="26">
        <v>1743000</v>
      </c>
      <c r="E148" s="28">
        <v>45141</v>
      </c>
      <c r="F148" s="26">
        <v>3.43</v>
      </c>
      <c r="G148" s="26">
        <v>2842800</v>
      </c>
    </row>
    <row r="149" spans="1:7">
      <c r="A149" s="28">
        <v>44683</v>
      </c>
      <c r="B149" s="26">
        <v>14.34</v>
      </c>
      <c r="C149" s="26">
        <v>4205600</v>
      </c>
      <c r="E149" s="28">
        <v>45142</v>
      </c>
      <c r="F149" s="26">
        <v>3.49</v>
      </c>
      <c r="G149" s="26">
        <v>1719700</v>
      </c>
    </row>
    <row r="150" spans="1:7">
      <c r="A150" s="28">
        <v>44684</v>
      </c>
      <c r="B150" s="26">
        <v>14.2</v>
      </c>
      <c r="C150" s="26">
        <v>2498700</v>
      </c>
      <c r="E150" s="28">
        <v>45145</v>
      </c>
      <c r="F150" s="26">
        <v>3.57</v>
      </c>
      <c r="G150" s="26">
        <v>3182700</v>
      </c>
    </row>
    <row r="151" spans="1:7">
      <c r="A151" s="28">
        <v>44685</v>
      </c>
      <c r="B151" s="26">
        <v>14.45</v>
      </c>
      <c r="C151" s="26">
        <v>1739900</v>
      </c>
      <c r="E151" s="28">
        <v>45146</v>
      </c>
      <c r="F151" s="26">
        <v>3.23</v>
      </c>
      <c r="G151" s="26">
        <v>14027400</v>
      </c>
    </row>
    <row r="152" spans="1:7">
      <c r="A152" s="28">
        <v>44686</v>
      </c>
      <c r="B152" s="26">
        <v>13.34</v>
      </c>
      <c r="C152" s="26">
        <v>1775000</v>
      </c>
      <c r="E152" s="28">
        <v>45147</v>
      </c>
      <c r="F152" s="26">
        <v>2.8</v>
      </c>
      <c r="G152" s="26">
        <v>4814300</v>
      </c>
    </row>
    <row r="153" spans="1:7">
      <c r="A153" s="28">
        <v>44687</v>
      </c>
      <c r="B153" s="26">
        <v>13.39</v>
      </c>
      <c r="C153" s="26">
        <v>3909200</v>
      </c>
      <c r="E153" s="28">
        <v>45148</v>
      </c>
      <c r="F153" s="26">
        <v>2.62</v>
      </c>
      <c r="G153" s="26">
        <v>4181900</v>
      </c>
    </row>
    <row r="154" spans="1:7">
      <c r="A154" s="28">
        <v>44690</v>
      </c>
      <c r="B154" s="26">
        <v>12.94</v>
      </c>
      <c r="C154" s="26">
        <v>2072500</v>
      </c>
      <c r="E154" s="28">
        <v>45149</v>
      </c>
      <c r="F154" s="26">
        <v>2.6</v>
      </c>
      <c r="G154" s="26">
        <v>3672700</v>
      </c>
    </row>
    <row r="155" spans="1:7">
      <c r="A155" s="28">
        <v>44691</v>
      </c>
      <c r="B155" s="26">
        <v>12.16</v>
      </c>
      <c r="C155" s="26">
        <v>5376100</v>
      </c>
      <c r="E155" s="28">
        <v>45152</v>
      </c>
      <c r="F155" s="26">
        <v>2.63</v>
      </c>
      <c r="G155" s="26">
        <v>4138600</v>
      </c>
    </row>
    <row r="156" spans="1:7">
      <c r="A156" s="28">
        <v>44692</v>
      </c>
      <c r="B156" s="26">
        <v>12.27</v>
      </c>
      <c r="C156" s="26">
        <v>7008800</v>
      </c>
      <c r="E156" s="28">
        <v>45153</v>
      </c>
      <c r="F156" s="26">
        <v>2.79</v>
      </c>
      <c r="G156" s="26">
        <v>5342700</v>
      </c>
    </row>
    <row r="157" spans="1:7">
      <c r="A157" s="28">
        <v>44693</v>
      </c>
      <c r="B157" s="26">
        <v>12.92</v>
      </c>
      <c r="C157" s="26">
        <v>3929600</v>
      </c>
      <c r="E157" s="28">
        <v>45154</v>
      </c>
      <c r="F157" s="26">
        <v>2.75</v>
      </c>
      <c r="G157" s="26">
        <v>3398800</v>
      </c>
    </row>
    <row r="158" spans="1:7">
      <c r="A158" s="28">
        <v>44694</v>
      </c>
      <c r="B158" s="26">
        <v>13.8</v>
      </c>
      <c r="C158" s="26">
        <v>3269500</v>
      </c>
      <c r="E158" s="28">
        <v>45155</v>
      </c>
      <c r="F158" s="26">
        <v>2.71</v>
      </c>
      <c r="G158" s="26">
        <v>3141500</v>
      </c>
    </row>
    <row r="159" spans="1:7">
      <c r="A159" s="28">
        <v>44697</v>
      </c>
      <c r="B159" s="26">
        <v>14.1</v>
      </c>
      <c r="C159" s="26">
        <v>2088100</v>
      </c>
      <c r="E159" s="28">
        <v>45156</v>
      </c>
      <c r="F159" s="26">
        <v>2.7</v>
      </c>
      <c r="G159" s="26">
        <v>2014300</v>
      </c>
    </row>
    <row r="160" spans="1:7">
      <c r="A160" s="28">
        <v>44698</v>
      </c>
      <c r="B160" s="26">
        <v>14.83</v>
      </c>
      <c r="C160" s="26">
        <v>2724500</v>
      </c>
      <c r="E160" s="28">
        <v>45159</v>
      </c>
      <c r="F160" s="26">
        <v>2.73</v>
      </c>
      <c r="G160" s="26">
        <v>1976700</v>
      </c>
    </row>
    <row r="161" spans="1:7">
      <c r="A161" s="28">
        <v>44699</v>
      </c>
      <c r="B161" s="26">
        <v>13.92</v>
      </c>
      <c r="C161" s="26">
        <v>2559800</v>
      </c>
      <c r="E161" s="28">
        <v>45160</v>
      </c>
      <c r="F161" s="26">
        <v>2.74</v>
      </c>
      <c r="G161" s="26">
        <v>1045600</v>
      </c>
    </row>
    <row r="162" spans="1:7">
      <c r="A162" s="28">
        <v>44700</v>
      </c>
      <c r="B162" s="26">
        <v>14.2</v>
      </c>
      <c r="C162" s="26">
        <v>2357400</v>
      </c>
      <c r="E162" s="28">
        <v>45161</v>
      </c>
      <c r="F162" s="26">
        <v>2.645</v>
      </c>
      <c r="G162" s="26">
        <v>2276700</v>
      </c>
    </row>
    <row r="163" spans="1:7">
      <c r="A163" s="28">
        <v>44701</v>
      </c>
      <c r="B163" s="26">
        <v>14.48</v>
      </c>
      <c r="C163" s="26">
        <v>3346400</v>
      </c>
      <c r="E163" s="28">
        <v>45162</v>
      </c>
      <c r="F163" s="26">
        <v>2.61</v>
      </c>
      <c r="G163" s="26">
        <v>1684000</v>
      </c>
    </row>
    <row r="164" spans="1:7">
      <c r="A164" s="28">
        <v>44704</v>
      </c>
      <c r="B164" s="26">
        <v>15.2</v>
      </c>
      <c r="C164" s="26">
        <v>4751000</v>
      </c>
      <c r="E164" s="28">
        <v>45163</v>
      </c>
      <c r="F164" s="26">
        <v>2.64</v>
      </c>
      <c r="G164" s="26">
        <v>2535800</v>
      </c>
    </row>
    <row r="165" spans="1:7">
      <c r="A165" s="28">
        <v>44705</v>
      </c>
      <c r="B165" s="26">
        <v>14.48</v>
      </c>
      <c r="C165" s="26">
        <v>4104100</v>
      </c>
      <c r="E165" s="28">
        <v>45166</v>
      </c>
      <c r="F165" s="26">
        <v>2.7</v>
      </c>
      <c r="G165" s="26">
        <v>1631500</v>
      </c>
    </row>
    <row r="166" spans="1:7">
      <c r="A166" s="28">
        <v>44706</v>
      </c>
      <c r="B166" s="26">
        <v>14.29</v>
      </c>
      <c r="C166" s="26">
        <v>1722200</v>
      </c>
      <c r="E166" s="28">
        <v>45167</v>
      </c>
      <c r="F166" s="26">
        <v>2.75</v>
      </c>
      <c r="G166" s="26">
        <v>1106300</v>
      </c>
    </row>
    <row r="167" spans="1:7">
      <c r="A167" s="28">
        <v>44707</v>
      </c>
      <c r="B167" s="26">
        <v>15.58</v>
      </c>
      <c r="C167" s="26">
        <v>2933300</v>
      </c>
      <c r="E167" s="28">
        <v>45168</v>
      </c>
      <c r="F167" s="26">
        <v>2.75</v>
      </c>
      <c r="G167" s="26">
        <v>924600</v>
      </c>
    </row>
    <row r="168" spans="1:7">
      <c r="A168" s="28">
        <v>44708</v>
      </c>
      <c r="B168" s="26">
        <v>17.360001</v>
      </c>
      <c r="C168" s="26">
        <v>3322800</v>
      </c>
      <c r="E168" s="28">
        <v>45169</v>
      </c>
      <c r="F168" s="26">
        <v>2.71</v>
      </c>
      <c r="G168" s="26">
        <v>1581900</v>
      </c>
    </row>
    <row r="169" spans="1:7">
      <c r="A169" s="28">
        <v>44712</v>
      </c>
      <c r="B169" s="26">
        <v>16.120000999999998</v>
      </c>
      <c r="C169" s="26">
        <v>1778700</v>
      </c>
      <c r="E169" s="28">
        <v>45170</v>
      </c>
      <c r="F169" s="26">
        <v>2.68</v>
      </c>
      <c r="G169" s="26">
        <v>1249500</v>
      </c>
    </row>
    <row r="170" spans="1:7">
      <c r="A170" s="28">
        <v>44713</v>
      </c>
      <c r="B170" s="26">
        <v>15.66</v>
      </c>
      <c r="C170" s="26">
        <v>1596000</v>
      </c>
      <c r="E170" s="28">
        <v>45174</v>
      </c>
      <c r="F170" s="26">
        <v>2.59</v>
      </c>
      <c r="G170" s="26">
        <v>1112500</v>
      </c>
    </row>
    <row r="171" spans="1:7">
      <c r="A171" s="28">
        <v>44714</v>
      </c>
      <c r="B171" s="26">
        <v>16.91</v>
      </c>
      <c r="C171" s="26">
        <v>2365500</v>
      </c>
      <c r="E171" s="28">
        <v>45175</v>
      </c>
      <c r="F171" s="26">
        <v>2.5499999999999998</v>
      </c>
      <c r="G171" s="26">
        <v>1468600</v>
      </c>
    </row>
    <row r="172" spans="1:7">
      <c r="A172" s="28">
        <v>44715</v>
      </c>
      <c r="B172" s="26">
        <v>16.25</v>
      </c>
      <c r="C172" s="26">
        <v>1663200</v>
      </c>
      <c r="E172" s="28">
        <v>45176</v>
      </c>
      <c r="F172" s="26">
        <v>2.4500000000000002</v>
      </c>
      <c r="G172" s="26">
        <v>2291800</v>
      </c>
    </row>
    <row r="173" spans="1:7">
      <c r="A173" s="28">
        <v>44718</v>
      </c>
      <c r="B173" s="26">
        <v>16.700001</v>
      </c>
      <c r="C173" s="26">
        <v>1188000</v>
      </c>
      <c r="E173" s="28">
        <v>45177</v>
      </c>
      <c r="F173" s="26">
        <v>2.4300000000000002</v>
      </c>
      <c r="G173" s="26">
        <v>1130700</v>
      </c>
    </row>
    <row r="174" spans="1:7">
      <c r="A174" s="28">
        <v>44719</v>
      </c>
      <c r="B174" s="26">
        <v>16.670000000000002</v>
      </c>
      <c r="C174" s="26">
        <v>1056400</v>
      </c>
      <c r="E174" s="28">
        <v>45180</v>
      </c>
      <c r="F174" s="26">
        <v>2.4</v>
      </c>
      <c r="G174" s="26">
        <v>1757200</v>
      </c>
    </row>
    <row r="175" spans="1:7">
      <c r="A175" s="28">
        <v>44720</v>
      </c>
      <c r="B175" s="26">
        <v>16.510000000000002</v>
      </c>
      <c r="C175" s="26">
        <v>1081700</v>
      </c>
      <c r="E175" s="28">
        <v>45181</v>
      </c>
      <c r="F175" s="26">
        <v>2.41</v>
      </c>
      <c r="G175" s="26">
        <v>1701900</v>
      </c>
    </row>
    <row r="176" spans="1:7">
      <c r="A176" s="28">
        <v>44721</v>
      </c>
      <c r="B176" s="26">
        <v>16.420000000000002</v>
      </c>
      <c r="C176" s="26">
        <v>2105000</v>
      </c>
      <c r="E176" s="28">
        <v>45182</v>
      </c>
      <c r="F176" s="26">
        <v>2.4</v>
      </c>
      <c r="G176" s="26">
        <v>1355100</v>
      </c>
    </row>
    <row r="177" spans="1:7">
      <c r="A177" s="28">
        <v>44722</v>
      </c>
      <c r="B177" s="26">
        <v>15.24</v>
      </c>
      <c r="C177" s="26">
        <v>1885000</v>
      </c>
      <c r="E177" s="28">
        <v>45183</v>
      </c>
      <c r="F177" s="26">
        <v>2.41</v>
      </c>
      <c r="G177" s="26">
        <v>1327100</v>
      </c>
    </row>
    <row r="178" spans="1:7">
      <c r="A178" s="28">
        <v>44725</v>
      </c>
      <c r="B178" s="26">
        <v>14.02</v>
      </c>
      <c r="C178" s="26">
        <v>1916900</v>
      </c>
      <c r="E178" s="28">
        <v>45184</v>
      </c>
      <c r="F178" s="26">
        <v>2.2599999999999998</v>
      </c>
      <c r="G178" s="26">
        <v>6693300</v>
      </c>
    </row>
    <row r="179" spans="1:7">
      <c r="A179" s="28">
        <v>44726</v>
      </c>
      <c r="B179" s="26">
        <v>14.84</v>
      </c>
      <c r="C179" s="26">
        <v>1970900</v>
      </c>
      <c r="E179" s="28">
        <v>45187</v>
      </c>
      <c r="F179" s="26">
        <v>2.09</v>
      </c>
      <c r="G179" s="26">
        <v>3209200</v>
      </c>
    </row>
    <row r="180" spans="1:7">
      <c r="A180" s="28">
        <v>44727</v>
      </c>
      <c r="B180" s="26">
        <v>15.19</v>
      </c>
      <c r="C180" s="26">
        <v>3219700</v>
      </c>
      <c r="E180" s="28">
        <v>45188</v>
      </c>
      <c r="F180" s="26">
        <v>2.11</v>
      </c>
      <c r="G180" s="26">
        <v>2114200</v>
      </c>
    </row>
    <row r="181" spans="1:7">
      <c r="A181" s="28">
        <v>44728</v>
      </c>
      <c r="B181" s="26">
        <v>13.26</v>
      </c>
      <c r="C181" s="26">
        <v>2714500</v>
      </c>
      <c r="E181" s="28">
        <v>45189</v>
      </c>
      <c r="F181" s="26">
        <v>2.0699999999999998</v>
      </c>
      <c r="G181" s="26">
        <v>1660500</v>
      </c>
    </row>
    <row r="182" spans="1:7">
      <c r="A182" s="28">
        <v>44729</v>
      </c>
      <c r="B182" s="26">
        <v>14.01</v>
      </c>
      <c r="C182" s="26">
        <v>2713800</v>
      </c>
      <c r="E182" s="28">
        <v>45190</v>
      </c>
      <c r="F182" s="26">
        <v>2.09</v>
      </c>
      <c r="G182" s="26">
        <v>2340700</v>
      </c>
    </row>
    <row r="183" spans="1:7">
      <c r="A183" s="28">
        <v>44733</v>
      </c>
      <c r="B183" s="26">
        <v>13.91</v>
      </c>
      <c r="C183" s="26">
        <v>2077400</v>
      </c>
      <c r="E183" s="28">
        <v>45191</v>
      </c>
      <c r="F183" s="26">
        <v>2.0699999999999998</v>
      </c>
      <c r="G183" s="26">
        <v>1659500</v>
      </c>
    </row>
    <row r="184" spans="1:7">
      <c r="A184" s="28">
        <v>44734</v>
      </c>
      <c r="B184" s="26">
        <v>13.93</v>
      </c>
      <c r="C184" s="26">
        <v>2263300</v>
      </c>
      <c r="E184" s="28">
        <v>45194</v>
      </c>
      <c r="F184" s="26">
        <v>2.02</v>
      </c>
      <c r="G184" s="26">
        <v>2141100</v>
      </c>
    </row>
    <row r="185" spans="1:7">
      <c r="A185" s="28">
        <v>44735</v>
      </c>
      <c r="B185" s="26">
        <v>14.73</v>
      </c>
      <c r="C185" s="26">
        <v>1315300</v>
      </c>
      <c r="E185" s="28">
        <v>45195</v>
      </c>
      <c r="F185" s="26">
        <v>2.0099999999999998</v>
      </c>
      <c r="G185" s="26">
        <v>2806200</v>
      </c>
    </row>
    <row r="186" spans="1:7">
      <c r="A186" s="28">
        <v>44736</v>
      </c>
      <c r="B186" s="26">
        <v>15.59</v>
      </c>
      <c r="C186" s="26">
        <v>5330200</v>
      </c>
      <c r="E186" s="28">
        <v>45196</v>
      </c>
      <c r="F186" s="26">
        <v>1.95</v>
      </c>
      <c r="G186" s="26">
        <v>1171500</v>
      </c>
    </row>
    <row r="187" spans="1:7">
      <c r="A187" s="28">
        <v>44739</v>
      </c>
      <c r="B187" s="26">
        <v>15.28</v>
      </c>
      <c r="C187" s="26">
        <v>1560000</v>
      </c>
      <c r="E187" s="28">
        <v>45197</v>
      </c>
      <c r="F187" s="26">
        <v>1.88</v>
      </c>
      <c r="G187" s="26">
        <v>2118400</v>
      </c>
    </row>
    <row r="188" spans="1:7">
      <c r="A188" s="28">
        <v>44740</v>
      </c>
      <c r="B188" s="26">
        <v>14.64</v>
      </c>
      <c r="C188" s="26">
        <v>1234200</v>
      </c>
      <c r="E188" s="28">
        <v>45198</v>
      </c>
      <c r="F188" s="26">
        <v>1.95</v>
      </c>
      <c r="G188" s="26">
        <v>2456800</v>
      </c>
    </row>
    <row r="189" spans="1:7">
      <c r="A189" s="28">
        <v>44741</v>
      </c>
      <c r="B189" s="26">
        <v>13.85</v>
      </c>
      <c r="C189" s="26">
        <v>1757600</v>
      </c>
      <c r="E189" s="28">
        <v>45201</v>
      </c>
      <c r="F189" s="26">
        <v>1.9</v>
      </c>
      <c r="G189" s="26">
        <v>1428300</v>
      </c>
    </row>
    <row r="190" spans="1:7">
      <c r="A190" s="28">
        <v>44742</v>
      </c>
      <c r="B190" s="26">
        <v>14.09</v>
      </c>
      <c r="C190" s="26">
        <v>1973200</v>
      </c>
      <c r="E190" s="28">
        <v>45202</v>
      </c>
      <c r="F190" s="26">
        <v>1.87</v>
      </c>
      <c r="G190" s="26">
        <v>1531100</v>
      </c>
    </row>
    <row r="191" spans="1:7">
      <c r="A191" s="28">
        <v>44743</v>
      </c>
      <c r="B191" s="26">
        <v>14.42</v>
      </c>
      <c r="C191" s="26">
        <v>1404400</v>
      </c>
      <c r="E191" s="28">
        <v>45203</v>
      </c>
      <c r="F191" s="26">
        <v>1.97</v>
      </c>
      <c r="G191" s="26">
        <v>2093700</v>
      </c>
    </row>
    <row r="192" spans="1:7">
      <c r="A192" s="28">
        <v>44747</v>
      </c>
      <c r="B192" s="26">
        <v>14.88</v>
      </c>
      <c r="C192" s="26">
        <v>954300</v>
      </c>
      <c r="E192" s="28">
        <v>45204</v>
      </c>
      <c r="F192" s="26">
        <v>1.85</v>
      </c>
      <c r="G192" s="26">
        <v>1218400</v>
      </c>
    </row>
    <row r="193" spans="1:7">
      <c r="A193" s="28">
        <v>44748</v>
      </c>
      <c r="B193" s="26">
        <v>14.69</v>
      </c>
      <c r="C193" s="26">
        <v>1519600</v>
      </c>
      <c r="E193" s="28">
        <v>45205</v>
      </c>
      <c r="F193" s="26">
        <v>1.86</v>
      </c>
      <c r="G193" s="26">
        <v>1351800</v>
      </c>
    </row>
    <row r="194" spans="1:7">
      <c r="A194" s="28">
        <v>44749</v>
      </c>
      <c r="B194" s="26">
        <v>14.79</v>
      </c>
      <c r="C194" s="26">
        <v>870300</v>
      </c>
      <c r="E194" s="28">
        <v>45208</v>
      </c>
      <c r="F194" s="26">
        <v>1.83</v>
      </c>
      <c r="G194" s="26">
        <v>1102400</v>
      </c>
    </row>
    <row r="195" spans="1:7">
      <c r="A195" s="28">
        <v>44750</v>
      </c>
      <c r="B195" s="26">
        <v>14.16</v>
      </c>
      <c r="C195" s="26">
        <v>895400</v>
      </c>
      <c r="E195" s="28">
        <v>45209</v>
      </c>
      <c r="F195" s="26">
        <v>1.85</v>
      </c>
      <c r="G195" s="26">
        <v>1459800</v>
      </c>
    </row>
    <row r="196" spans="1:7">
      <c r="A196" s="28">
        <v>44753</v>
      </c>
      <c r="B196" s="26">
        <v>13.9</v>
      </c>
      <c r="C196" s="26">
        <v>859900</v>
      </c>
      <c r="E196" s="28">
        <v>45210</v>
      </c>
      <c r="F196" s="26">
        <v>1.76</v>
      </c>
      <c r="G196" s="26">
        <v>910800</v>
      </c>
    </row>
    <row r="197" spans="1:7">
      <c r="A197" s="28">
        <v>44754</v>
      </c>
      <c r="B197" s="26">
        <v>14.36</v>
      </c>
      <c r="C197" s="26">
        <v>1004100</v>
      </c>
      <c r="E197" s="28">
        <v>45211</v>
      </c>
      <c r="F197" s="26">
        <v>1.77</v>
      </c>
      <c r="G197" s="26">
        <v>2353900</v>
      </c>
    </row>
    <row r="198" spans="1:7">
      <c r="A198" s="28">
        <v>44755</v>
      </c>
      <c r="B198" s="26">
        <v>15.31</v>
      </c>
      <c r="C198" s="26">
        <v>1549500</v>
      </c>
      <c r="E198" s="28">
        <v>45212</v>
      </c>
      <c r="F198" s="26">
        <v>1.6</v>
      </c>
      <c r="G198" s="26">
        <v>2838800</v>
      </c>
    </row>
    <row r="199" spans="1:7">
      <c r="A199" s="28">
        <v>44756</v>
      </c>
      <c r="B199" s="26">
        <v>14.78</v>
      </c>
      <c r="C199" s="26">
        <v>1605300</v>
      </c>
      <c r="E199" s="28">
        <v>45215</v>
      </c>
      <c r="F199" s="26">
        <v>1.67</v>
      </c>
      <c r="G199" s="26">
        <v>2268100</v>
      </c>
    </row>
    <row r="200" spans="1:7">
      <c r="A200" s="28">
        <v>44757</v>
      </c>
      <c r="B200" s="26">
        <v>15.52</v>
      </c>
      <c r="C200" s="26">
        <v>1810300</v>
      </c>
      <c r="E200" s="28">
        <v>45216</v>
      </c>
      <c r="F200" s="26">
        <v>1.65</v>
      </c>
      <c r="G200" s="26">
        <v>2725500</v>
      </c>
    </row>
    <row r="201" spans="1:7">
      <c r="A201" s="28">
        <v>44760</v>
      </c>
      <c r="B201" s="26">
        <v>16.299999</v>
      </c>
      <c r="C201" s="26">
        <v>2494900</v>
      </c>
      <c r="E201" s="28">
        <v>45217</v>
      </c>
      <c r="F201" s="26">
        <v>1.57</v>
      </c>
      <c r="G201" s="26">
        <v>1152000</v>
      </c>
    </row>
    <row r="202" spans="1:7">
      <c r="A202" s="28">
        <v>44761</v>
      </c>
      <c r="B202" s="26">
        <v>17.27</v>
      </c>
      <c r="C202" s="26">
        <v>2187500</v>
      </c>
      <c r="E202" s="28">
        <v>45218</v>
      </c>
      <c r="F202" s="26">
        <v>1.57</v>
      </c>
      <c r="G202" s="26">
        <v>2591300</v>
      </c>
    </row>
    <row r="203" spans="1:7">
      <c r="A203" s="28">
        <v>44762</v>
      </c>
      <c r="B203" s="26">
        <v>17.829999999999998</v>
      </c>
      <c r="C203" s="26">
        <v>2679100</v>
      </c>
      <c r="E203" s="28">
        <v>45219</v>
      </c>
      <c r="F203" s="26">
        <v>1.59</v>
      </c>
      <c r="G203" s="26">
        <v>1595700</v>
      </c>
    </row>
    <row r="204" spans="1:7">
      <c r="A204" s="28">
        <v>44763</v>
      </c>
      <c r="B204" s="26">
        <v>18.059999000000001</v>
      </c>
      <c r="C204" s="26">
        <v>1251600</v>
      </c>
      <c r="E204" s="28">
        <v>45222</v>
      </c>
      <c r="F204" s="26">
        <v>1.54</v>
      </c>
      <c r="G204" s="26">
        <v>1790700</v>
      </c>
    </row>
    <row r="205" spans="1:7">
      <c r="A205" s="28">
        <v>44764</v>
      </c>
      <c r="B205" s="26">
        <v>17.379999000000002</v>
      </c>
      <c r="C205" s="26">
        <v>1035200</v>
      </c>
      <c r="E205" s="28">
        <v>45223</v>
      </c>
      <c r="F205" s="26">
        <v>1.63</v>
      </c>
      <c r="G205" s="26">
        <v>2334500</v>
      </c>
    </row>
    <row r="206" spans="1:7">
      <c r="A206" s="28">
        <v>44767</v>
      </c>
      <c r="B206" s="26">
        <v>17.41</v>
      </c>
      <c r="C206" s="26">
        <v>1266100</v>
      </c>
      <c r="E206" s="28">
        <v>45224</v>
      </c>
      <c r="F206" s="26">
        <v>1.6</v>
      </c>
      <c r="G206" s="26">
        <v>791100</v>
      </c>
    </row>
    <row r="207" spans="1:7">
      <c r="A207" s="28">
        <v>44768</v>
      </c>
      <c r="B207" s="26">
        <v>16.84</v>
      </c>
      <c r="C207" s="26">
        <v>1544200</v>
      </c>
      <c r="E207" s="28">
        <v>45225</v>
      </c>
      <c r="F207" s="26">
        <v>1.54</v>
      </c>
      <c r="G207" s="26">
        <v>1034300</v>
      </c>
    </row>
    <row r="208" spans="1:7">
      <c r="A208" s="28">
        <v>44769</v>
      </c>
      <c r="B208" s="26">
        <v>17.170000000000002</v>
      </c>
      <c r="C208" s="26">
        <v>1193100</v>
      </c>
      <c r="E208" s="28">
        <v>45226</v>
      </c>
      <c r="F208" s="26">
        <v>1.45</v>
      </c>
      <c r="G208" s="26">
        <v>1266400</v>
      </c>
    </row>
    <row r="209" spans="1:7">
      <c r="A209" s="28">
        <v>44770</v>
      </c>
      <c r="B209" s="26">
        <v>17.190000999999999</v>
      </c>
      <c r="C209" s="26">
        <v>1553200</v>
      </c>
      <c r="E209" s="28">
        <v>45229</v>
      </c>
      <c r="F209" s="26">
        <v>1.42</v>
      </c>
      <c r="G209" s="26">
        <v>1868800</v>
      </c>
    </row>
    <row r="210" spans="1:7">
      <c r="A210" s="28">
        <v>44771</v>
      </c>
      <c r="B210" s="26">
        <v>17.200001</v>
      </c>
      <c r="C210" s="26">
        <v>2390300</v>
      </c>
      <c r="E210" s="28">
        <v>45230</v>
      </c>
      <c r="F210" s="26">
        <v>1.42</v>
      </c>
      <c r="G210" s="26">
        <v>1114200</v>
      </c>
    </row>
    <row r="211" spans="1:7">
      <c r="A211" s="28">
        <v>44774</v>
      </c>
      <c r="B211" s="26">
        <v>17.290001</v>
      </c>
      <c r="C211" s="26">
        <v>1722500</v>
      </c>
      <c r="E211" s="28">
        <v>45231</v>
      </c>
      <c r="F211" s="26">
        <v>1.36</v>
      </c>
      <c r="G211" s="26">
        <v>1449900</v>
      </c>
    </row>
    <row r="212" spans="1:7">
      <c r="A212" s="28">
        <v>44775</v>
      </c>
      <c r="B212" s="26">
        <v>17.59</v>
      </c>
      <c r="C212" s="26">
        <v>1017900</v>
      </c>
      <c r="E212" s="28">
        <v>45232</v>
      </c>
      <c r="F212" s="26">
        <v>1.44</v>
      </c>
      <c r="G212" s="26">
        <v>1542000</v>
      </c>
    </row>
    <row r="213" spans="1:7">
      <c r="A213" s="28">
        <v>44776</v>
      </c>
      <c r="B213" s="26">
        <v>16.790001</v>
      </c>
      <c r="C213" s="26">
        <v>3434000</v>
      </c>
      <c r="E213" s="28">
        <v>45233</v>
      </c>
      <c r="F213" s="26">
        <v>1.48</v>
      </c>
      <c r="G213" s="26">
        <v>1484900</v>
      </c>
    </row>
    <row r="214" spans="1:7">
      <c r="A214" s="28">
        <v>44777</v>
      </c>
      <c r="B214" s="26">
        <v>15.66</v>
      </c>
      <c r="C214" s="26">
        <v>4310800</v>
      </c>
      <c r="E214" s="28">
        <v>45236</v>
      </c>
      <c r="F214" s="26">
        <v>1.38</v>
      </c>
      <c r="G214" s="26">
        <v>2615700</v>
      </c>
    </row>
    <row r="215" spans="1:7">
      <c r="A215" s="28">
        <v>44778</v>
      </c>
      <c r="B215" s="26">
        <v>16.260000000000002</v>
      </c>
      <c r="C215" s="26">
        <v>2263200</v>
      </c>
      <c r="E215" s="28">
        <v>45237</v>
      </c>
      <c r="F215" s="26">
        <v>1.73</v>
      </c>
      <c r="G215" s="26">
        <v>28989000</v>
      </c>
    </row>
    <row r="216" spans="1:7">
      <c r="A216" s="28">
        <v>44781</v>
      </c>
      <c r="B216" s="26">
        <v>16.309999000000001</v>
      </c>
      <c r="C216" s="26">
        <v>2697700</v>
      </c>
      <c r="E216" s="28">
        <v>45238</v>
      </c>
      <c r="F216" s="26">
        <v>1.72</v>
      </c>
      <c r="G216" s="26">
        <v>4514200</v>
      </c>
    </row>
    <row r="217" spans="1:7">
      <c r="A217" s="28">
        <v>44782</v>
      </c>
      <c r="B217" s="26">
        <v>14.68</v>
      </c>
      <c r="C217" s="26">
        <v>4439500</v>
      </c>
      <c r="E217" s="28">
        <v>45239</v>
      </c>
      <c r="F217" s="26">
        <v>1.63</v>
      </c>
      <c r="G217" s="26">
        <v>2597500</v>
      </c>
    </row>
    <row r="218" spans="1:7">
      <c r="A218" s="28">
        <v>44783</v>
      </c>
      <c r="B218" s="26">
        <v>14.73</v>
      </c>
      <c r="C218" s="26">
        <v>3777400</v>
      </c>
      <c r="E218" s="28">
        <v>45240</v>
      </c>
      <c r="F218" s="26">
        <v>1.74</v>
      </c>
      <c r="G218" s="26">
        <v>2338700</v>
      </c>
    </row>
    <row r="219" spans="1:7">
      <c r="A219" s="28">
        <v>44784</v>
      </c>
      <c r="B219" s="26">
        <v>14.96</v>
      </c>
      <c r="C219" s="26">
        <v>1837500</v>
      </c>
      <c r="E219" s="28">
        <v>45243</v>
      </c>
      <c r="F219" s="26">
        <v>1.73</v>
      </c>
      <c r="G219" s="26">
        <v>1427300</v>
      </c>
    </row>
    <row r="220" spans="1:7">
      <c r="A220" s="28">
        <v>44785</v>
      </c>
      <c r="B220" s="26">
        <v>15.52</v>
      </c>
      <c r="C220" s="26">
        <v>1314800</v>
      </c>
      <c r="E220" s="28">
        <v>45244</v>
      </c>
      <c r="F220" s="26">
        <v>1.81</v>
      </c>
      <c r="G220" s="26">
        <v>2756900</v>
      </c>
    </row>
    <row r="221" spans="1:7">
      <c r="A221" s="28">
        <v>44788</v>
      </c>
      <c r="B221" s="26">
        <v>15.56</v>
      </c>
      <c r="C221" s="26">
        <v>1294300</v>
      </c>
      <c r="E221" s="28">
        <v>45245</v>
      </c>
      <c r="F221" s="26">
        <v>1.92</v>
      </c>
      <c r="G221" s="26">
        <v>2496000</v>
      </c>
    </row>
    <row r="222" spans="1:7">
      <c r="A222" s="28">
        <v>44789</v>
      </c>
      <c r="B222" s="26">
        <v>15.61</v>
      </c>
      <c r="C222" s="26">
        <v>1484000</v>
      </c>
      <c r="E222" s="28">
        <v>45246</v>
      </c>
      <c r="F222" s="26">
        <v>1.81</v>
      </c>
      <c r="G222" s="26">
        <v>2033100</v>
      </c>
    </row>
    <row r="223" spans="1:7">
      <c r="A223" s="28">
        <v>44790</v>
      </c>
      <c r="B223" s="26">
        <v>16.23</v>
      </c>
      <c r="C223" s="26">
        <v>1943900</v>
      </c>
      <c r="E223" s="28">
        <v>45247</v>
      </c>
      <c r="F223" s="26">
        <v>1.95</v>
      </c>
      <c r="G223" s="26">
        <v>2977600</v>
      </c>
    </row>
    <row r="224" spans="1:7">
      <c r="A224" s="28">
        <v>44791</v>
      </c>
      <c r="B224" s="26">
        <v>16.170000000000002</v>
      </c>
      <c r="C224" s="26">
        <v>1547800</v>
      </c>
      <c r="E224" s="28">
        <v>45250</v>
      </c>
      <c r="F224" s="26">
        <v>1.93</v>
      </c>
      <c r="G224" s="26">
        <v>1501900</v>
      </c>
    </row>
    <row r="225" spans="1:7">
      <c r="A225" s="28">
        <v>44792</v>
      </c>
      <c r="B225" s="26">
        <v>14.88</v>
      </c>
      <c r="C225" s="26">
        <v>2137300</v>
      </c>
      <c r="E225" s="28">
        <v>45251</v>
      </c>
      <c r="F225" s="26">
        <v>1.89</v>
      </c>
      <c r="G225" s="26">
        <v>1271700</v>
      </c>
    </row>
    <row r="226" spans="1:7">
      <c r="A226" s="28">
        <v>44795</v>
      </c>
      <c r="B226" s="26">
        <v>14.8</v>
      </c>
      <c r="C226" s="26">
        <v>2074500</v>
      </c>
      <c r="E226" s="28">
        <v>45252</v>
      </c>
      <c r="F226" s="26">
        <v>1.93</v>
      </c>
      <c r="G226" s="26">
        <v>995300</v>
      </c>
    </row>
    <row r="227" spans="1:7">
      <c r="A227" s="28">
        <v>44796</v>
      </c>
      <c r="B227" s="26">
        <v>14.81</v>
      </c>
      <c r="C227" s="26">
        <v>782000</v>
      </c>
      <c r="E227" s="28">
        <v>45254</v>
      </c>
      <c r="F227" s="26">
        <v>2.0499999999999998</v>
      </c>
      <c r="G227" s="26">
        <v>1174800</v>
      </c>
    </row>
    <row r="228" spans="1:7">
      <c r="A228" s="28">
        <v>44797</v>
      </c>
      <c r="B228" s="26">
        <v>14.96</v>
      </c>
      <c r="C228" s="26">
        <v>916500</v>
      </c>
      <c r="E228" s="28">
        <v>45257</v>
      </c>
      <c r="F228" s="26">
        <v>2.0499999999999998</v>
      </c>
      <c r="G228" s="26">
        <v>1765300</v>
      </c>
    </row>
    <row r="229" spans="1:7">
      <c r="A229" s="28">
        <v>44798</v>
      </c>
      <c r="B229" s="26">
        <v>14.82</v>
      </c>
      <c r="C229" s="26">
        <v>1124900</v>
      </c>
      <c r="E229" s="28">
        <v>45258</v>
      </c>
      <c r="F229" s="26">
        <v>2.12</v>
      </c>
      <c r="G229" s="26">
        <v>1845000</v>
      </c>
    </row>
    <row r="230" spans="1:7">
      <c r="A230" s="28">
        <v>44799</v>
      </c>
      <c r="B230" s="26">
        <v>14.11</v>
      </c>
      <c r="C230" s="26">
        <v>1894700</v>
      </c>
      <c r="E230" s="28">
        <v>45259</v>
      </c>
      <c r="F230" s="26">
        <v>2.1800000000000002</v>
      </c>
      <c r="G230" s="26">
        <v>1860100</v>
      </c>
    </row>
    <row r="231" spans="1:7">
      <c r="A231" s="28">
        <v>44802</v>
      </c>
      <c r="B231" s="26">
        <v>13.65</v>
      </c>
      <c r="C231" s="26">
        <v>2685100</v>
      </c>
      <c r="E231" s="28">
        <v>45260</v>
      </c>
      <c r="F231" s="26">
        <v>2.1800000000000002</v>
      </c>
      <c r="G231" s="26">
        <v>2786100</v>
      </c>
    </row>
    <row r="232" spans="1:7">
      <c r="A232" s="28">
        <v>44803</v>
      </c>
      <c r="B232" s="26">
        <v>13.95</v>
      </c>
      <c r="C232" s="26">
        <v>2478500</v>
      </c>
      <c r="E232" s="28">
        <v>45261</v>
      </c>
      <c r="F232" s="26">
        <v>2.35</v>
      </c>
      <c r="G232" s="26">
        <v>6862500</v>
      </c>
    </row>
    <row r="233" spans="1:7">
      <c r="A233" s="28">
        <v>44804</v>
      </c>
      <c r="B233" s="26">
        <v>13.32</v>
      </c>
      <c r="C233" s="26">
        <v>1472800</v>
      </c>
      <c r="E233" s="28">
        <v>45264</v>
      </c>
      <c r="F233" s="26">
        <v>2.6</v>
      </c>
      <c r="G233" s="26">
        <v>4892900</v>
      </c>
    </row>
    <row r="234" spans="1:7">
      <c r="A234" s="28">
        <v>44805</v>
      </c>
      <c r="B234" s="26">
        <v>12.82</v>
      </c>
      <c r="C234" s="26">
        <v>1971300</v>
      </c>
      <c r="E234" s="28">
        <v>45265</v>
      </c>
      <c r="F234" s="26">
        <v>2.48</v>
      </c>
      <c r="G234" s="26">
        <v>3172500</v>
      </c>
    </row>
    <row r="235" spans="1:7">
      <c r="A235" s="28">
        <v>44806</v>
      </c>
      <c r="B235" s="26">
        <v>12.44</v>
      </c>
      <c r="C235" s="26">
        <v>2473100</v>
      </c>
      <c r="E235" s="28">
        <v>45266</v>
      </c>
      <c r="F235" s="26">
        <v>2.56</v>
      </c>
      <c r="G235" s="26">
        <v>2922400</v>
      </c>
    </row>
    <row r="236" spans="1:7">
      <c r="A236" s="28">
        <v>44810</v>
      </c>
      <c r="B236" s="26">
        <v>12.19</v>
      </c>
      <c r="C236" s="26">
        <v>3169500</v>
      </c>
      <c r="E236" s="28">
        <v>45267</v>
      </c>
      <c r="F236" s="26">
        <v>2.5299999999999998</v>
      </c>
      <c r="G236" s="26">
        <v>2403500</v>
      </c>
    </row>
    <row r="237" spans="1:7">
      <c r="A237" s="28">
        <v>44811</v>
      </c>
      <c r="B237" s="26">
        <v>12.1</v>
      </c>
      <c r="C237" s="26">
        <v>3635600</v>
      </c>
      <c r="E237" s="28">
        <v>45268</v>
      </c>
      <c r="F237" s="26">
        <v>2.48</v>
      </c>
      <c r="G237" s="26">
        <v>1838700</v>
      </c>
    </row>
    <row r="238" spans="1:7">
      <c r="A238" s="28">
        <v>44812</v>
      </c>
      <c r="B238" s="26">
        <v>12.09</v>
      </c>
      <c r="C238" s="26">
        <v>2633300</v>
      </c>
      <c r="E238" s="28">
        <v>45271</v>
      </c>
      <c r="F238" s="26">
        <v>2.5299999999999998</v>
      </c>
      <c r="G238" s="26">
        <v>1585800</v>
      </c>
    </row>
    <row r="239" spans="1:7">
      <c r="A239" s="28">
        <v>44813</v>
      </c>
      <c r="B239" s="26">
        <v>12.56</v>
      </c>
      <c r="C239" s="26">
        <v>2500900</v>
      </c>
      <c r="E239" s="28">
        <v>45272</v>
      </c>
      <c r="F239" s="26">
        <v>2.39</v>
      </c>
      <c r="G239" s="26">
        <v>3227300</v>
      </c>
    </row>
    <row r="240" spans="1:7">
      <c r="A240" s="28">
        <v>44816</v>
      </c>
      <c r="B240" s="26">
        <v>13.14</v>
      </c>
      <c r="C240" s="26">
        <v>1919500</v>
      </c>
      <c r="E240" s="28">
        <v>45273</v>
      </c>
      <c r="F240" s="26">
        <v>2.48</v>
      </c>
      <c r="G240" s="26">
        <v>2735800</v>
      </c>
    </row>
    <row r="241" spans="1:7">
      <c r="A241" s="28">
        <v>44817</v>
      </c>
      <c r="B241" s="26">
        <v>12.08</v>
      </c>
      <c r="C241" s="26">
        <v>2748400</v>
      </c>
      <c r="E241" s="28">
        <v>45274</v>
      </c>
      <c r="F241" s="26">
        <v>2.59</v>
      </c>
      <c r="G241" s="26">
        <v>3475000</v>
      </c>
    </row>
    <row r="242" spans="1:7">
      <c r="A242" s="28">
        <v>44818</v>
      </c>
      <c r="B242" s="26">
        <v>12.17</v>
      </c>
      <c r="C242" s="26">
        <v>2011000</v>
      </c>
      <c r="E242" s="28">
        <v>45275</v>
      </c>
      <c r="F242" s="26">
        <v>2.38</v>
      </c>
      <c r="G242" s="26">
        <v>3935900</v>
      </c>
    </row>
    <row r="243" spans="1:7">
      <c r="A243" s="28">
        <v>44819</v>
      </c>
      <c r="B243" s="26">
        <v>11.74</v>
      </c>
      <c r="C243" s="26">
        <v>1865600</v>
      </c>
      <c r="E243" s="28">
        <v>45278</v>
      </c>
      <c r="F243" s="26">
        <v>2.4</v>
      </c>
      <c r="G243" s="26">
        <v>1340100</v>
      </c>
    </row>
    <row r="244" spans="1:7">
      <c r="A244" s="28">
        <v>44820</v>
      </c>
      <c r="B244" s="26">
        <v>11.67</v>
      </c>
      <c r="C244" s="26">
        <v>3701400</v>
      </c>
      <c r="E244" s="28">
        <v>45279</v>
      </c>
      <c r="F244" s="26">
        <v>2.4500000000000002</v>
      </c>
      <c r="G244" s="26">
        <v>880200</v>
      </c>
    </row>
    <row r="245" spans="1:7">
      <c r="A245" s="28">
        <v>44823</v>
      </c>
      <c r="B245" s="26">
        <v>11.81</v>
      </c>
      <c r="C245" s="26">
        <v>2049400</v>
      </c>
      <c r="E245" s="28">
        <v>45280</v>
      </c>
      <c r="F245" s="26">
        <v>2.37</v>
      </c>
      <c r="G245" s="26">
        <v>1331300</v>
      </c>
    </row>
    <row r="246" spans="1:7">
      <c r="A246" s="28">
        <v>44824</v>
      </c>
      <c r="B246" s="26">
        <v>11.83</v>
      </c>
      <c r="C246" s="26">
        <v>3899100</v>
      </c>
      <c r="E246" s="28">
        <v>45281</v>
      </c>
      <c r="F246" s="26">
        <v>2.42</v>
      </c>
      <c r="G246" s="26">
        <v>811800</v>
      </c>
    </row>
    <row r="247" spans="1:7">
      <c r="A247" s="28">
        <v>44825</v>
      </c>
      <c r="B247" s="26">
        <v>12.07</v>
      </c>
      <c r="C247" s="26">
        <v>1922400</v>
      </c>
      <c r="E247" s="28">
        <v>45282</v>
      </c>
      <c r="F247" s="26">
        <v>2.4300000000000002</v>
      </c>
      <c r="G247" s="26">
        <v>1214600</v>
      </c>
    </row>
    <row r="248" spans="1:7">
      <c r="A248" s="28">
        <v>44826</v>
      </c>
      <c r="B248" s="26">
        <v>11.88</v>
      </c>
      <c r="C248" s="26">
        <v>2840400</v>
      </c>
      <c r="E248" s="28">
        <v>45286</v>
      </c>
      <c r="F248" s="26">
        <v>2.46</v>
      </c>
      <c r="G248" s="26">
        <v>695500</v>
      </c>
    </row>
    <row r="249" spans="1:7">
      <c r="A249" s="28">
        <v>44827</v>
      </c>
      <c r="B249" s="26">
        <v>11.56</v>
      </c>
      <c r="C249" s="26">
        <v>2122200</v>
      </c>
      <c r="E249" s="28">
        <v>45287</v>
      </c>
      <c r="F249" s="26">
        <v>2.4</v>
      </c>
      <c r="G249" s="26">
        <v>1238900</v>
      </c>
    </row>
    <row r="250" spans="1:7">
      <c r="A250" s="28">
        <v>44830</v>
      </c>
      <c r="B250" s="26">
        <v>10.87</v>
      </c>
      <c r="C250" s="26">
        <v>2867500</v>
      </c>
      <c r="E250" s="28">
        <v>45288</v>
      </c>
      <c r="F250" s="26">
        <v>2.62</v>
      </c>
      <c r="G250" s="26">
        <v>5401900</v>
      </c>
    </row>
    <row r="251" spans="1:7">
      <c r="A251" s="28">
        <v>44831</v>
      </c>
      <c r="B251" s="26">
        <v>10.87</v>
      </c>
      <c r="C251" s="26">
        <v>1872000</v>
      </c>
      <c r="E251" s="28">
        <v>45289</v>
      </c>
      <c r="F251" s="26">
        <v>2.54</v>
      </c>
      <c r="G251" s="26">
        <v>1655100</v>
      </c>
    </row>
    <row r="252" spans="1:7">
      <c r="A252" s="28">
        <v>44832</v>
      </c>
      <c r="B252" s="26">
        <v>10.95</v>
      </c>
      <c r="C252" s="26">
        <v>2508000</v>
      </c>
      <c r="E252" s="28">
        <v>45293</v>
      </c>
      <c r="F252" s="26">
        <v>2.5</v>
      </c>
      <c r="G252" s="26">
        <v>1504500</v>
      </c>
    </row>
    <row r="253" spans="1:7">
      <c r="A253" s="28">
        <v>44833</v>
      </c>
      <c r="B253" s="26">
        <v>9.6199999999999992</v>
      </c>
      <c r="C253" s="26">
        <v>5205400</v>
      </c>
      <c r="E253" s="28">
        <v>45294</v>
      </c>
      <c r="F253" s="26">
        <v>2.15</v>
      </c>
      <c r="G253" s="26">
        <v>4781300</v>
      </c>
    </row>
    <row r="254" spans="1:7">
      <c r="A254" s="28">
        <v>44834</v>
      </c>
      <c r="B254" s="26">
        <v>9.5500000000000007</v>
      </c>
      <c r="C254" s="26">
        <v>3897600</v>
      </c>
      <c r="E254" s="28">
        <v>45295</v>
      </c>
      <c r="F254" s="26">
        <v>2.08</v>
      </c>
      <c r="G254" s="26">
        <v>2832900</v>
      </c>
    </row>
    <row r="255" spans="1:7">
      <c r="A255" s="28">
        <v>44837</v>
      </c>
      <c r="B255" s="26">
        <v>9.98</v>
      </c>
      <c r="C255" s="26">
        <v>4445800</v>
      </c>
      <c r="E255" s="28">
        <v>45296</v>
      </c>
      <c r="F255" s="26">
        <v>2.12</v>
      </c>
      <c r="G255" s="26">
        <v>3031300</v>
      </c>
    </row>
    <row r="256" spans="1:7">
      <c r="A256" s="28">
        <v>44838</v>
      </c>
      <c r="B256" s="26">
        <v>10.24</v>
      </c>
      <c r="C256" s="26">
        <v>3320700</v>
      </c>
      <c r="E256" s="28">
        <v>45299</v>
      </c>
      <c r="F256" s="26">
        <v>2.27</v>
      </c>
      <c r="G256" s="26">
        <v>1531600</v>
      </c>
    </row>
    <row r="257" spans="1:7">
      <c r="A257" s="28">
        <v>44839</v>
      </c>
      <c r="B257" s="26">
        <v>9.56</v>
      </c>
      <c r="C257" s="26">
        <v>3813200</v>
      </c>
      <c r="E257" s="28">
        <v>45300</v>
      </c>
      <c r="F257" s="26">
        <v>2.2999999999999998</v>
      </c>
      <c r="G257" s="26">
        <v>1349800</v>
      </c>
    </row>
    <row r="258" spans="1:7">
      <c r="A258" s="28">
        <v>44840</v>
      </c>
      <c r="B258" s="26">
        <v>9.44</v>
      </c>
      <c r="C258" s="26">
        <v>2839500</v>
      </c>
      <c r="E258" s="28">
        <v>45301</v>
      </c>
      <c r="F258" s="26">
        <v>2.33</v>
      </c>
      <c r="G258" s="26">
        <v>2005900</v>
      </c>
    </row>
    <row r="259" spans="1:7">
      <c r="A259" s="28">
        <v>44841</v>
      </c>
      <c r="B259" s="26">
        <v>9.14</v>
      </c>
      <c r="C259" s="26">
        <v>2004000</v>
      </c>
      <c r="E259" s="28">
        <v>45302</v>
      </c>
      <c r="F259" s="26">
        <v>2.3199999999999998</v>
      </c>
      <c r="G259" s="26">
        <v>1068200</v>
      </c>
    </row>
    <row r="260" spans="1:7">
      <c r="A260" s="28">
        <v>44844</v>
      </c>
      <c r="B260" s="26">
        <v>9.1300000000000008</v>
      </c>
      <c r="C260" s="26">
        <v>1887300</v>
      </c>
      <c r="E260" s="28">
        <v>45303</v>
      </c>
      <c r="F260" s="26">
        <v>2.27</v>
      </c>
      <c r="G260" s="26">
        <v>996100</v>
      </c>
    </row>
    <row r="261" spans="1:7">
      <c r="A261" s="28">
        <v>44845</v>
      </c>
      <c r="B261" s="26">
        <v>9.11</v>
      </c>
      <c r="C261" s="26">
        <v>3806400</v>
      </c>
      <c r="E261" s="28">
        <v>45307</v>
      </c>
      <c r="F261" s="26">
        <v>2.1800000000000002</v>
      </c>
      <c r="G261" s="26">
        <v>992100</v>
      </c>
    </row>
    <row r="262" spans="1:7">
      <c r="A262" s="28">
        <v>44846</v>
      </c>
      <c r="B262" s="26">
        <v>9.11</v>
      </c>
      <c r="C262" s="26">
        <v>2866200</v>
      </c>
      <c r="E262" s="28">
        <v>45308</v>
      </c>
      <c r="F262" s="26">
        <v>2.14</v>
      </c>
      <c r="G262" s="26">
        <v>2047900</v>
      </c>
    </row>
    <row r="263" spans="1:7">
      <c r="A263" s="28">
        <v>44847</v>
      </c>
      <c r="B263" s="26">
        <v>9.2200000000000006</v>
      </c>
      <c r="C263" s="26">
        <v>2342300</v>
      </c>
      <c r="E263" s="28">
        <v>45309</v>
      </c>
      <c r="F263" s="26">
        <v>2.12</v>
      </c>
      <c r="G263" s="26">
        <v>1670900</v>
      </c>
    </row>
    <row r="264" spans="1:7">
      <c r="A264" s="28">
        <v>44848</v>
      </c>
      <c r="B264" s="26">
        <v>9.0500000000000007</v>
      </c>
      <c r="C264" s="26">
        <v>2651800</v>
      </c>
      <c r="E264" s="28">
        <v>45310</v>
      </c>
      <c r="F264" s="26">
        <v>2.2000000000000002</v>
      </c>
      <c r="G264" s="26">
        <v>1193200</v>
      </c>
    </row>
    <row r="265" spans="1:7">
      <c r="A265" s="28">
        <v>44851</v>
      </c>
      <c r="B265" s="26">
        <v>9.6</v>
      </c>
      <c r="C265" s="26">
        <v>1604000</v>
      </c>
    </row>
    <row r="266" spans="1:7">
      <c r="A266" s="28">
        <v>44852</v>
      </c>
      <c r="B266" s="26">
        <v>9.7899999999999991</v>
      </c>
      <c r="C266" s="26">
        <v>5646900</v>
      </c>
    </row>
    <row r="267" spans="1:7">
      <c r="A267" s="28">
        <v>44853</v>
      </c>
      <c r="B267" s="26">
        <v>4.24</v>
      </c>
      <c r="C267" s="26">
        <v>39863400</v>
      </c>
      <c r="E267" s="26" t="s">
        <v>153</v>
      </c>
      <c r="F267" s="30">
        <f>AVERAGE(F2:F264)</f>
        <v>3.4247718631178725</v>
      </c>
    </row>
    <row r="268" spans="1:7">
      <c r="A268" s="28">
        <v>44854</v>
      </c>
      <c r="B268" s="26">
        <v>4.09</v>
      </c>
      <c r="C268" s="26">
        <v>13983700</v>
      </c>
      <c r="E268" s="26" t="s">
        <v>152</v>
      </c>
      <c r="F268" s="30">
        <f>_xlfn.STDEV.P(F2:F264)</f>
        <v>1.3795702288736944</v>
      </c>
    </row>
    <row r="269" spans="1:7">
      <c r="A269" s="28">
        <v>44855</v>
      </c>
      <c r="B269" s="26">
        <v>4.05</v>
      </c>
      <c r="C269" s="26">
        <v>8704700</v>
      </c>
    </row>
    <row r="270" spans="1:7">
      <c r="A270" s="28">
        <v>44858</v>
      </c>
      <c r="B270" s="26">
        <v>4.0199999999999996</v>
      </c>
      <c r="C270" s="26">
        <v>6742800</v>
      </c>
    </row>
    <row r="271" spans="1:7">
      <c r="A271" s="28">
        <v>44859</v>
      </c>
      <c r="B271" s="26">
        <v>4.3</v>
      </c>
      <c r="C271" s="26">
        <v>6723600</v>
      </c>
    </row>
    <row r="272" spans="1:7">
      <c r="A272" s="28">
        <v>44860</v>
      </c>
      <c r="B272" s="26">
        <v>4.3600000000000003</v>
      </c>
      <c r="C272" s="26">
        <v>3934300</v>
      </c>
    </row>
    <row r="273" spans="1:3">
      <c r="A273" s="28">
        <v>44861</v>
      </c>
      <c r="B273" s="26">
        <v>4.33</v>
      </c>
      <c r="C273" s="26">
        <v>2666000</v>
      </c>
    </row>
    <row r="274" spans="1:3">
      <c r="A274" s="28">
        <v>44862</v>
      </c>
      <c r="B274" s="26">
        <v>4.3</v>
      </c>
      <c r="C274" s="26">
        <v>2668700</v>
      </c>
    </row>
    <row r="275" spans="1:3">
      <c r="A275" s="28">
        <v>44865</v>
      </c>
      <c r="B275" s="26">
        <v>4.4000000000000004</v>
      </c>
      <c r="C275" s="26">
        <v>4645400</v>
      </c>
    </row>
    <row r="276" spans="1:3">
      <c r="A276" s="28">
        <v>44866</v>
      </c>
      <c r="B276" s="26">
        <v>4.5199999999999996</v>
      </c>
      <c r="C276" s="26">
        <v>2857100</v>
      </c>
    </row>
    <row r="277" spans="1:3">
      <c r="A277" s="28">
        <v>44867</v>
      </c>
      <c r="B277" s="26">
        <v>4.24</v>
      </c>
      <c r="C277" s="26">
        <v>4751800</v>
      </c>
    </row>
    <row r="278" spans="1:3">
      <c r="A278" s="28">
        <v>44868</v>
      </c>
      <c r="B278" s="26">
        <v>4.2</v>
      </c>
      <c r="C278" s="26">
        <v>4300600</v>
      </c>
    </row>
    <row r="279" spans="1:3">
      <c r="A279" s="28">
        <v>44869</v>
      </c>
      <c r="B279" s="26">
        <v>4.38</v>
      </c>
      <c r="C279" s="26">
        <v>3765000</v>
      </c>
    </row>
    <row r="280" spans="1:3">
      <c r="A280" s="28">
        <v>44872</v>
      </c>
      <c r="B280" s="26">
        <v>4.38</v>
      </c>
      <c r="C280" s="26">
        <v>5365200</v>
      </c>
    </row>
    <row r="281" spans="1:3">
      <c r="A281" s="28">
        <v>44873</v>
      </c>
      <c r="B281" s="26">
        <v>4.58</v>
      </c>
      <c r="C281" s="26">
        <v>5710400</v>
      </c>
    </row>
    <row r="282" spans="1:3">
      <c r="A282" s="28">
        <v>44874</v>
      </c>
      <c r="B282" s="26">
        <v>4.7699999999999996</v>
      </c>
      <c r="C282" s="26">
        <v>4979300</v>
      </c>
    </row>
    <row r="283" spans="1:3">
      <c r="A283" s="28">
        <v>44875</v>
      </c>
      <c r="B283" s="26">
        <v>5.21</v>
      </c>
      <c r="C283" s="26">
        <v>4972900</v>
      </c>
    </row>
    <row r="284" spans="1:3">
      <c r="A284" s="28">
        <v>44876</v>
      </c>
      <c r="B284" s="26">
        <v>5.8</v>
      </c>
      <c r="C284" s="26">
        <v>5104800</v>
      </c>
    </row>
    <row r="285" spans="1:3">
      <c r="A285" s="28">
        <v>44879</v>
      </c>
      <c r="B285" s="26">
        <v>5.81</v>
      </c>
      <c r="C285" s="26">
        <v>5395700</v>
      </c>
    </row>
    <row r="286" spans="1:3">
      <c r="A286" s="28">
        <v>44880</v>
      </c>
      <c r="B286" s="26">
        <v>6.04</v>
      </c>
      <c r="C286" s="26">
        <v>4747900</v>
      </c>
    </row>
    <row r="287" spans="1:3">
      <c r="A287" s="28">
        <v>44881</v>
      </c>
      <c r="B287" s="26">
        <v>5.67</v>
      </c>
      <c r="C287" s="26">
        <v>3306000</v>
      </c>
    </row>
    <row r="288" spans="1:3">
      <c r="A288" s="28">
        <v>44882</v>
      </c>
      <c r="B288" s="26">
        <v>5.75</v>
      </c>
      <c r="C288" s="26">
        <v>2838200</v>
      </c>
    </row>
    <row r="289" spans="1:3">
      <c r="A289" s="28">
        <v>44883</v>
      </c>
      <c r="B289" s="26">
        <v>5.7</v>
      </c>
      <c r="C289" s="26">
        <v>1884100</v>
      </c>
    </row>
    <row r="290" spans="1:3">
      <c r="A290" s="28">
        <v>44886</v>
      </c>
      <c r="B290" s="26">
        <v>5.26</v>
      </c>
      <c r="C290" s="26">
        <v>3678200</v>
      </c>
    </row>
    <row r="291" spans="1:3">
      <c r="A291" s="28">
        <v>44887</v>
      </c>
      <c r="B291" s="26">
        <v>5.4</v>
      </c>
      <c r="C291" s="26">
        <v>2688500</v>
      </c>
    </row>
    <row r="292" spans="1:3">
      <c r="A292" s="28">
        <v>44888</v>
      </c>
      <c r="B292" s="26">
        <v>5.41</v>
      </c>
      <c r="C292" s="26">
        <v>1815100</v>
      </c>
    </row>
    <row r="293" spans="1:3">
      <c r="A293" s="28">
        <v>44890</v>
      </c>
      <c r="B293" s="26">
        <v>5.46</v>
      </c>
      <c r="C293" s="26">
        <v>794200</v>
      </c>
    </row>
    <row r="294" spans="1:3">
      <c r="A294" s="28">
        <v>44893</v>
      </c>
      <c r="B294" s="26">
        <v>5.41</v>
      </c>
      <c r="C294" s="26">
        <v>2024600</v>
      </c>
    </row>
    <row r="295" spans="1:3">
      <c r="A295" s="28">
        <v>44894</v>
      </c>
      <c r="B295" s="26">
        <v>5.43</v>
      </c>
      <c r="C295" s="26">
        <v>2148300</v>
      </c>
    </row>
    <row r="296" spans="1:3">
      <c r="A296" s="28">
        <v>44895</v>
      </c>
      <c r="B296" s="26">
        <v>5.97</v>
      </c>
      <c r="C296" s="26">
        <v>4384000</v>
      </c>
    </row>
    <row r="297" spans="1:3">
      <c r="A297" s="28">
        <v>44896</v>
      </c>
      <c r="B297" s="26">
        <v>6.02</v>
      </c>
      <c r="C297" s="26">
        <v>3292600</v>
      </c>
    </row>
    <row r="298" spans="1:3">
      <c r="A298" s="28">
        <v>44897</v>
      </c>
      <c r="B298" s="26">
        <v>6.1</v>
      </c>
      <c r="C298" s="26">
        <v>3637600</v>
      </c>
    </row>
    <row r="299" spans="1:3">
      <c r="A299" s="28">
        <v>44900</v>
      </c>
      <c r="B299" s="26">
        <v>5.84</v>
      </c>
      <c r="C299" s="26">
        <v>1580900</v>
      </c>
    </row>
    <row r="300" spans="1:3">
      <c r="A300" s="28">
        <v>44901</v>
      </c>
      <c r="B300" s="26">
        <v>5.83</v>
      </c>
      <c r="C300" s="26">
        <v>1953700</v>
      </c>
    </row>
    <row r="301" spans="1:3">
      <c r="A301" s="28">
        <v>44902</v>
      </c>
      <c r="B301" s="26">
        <v>5.45</v>
      </c>
      <c r="C301" s="26">
        <v>2864100</v>
      </c>
    </row>
    <row r="302" spans="1:3">
      <c r="A302" s="28">
        <v>44903</v>
      </c>
      <c r="B302" s="26">
        <v>5.71</v>
      </c>
      <c r="C302" s="26">
        <v>1587100</v>
      </c>
    </row>
    <row r="303" spans="1:3">
      <c r="A303" s="28">
        <v>44904</v>
      </c>
      <c r="B303" s="26">
        <v>5.53</v>
      </c>
      <c r="C303" s="26">
        <v>1323500</v>
      </c>
    </row>
    <row r="304" spans="1:3">
      <c r="A304" s="28">
        <v>44907</v>
      </c>
      <c r="B304" s="26">
        <v>5.47</v>
      </c>
      <c r="C304" s="26">
        <v>2312600</v>
      </c>
    </row>
    <row r="305" spans="1:3">
      <c r="A305" s="28">
        <v>44908</v>
      </c>
      <c r="B305" s="26">
        <v>5.57</v>
      </c>
      <c r="C305" s="26">
        <v>4956400</v>
      </c>
    </row>
    <row r="306" spans="1:3">
      <c r="A306" s="28">
        <v>44909</v>
      </c>
      <c r="B306" s="26">
        <v>5.52</v>
      </c>
      <c r="C306" s="26">
        <v>4276200</v>
      </c>
    </row>
    <row r="307" spans="1:3">
      <c r="A307" s="28">
        <v>44910</v>
      </c>
      <c r="B307" s="26">
        <v>5.49</v>
      </c>
      <c r="C307" s="26">
        <v>3099100</v>
      </c>
    </row>
    <row r="308" spans="1:3">
      <c r="A308" s="28">
        <v>44911</v>
      </c>
      <c r="B308" s="26">
        <v>5.49</v>
      </c>
      <c r="C308" s="26">
        <v>4284500</v>
      </c>
    </row>
    <row r="309" spans="1:3">
      <c r="A309" s="28">
        <v>44914</v>
      </c>
      <c r="B309" s="26">
        <v>5.03</v>
      </c>
      <c r="C309" s="26">
        <v>2969200</v>
      </c>
    </row>
    <row r="310" spans="1:3">
      <c r="A310" s="28">
        <v>44915</v>
      </c>
      <c r="B310" s="26">
        <v>5.07</v>
      </c>
      <c r="C310" s="26">
        <v>3595300</v>
      </c>
    </row>
    <row r="311" spans="1:3">
      <c r="A311" s="28">
        <v>44916</v>
      </c>
      <c r="B311" s="26">
        <v>5.0999999999999996</v>
      </c>
      <c r="C311" s="26">
        <v>2481000</v>
      </c>
    </row>
    <row r="312" spans="1:3">
      <c r="A312" s="28">
        <v>44917</v>
      </c>
      <c r="B312" s="26">
        <v>4.9400000000000004</v>
      </c>
      <c r="C312" s="26">
        <v>1881500</v>
      </c>
    </row>
    <row r="313" spans="1:3">
      <c r="A313" s="28">
        <v>44918</v>
      </c>
      <c r="B313" s="26">
        <v>5.03</v>
      </c>
      <c r="C313" s="26">
        <v>1789000</v>
      </c>
    </row>
    <row r="314" spans="1:3">
      <c r="A314" s="28">
        <v>44922</v>
      </c>
      <c r="B314" s="26">
        <v>4.84</v>
      </c>
      <c r="C314" s="26">
        <v>1904500</v>
      </c>
    </row>
    <row r="315" spans="1:3">
      <c r="A315" s="28">
        <v>44923</v>
      </c>
      <c r="B315" s="26">
        <v>4.82</v>
      </c>
      <c r="C315" s="26">
        <v>1538300</v>
      </c>
    </row>
    <row r="316" spans="1:3">
      <c r="A316" s="28">
        <v>44924</v>
      </c>
      <c r="B316" s="26">
        <v>5.22</v>
      </c>
      <c r="C316" s="26">
        <v>2108700</v>
      </c>
    </row>
    <row r="317" spans="1:3">
      <c r="A317" s="28">
        <v>44925</v>
      </c>
      <c r="B317" s="26">
        <v>5.21</v>
      </c>
      <c r="C317" s="26">
        <v>1528600</v>
      </c>
    </row>
    <row r="318" spans="1:3">
      <c r="A318" s="28">
        <v>44929</v>
      </c>
      <c r="B318" s="26">
        <v>5.18</v>
      </c>
      <c r="C318" s="26">
        <v>3094900</v>
      </c>
    </row>
    <row r="319" spans="1:3">
      <c r="A319" s="28">
        <v>44930</v>
      </c>
      <c r="B319" s="26">
        <v>5.73</v>
      </c>
      <c r="C319" s="26">
        <v>2301400</v>
      </c>
    </row>
    <row r="320" spans="1:3">
      <c r="A320" s="28">
        <v>44931</v>
      </c>
      <c r="B320" s="26">
        <v>5.41</v>
      </c>
      <c r="C320" s="26">
        <v>1931600</v>
      </c>
    </row>
    <row r="321" spans="1:3">
      <c r="A321" s="28">
        <v>44932</v>
      </c>
      <c r="B321" s="26">
        <v>5.66</v>
      </c>
      <c r="C321" s="26">
        <v>2410400</v>
      </c>
    </row>
    <row r="322" spans="1:3">
      <c r="A322" s="28">
        <v>44935</v>
      </c>
      <c r="B322" s="26">
        <v>6.05</v>
      </c>
      <c r="C322" s="26">
        <v>8738800</v>
      </c>
    </row>
    <row r="323" spans="1:3">
      <c r="A323" s="28">
        <v>44936</v>
      </c>
      <c r="B323" s="26">
        <v>6.05</v>
      </c>
      <c r="C323" s="26">
        <v>2758400</v>
      </c>
    </row>
    <row r="324" spans="1:3">
      <c r="A324" s="28">
        <v>44937</v>
      </c>
      <c r="B324" s="26">
        <v>6.24</v>
      </c>
      <c r="C324" s="26">
        <v>2392300</v>
      </c>
    </row>
    <row r="325" spans="1:3">
      <c r="A325" s="28">
        <v>44938</v>
      </c>
      <c r="B325" s="26">
        <v>6.35</v>
      </c>
      <c r="C325" s="26">
        <v>2174900</v>
      </c>
    </row>
    <row r="326" spans="1:3">
      <c r="A326" s="28">
        <v>44939</v>
      </c>
      <c r="B326" s="26">
        <v>6.3</v>
      </c>
      <c r="C326" s="26">
        <v>2091500</v>
      </c>
    </row>
    <row r="327" spans="1:3">
      <c r="A327" s="28">
        <v>44943</v>
      </c>
      <c r="B327" s="26">
        <v>6.42</v>
      </c>
      <c r="C327" s="26">
        <v>1636100</v>
      </c>
    </row>
    <row r="328" spans="1:3">
      <c r="A328" s="28">
        <v>44944</v>
      </c>
      <c r="B328" s="26">
        <v>6.04</v>
      </c>
      <c r="C328" s="26">
        <v>1155400</v>
      </c>
    </row>
    <row r="329" spans="1:3">
      <c r="A329" s="28">
        <v>44945</v>
      </c>
      <c r="B329" s="26">
        <v>5.91</v>
      </c>
      <c r="C329" s="26">
        <v>1290200</v>
      </c>
    </row>
    <row r="330" spans="1:3">
      <c r="A330" s="28">
        <v>44946</v>
      </c>
      <c r="B330" s="26">
        <v>6.07</v>
      </c>
      <c r="C330" s="26">
        <v>988200</v>
      </c>
    </row>
    <row r="331" spans="1:3">
      <c r="A331" s="28">
        <v>44949</v>
      </c>
      <c r="B331" s="26">
        <v>6.16</v>
      </c>
      <c r="C331" s="26">
        <v>877900</v>
      </c>
    </row>
    <row r="332" spans="1:3">
      <c r="A332" s="28">
        <v>44950</v>
      </c>
      <c r="B332" s="26">
        <v>5.88</v>
      </c>
      <c r="C332" s="26">
        <v>1187800</v>
      </c>
    </row>
    <row r="333" spans="1:3">
      <c r="A333" s="28">
        <v>44951</v>
      </c>
      <c r="B333" s="26">
        <v>5.81</v>
      </c>
      <c r="C333" s="26">
        <v>964200</v>
      </c>
    </row>
    <row r="334" spans="1:3">
      <c r="A334" s="28">
        <v>44952</v>
      </c>
      <c r="B334" s="26">
        <v>5.91</v>
      </c>
      <c r="C334" s="26">
        <v>813200</v>
      </c>
    </row>
    <row r="335" spans="1:3">
      <c r="A335" s="28">
        <v>44953</v>
      </c>
      <c r="B335" s="26">
        <v>6.14</v>
      </c>
      <c r="C335" s="26">
        <v>1021800</v>
      </c>
    </row>
    <row r="336" spans="1:3">
      <c r="A336" s="28">
        <v>44956</v>
      </c>
      <c r="B336" s="26">
        <v>6.11</v>
      </c>
      <c r="C336" s="26">
        <v>1783800</v>
      </c>
    </row>
    <row r="337" spans="1:3">
      <c r="A337" s="28">
        <v>44957</v>
      </c>
      <c r="B337" s="26">
        <v>6.31</v>
      </c>
      <c r="C337" s="26">
        <v>1491000</v>
      </c>
    </row>
    <row r="338" spans="1:3">
      <c r="A338" s="28">
        <v>44958</v>
      </c>
      <c r="B338" s="26">
        <v>6.57</v>
      </c>
      <c r="C338" s="26">
        <v>1975900</v>
      </c>
    </row>
    <row r="339" spans="1:3">
      <c r="A339" s="28">
        <v>44959</v>
      </c>
      <c r="B339" s="26">
        <v>6.89</v>
      </c>
      <c r="C339" s="26">
        <v>2275500</v>
      </c>
    </row>
    <row r="340" spans="1:3">
      <c r="A340" s="28">
        <v>44960</v>
      </c>
      <c r="B340" s="26">
        <v>6.6</v>
      </c>
      <c r="C340" s="26">
        <v>2171600</v>
      </c>
    </row>
    <row r="341" spans="1:3">
      <c r="A341" s="28">
        <v>44963</v>
      </c>
      <c r="B341" s="26">
        <v>6.38</v>
      </c>
      <c r="C341" s="26">
        <v>1883300</v>
      </c>
    </row>
    <row r="342" spans="1:3">
      <c r="A342" s="28">
        <v>44964</v>
      </c>
      <c r="B342" s="26">
        <v>6.71</v>
      </c>
      <c r="C342" s="26">
        <v>3420300</v>
      </c>
    </row>
    <row r="343" spans="1:3">
      <c r="A343" s="28">
        <v>44965</v>
      </c>
      <c r="B343" s="26">
        <v>6.66</v>
      </c>
      <c r="C343" s="26">
        <v>1531900</v>
      </c>
    </row>
    <row r="344" spans="1:3">
      <c r="A344" s="28">
        <v>44966</v>
      </c>
      <c r="B344" s="26">
        <v>6.64</v>
      </c>
      <c r="C344" s="26">
        <v>2461500</v>
      </c>
    </row>
    <row r="345" spans="1:3">
      <c r="A345" s="28">
        <v>44967</v>
      </c>
      <c r="B345" s="26">
        <v>6.36</v>
      </c>
      <c r="C345" s="26">
        <v>1580300</v>
      </c>
    </row>
    <row r="346" spans="1:3">
      <c r="A346" s="28">
        <v>44970</v>
      </c>
      <c r="B346" s="26">
        <v>6.62</v>
      </c>
      <c r="C346" s="26">
        <v>1673900</v>
      </c>
    </row>
    <row r="347" spans="1:3">
      <c r="A347" s="28">
        <v>44971</v>
      </c>
      <c r="B347" s="26">
        <v>6.55</v>
      </c>
      <c r="C347" s="26">
        <v>1288100</v>
      </c>
    </row>
    <row r="348" spans="1:3">
      <c r="A348" s="28">
        <v>44972</v>
      </c>
      <c r="B348" s="26">
        <v>6.54</v>
      </c>
      <c r="C348" s="26">
        <v>1624300</v>
      </c>
    </row>
    <row r="349" spans="1:3">
      <c r="A349" s="28">
        <v>44973</v>
      </c>
      <c r="B349" s="26">
        <v>5.81</v>
      </c>
      <c r="C349" s="26">
        <v>2940000</v>
      </c>
    </row>
    <row r="350" spans="1:3">
      <c r="A350" s="28">
        <v>44974</v>
      </c>
      <c r="B350" s="26">
        <v>5.49</v>
      </c>
      <c r="C350" s="26">
        <v>4605400</v>
      </c>
    </row>
    <row r="351" spans="1:3">
      <c r="A351" s="28">
        <v>44978</v>
      </c>
      <c r="B351" s="26">
        <v>5.19</v>
      </c>
      <c r="C351" s="26">
        <v>5236400</v>
      </c>
    </row>
    <row r="352" spans="1:3">
      <c r="A352" s="28">
        <v>44979</v>
      </c>
      <c r="B352" s="26">
        <v>5.44</v>
      </c>
      <c r="C352" s="26">
        <v>3607800</v>
      </c>
    </row>
    <row r="353" spans="1:3">
      <c r="A353" s="28">
        <v>44980</v>
      </c>
      <c r="B353" s="26">
        <v>5.58</v>
      </c>
      <c r="C353" s="26">
        <v>2174100</v>
      </c>
    </row>
    <row r="354" spans="1:3">
      <c r="A354" s="28">
        <v>44981</v>
      </c>
      <c r="B354" s="26">
        <v>5.52</v>
      </c>
      <c r="C354" s="26">
        <v>1923800</v>
      </c>
    </row>
    <row r="355" spans="1:3">
      <c r="A355" s="28">
        <v>44984</v>
      </c>
      <c r="B355" s="26">
        <v>5.41</v>
      </c>
      <c r="C355" s="26">
        <v>3883600</v>
      </c>
    </row>
    <row r="356" spans="1:3">
      <c r="A356" s="28">
        <v>44985</v>
      </c>
      <c r="B356" s="26">
        <v>4.92</v>
      </c>
      <c r="C356" s="26">
        <v>9754900</v>
      </c>
    </row>
    <row r="357" spans="1:3">
      <c r="A357" s="28">
        <v>44986</v>
      </c>
      <c r="B357" s="26">
        <v>4.58</v>
      </c>
      <c r="C357" s="26">
        <v>7150600</v>
      </c>
    </row>
    <row r="358" spans="1:3">
      <c r="A358" s="28">
        <v>44987</v>
      </c>
      <c r="B358" s="26">
        <v>4.67</v>
      </c>
      <c r="C358" s="26">
        <v>2799200</v>
      </c>
    </row>
    <row r="359" spans="1:3">
      <c r="A359" s="28">
        <v>44988</v>
      </c>
      <c r="B359" s="26">
        <v>4.6500000000000004</v>
      </c>
      <c r="C359" s="26">
        <v>3991600</v>
      </c>
    </row>
    <row r="360" spans="1:3">
      <c r="A360" s="28">
        <v>44991</v>
      </c>
      <c r="B360" s="26">
        <v>4.26</v>
      </c>
      <c r="C360" s="26">
        <v>6454900</v>
      </c>
    </row>
    <row r="361" spans="1:3">
      <c r="A361" s="28">
        <v>44992</v>
      </c>
      <c r="B361" s="26">
        <v>4.26</v>
      </c>
      <c r="C361" s="26">
        <v>4057700</v>
      </c>
    </row>
    <row r="362" spans="1:3">
      <c r="A362" s="28">
        <v>44993</v>
      </c>
      <c r="B362" s="26">
        <v>4.22</v>
      </c>
      <c r="C362" s="26">
        <v>2307900</v>
      </c>
    </row>
    <row r="363" spans="1:3">
      <c r="A363" s="28">
        <v>44994</v>
      </c>
      <c r="B363" s="26">
        <v>4.01</v>
      </c>
      <c r="C363" s="26">
        <v>4092100</v>
      </c>
    </row>
    <row r="364" spans="1:3">
      <c r="A364" s="28">
        <v>44995</v>
      </c>
      <c r="B364" s="26">
        <v>3.99</v>
      </c>
      <c r="C364" s="26">
        <v>4396800</v>
      </c>
    </row>
    <row r="365" spans="1:3">
      <c r="A365" s="28">
        <v>44998</v>
      </c>
      <c r="B365" s="26">
        <v>4.05</v>
      </c>
      <c r="C365" s="26">
        <v>2973700</v>
      </c>
    </row>
    <row r="366" spans="1:3">
      <c r="A366" s="28">
        <v>44999</v>
      </c>
      <c r="B366" s="26">
        <v>3.98</v>
      </c>
      <c r="C366" s="26">
        <v>4247500</v>
      </c>
    </row>
    <row r="367" spans="1:3">
      <c r="A367" s="28">
        <v>45000</v>
      </c>
      <c r="B367" s="26">
        <v>4.01</v>
      </c>
      <c r="C367" s="26">
        <v>3013600</v>
      </c>
    </row>
    <row r="368" spans="1:3">
      <c r="A368" s="28">
        <v>45001</v>
      </c>
      <c r="B368" s="26">
        <v>3.96</v>
      </c>
      <c r="C368" s="26">
        <v>3646100</v>
      </c>
    </row>
    <row r="369" spans="1:3">
      <c r="A369" s="28">
        <v>45002</v>
      </c>
      <c r="B369" s="26">
        <v>3.87</v>
      </c>
      <c r="C369" s="26">
        <v>14142300</v>
      </c>
    </row>
    <row r="370" spans="1:3">
      <c r="A370" s="28">
        <v>45005</v>
      </c>
      <c r="B370" s="26">
        <v>3.94</v>
      </c>
      <c r="C370" s="26">
        <v>3128400</v>
      </c>
    </row>
    <row r="371" spans="1:3">
      <c r="A371" s="28">
        <v>45006</v>
      </c>
      <c r="B371" s="26">
        <v>4.0599999999999996</v>
      </c>
      <c r="C371" s="26">
        <v>1924300</v>
      </c>
    </row>
    <row r="372" spans="1:3">
      <c r="A372" s="28">
        <v>45007</v>
      </c>
      <c r="B372" s="26">
        <v>4</v>
      </c>
      <c r="C372" s="26">
        <v>2961500</v>
      </c>
    </row>
    <row r="373" spans="1:3">
      <c r="A373" s="28">
        <v>45008</v>
      </c>
      <c r="B373" s="26">
        <v>3.9</v>
      </c>
      <c r="C373" s="26">
        <v>3783700</v>
      </c>
    </row>
    <row r="374" spans="1:3">
      <c r="A374" s="28">
        <v>45009</v>
      </c>
      <c r="B374" s="26">
        <v>3.93</v>
      </c>
      <c r="C374" s="26">
        <v>1961900</v>
      </c>
    </row>
    <row r="375" spans="1:3">
      <c r="A375" s="28">
        <v>45012</v>
      </c>
      <c r="B375" s="26">
        <v>3.99</v>
      </c>
      <c r="C375" s="26">
        <v>1807700</v>
      </c>
    </row>
    <row r="376" spans="1:3">
      <c r="A376" s="28">
        <v>45013</v>
      </c>
      <c r="B376" s="26">
        <v>4.01</v>
      </c>
      <c r="C376" s="26">
        <v>1766000</v>
      </c>
    </row>
    <row r="377" spans="1:3">
      <c r="A377" s="28">
        <v>45014</v>
      </c>
      <c r="B377" s="26">
        <v>4.04</v>
      </c>
      <c r="C377" s="26">
        <v>2166500</v>
      </c>
    </row>
    <row r="378" spans="1:3">
      <c r="A378" s="28">
        <v>45015</v>
      </c>
      <c r="B378" s="26">
        <v>4.09</v>
      </c>
      <c r="C378" s="26">
        <v>2279600</v>
      </c>
    </row>
    <row r="379" spans="1:3">
      <c r="A379" s="28">
        <v>45016</v>
      </c>
      <c r="B379" s="26">
        <v>4.2699999999999996</v>
      </c>
      <c r="C379" s="26">
        <v>2480300</v>
      </c>
    </row>
    <row r="380" spans="1:3">
      <c r="A380" s="28">
        <v>45019</v>
      </c>
      <c r="B380" s="26">
        <v>4.2300000000000004</v>
      </c>
      <c r="C380" s="26">
        <v>2355000</v>
      </c>
    </row>
    <row r="381" spans="1:3">
      <c r="A381" s="28">
        <v>45020</v>
      </c>
      <c r="B381" s="26">
        <v>4.16</v>
      </c>
      <c r="C381" s="26">
        <v>1347500</v>
      </c>
    </row>
    <row r="382" spans="1:3">
      <c r="A382" s="28">
        <v>45021</v>
      </c>
      <c r="B382" s="26">
        <v>4.05</v>
      </c>
      <c r="C382" s="26">
        <v>1074400</v>
      </c>
    </row>
    <row r="383" spans="1:3">
      <c r="A383" s="28">
        <v>45022</v>
      </c>
      <c r="B383" s="26">
        <v>4.16</v>
      </c>
      <c r="C383" s="26">
        <v>1859100</v>
      </c>
    </row>
    <row r="384" spans="1:3">
      <c r="A384" s="28">
        <v>45026</v>
      </c>
      <c r="B384" s="26">
        <v>4.16</v>
      </c>
      <c r="C384" s="26">
        <v>2608700</v>
      </c>
    </row>
    <row r="385" spans="1:3">
      <c r="A385" s="28">
        <v>45027</v>
      </c>
      <c r="B385" s="26">
        <v>4.22</v>
      </c>
      <c r="C385" s="26">
        <v>1097500</v>
      </c>
    </row>
    <row r="386" spans="1:3">
      <c r="A386" s="28">
        <v>45028</v>
      </c>
      <c r="B386" s="26">
        <v>4.04</v>
      </c>
      <c r="C386" s="26">
        <v>1558400</v>
      </c>
    </row>
    <row r="387" spans="1:3">
      <c r="A387" s="28">
        <v>45029</v>
      </c>
      <c r="B387" s="26">
        <v>4.12</v>
      </c>
      <c r="C387" s="26">
        <v>953600</v>
      </c>
    </row>
    <row r="388" spans="1:3">
      <c r="A388" s="28">
        <v>45030</v>
      </c>
      <c r="B388" s="26">
        <v>4.03</v>
      </c>
      <c r="C388" s="26">
        <v>1275000</v>
      </c>
    </row>
    <row r="389" spans="1:3">
      <c r="A389" s="28">
        <v>45033</v>
      </c>
      <c r="B389" s="26">
        <v>3.91</v>
      </c>
      <c r="C389" s="26">
        <v>1525200</v>
      </c>
    </row>
    <row r="390" spans="1:3">
      <c r="A390" s="28">
        <v>45034</v>
      </c>
      <c r="B390" s="26">
        <v>3.9</v>
      </c>
      <c r="C390" s="26">
        <v>1624500</v>
      </c>
    </row>
    <row r="391" spans="1:3">
      <c r="A391" s="28">
        <v>45035</v>
      </c>
      <c r="B391" s="26">
        <v>3.89</v>
      </c>
      <c r="C391" s="26">
        <v>1465000</v>
      </c>
    </row>
    <row r="392" spans="1:3">
      <c r="A392" s="28">
        <v>45036</v>
      </c>
      <c r="B392" s="26">
        <v>3.82</v>
      </c>
      <c r="C392" s="26">
        <v>1473400</v>
      </c>
    </row>
    <row r="393" spans="1:3">
      <c r="A393" s="28">
        <v>45037</v>
      </c>
      <c r="B393" s="26">
        <v>3.8</v>
      </c>
      <c r="C393" s="26">
        <v>1439600</v>
      </c>
    </row>
    <row r="394" spans="1:3">
      <c r="A394" s="28">
        <v>45040</v>
      </c>
      <c r="B394" s="26">
        <v>3.73</v>
      </c>
      <c r="C394" s="26">
        <v>2270200</v>
      </c>
    </row>
    <row r="395" spans="1:3">
      <c r="A395" s="28">
        <v>45041</v>
      </c>
      <c r="B395" s="26">
        <v>3.63</v>
      </c>
      <c r="C395" s="26">
        <v>1487900</v>
      </c>
    </row>
    <row r="396" spans="1:3">
      <c r="A396" s="28">
        <v>45042</v>
      </c>
      <c r="B396" s="26">
        <v>3.65</v>
      </c>
      <c r="C396" s="26">
        <v>1796700</v>
      </c>
    </row>
    <row r="397" spans="1:3">
      <c r="A397" s="28">
        <v>45043</v>
      </c>
      <c r="B397" s="26">
        <v>3.82</v>
      </c>
      <c r="C397" s="26">
        <v>2149400</v>
      </c>
    </row>
    <row r="398" spans="1:3">
      <c r="A398" s="28">
        <v>45044</v>
      </c>
      <c r="B398" s="26">
        <v>3.7</v>
      </c>
      <c r="C398" s="26">
        <v>2345800</v>
      </c>
    </row>
    <row r="399" spans="1:3">
      <c r="A399" s="28">
        <v>45047</v>
      </c>
      <c r="B399" s="26">
        <v>3.69</v>
      </c>
      <c r="C399" s="26">
        <v>1894900</v>
      </c>
    </row>
    <row r="400" spans="1:3">
      <c r="A400" s="28">
        <v>45048</v>
      </c>
      <c r="B400" s="26">
        <v>3.62</v>
      </c>
      <c r="C400" s="26">
        <v>1561500</v>
      </c>
    </row>
    <row r="401" spans="1:3">
      <c r="A401" s="28">
        <v>45049</v>
      </c>
      <c r="B401" s="26">
        <v>3.66</v>
      </c>
      <c r="C401" s="26">
        <v>1776000</v>
      </c>
    </row>
    <row r="402" spans="1:3">
      <c r="A402" s="28">
        <v>45050</v>
      </c>
      <c r="B402" s="26">
        <v>3.63</v>
      </c>
      <c r="C402" s="26">
        <v>2059600</v>
      </c>
    </row>
    <row r="403" spans="1:3">
      <c r="A403" s="28">
        <v>45051</v>
      </c>
      <c r="B403" s="26">
        <v>3.87</v>
      </c>
      <c r="C403" s="26">
        <v>1613500</v>
      </c>
    </row>
    <row r="404" spans="1:3">
      <c r="A404" s="28">
        <v>45054</v>
      </c>
      <c r="B404" s="26">
        <v>3.97</v>
      </c>
      <c r="C404" s="26">
        <v>3614200</v>
      </c>
    </row>
    <row r="405" spans="1:3">
      <c r="A405" s="28">
        <v>45055</v>
      </c>
      <c r="B405" s="26">
        <v>3.7</v>
      </c>
      <c r="C405" s="26">
        <v>4277500</v>
      </c>
    </row>
    <row r="406" spans="1:3">
      <c r="A406" s="28">
        <v>45056</v>
      </c>
      <c r="B406" s="26">
        <v>3.55</v>
      </c>
      <c r="C406" s="26">
        <v>2498100</v>
      </c>
    </row>
    <row r="407" spans="1:3">
      <c r="A407" s="28">
        <v>45057</v>
      </c>
      <c r="B407" s="26">
        <v>3.37</v>
      </c>
      <c r="C407" s="26">
        <v>7328500</v>
      </c>
    </row>
    <row r="408" spans="1:3">
      <c r="A408" s="28">
        <v>45058</v>
      </c>
      <c r="B408" s="26">
        <v>3.5</v>
      </c>
      <c r="C408" s="26">
        <v>2141100</v>
      </c>
    </row>
    <row r="409" spans="1:3">
      <c r="A409" s="28">
        <v>45061</v>
      </c>
      <c r="B409" s="26">
        <v>3.7</v>
      </c>
      <c r="C409" s="26">
        <v>1987600</v>
      </c>
    </row>
    <row r="410" spans="1:3">
      <c r="A410" s="28">
        <v>45062</v>
      </c>
      <c r="B410" s="26">
        <v>3.3450000000000002</v>
      </c>
      <c r="C410" s="26">
        <v>2549800</v>
      </c>
    </row>
    <row r="411" spans="1:3">
      <c r="A411" s="28">
        <v>45063</v>
      </c>
      <c r="B411" s="26">
        <v>3.34</v>
      </c>
      <c r="C411" s="26">
        <v>1267200</v>
      </c>
    </row>
    <row r="412" spans="1:3">
      <c r="A412" s="28">
        <v>45064</v>
      </c>
      <c r="B412" s="26">
        <v>3.33</v>
      </c>
      <c r="C412" s="26">
        <v>1636200</v>
      </c>
    </row>
    <row r="413" spans="1:3">
      <c r="A413" s="28">
        <v>45065</v>
      </c>
      <c r="B413" s="26">
        <v>3.36</v>
      </c>
      <c r="C413" s="26">
        <v>1610400</v>
      </c>
    </row>
    <row r="414" spans="1:3">
      <c r="A414" s="28">
        <v>45068</v>
      </c>
      <c r="B414" s="26">
        <v>3.4</v>
      </c>
      <c r="C414" s="26">
        <v>2881500</v>
      </c>
    </row>
    <row r="415" spans="1:3">
      <c r="A415" s="28">
        <v>45069</v>
      </c>
      <c r="B415" s="26">
        <v>3.46</v>
      </c>
      <c r="C415" s="26">
        <v>1425100</v>
      </c>
    </row>
    <row r="416" spans="1:3">
      <c r="A416" s="28">
        <v>45070</v>
      </c>
      <c r="B416" s="26">
        <v>3.36</v>
      </c>
      <c r="C416" s="26">
        <v>1080800</v>
      </c>
    </row>
    <row r="417" spans="1:3">
      <c r="A417" s="28">
        <v>45071</v>
      </c>
      <c r="B417" s="26">
        <v>3.24</v>
      </c>
      <c r="C417" s="26">
        <v>823800</v>
      </c>
    </row>
    <row r="418" spans="1:3">
      <c r="A418" s="28">
        <v>45072</v>
      </c>
      <c r="B418" s="26">
        <v>3.29</v>
      </c>
      <c r="C418" s="26">
        <v>1447000</v>
      </c>
    </row>
    <row r="419" spans="1:3">
      <c r="A419" s="28">
        <v>45076</v>
      </c>
      <c r="B419" s="26">
        <v>3.23</v>
      </c>
      <c r="C419" s="26">
        <v>1359300</v>
      </c>
    </row>
    <row r="420" spans="1:3">
      <c r="A420" s="28">
        <v>45077</v>
      </c>
      <c r="B420" s="26">
        <v>3.16</v>
      </c>
      <c r="C420" s="26">
        <v>3767100</v>
      </c>
    </row>
    <row r="421" spans="1:3">
      <c r="A421" s="28">
        <v>45078</v>
      </c>
      <c r="B421" s="26">
        <v>3.21</v>
      </c>
      <c r="C421" s="26">
        <v>1655500</v>
      </c>
    </row>
    <row r="422" spans="1:3">
      <c r="A422" s="28">
        <v>45079</v>
      </c>
      <c r="B422" s="26">
        <v>3.47</v>
      </c>
      <c r="C422" s="26">
        <v>1529000</v>
      </c>
    </row>
    <row r="423" spans="1:3">
      <c r="A423" s="28">
        <v>45082</v>
      </c>
      <c r="B423" s="26">
        <v>3.48</v>
      </c>
      <c r="C423" s="26">
        <v>1607200</v>
      </c>
    </row>
    <row r="424" spans="1:3">
      <c r="A424" s="28">
        <v>45083</v>
      </c>
      <c r="B424" s="26">
        <v>3.64</v>
      </c>
      <c r="C424" s="26">
        <v>956900</v>
      </c>
    </row>
    <row r="425" spans="1:3">
      <c r="A425" s="28">
        <v>45084</v>
      </c>
      <c r="B425" s="26">
        <v>3.83</v>
      </c>
      <c r="C425" s="26">
        <v>1977600</v>
      </c>
    </row>
    <row r="426" spans="1:3">
      <c r="A426" s="28">
        <v>45085</v>
      </c>
      <c r="B426" s="26">
        <v>3.72</v>
      </c>
      <c r="C426" s="26">
        <v>1517000</v>
      </c>
    </row>
    <row r="427" spans="1:3">
      <c r="A427" s="28">
        <v>45086</v>
      </c>
      <c r="B427" s="26">
        <v>3.55</v>
      </c>
      <c r="C427" s="26">
        <v>2148700</v>
      </c>
    </row>
    <row r="428" spans="1:3">
      <c r="A428" s="28">
        <v>45089</v>
      </c>
      <c r="B428" s="26">
        <v>3.63</v>
      </c>
      <c r="C428" s="26">
        <v>2133000</v>
      </c>
    </row>
    <row r="429" spans="1:3">
      <c r="A429" s="28">
        <v>45090</v>
      </c>
      <c r="B429" s="26">
        <v>3.68</v>
      </c>
      <c r="C429" s="26">
        <v>1462900</v>
      </c>
    </row>
    <row r="430" spans="1:3">
      <c r="A430" s="28">
        <v>45091</v>
      </c>
      <c r="B430" s="26">
        <v>3.59</v>
      </c>
      <c r="C430" s="26">
        <v>1794000</v>
      </c>
    </row>
    <row r="431" spans="1:3">
      <c r="A431" s="28">
        <v>45092</v>
      </c>
      <c r="B431" s="26">
        <v>3.65</v>
      </c>
      <c r="C431" s="26">
        <v>1184600</v>
      </c>
    </row>
    <row r="432" spans="1:3">
      <c r="A432" s="28">
        <v>45093</v>
      </c>
      <c r="B432" s="26">
        <v>3.66</v>
      </c>
      <c r="C432" s="26">
        <v>2390900</v>
      </c>
    </row>
    <row r="433" spans="1:3">
      <c r="A433" s="28">
        <v>45097</v>
      </c>
      <c r="B433" s="26">
        <v>3.62</v>
      </c>
      <c r="C433" s="26">
        <v>1509900</v>
      </c>
    </row>
    <row r="434" spans="1:3">
      <c r="A434" s="28">
        <v>45098</v>
      </c>
      <c r="B434" s="26">
        <v>3.57</v>
      </c>
      <c r="C434" s="26">
        <v>954600</v>
      </c>
    </row>
    <row r="435" spans="1:3">
      <c r="A435" s="28">
        <v>45099</v>
      </c>
      <c r="B435" s="26">
        <v>3.6</v>
      </c>
      <c r="C435" s="26">
        <v>1186100</v>
      </c>
    </row>
    <row r="436" spans="1:3">
      <c r="A436" s="28">
        <v>45100</v>
      </c>
      <c r="B436" s="26">
        <v>3.46</v>
      </c>
      <c r="C436" s="26">
        <v>4262700</v>
      </c>
    </row>
    <row r="437" spans="1:3">
      <c r="A437" s="28">
        <v>45103</v>
      </c>
      <c r="B437" s="26">
        <v>3.58</v>
      </c>
      <c r="C437" s="26">
        <v>1591000</v>
      </c>
    </row>
    <row r="438" spans="1:3">
      <c r="A438" s="28">
        <v>45104</v>
      </c>
      <c r="B438" s="26">
        <v>3.59</v>
      </c>
      <c r="C438" s="26">
        <v>1439800</v>
      </c>
    </row>
    <row r="439" spans="1:3">
      <c r="A439" s="28">
        <v>45105</v>
      </c>
      <c r="B439" s="26">
        <v>3.59</v>
      </c>
      <c r="C439" s="26">
        <v>2384300</v>
      </c>
    </row>
    <row r="440" spans="1:3">
      <c r="A440" s="28">
        <v>45106</v>
      </c>
      <c r="B440" s="26">
        <v>3.74</v>
      </c>
      <c r="C440" s="26">
        <v>2417600</v>
      </c>
    </row>
    <row r="441" spans="1:3">
      <c r="A441" s="28">
        <v>45107</v>
      </c>
      <c r="B441" s="26">
        <v>3.72</v>
      </c>
      <c r="C441" s="26">
        <v>945900</v>
      </c>
    </row>
    <row r="442" spans="1:3">
      <c r="A442" s="28">
        <v>45110</v>
      </c>
      <c r="B442" s="26">
        <v>3.92</v>
      </c>
      <c r="C442" s="26">
        <v>1349900</v>
      </c>
    </row>
    <row r="443" spans="1:3">
      <c r="A443" s="28">
        <v>45112</v>
      </c>
      <c r="B443" s="26">
        <v>3.73</v>
      </c>
      <c r="C443" s="26">
        <v>2615000</v>
      </c>
    </row>
    <row r="444" spans="1:3">
      <c r="A444" s="28">
        <v>45113</v>
      </c>
      <c r="B444" s="26">
        <v>3.75</v>
      </c>
      <c r="C444" s="26">
        <v>1613700</v>
      </c>
    </row>
    <row r="445" spans="1:3">
      <c r="A445" s="28">
        <v>45114</v>
      </c>
      <c r="B445" s="26">
        <v>3.87</v>
      </c>
      <c r="C445" s="26">
        <v>1821900</v>
      </c>
    </row>
    <row r="446" spans="1:3">
      <c r="A446" s="28">
        <v>45117</v>
      </c>
      <c r="B446" s="26">
        <v>4.0199999999999996</v>
      </c>
      <c r="C446" s="26">
        <v>2096900</v>
      </c>
    </row>
    <row r="447" spans="1:3">
      <c r="A447" s="28">
        <v>45118</v>
      </c>
      <c r="B447" s="26">
        <v>4.13</v>
      </c>
      <c r="C447" s="26">
        <v>2557600</v>
      </c>
    </row>
    <row r="448" spans="1:3">
      <c r="A448" s="28">
        <v>45119</v>
      </c>
      <c r="B448" s="26">
        <v>4.2300000000000004</v>
      </c>
      <c r="C448" s="26">
        <v>3111000</v>
      </c>
    </row>
    <row r="449" spans="1:3">
      <c r="A449" s="28">
        <v>45120</v>
      </c>
      <c r="B449" s="26">
        <v>4.12</v>
      </c>
      <c r="C449" s="26">
        <v>1665900</v>
      </c>
    </row>
    <row r="450" spans="1:3">
      <c r="A450" s="28">
        <v>45121</v>
      </c>
      <c r="B450" s="26">
        <v>3.97</v>
      </c>
      <c r="C450" s="26">
        <v>908900</v>
      </c>
    </row>
    <row r="451" spans="1:3">
      <c r="A451" s="28">
        <v>45124</v>
      </c>
      <c r="B451" s="26">
        <v>3.99</v>
      </c>
      <c r="C451" s="26">
        <v>1616500</v>
      </c>
    </row>
    <row r="452" spans="1:3">
      <c r="A452" s="28">
        <v>45125</v>
      </c>
      <c r="B452" s="26">
        <v>4.08</v>
      </c>
      <c r="C452" s="26">
        <v>877500</v>
      </c>
    </row>
    <row r="453" spans="1:3">
      <c r="A453" s="28">
        <v>45126</v>
      </c>
      <c r="B453" s="26">
        <v>4.0599999999999996</v>
      </c>
      <c r="C453" s="26">
        <v>985100</v>
      </c>
    </row>
    <row r="454" spans="1:3">
      <c r="A454" s="28">
        <v>45127</v>
      </c>
      <c r="B454" s="26">
        <v>3.79</v>
      </c>
      <c r="C454" s="26">
        <v>2158300</v>
      </c>
    </row>
    <row r="455" spans="1:3">
      <c r="A455" s="28">
        <v>45128</v>
      </c>
      <c r="B455" s="26">
        <v>3.8250000000000002</v>
      </c>
      <c r="C455" s="26">
        <v>1031600</v>
      </c>
    </row>
    <row r="456" spans="1:3">
      <c r="A456" s="28">
        <v>45131</v>
      </c>
      <c r="B456" s="26">
        <v>3.94</v>
      </c>
      <c r="C456" s="26">
        <v>1084000</v>
      </c>
    </row>
    <row r="457" spans="1:3">
      <c r="A457" s="28">
        <v>45132</v>
      </c>
      <c r="B457" s="26">
        <v>3.9</v>
      </c>
      <c r="C457" s="26">
        <v>1028900</v>
      </c>
    </row>
    <row r="458" spans="1:3">
      <c r="A458" s="28">
        <v>45133</v>
      </c>
      <c r="B458" s="26">
        <v>3.98</v>
      </c>
      <c r="C458" s="26">
        <v>1582800</v>
      </c>
    </row>
    <row r="459" spans="1:3">
      <c r="A459" s="28">
        <v>45134</v>
      </c>
      <c r="B459" s="26">
        <v>3.68</v>
      </c>
      <c r="C459" s="26">
        <v>1288200</v>
      </c>
    </row>
    <row r="460" spans="1:3">
      <c r="A460" s="28">
        <v>45135</v>
      </c>
      <c r="B460" s="26">
        <v>3.71</v>
      </c>
      <c r="C460" s="26">
        <v>1583200</v>
      </c>
    </row>
    <row r="461" spans="1:3">
      <c r="A461" s="28">
        <v>45138</v>
      </c>
      <c r="B461" s="26">
        <v>3.6</v>
      </c>
      <c r="C461" s="26">
        <v>1778500</v>
      </c>
    </row>
    <row r="462" spans="1:3">
      <c r="A462" s="28">
        <v>45139</v>
      </c>
      <c r="B462" s="26">
        <v>3.46</v>
      </c>
      <c r="C462" s="26">
        <v>1762600</v>
      </c>
    </row>
    <row r="463" spans="1:3">
      <c r="A463" s="28">
        <v>45140</v>
      </c>
      <c r="B463" s="26">
        <v>3.44</v>
      </c>
      <c r="C463" s="26">
        <v>1509700</v>
      </c>
    </row>
    <row r="464" spans="1:3">
      <c r="A464" s="28">
        <v>45141</v>
      </c>
      <c r="B464" s="26">
        <v>3.43</v>
      </c>
      <c r="C464" s="26">
        <v>2842800</v>
      </c>
    </row>
    <row r="465" spans="1:3">
      <c r="A465" s="28">
        <v>45142</v>
      </c>
      <c r="B465" s="26">
        <v>3.49</v>
      </c>
      <c r="C465" s="26">
        <v>1719700</v>
      </c>
    </row>
    <row r="466" spans="1:3">
      <c r="A466" s="28">
        <v>45145</v>
      </c>
      <c r="B466" s="26">
        <v>3.57</v>
      </c>
      <c r="C466" s="26">
        <v>3182700</v>
      </c>
    </row>
    <row r="467" spans="1:3">
      <c r="A467" s="28">
        <v>45146</v>
      </c>
      <c r="B467" s="26">
        <v>3.23</v>
      </c>
      <c r="C467" s="26">
        <v>14027400</v>
      </c>
    </row>
    <row r="468" spans="1:3">
      <c r="A468" s="28">
        <v>45147</v>
      </c>
      <c r="B468" s="26">
        <v>2.8</v>
      </c>
      <c r="C468" s="26">
        <v>4814300</v>
      </c>
    </row>
    <row r="469" spans="1:3">
      <c r="A469" s="28">
        <v>45148</v>
      </c>
      <c r="B469" s="26">
        <v>2.62</v>
      </c>
      <c r="C469" s="26">
        <v>4181900</v>
      </c>
    </row>
    <row r="470" spans="1:3">
      <c r="A470" s="28">
        <v>45149</v>
      </c>
      <c r="B470" s="26">
        <v>2.6</v>
      </c>
      <c r="C470" s="26">
        <v>3672700</v>
      </c>
    </row>
    <row r="471" spans="1:3">
      <c r="A471" s="28">
        <v>45152</v>
      </c>
      <c r="B471" s="26">
        <v>2.63</v>
      </c>
      <c r="C471" s="26">
        <v>4138600</v>
      </c>
    </row>
    <row r="472" spans="1:3">
      <c r="A472" s="28">
        <v>45153</v>
      </c>
      <c r="B472" s="26">
        <v>2.79</v>
      </c>
      <c r="C472" s="26">
        <v>5342700</v>
      </c>
    </row>
    <row r="473" spans="1:3">
      <c r="A473" s="28">
        <v>45154</v>
      </c>
      <c r="B473" s="26">
        <v>2.75</v>
      </c>
      <c r="C473" s="26">
        <v>3398800</v>
      </c>
    </row>
    <row r="474" spans="1:3">
      <c r="A474" s="28">
        <v>45155</v>
      </c>
      <c r="B474" s="26">
        <v>2.71</v>
      </c>
      <c r="C474" s="26">
        <v>3141500</v>
      </c>
    </row>
    <row r="475" spans="1:3">
      <c r="A475" s="28">
        <v>45156</v>
      </c>
      <c r="B475" s="26">
        <v>2.7</v>
      </c>
      <c r="C475" s="26">
        <v>2014300</v>
      </c>
    </row>
    <row r="476" spans="1:3">
      <c r="A476" s="28">
        <v>45159</v>
      </c>
      <c r="B476" s="26">
        <v>2.73</v>
      </c>
      <c r="C476" s="26">
        <v>1976700</v>
      </c>
    </row>
    <row r="477" spans="1:3">
      <c r="A477" s="28">
        <v>45160</v>
      </c>
      <c r="B477" s="26">
        <v>2.74</v>
      </c>
      <c r="C477" s="26">
        <v>1045600</v>
      </c>
    </row>
    <row r="478" spans="1:3">
      <c r="A478" s="28">
        <v>45161</v>
      </c>
      <c r="B478" s="26">
        <v>2.645</v>
      </c>
      <c r="C478" s="26">
        <v>2276700</v>
      </c>
    </row>
    <row r="479" spans="1:3">
      <c r="A479" s="28">
        <v>45162</v>
      </c>
      <c r="B479" s="26">
        <v>2.61</v>
      </c>
      <c r="C479" s="26">
        <v>1684000</v>
      </c>
    </row>
    <row r="480" spans="1:3">
      <c r="A480" s="28">
        <v>45163</v>
      </c>
      <c r="B480" s="26">
        <v>2.64</v>
      </c>
      <c r="C480" s="26">
        <v>2535800</v>
      </c>
    </row>
    <row r="481" spans="1:3">
      <c r="A481" s="28">
        <v>45166</v>
      </c>
      <c r="B481" s="26">
        <v>2.7</v>
      </c>
      <c r="C481" s="26">
        <v>1631500</v>
      </c>
    </row>
    <row r="482" spans="1:3">
      <c r="A482" s="28">
        <v>45167</v>
      </c>
      <c r="B482" s="26">
        <v>2.75</v>
      </c>
      <c r="C482" s="26">
        <v>1106300</v>
      </c>
    </row>
    <row r="483" spans="1:3">
      <c r="A483" s="28">
        <v>45168</v>
      </c>
      <c r="B483" s="26">
        <v>2.75</v>
      </c>
      <c r="C483" s="26">
        <v>924600</v>
      </c>
    </row>
    <row r="484" spans="1:3">
      <c r="A484" s="28">
        <v>45169</v>
      </c>
      <c r="B484" s="26">
        <v>2.71</v>
      </c>
      <c r="C484" s="26">
        <v>1581900</v>
      </c>
    </row>
    <row r="485" spans="1:3">
      <c r="A485" s="28">
        <v>45170</v>
      </c>
      <c r="B485" s="26">
        <v>2.68</v>
      </c>
      <c r="C485" s="26">
        <v>1249500</v>
      </c>
    </row>
    <row r="486" spans="1:3">
      <c r="A486" s="28">
        <v>45174</v>
      </c>
      <c r="B486" s="26">
        <v>2.59</v>
      </c>
      <c r="C486" s="26">
        <v>1112500</v>
      </c>
    </row>
    <row r="487" spans="1:3">
      <c r="A487" s="28">
        <v>45175</v>
      </c>
      <c r="B487" s="26">
        <v>2.5499999999999998</v>
      </c>
      <c r="C487" s="26">
        <v>1468600</v>
      </c>
    </row>
    <row r="488" spans="1:3">
      <c r="A488" s="28">
        <v>45176</v>
      </c>
      <c r="B488" s="26">
        <v>2.4500000000000002</v>
      </c>
      <c r="C488" s="26">
        <v>2291800</v>
      </c>
    </row>
    <row r="489" spans="1:3">
      <c r="A489" s="28">
        <v>45177</v>
      </c>
      <c r="B489" s="26">
        <v>2.4300000000000002</v>
      </c>
      <c r="C489" s="26">
        <v>1130700</v>
      </c>
    </row>
    <row r="490" spans="1:3">
      <c r="A490" s="28">
        <v>45180</v>
      </c>
      <c r="B490" s="26">
        <v>2.4</v>
      </c>
      <c r="C490" s="26">
        <v>1757200</v>
      </c>
    </row>
    <row r="491" spans="1:3">
      <c r="A491" s="28">
        <v>45181</v>
      </c>
      <c r="B491" s="26">
        <v>2.41</v>
      </c>
      <c r="C491" s="26">
        <v>1701900</v>
      </c>
    </row>
    <row r="492" spans="1:3">
      <c r="A492" s="28">
        <v>45182</v>
      </c>
      <c r="B492" s="26">
        <v>2.4</v>
      </c>
      <c r="C492" s="26">
        <v>1355100</v>
      </c>
    </row>
    <row r="493" spans="1:3">
      <c r="A493" s="28">
        <v>45183</v>
      </c>
      <c r="B493" s="26">
        <v>2.41</v>
      </c>
      <c r="C493" s="26">
        <v>1327100</v>
      </c>
    </row>
    <row r="494" spans="1:3">
      <c r="A494" s="28">
        <v>45184</v>
      </c>
      <c r="B494" s="26">
        <v>2.2599999999999998</v>
      </c>
      <c r="C494" s="26">
        <v>6693300</v>
      </c>
    </row>
    <row r="495" spans="1:3">
      <c r="A495" s="28">
        <v>45187</v>
      </c>
      <c r="B495" s="26">
        <v>2.09</v>
      </c>
      <c r="C495" s="26">
        <v>3209200</v>
      </c>
    </row>
    <row r="496" spans="1:3">
      <c r="A496" s="28">
        <v>45188</v>
      </c>
      <c r="B496" s="26">
        <v>2.11</v>
      </c>
      <c r="C496" s="26">
        <v>2114200</v>
      </c>
    </row>
    <row r="497" spans="1:3">
      <c r="A497" s="28">
        <v>45189</v>
      </c>
      <c r="B497" s="26">
        <v>2.0699999999999998</v>
      </c>
      <c r="C497" s="26">
        <v>1660500</v>
      </c>
    </row>
    <row r="498" spans="1:3">
      <c r="A498" s="28">
        <v>45190</v>
      </c>
      <c r="B498" s="26">
        <v>2.09</v>
      </c>
      <c r="C498" s="26">
        <v>2340700</v>
      </c>
    </row>
    <row r="499" spans="1:3">
      <c r="A499" s="28">
        <v>45191</v>
      </c>
      <c r="B499" s="26">
        <v>2.0699999999999998</v>
      </c>
      <c r="C499" s="26">
        <v>1659500</v>
      </c>
    </row>
    <row r="500" spans="1:3">
      <c r="A500" s="28">
        <v>45194</v>
      </c>
      <c r="B500" s="26">
        <v>2.02</v>
      </c>
      <c r="C500" s="26">
        <v>2141100</v>
      </c>
    </row>
    <row r="501" spans="1:3">
      <c r="A501" s="28">
        <v>45195</v>
      </c>
      <c r="B501" s="26">
        <v>2.0099999999999998</v>
      </c>
      <c r="C501" s="26">
        <v>2806200</v>
      </c>
    </row>
    <row r="502" spans="1:3">
      <c r="A502" s="28">
        <v>45196</v>
      </c>
      <c r="B502" s="26">
        <v>1.95</v>
      </c>
      <c r="C502" s="26">
        <v>1171500</v>
      </c>
    </row>
    <row r="503" spans="1:3">
      <c r="A503" s="28">
        <v>45197</v>
      </c>
      <c r="B503" s="26">
        <v>1.88</v>
      </c>
      <c r="C503" s="26">
        <v>2118400</v>
      </c>
    </row>
    <row r="504" spans="1:3">
      <c r="A504" s="28">
        <v>45198</v>
      </c>
      <c r="B504" s="26">
        <v>1.95</v>
      </c>
      <c r="C504" s="26">
        <v>2456800</v>
      </c>
    </row>
    <row r="505" spans="1:3">
      <c r="A505" s="28">
        <v>45201</v>
      </c>
      <c r="B505" s="26">
        <v>1.9</v>
      </c>
      <c r="C505" s="26">
        <v>1428300</v>
      </c>
    </row>
    <row r="506" spans="1:3">
      <c r="A506" s="28">
        <v>45202</v>
      </c>
      <c r="B506" s="26">
        <v>1.87</v>
      </c>
      <c r="C506" s="26">
        <v>1531100</v>
      </c>
    </row>
    <row r="507" spans="1:3">
      <c r="A507" s="28">
        <v>45203</v>
      </c>
      <c r="B507" s="26">
        <v>1.97</v>
      </c>
      <c r="C507" s="26">
        <v>2093700</v>
      </c>
    </row>
    <row r="508" spans="1:3">
      <c r="A508" s="28">
        <v>45204</v>
      </c>
      <c r="B508" s="26">
        <v>1.85</v>
      </c>
      <c r="C508" s="26">
        <v>1218400</v>
      </c>
    </row>
    <row r="509" spans="1:3">
      <c r="A509" s="28">
        <v>45205</v>
      </c>
      <c r="B509" s="26">
        <v>1.86</v>
      </c>
      <c r="C509" s="26">
        <v>1351800</v>
      </c>
    </row>
    <row r="510" spans="1:3">
      <c r="A510" s="28">
        <v>45208</v>
      </c>
      <c r="B510" s="26">
        <v>1.83</v>
      </c>
      <c r="C510" s="26">
        <v>1102400</v>
      </c>
    </row>
    <row r="511" spans="1:3">
      <c r="A511" s="28">
        <v>45209</v>
      </c>
      <c r="B511" s="26">
        <v>1.85</v>
      </c>
      <c r="C511" s="26">
        <v>1459800</v>
      </c>
    </row>
    <row r="512" spans="1:3">
      <c r="A512" s="28">
        <v>45210</v>
      </c>
      <c r="B512" s="26">
        <v>1.76</v>
      </c>
      <c r="C512" s="26">
        <v>910800</v>
      </c>
    </row>
    <row r="513" spans="1:3">
      <c r="A513" s="28">
        <v>45211</v>
      </c>
      <c r="B513" s="26">
        <v>1.77</v>
      </c>
      <c r="C513" s="26">
        <v>2353900</v>
      </c>
    </row>
    <row r="514" spans="1:3">
      <c r="A514" s="28">
        <v>45212</v>
      </c>
      <c r="B514" s="26">
        <v>1.6</v>
      </c>
      <c r="C514" s="26">
        <v>2838800</v>
      </c>
    </row>
    <row r="515" spans="1:3">
      <c r="A515" s="28">
        <v>45215</v>
      </c>
      <c r="B515" s="26">
        <v>1.67</v>
      </c>
      <c r="C515" s="26">
        <v>2268100</v>
      </c>
    </row>
    <row r="516" spans="1:3">
      <c r="A516" s="28">
        <v>45216</v>
      </c>
      <c r="B516" s="26">
        <v>1.65</v>
      </c>
      <c r="C516" s="26">
        <v>2725500</v>
      </c>
    </row>
    <row r="517" spans="1:3">
      <c r="A517" s="28">
        <v>45217</v>
      </c>
      <c r="B517" s="26">
        <v>1.57</v>
      </c>
      <c r="C517" s="26">
        <v>1152000</v>
      </c>
    </row>
    <row r="518" spans="1:3">
      <c r="A518" s="28">
        <v>45218</v>
      </c>
      <c r="B518" s="26">
        <v>1.57</v>
      </c>
      <c r="C518" s="26">
        <v>2591300</v>
      </c>
    </row>
    <row r="519" spans="1:3">
      <c r="A519" s="28">
        <v>45219</v>
      </c>
      <c r="B519" s="26">
        <v>1.59</v>
      </c>
      <c r="C519" s="26">
        <v>1595700</v>
      </c>
    </row>
    <row r="520" spans="1:3">
      <c r="A520" s="28">
        <v>45222</v>
      </c>
      <c r="B520" s="26">
        <v>1.54</v>
      </c>
      <c r="C520" s="26">
        <v>1790700</v>
      </c>
    </row>
    <row r="521" spans="1:3">
      <c r="A521" s="28">
        <v>45223</v>
      </c>
      <c r="B521" s="26">
        <v>1.63</v>
      </c>
      <c r="C521" s="26">
        <v>2334500</v>
      </c>
    </row>
    <row r="522" spans="1:3">
      <c r="A522" s="28">
        <v>45224</v>
      </c>
      <c r="B522" s="26">
        <v>1.6</v>
      </c>
      <c r="C522" s="26">
        <v>791100</v>
      </c>
    </row>
    <row r="523" spans="1:3">
      <c r="A523" s="28">
        <v>45225</v>
      </c>
      <c r="B523" s="26">
        <v>1.54</v>
      </c>
      <c r="C523" s="26">
        <v>1034300</v>
      </c>
    </row>
    <row r="524" spans="1:3">
      <c r="A524" s="28">
        <v>45226</v>
      </c>
      <c r="B524" s="26">
        <v>1.45</v>
      </c>
      <c r="C524" s="26">
        <v>1266400</v>
      </c>
    </row>
    <row r="525" spans="1:3">
      <c r="A525" s="28">
        <v>45229</v>
      </c>
      <c r="B525" s="26">
        <v>1.42</v>
      </c>
      <c r="C525" s="26">
        <v>1868800</v>
      </c>
    </row>
    <row r="526" spans="1:3">
      <c r="A526" s="28">
        <v>45230</v>
      </c>
      <c r="B526" s="26">
        <v>1.42</v>
      </c>
      <c r="C526" s="26">
        <v>1114200</v>
      </c>
    </row>
    <row r="527" spans="1:3">
      <c r="A527" s="28">
        <v>45231</v>
      </c>
      <c r="B527" s="26">
        <v>1.36</v>
      </c>
      <c r="C527" s="26">
        <v>1449900</v>
      </c>
    </row>
    <row r="528" spans="1:3">
      <c r="A528" s="28">
        <v>45232</v>
      </c>
      <c r="B528" s="26">
        <v>1.44</v>
      </c>
      <c r="C528" s="26">
        <v>1542000</v>
      </c>
    </row>
    <row r="529" spans="1:3">
      <c r="A529" s="28">
        <v>45233</v>
      </c>
      <c r="B529" s="26">
        <v>1.48</v>
      </c>
      <c r="C529" s="26">
        <v>1484900</v>
      </c>
    </row>
    <row r="530" spans="1:3">
      <c r="A530" s="28">
        <v>45236</v>
      </c>
      <c r="B530" s="26">
        <v>1.38</v>
      </c>
      <c r="C530" s="26">
        <v>2615700</v>
      </c>
    </row>
    <row r="531" spans="1:3">
      <c r="A531" s="28">
        <v>45237</v>
      </c>
      <c r="B531" s="26">
        <v>1.73</v>
      </c>
      <c r="C531" s="26">
        <v>28989000</v>
      </c>
    </row>
    <row r="532" spans="1:3">
      <c r="A532" s="28">
        <v>45238</v>
      </c>
      <c r="B532" s="26">
        <v>1.72</v>
      </c>
      <c r="C532" s="26">
        <v>4514200</v>
      </c>
    </row>
    <row r="533" spans="1:3">
      <c r="A533" s="28">
        <v>45239</v>
      </c>
      <c r="B533" s="26">
        <v>1.63</v>
      </c>
      <c r="C533" s="26">
        <v>2597500</v>
      </c>
    </row>
    <row r="534" spans="1:3">
      <c r="A534" s="28">
        <v>45240</v>
      </c>
      <c r="B534" s="26">
        <v>1.74</v>
      </c>
      <c r="C534" s="26">
        <v>2338700</v>
      </c>
    </row>
    <row r="535" spans="1:3">
      <c r="A535" s="28">
        <v>45243</v>
      </c>
      <c r="B535" s="26">
        <v>1.73</v>
      </c>
      <c r="C535" s="26">
        <v>1427300</v>
      </c>
    </row>
    <row r="536" spans="1:3">
      <c r="A536" s="28">
        <v>45244</v>
      </c>
      <c r="B536" s="26">
        <v>1.81</v>
      </c>
      <c r="C536" s="26">
        <v>2756900</v>
      </c>
    </row>
    <row r="537" spans="1:3">
      <c r="A537" s="28">
        <v>45245</v>
      </c>
      <c r="B537" s="26">
        <v>1.92</v>
      </c>
      <c r="C537" s="26">
        <v>2496000</v>
      </c>
    </row>
    <row r="538" spans="1:3">
      <c r="A538" s="28">
        <v>45246</v>
      </c>
      <c r="B538" s="26">
        <v>1.81</v>
      </c>
      <c r="C538" s="26">
        <v>2033100</v>
      </c>
    </row>
    <row r="539" spans="1:3">
      <c r="A539" s="28">
        <v>45247</v>
      </c>
      <c r="B539" s="26">
        <v>1.95</v>
      </c>
      <c r="C539" s="26">
        <v>2977600</v>
      </c>
    </row>
    <row r="540" spans="1:3">
      <c r="A540" s="28">
        <v>45250</v>
      </c>
      <c r="B540" s="26">
        <v>1.93</v>
      </c>
      <c r="C540" s="26">
        <v>1501900</v>
      </c>
    </row>
    <row r="541" spans="1:3">
      <c r="A541" s="28">
        <v>45251</v>
      </c>
      <c r="B541" s="26">
        <v>1.89</v>
      </c>
      <c r="C541" s="26">
        <v>1271700</v>
      </c>
    </row>
    <row r="542" spans="1:3">
      <c r="A542" s="28">
        <v>45252</v>
      </c>
      <c r="B542" s="26">
        <v>1.93</v>
      </c>
      <c r="C542" s="26">
        <v>995300</v>
      </c>
    </row>
    <row r="543" spans="1:3">
      <c r="A543" s="28">
        <v>45254</v>
      </c>
      <c r="B543" s="26">
        <v>2.0499999999999998</v>
      </c>
      <c r="C543" s="26">
        <v>1174800</v>
      </c>
    </row>
    <row r="544" spans="1:3">
      <c r="A544" s="28">
        <v>45257</v>
      </c>
      <c r="B544" s="26">
        <v>2.0499999999999998</v>
      </c>
      <c r="C544" s="26">
        <v>1765300</v>
      </c>
    </row>
    <row r="545" spans="1:3">
      <c r="A545" s="28">
        <v>45258</v>
      </c>
      <c r="B545" s="26">
        <v>2.12</v>
      </c>
      <c r="C545" s="26">
        <v>1845000</v>
      </c>
    </row>
    <row r="546" spans="1:3">
      <c r="A546" s="28">
        <v>45259</v>
      </c>
      <c r="B546" s="26">
        <v>2.1800000000000002</v>
      </c>
      <c r="C546" s="26">
        <v>1860100</v>
      </c>
    </row>
    <row r="547" spans="1:3">
      <c r="A547" s="28">
        <v>45260</v>
      </c>
      <c r="B547" s="26">
        <v>2.1800000000000002</v>
      </c>
      <c r="C547" s="26">
        <v>2786100</v>
      </c>
    </row>
    <row r="548" spans="1:3">
      <c r="A548" s="28">
        <v>45261</v>
      </c>
      <c r="B548" s="26">
        <v>2.35</v>
      </c>
      <c r="C548" s="26">
        <v>6862500</v>
      </c>
    </row>
    <row r="549" spans="1:3">
      <c r="A549" s="28">
        <v>45264</v>
      </c>
      <c r="B549" s="26">
        <v>2.6</v>
      </c>
      <c r="C549" s="26">
        <v>4892900</v>
      </c>
    </row>
    <row r="550" spans="1:3">
      <c r="A550" s="28">
        <v>45265</v>
      </c>
      <c r="B550" s="26">
        <v>2.48</v>
      </c>
      <c r="C550" s="26">
        <v>3172500</v>
      </c>
    </row>
    <row r="551" spans="1:3">
      <c r="A551" s="28">
        <v>45266</v>
      </c>
      <c r="B551" s="26">
        <v>2.56</v>
      </c>
      <c r="C551" s="26">
        <v>2922400</v>
      </c>
    </row>
    <row r="552" spans="1:3">
      <c r="A552" s="28">
        <v>45267</v>
      </c>
      <c r="B552" s="26">
        <v>2.5299999999999998</v>
      </c>
      <c r="C552" s="26">
        <v>2403500</v>
      </c>
    </row>
    <row r="553" spans="1:3">
      <c r="A553" s="28">
        <v>45268</v>
      </c>
      <c r="B553" s="26">
        <v>2.48</v>
      </c>
      <c r="C553" s="26">
        <v>1838700</v>
      </c>
    </row>
    <row r="554" spans="1:3">
      <c r="A554" s="28">
        <v>45271</v>
      </c>
      <c r="B554" s="26">
        <v>2.5299999999999998</v>
      </c>
      <c r="C554" s="26">
        <v>1585800</v>
      </c>
    </row>
    <row r="555" spans="1:3">
      <c r="A555" s="28">
        <v>45272</v>
      </c>
      <c r="B555" s="26">
        <v>2.39</v>
      </c>
      <c r="C555" s="26">
        <v>3227300</v>
      </c>
    </row>
    <row r="556" spans="1:3">
      <c r="A556" s="28">
        <v>45273</v>
      </c>
      <c r="B556" s="26">
        <v>2.48</v>
      </c>
      <c r="C556" s="26">
        <v>2735800</v>
      </c>
    </row>
    <row r="557" spans="1:3">
      <c r="A557" s="28">
        <v>45274</v>
      </c>
      <c r="B557" s="26">
        <v>2.59</v>
      </c>
      <c r="C557" s="26">
        <v>3475000</v>
      </c>
    </row>
    <row r="558" spans="1:3">
      <c r="A558" s="28">
        <v>45275</v>
      </c>
      <c r="B558" s="26">
        <v>2.38</v>
      </c>
      <c r="C558" s="26">
        <v>3935900</v>
      </c>
    </row>
    <row r="559" spans="1:3">
      <c r="A559" s="28">
        <v>45278</v>
      </c>
      <c r="B559" s="26">
        <v>2.4</v>
      </c>
      <c r="C559" s="26">
        <v>1340100</v>
      </c>
    </row>
    <row r="560" spans="1:3">
      <c r="A560" s="28">
        <v>45279</v>
      </c>
      <c r="B560" s="26">
        <v>2.4500000000000002</v>
      </c>
      <c r="C560" s="26">
        <v>880200</v>
      </c>
    </row>
    <row r="561" spans="1:3">
      <c r="A561" s="28">
        <v>45280</v>
      </c>
      <c r="B561" s="26">
        <v>2.37</v>
      </c>
      <c r="C561" s="26">
        <v>1331300</v>
      </c>
    </row>
    <row r="562" spans="1:3">
      <c r="A562" s="28">
        <v>45281</v>
      </c>
      <c r="B562" s="26">
        <v>2.42</v>
      </c>
      <c r="C562" s="26">
        <v>811800</v>
      </c>
    </row>
    <row r="563" spans="1:3">
      <c r="A563" s="28">
        <v>45282</v>
      </c>
      <c r="B563" s="26">
        <v>2.4300000000000002</v>
      </c>
      <c r="C563" s="26">
        <v>1214600</v>
      </c>
    </row>
    <row r="564" spans="1:3">
      <c r="A564" s="28">
        <v>45286</v>
      </c>
      <c r="B564" s="26">
        <v>2.46</v>
      </c>
      <c r="C564" s="26">
        <v>695500</v>
      </c>
    </row>
    <row r="565" spans="1:3">
      <c r="A565" s="28">
        <v>45287</v>
      </c>
      <c r="B565" s="26">
        <v>2.4</v>
      </c>
      <c r="C565" s="26">
        <v>1238900</v>
      </c>
    </row>
    <row r="566" spans="1:3">
      <c r="A566" s="28">
        <v>45288</v>
      </c>
      <c r="B566" s="26">
        <v>2.62</v>
      </c>
      <c r="C566" s="26">
        <v>5401900</v>
      </c>
    </row>
    <row r="567" spans="1:3">
      <c r="A567" s="28">
        <v>45289</v>
      </c>
      <c r="B567" s="26">
        <v>2.54</v>
      </c>
      <c r="C567" s="26">
        <v>1655100</v>
      </c>
    </row>
    <row r="568" spans="1:3">
      <c r="A568" s="28">
        <v>45293</v>
      </c>
      <c r="B568" s="26">
        <v>2.5</v>
      </c>
      <c r="C568" s="26">
        <v>1504500</v>
      </c>
    </row>
    <row r="569" spans="1:3">
      <c r="A569" s="28">
        <v>45294</v>
      </c>
      <c r="B569" s="26">
        <v>2.15</v>
      </c>
      <c r="C569" s="26">
        <v>4781300</v>
      </c>
    </row>
    <row r="570" spans="1:3">
      <c r="A570" s="28">
        <v>45295</v>
      </c>
      <c r="B570" s="26">
        <v>2.08</v>
      </c>
      <c r="C570" s="26">
        <v>2832900</v>
      </c>
    </row>
    <row r="571" spans="1:3">
      <c r="A571" s="28">
        <v>45296</v>
      </c>
      <c r="B571" s="26">
        <v>2.12</v>
      </c>
      <c r="C571" s="26">
        <v>3031300</v>
      </c>
    </row>
    <row r="572" spans="1:3">
      <c r="A572" s="28">
        <v>45299</v>
      </c>
      <c r="B572" s="26">
        <v>2.27</v>
      </c>
      <c r="C572" s="26">
        <v>1531600</v>
      </c>
    </row>
    <row r="573" spans="1:3">
      <c r="A573" s="28">
        <v>45300</v>
      </c>
      <c r="B573" s="26">
        <v>2.2999999999999998</v>
      </c>
      <c r="C573" s="26">
        <v>1349800</v>
      </c>
    </row>
    <row r="574" spans="1:3">
      <c r="A574" s="28">
        <v>45301</v>
      </c>
      <c r="B574" s="26">
        <v>2.33</v>
      </c>
      <c r="C574" s="26">
        <v>2005900</v>
      </c>
    </row>
    <row r="575" spans="1:3">
      <c r="A575" s="28">
        <v>45302</v>
      </c>
      <c r="B575" s="26">
        <v>2.3199999999999998</v>
      </c>
      <c r="C575" s="26">
        <v>1068200</v>
      </c>
    </row>
    <row r="576" spans="1:3">
      <c r="A576" s="28">
        <v>45303</v>
      </c>
      <c r="B576" s="26">
        <v>2.27</v>
      </c>
      <c r="C576" s="26">
        <v>996100</v>
      </c>
    </row>
    <row r="577" spans="1:3">
      <c r="A577" s="28">
        <v>45307</v>
      </c>
      <c r="B577" s="26">
        <v>2.1800000000000002</v>
      </c>
      <c r="C577" s="26">
        <v>992100</v>
      </c>
    </row>
    <row r="578" spans="1:3">
      <c r="A578" s="28">
        <v>45308</v>
      </c>
      <c r="B578" s="26">
        <v>2.14</v>
      </c>
      <c r="C578" s="26">
        <v>2047900</v>
      </c>
    </row>
    <row r="579" spans="1:3">
      <c r="A579" s="28">
        <v>45309</v>
      </c>
      <c r="B579" s="26">
        <v>2.12</v>
      </c>
      <c r="C579" s="26">
        <v>1670900</v>
      </c>
    </row>
    <row r="580" spans="1:3">
      <c r="A580" s="28">
        <v>45310</v>
      </c>
      <c r="B580" s="26">
        <v>2.2000000000000002</v>
      </c>
      <c r="C580" s="26">
        <v>1193200</v>
      </c>
    </row>
    <row r="582" spans="1:3">
      <c r="A582" s="26" t="s">
        <v>152</v>
      </c>
      <c r="B582" s="29">
        <f>_xlfn.STDEV.P(B2:B580)</f>
        <v>8.2851470010571777</v>
      </c>
    </row>
    <row r="583" spans="1:3">
      <c r="A583" s="26" t="s">
        <v>153</v>
      </c>
      <c r="B583" s="29">
        <f>AVERAGE(B2:B580)</f>
        <v>10.388998269430049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vt:lpstr>
      <vt:lpstr>OLPX</vt:lpstr>
      <vt:lpstr>historical_p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jameelbrannon</dc:creator>
  <cp:lastModifiedBy>jameelbrannon</cp:lastModifiedBy>
  <dcterms:created xsi:type="dcterms:W3CDTF">2023-07-19T04:28:18Z</dcterms:created>
  <dcterms:modified xsi:type="dcterms:W3CDTF">2024-01-21T23:35:05Z</dcterms:modified>
</cp:coreProperties>
</file>